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-75" windowWidth="10770" windowHeight="10185" tabRatio="899" firstSheet="18" activeTab="24"/>
  </bookViews>
  <sheets>
    <sheet name="1 bevétel (kötelező,önként)" sheetId="359" r:id="rId1"/>
    <sheet name="2 kiadás (kötelező, önként)" sheetId="360" r:id="rId2"/>
    <sheet name="3 bevétel(szűkített)" sheetId="361" r:id="rId3"/>
    <sheet name="4 kiadás(szűkített)" sheetId="362" r:id="rId4"/>
    <sheet name="5 egyenleg" sheetId="363" r:id="rId5"/>
    <sheet name="6 normatíva" sheetId="327" r:id="rId6"/>
    <sheet name="int.bevétel" sheetId="364" r:id="rId7"/>
    <sheet name="int.kiadás " sheetId="365" r:id="rId8"/>
    <sheet name="9 konkrét feladat" sheetId="366" r:id="rId9"/>
    <sheet name="10álláshely" sheetId="352" r:id="rId10"/>
    <sheet name="11 ök kiadás" sheetId="367" r:id="rId11"/>
    <sheet name="12 szakfeladatos" sheetId="368" r:id="rId12"/>
    <sheet name="13 fejlesztés" sheetId="369" r:id="rId13"/>
    <sheet name="14 Lakáselidegenítés" sheetId="370" r:id="rId14"/>
    <sheet name="15 int.felúj" sheetId="371" r:id="rId15"/>
    <sheet name="16 épületek fentartási költs" sheetId="372" r:id="rId16"/>
    <sheet name="17 működési és felhalm" sheetId="373" r:id="rId17"/>
    <sheet name="18előirányzat felhasz." sheetId="358" r:id="rId18"/>
    <sheet name="19többéves" sheetId="272" r:id="rId19"/>
    <sheet name="20projektek" sheetId="374" r:id="rId20"/>
    <sheet name="21 közvetett támogatások" sheetId="236" r:id="rId21"/>
    <sheet name="22 elengedett bérleti díj" sheetId="237" r:id="rId22"/>
    <sheet name="kiemelt dologi" sheetId="375" r:id="rId23"/>
    <sheet name="24TFA" sheetId="274" r:id="rId24"/>
    <sheet name="25Környezetvédelmi alap" sheetId="376" r:id="rId25"/>
    <sheet name="26Turisztikai Alap" sheetId="264" r:id="rId26"/>
    <sheet name="27Hermann_elszámolás" sheetId="275" r:id="rId27"/>
    <sheet name="28Tópari_elszámolás" sheetId="294" r:id="rId28"/>
  </sheets>
  <externalReferences>
    <externalReference r:id="rId29"/>
    <externalReference r:id="rId30"/>
    <externalReference r:id="rId31"/>
    <externalReference r:id="rId32"/>
  </externalReferences>
  <definedNames>
    <definedName name="________b00001" localSheetId="13">[1]Munka3!#REF!</definedName>
    <definedName name="________b00001" localSheetId="15">[1]Munka3!#REF!</definedName>
    <definedName name="________b00001" localSheetId="19">[1]Munka3!#REF!</definedName>
    <definedName name="________b00001" localSheetId="24">[1]Munka3!#REF!</definedName>
    <definedName name="________b00001" localSheetId="5">[1]Munka3!#REF!</definedName>
    <definedName name="________b00001">[1]Munka3!#REF!</definedName>
    <definedName name="________e00001" localSheetId="15">[1]Munka3!#REF!</definedName>
    <definedName name="________e00001" localSheetId="19">[1]Munka3!#REF!</definedName>
    <definedName name="________e00001" localSheetId="24">[1]Munka3!#REF!</definedName>
    <definedName name="________e00001">[1]Munka3!#REF!</definedName>
    <definedName name="_______b00001" localSheetId="15">[1]Munka3!#REF!</definedName>
    <definedName name="_______b00001" localSheetId="19">[1]Munka3!#REF!</definedName>
    <definedName name="_______b00001" localSheetId="24">[1]Munka3!#REF!</definedName>
    <definedName name="_______b00001">[1]Munka3!#REF!</definedName>
    <definedName name="_______e00001" localSheetId="15">[1]Munka3!#REF!</definedName>
    <definedName name="_______e00001" localSheetId="19">[1]Munka3!#REF!</definedName>
    <definedName name="_______e00001" localSheetId="24">[1]Munka3!#REF!</definedName>
    <definedName name="_______e00001">[1]Munka3!#REF!</definedName>
    <definedName name="______b00001" localSheetId="19">[1]Munka3!#REF!</definedName>
    <definedName name="______b00001" localSheetId="24">[1]Munka3!#REF!</definedName>
    <definedName name="______b00001">[1]Munka3!#REF!</definedName>
    <definedName name="______e00001">[1]Munka3!#REF!</definedName>
    <definedName name="_____b00001">[1]Munka3!#REF!</definedName>
    <definedName name="_____e00001">[1]Munka3!#REF!</definedName>
    <definedName name="____b00001">[1]Munka3!#REF!</definedName>
    <definedName name="____e00001">[1]Munka3!#REF!</definedName>
    <definedName name="___b00001" localSheetId="9">[1]Munka3!#REF!</definedName>
    <definedName name="___b00001">[1]Munka3!#REF!</definedName>
    <definedName name="___e00001">[1]Munka3!#REF!</definedName>
    <definedName name="__b00001" localSheetId="9">[1]Munka3!#REF!</definedName>
    <definedName name="__b00001" localSheetId="19">[1]Munka3!#REF!</definedName>
    <definedName name="__b00001" localSheetId="24">[1]Munka3!#REF!</definedName>
    <definedName name="__b00001" localSheetId="27">[1]Munka3!#REF!</definedName>
    <definedName name="__b00001" localSheetId="7">[1]Munka3!#REF!</definedName>
    <definedName name="__b00001">[1]Munka3!#REF!</definedName>
    <definedName name="__e00001" localSheetId="9">[1]Munka3!#REF!</definedName>
    <definedName name="__e00001" localSheetId="19">[1]Munka3!#REF!</definedName>
    <definedName name="__e00001" localSheetId="24">[1]Munka3!#REF!</definedName>
    <definedName name="__e00001" localSheetId="27">[1]Munka3!#REF!</definedName>
    <definedName name="__e00001" localSheetId="7">[1]Munka3!#REF!</definedName>
    <definedName name="__e00001">[1]Munka3!#REF!</definedName>
    <definedName name="_b00001" localSheetId="9">[1]Munka3!#REF!</definedName>
    <definedName name="_b00001" localSheetId="19">[1]Munka3!#REF!</definedName>
    <definedName name="_b00001" localSheetId="7">[1]Munka3!#REF!</definedName>
    <definedName name="_b00001">[1]Munka3!#REF!</definedName>
    <definedName name="_e00001" localSheetId="9">[1]Munka3!#REF!</definedName>
    <definedName name="_e00001" localSheetId="19">[1]Munka3!#REF!</definedName>
    <definedName name="_e00001" localSheetId="7">[1]Munka3!#REF!</definedName>
    <definedName name="_e00001">[1]Munka3!#REF!</definedName>
    <definedName name="b0000" localSheetId="9">[2]Munka3!#REF!</definedName>
    <definedName name="b0000" localSheetId="13">[2]Munka3!#REF!</definedName>
    <definedName name="b0000" localSheetId="15">[2]Munka3!#REF!</definedName>
    <definedName name="b0000" localSheetId="19">[3]Munka3!#REF!</definedName>
    <definedName name="b0000" localSheetId="7">[2]Munka3!#REF!</definedName>
    <definedName name="b0000">[2]Munka3!#REF!</definedName>
    <definedName name="b00000" localSheetId="0">[1]Munka3!#REF!</definedName>
    <definedName name="b00000" localSheetId="9">[2]Munka3!#REF!</definedName>
    <definedName name="b00000" localSheetId="10">[1]Munka3!#REF!</definedName>
    <definedName name="b00000" localSheetId="13">[2]Munka3!#REF!</definedName>
    <definedName name="b00000" localSheetId="15">[2]Munka3!#REF!</definedName>
    <definedName name="b00000" localSheetId="16">[1]Munka3!#REF!</definedName>
    <definedName name="b00000" localSheetId="1">[1]Munka3!#REF!</definedName>
    <definedName name="b00000" localSheetId="19">[3]Munka3!#REF!</definedName>
    <definedName name="b00000" localSheetId="21">[4]Munka3!#REF!</definedName>
    <definedName name="b00000" localSheetId="5">[1]Munka3!#REF!</definedName>
    <definedName name="b00000" localSheetId="7">[2]Munka3!#REF!</definedName>
    <definedName name="b00000">[2]Munka3!#REF!</definedName>
    <definedName name="c00000" localSheetId="9">[2]Munka3!#REF!</definedName>
    <definedName name="c00000" localSheetId="13">[2]Munka3!#REF!</definedName>
    <definedName name="c00000" localSheetId="15">[2]Munka3!#REF!</definedName>
    <definedName name="c00000" localSheetId="7">[2]Munka3!#REF!</definedName>
    <definedName name="c00000">[2]Munka3!#REF!</definedName>
    <definedName name="E00000" localSheetId="0">[1]Munka3!#REF!</definedName>
    <definedName name="E00000" localSheetId="9">[2]Munka3!#REF!</definedName>
    <definedName name="E00000" localSheetId="10">[1]Munka3!#REF!</definedName>
    <definedName name="E00000" localSheetId="13">[2]Munka3!#REF!</definedName>
    <definedName name="E00000" localSheetId="15">[2]Munka3!#REF!</definedName>
    <definedName name="E00000" localSheetId="16">[1]Munka3!#REF!</definedName>
    <definedName name="E00000" localSheetId="1">[1]Munka3!#REF!</definedName>
    <definedName name="E00000" localSheetId="19">[3]Munka3!#REF!</definedName>
    <definedName name="E00000" localSheetId="21">[4]Munka3!#REF!</definedName>
    <definedName name="E00000" localSheetId="5">[1]Munka3!#REF!</definedName>
    <definedName name="E00000" localSheetId="7">[2]Munka3!#REF!</definedName>
    <definedName name="E00000">[2]Munka3!#REF!</definedName>
    <definedName name="kiadás" localSheetId="7">[1]Munka3!#REF!</definedName>
    <definedName name="l" localSheetId="9">[1]Munka3!#REF!</definedName>
    <definedName name="létszám" localSheetId="9">[2]Munka3!#REF!</definedName>
    <definedName name="létszám" localSheetId="13">[2]Munka3!#REF!</definedName>
    <definedName name="létszám" localSheetId="15">[2]Munka3!#REF!</definedName>
    <definedName name="létszám" localSheetId="19">[3]Munka3!#REF!</definedName>
    <definedName name="létszám" localSheetId="7">[2]Munka3!#REF!</definedName>
    <definedName name="létszám">[2]Munka3!#REF!</definedName>
    <definedName name="_xlnm.Print_Titles" localSheetId="0">'1 bevétel (kötelező,önként)'!$A:$B,'1 bevétel (kötelező,önként)'!$1:$8</definedName>
    <definedName name="_xlnm.Print_Titles" localSheetId="9">'10álláshely'!$A:$A,'10álláshely'!$4:$5</definedName>
    <definedName name="_xlnm.Print_Titles" localSheetId="10">'11 ök kiadás'!$1:$6</definedName>
    <definedName name="_xlnm.Print_Titles" localSheetId="11">'12 szakfeladatos'!$1:$4</definedName>
    <definedName name="_xlnm.Print_Titles" localSheetId="12">'13 fejlesztés'!$1:$6</definedName>
    <definedName name="_xlnm.Print_Titles" localSheetId="14">'15 int.felúj'!$1:$4</definedName>
    <definedName name="_xlnm.Print_Titles" localSheetId="1">'2 kiadás (kötelező, önként)'!$A:$B</definedName>
    <definedName name="_xlnm.Print_Titles" localSheetId="19">'20projektek'!$1:$8</definedName>
    <definedName name="_xlnm.Print_Titles" localSheetId="20">'21 közvetett támogatások'!$1:$1</definedName>
    <definedName name="_xlnm.Print_Titles" localSheetId="21">'22 elengedett bérleti díj'!$1:$1</definedName>
    <definedName name="_xlnm.Print_Titles" localSheetId="26">'27Hermann_elszámolás'!$1:$2</definedName>
    <definedName name="_xlnm.Print_Titles" localSheetId="27">'28Tópari_elszámolás'!$1:$2</definedName>
    <definedName name="_xlnm.Print_Titles" localSheetId="2">'3 bevétel(szűkített)'!$1:$8</definedName>
    <definedName name="_xlnm.Print_Titles" localSheetId="5">'6 normatíva'!$1:$2</definedName>
    <definedName name="_xlnm.Print_Titles" localSheetId="8">'9 konkrét feladat'!$1:$4</definedName>
    <definedName name="_xlnm.Print_Titles" localSheetId="6">int.bevétel!$A:$B,int.bevétel!$1:$4</definedName>
    <definedName name="_xlnm.Print_Titles" localSheetId="7">'int.kiadás '!$1:$6</definedName>
    <definedName name="_xlnm.Print_Area" localSheetId="0">'1 bevétel (kötelező,önként)'!$A$1:$AL$73</definedName>
    <definedName name="_xlnm.Print_Area" localSheetId="9">'10álláshely'!$A$1:$K$45</definedName>
    <definedName name="_xlnm.Print_Area" localSheetId="10">'11 ök kiadás'!$A$1:$P$189</definedName>
    <definedName name="_xlnm.Print_Area" localSheetId="12">'13 fejlesztés'!$A$1:$D$128</definedName>
    <definedName name="_xlnm.Print_Area" localSheetId="14">'15 int.felúj'!$A$1:$E$107</definedName>
    <definedName name="_xlnm.Print_Area" localSheetId="20">'21 közvetett támogatások'!$A$1:$F$30</definedName>
    <definedName name="_xlnm.Print_Area" localSheetId="26">'27Hermann_elszámolás'!$A$1:$E$48</definedName>
    <definedName name="_xlnm.Print_Area" localSheetId="27">'28Tópari_elszámolás'!$A$1:$E$48</definedName>
    <definedName name="_xlnm.Print_Area" localSheetId="3">'4 kiadás(szűkített)'!$A$1:$K$28</definedName>
    <definedName name="_xlnm.Print_Area" localSheetId="6">int.bevétel!$A$1:$O$454</definedName>
    <definedName name="_xlnm.Print_Area" localSheetId="7">'int.kiadás '!$A$1:$O$484</definedName>
  </definedNames>
  <calcPr calcId="145621"/>
</workbook>
</file>

<file path=xl/calcChain.xml><?xml version="1.0" encoding="utf-8"?>
<calcChain xmlns="http://schemas.openxmlformats.org/spreadsheetml/2006/main">
  <c r="B12" i="376" l="1"/>
  <c r="F42" i="375"/>
  <c r="E42" i="375"/>
  <c r="D42" i="375"/>
  <c r="B42" i="375"/>
  <c r="C41" i="375"/>
  <c r="C40" i="375"/>
  <c r="C39" i="375"/>
  <c r="C38" i="375"/>
  <c r="C37" i="375"/>
  <c r="C36" i="375"/>
  <c r="C35" i="375"/>
  <c r="C42" i="375" s="1"/>
  <c r="E34" i="375"/>
  <c r="C34" i="375"/>
  <c r="F33" i="375"/>
  <c r="D33" i="375"/>
  <c r="B33" i="375"/>
  <c r="E32" i="375"/>
  <c r="C32" i="375"/>
  <c r="C31" i="375"/>
  <c r="C33" i="375" s="1"/>
  <c r="E30" i="375"/>
  <c r="E33" i="375" s="1"/>
  <c r="C30" i="375"/>
  <c r="F28" i="375"/>
  <c r="F29" i="375" s="1"/>
  <c r="F43" i="375" s="1"/>
  <c r="F45" i="375" s="1"/>
  <c r="D28" i="375"/>
  <c r="D29" i="375" s="1"/>
  <c r="D43" i="375" s="1"/>
  <c r="D45" i="375" s="1"/>
  <c r="B28" i="375"/>
  <c r="B29" i="375" s="1"/>
  <c r="B43" i="375" s="1"/>
  <c r="B45" i="375" s="1"/>
  <c r="E27" i="375"/>
  <c r="C27" i="375"/>
  <c r="E26" i="375"/>
  <c r="C26" i="375"/>
  <c r="E25" i="375"/>
  <c r="C25" i="375"/>
  <c r="E24" i="375"/>
  <c r="C24" i="375"/>
  <c r="E23" i="375"/>
  <c r="C23" i="375"/>
  <c r="E22" i="375"/>
  <c r="C22" i="375"/>
  <c r="E21" i="375"/>
  <c r="C21" i="375"/>
  <c r="E20" i="375"/>
  <c r="C20" i="375"/>
  <c r="E19" i="375"/>
  <c r="C19" i="375"/>
  <c r="E18" i="375"/>
  <c r="C18" i="375"/>
  <c r="E17" i="375"/>
  <c r="C17" i="375"/>
  <c r="E16" i="375"/>
  <c r="E28" i="375" s="1"/>
  <c r="C16" i="375"/>
  <c r="C28" i="375" s="1"/>
  <c r="F15" i="375"/>
  <c r="D15" i="375"/>
  <c r="B15" i="375"/>
  <c r="E14" i="375"/>
  <c r="C14" i="375"/>
  <c r="E13" i="375"/>
  <c r="C13" i="375"/>
  <c r="E12" i="375"/>
  <c r="C12" i="375"/>
  <c r="E11" i="375"/>
  <c r="C11" i="375"/>
  <c r="E10" i="375"/>
  <c r="C10" i="375"/>
  <c r="E9" i="375"/>
  <c r="E15" i="375" s="1"/>
  <c r="C9" i="375"/>
  <c r="C15" i="375" s="1"/>
  <c r="F8" i="375"/>
  <c r="D8" i="375"/>
  <c r="B8" i="375"/>
  <c r="E7" i="375"/>
  <c r="E8" i="375" s="1"/>
  <c r="C7" i="375"/>
  <c r="C6" i="375"/>
  <c r="C8" i="375" s="1"/>
  <c r="Q35" i="374"/>
  <c r="N35" i="374"/>
  <c r="L35" i="374"/>
  <c r="K35" i="374"/>
  <c r="R34" i="374"/>
  <c r="O34" i="374"/>
  <c r="U34" i="374" s="1"/>
  <c r="M34" i="374"/>
  <c r="J34" i="374"/>
  <c r="T34" i="374" s="1"/>
  <c r="H34" i="374"/>
  <c r="F34" i="374"/>
  <c r="E34" i="374"/>
  <c r="S34" i="374" s="1"/>
  <c r="R33" i="374"/>
  <c r="O33" i="374"/>
  <c r="U33" i="374" s="1"/>
  <c r="M33" i="374"/>
  <c r="T33" i="374" s="1"/>
  <c r="J33" i="374"/>
  <c r="H33" i="374"/>
  <c r="F33" i="374"/>
  <c r="E33" i="374"/>
  <c r="S33" i="374" s="1"/>
  <c r="R32" i="374"/>
  <c r="O32" i="374"/>
  <c r="U32" i="374" s="1"/>
  <c r="M32" i="374"/>
  <c r="T32" i="374" s="1"/>
  <c r="J32" i="374"/>
  <c r="H32" i="374"/>
  <c r="F32" i="374"/>
  <c r="E32" i="374"/>
  <c r="S32" i="374" s="1"/>
  <c r="R31" i="374"/>
  <c r="O31" i="374"/>
  <c r="U31" i="374" s="1"/>
  <c r="M31" i="374"/>
  <c r="T31" i="374" s="1"/>
  <c r="J31" i="374"/>
  <c r="H31" i="374"/>
  <c r="E31" i="374"/>
  <c r="S31" i="374" s="1"/>
  <c r="R30" i="374"/>
  <c r="O30" i="374"/>
  <c r="U30" i="374" s="1"/>
  <c r="M30" i="374"/>
  <c r="J30" i="374"/>
  <c r="T30" i="374" s="1"/>
  <c r="H30" i="374"/>
  <c r="E30" i="374"/>
  <c r="S30" i="374" s="1"/>
  <c r="R29" i="374"/>
  <c r="P29" i="374"/>
  <c r="P35" i="374" s="1"/>
  <c r="O29" i="374"/>
  <c r="U29" i="374" s="1"/>
  <c r="M29" i="374"/>
  <c r="J29" i="374"/>
  <c r="T29" i="374" s="1"/>
  <c r="H29" i="374"/>
  <c r="E29" i="374"/>
  <c r="S29" i="374" s="1"/>
  <c r="R28" i="374"/>
  <c r="O28" i="374"/>
  <c r="U28" i="374" s="1"/>
  <c r="M28" i="374"/>
  <c r="T28" i="374" s="1"/>
  <c r="J28" i="374"/>
  <c r="H28" i="374"/>
  <c r="E28" i="374"/>
  <c r="S28" i="374" s="1"/>
  <c r="R27" i="374"/>
  <c r="O27" i="374"/>
  <c r="U27" i="374" s="1"/>
  <c r="M27" i="374"/>
  <c r="J27" i="374"/>
  <c r="T27" i="374" s="1"/>
  <c r="F27" i="374"/>
  <c r="H27" i="374" s="1"/>
  <c r="S27" i="374" s="1"/>
  <c r="E27" i="374"/>
  <c r="R26" i="374"/>
  <c r="O26" i="374"/>
  <c r="U26" i="374" s="1"/>
  <c r="M26" i="374"/>
  <c r="J26" i="374"/>
  <c r="T26" i="374" s="1"/>
  <c r="H26" i="374"/>
  <c r="E26" i="374"/>
  <c r="S26" i="374" s="1"/>
  <c r="R25" i="374"/>
  <c r="O25" i="374"/>
  <c r="U25" i="374" s="1"/>
  <c r="M25" i="374"/>
  <c r="T25" i="374" s="1"/>
  <c r="J25" i="374"/>
  <c r="H25" i="374"/>
  <c r="F25" i="374"/>
  <c r="E25" i="374"/>
  <c r="S25" i="374" s="1"/>
  <c r="R24" i="374"/>
  <c r="O24" i="374"/>
  <c r="U24" i="374" s="1"/>
  <c r="M24" i="374"/>
  <c r="I24" i="374"/>
  <c r="J24" i="374" s="1"/>
  <c r="T24" i="374" s="1"/>
  <c r="F24" i="374"/>
  <c r="H24" i="374" s="1"/>
  <c r="E24" i="374"/>
  <c r="R23" i="374"/>
  <c r="O23" i="374"/>
  <c r="U23" i="374" s="1"/>
  <c r="M23" i="374"/>
  <c r="J23" i="374"/>
  <c r="T23" i="374" s="1"/>
  <c r="F23" i="374"/>
  <c r="H23" i="374" s="1"/>
  <c r="S23" i="374" s="1"/>
  <c r="E23" i="374"/>
  <c r="R22" i="374"/>
  <c r="O22" i="374"/>
  <c r="U22" i="374" s="1"/>
  <c r="M22" i="374"/>
  <c r="J22" i="374"/>
  <c r="T22" i="374" s="1"/>
  <c r="H22" i="374"/>
  <c r="E22" i="374"/>
  <c r="S22" i="374" s="1"/>
  <c r="R21" i="374"/>
  <c r="O21" i="374"/>
  <c r="U21" i="374" s="1"/>
  <c r="M21" i="374"/>
  <c r="T21" i="374" s="1"/>
  <c r="J21" i="374"/>
  <c r="H21" i="374"/>
  <c r="F21" i="374"/>
  <c r="E21" i="374"/>
  <c r="S21" i="374" s="1"/>
  <c r="R20" i="374"/>
  <c r="O20" i="374"/>
  <c r="U20" i="374" s="1"/>
  <c r="M20" i="374"/>
  <c r="T20" i="374" s="1"/>
  <c r="J20" i="374"/>
  <c r="H20" i="374"/>
  <c r="F20" i="374"/>
  <c r="E20" i="374"/>
  <c r="S20" i="374" s="1"/>
  <c r="R19" i="374"/>
  <c r="O19" i="374"/>
  <c r="U19" i="374" s="1"/>
  <c r="M19" i="374"/>
  <c r="T19" i="374" s="1"/>
  <c r="J19" i="374"/>
  <c r="H19" i="374"/>
  <c r="E19" i="374"/>
  <c r="S19" i="374" s="1"/>
  <c r="R18" i="374"/>
  <c r="O18" i="374"/>
  <c r="U18" i="374" s="1"/>
  <c r="M18" i="374"/>
  <c r="J18" i="374"/>
  <c r="T18" i="374" s="1"/>
  <c r="G18" i="374"/>
  <c r="H18" i="374" s="1"/>
  <c r="S18" i="374" s="1"/>
  <c r="E18" i="374"/>
  <c r="R17" i="374"/>
  <c r="O17" i="374"/>
  <c r="U17" i="374" s="1"/>
  <c r="M17" i="374"/>
  <c r="J17" i="374"/>
  <c r="T17" i="374" s="1"/>
  <c r="G17" i="374"/>
  <c r="H17" i="374" s="1"/>
  <c r="D17" i="374"/>
  <c r="E17" i="374" s="1"/>
  <c r="R16" i="374"/>
  <c r="O16" i="374"/>
  <c r="U16" i="374" s="1"/>
  <c r="M16" i="374"/>
  <c r="T16" i="374" s="1"/>
  <c r="J16" i="374"/>
  <c r="H16" i="374"/>
  <c r="F16" i="374"/>
  <c r="F35" i="374" s="1"/>
  <c r="E16" i="374"/>
  <c r="S16" i="374" s="1"/>
  <c r="R15" i="374"/>
  <c r="O15" i="374"/>
  <c r="U15" i="374" s="1"/>
  <c r="M15" i="374"/>
  <c r="I15" i="374"/>
  <c r="J15" i="374" s="1"/>
  <c r="T15" i="374" s="1"/>
  <c r="G15" i="374"/>
  <c r="H15" i="374" s="1"/>
  <c r="D15" i="374"/>
  <c r="E15" i="374" s="1"/>
  <c r="R14" i="374"/>
  <c r="O14" i="374"/>
  <c r="U14" i="374" s="1"/>
  <c r="M14" i="374"/>
  <c r="T14" i="374" s="1"/>
  <c r="J14" i="374"/>
  <c r="H14" i="374"/>
  <c r="G14" i="374"/>
  <c r="G35" i="374" s="1"/>
  <c r="E14" i="374"/>
  <c r="S14" i="374" s="1"/>
  <c r="D14" i="374"/>
  <c r="D35" i="374" s="1"/>
  <c r="R13" i="374"/>
  <c r="O13" i="374"/>
  <c r="U13" i="374" s="1"/>
  <c r="M13" i="374"/>
  <c r="J13" i="374"/>
  <c r="T13" i="374" s="1"/>
  <c r="H13" i="374"/>
  <c r="E13" i="374"/>
  <c r="S13" i="374" s="1"/>
  <c r="R12" i="374"/>
  <c r="O12" i="374"/>
  <c r="U12" i="374" s="1"/>
  <c r="M12" i="374"/>
  <c r="T12" i="374" s="1"/>
  <c r="J12" i="374"/>
  <c r="H12" i="374"/>
  <c r="E12" i="374"/>
  <c r="S12" i="374" s="1"/>
  <c r="R11" i="374"/>
  <c r="O11" i="374"/>
  <c r="U11" i="374" s="1"/>
  <c r="M11" i="374"/>
  <c r="J11" i="374"/>
  <c r="T11" i="374" s="1"/>
  <c r="H11" i="374"/>
  <c r="E11" i="374"/>
  <c r="S11" i="374" s="1"/>
  <c r="R10" i="374"/>
  <c r="O10" i="374"/>
  <c r="U10" i="374" s="1"/>
  <c r="M10" i="374"/>
  <c r="T10" i="374" s="1"/>
  <c r="J10" i="374"/>
  <c r="H10" i="374"/>
  <c r="E10" i="374"/>
  <c r="S10" i="374" s="1"/>
  <c r="R9" i="374"/>
  <c r="R35" i="374" s="1"/>
  <c r="O9" i="374"/>
  <c r="O35" i="374" s="1"/>
  <c r="M9" i="374"/>
  <c r="M35" i="374" s="1"/>
  <c r="J9" i="374"/>
  <c r="H9" i="374"/>
  <c r="E9" i="374"/>
  <c r="E35" i="374" s="1"/>
  <c r="B36" i="373"/>
  <c r="E34" i="373"/>
  <c r="E36" i="373" s="1"/>
  <c r="B34" i="373"/>
  <c r="E29" i="373"/>
  <c r="B29" i="373"/>
  <c r="E28" i="373"/>
  <c r="E31" i="373" s="1"/>
  <c r="B28" i="373"/>
  <c r="E27" i="373"/>
  <c r="B27" i="373"/>
  <c r="B31" i="373" s="1"/>
  <c r="E19" i="373"/>
  <c r="E18" i="373"/>
  <c r="E17" i="373"/>
  <c r="B17" i="373"/>
  <c r="E15" i="373"/>
  <c r="E20" i="373" s="1"/>
  <c r="B15" i="373"/>
  <c r="B20" i="373" s="1"/>
  <c r="B44" i="373" s="1"/>
  <c r="B11" i="373"/>
  <c r="B10" i="373"/>
  <c r="E9" i="373"/>
  <c r="B9" i="373"/>
  <c r="E8" i="373"/>
  <c r="B8" i="373"/>
  <c r="E7" i="373"/>
  <c r="B7" i="373"/>
  <c r="E6" i="373"/>
  <c r="E12" i="373" s="1"/>
  <c r="F12" i="373" s="1"/>
  <c r="B6" i="373"/>
  <c r="B12" i="373" s="1"/>
  <c r="C18" i="372"/>
  <c r="E17" i="372"/>
  <c r="E16" i="372"/>
  <c r="E15" i="372"/>
  <c r="E14" i="372"/>
  <c r="E13" i="372" s="1"/>
  <c r="E18" i="372" s="1"/>
  <c r="D13" i="372"/>
  <c r="D18" i="372" s="1"/>
  <c r="C13" i="372"/>
  <c r="C8" i="372"/>
  <c r="C7" i="372"/>
  <c r="E7" i="372" s="1"/>
  <c r="E6" i="372"/>
  <c r="E5" i="372"/>
  <c r="E4" i="372" s="1"/>
  <c r="D4" i="372"/>
  <c r="D9" i="372" s="1"/>
  <c r="C4" i="372"/>
  <c r="C9" i="372" s="1"/>
  <c r="E104" i="371"/>
  <c r="E106" i="371" s="1"/>
  <c r="D104" i="371"/>
  <c r="C104" i="371"/>
  <c r="C106" i="371" s="1"/>
  <c r="C107" i="371" s="1"/>
  <c r="E103" i="371"/>
  <c r="E101" i="371"/>
  <c r="D101" i="371"/>
  <c r="C101" i="371"/>
  <c r="E100" i="371"/>
  <c r="E98" i="371"/>
  <c r="D98" i="371"/>
  <c r="D106" i="371" s="1"/>
  <c r="D107" i="371" s="1"/>
  <c r="C98" i="371"/>
  <c r="E97" i="371"/>
  <c r="E94" i="371"/>
  <c r="E92" i="371"/>
  <c r="D90" i="371"/>
  <c r="E89" i="371"/>
  <c r="E90" i="371" s="1"/>
  <c r="D87" i="371"/>
  <c r="C87" i="371"/>
  <c r="E86" i="371"/>
  <c r="E87" i="371" s="1"/>
  <c r="E84" i="371"/>
  <c r="D82" i="371"/>
  <c r="E81" i="371"/>
  <c r="E82" i="371" s="1"/>
  <c r="D79" i="371"/>
  <c r="E78" i="371"/>
  <c r="E77" i="371"/>
  <c r="E79" i="371" s="1"/>
  <c r="D75" i="371"/>
  <c r="C75" i="371"/>
  <c r="E74" i="371"/>
  <c r="E75" i="371" s="1"/>
  <c r="D72" i="371"/>
  <c r="C72" i="371"/>
  <c r="E71" i="371"/>
  <c r="E72" i="371" s="1"/>
  <c r="D69" i="371"/>
  <c r="C69" i="371"/>
  <c r="E68" i="371"/>
  <c r="E69" i="371" s="1"/>
  <c r="D66" i="371"/>
  <c r="E65" i="371"/>
  <c r="E66" i="371" s="1"/>
  <c r="D63" i="371"/>
  <c r="C63" i="371"/>
  <c r="E62" i="371"/>
  <c r="E63" i="371" s="1"/>
  <c r="D60" i="371"/>
  <c r="E59" i="371"/>
  <c r="E60" i="371" s="1"/>
  <c r="D57" i="371"/>
  <c r="C57" i="371"/>
  <c r="E56" i="371"/>
  <c r="E57" i="371" s="1"/>
  <c r="D54" i="371"/>
  <c r="C54" i="371"/>
  <c r="E53" i="371"/>
  <c r="E52" i="371"/>
  <c r="E54" i="371" s="1"/>
  <c r="E50" i="371"/>
  <c r="D50" i="371"/>
  <c r="E49" i="371"/>
  <c r="D47" i="371"/>
  <c r="E46" i="371"/>
  <c r="E47" i="371" s="1"/>
  <c r="D44" i="371"/>
  <c r="E43" i="371"/>
  <c r="E44" i="371" s="1"/>
  <c r="D41" i="371"/>
  <c r="E40" i="371"/>
  <c r="E41" i="371" s="1"/>
  <c r="E38" i="371"/>
  <c r="D38" i="371"/>
  <c r="E37" i="371"/>
  <c r="D35" i="371"/>
  <c r="E34" i="371"/>
  <c r="E33" i="371"/>
  <c r="E35" i="371" s="1"/>
  <c r="D31" i="371"/>
  <c r="E30" i="371"/>
  <c r="E31" i="371" s="1"/>
  <c r="D28" i="371"/>
  <c r="E27" i="371"/>
  <c r="E28" i="371" s="1"/>
  <c r="D25" i="371"/>
  <c r="C25" i="371"/>
  <c r="E24" i="371"/>
  <c r="E25" i="371" s="1"/>
  <c r="D22" i="371"/>
  <c r="E21" i="371"/>
  <c r="E22" i="371" s="1"/>
  <c r="D19" i="371"/>
  <c r="E18" i="371"/>
  <c r="E19" i="371" s="1"/>
  <c r="D16" i="371"/>
  <c r="E15" i="371"/>
  <c r="E16" i="371" s="1"/>
  <c r="D13" i="371"/>
  <c r="C13" i="371"/>
  <c r="E12" i="371"/>
  <c r="E13" i="371" s="1"/>
  <c r="D10" i="371"/>
  <c r="E9" i="371"/>
  <c r="E8" i="371"/>
  <c r="E7" i="371"/>
  <c r="E6" i="371"/>
  <c r="E10" i="371" s="1"/>
  <c r="C16" i="370"/>
  <c r="D15" i="370"/>
  <c r="D14" i="370"/>
  <c r="D16" i="370" s="1"/>
  <c r="C13" i="370"/>
  <c r="C17" i="370" s="1"/>
  <c r="D12" i="370"/>
  <c r="D13" i="370" s="1"/>
  <c r="D17" i="370" s="1"/>
  <c r="C7" i="370"/>
  <c r="D6" i="370"/>
  <c r="D5" i="370"/>
  <c r="D4" i="370"/>
  <c r="D7" i="370" s="1"/>
  <c r="C126" i="369"/>
  <c r="C128" i="369" s="1"/>
  <c r="B126" i="369"/>
  <c r="D125" i="369"/>
  <c r="D124" i="369"/>
  <c r="D123" i="369"/>
  <c r="D122" i="369"/>
  <c r="D121" i="369"/>
  <c r="D120" i="369"/>
  <c r="D119" i="369"/>
  <c r="D118" i="369"/>
  <c r="D117" i="369"/>
  <c r="D116" i="369"/>
  <c r="D115" i="369"/>
  <c r="D114" i="369"/>
  <c r="D126" i="369" s="1"/>
  <c r="C110" i="369"/>
  <c r="B110" i="369"/>
  <c r="D109" i="369"/>
  <c r="D108" i="369"/>
  <c r="D107" i="369"/>
  <c r="D106" i="369"/>
  <c r="D105" i="369"/>
  <c r="D104" i="369"/>
  <c r="D103" i="369"/>
  <c r="D102" i="369"/>
  <c r="D101" i="369"/>
  <c r="D100" i="369"/>
  <c r="D99" i="369"/>
  <c r="D98" i="369"/>
  <c r="D97" i="369"/>
  <c r="D96" i="369"/>
  <c r="D95" i="369"/>
  <c r="D94" i="369"/>
  <c r="D93" i="369"/>
  <c r="D92" i="369"/>
  <c r="D91" i="369"/>
  <c r="D90" i="369"/>
  <c r="D89" i="369"/>
  <c r="D88" i="369"/>
  <c r="D87" i="369"/>
  <c r="D86" i="369"/>
  <c r="D85" i="369"/>
  <c r="D84" i="369"/>
  <c r="D83" i="369"/>
  <c r="D82" i="369"/>
  <c r="D81" i="369"/>
  <c r="D80" i="369"/>
  <c r="D79" i="369"/>
  <c r="D78" i="369"/>
  <c r="D77" i="369"/>
  <c r="D76" i="369"/>
  <c r="D75" i="369"/>
  <c r="D74" i="369"/>
  <c r="D73" i="369"/>
  <c r="D72" i="369"/>
  <c r="D71" i="369"/>
  <c r="D70" i="369"/>
  <c r="D110" i="369" s="1"/>
  <c r="C67" i="369"/>
  <c r="B67" i="369"/>
  <c r="D66" i="369"/>
  <c r="D65" i="369"/>
  <c r="D64" i="369"/>
  <c r="D63" i="369"/>
  <c r="D62" i="369"/>
  <c r="D61" i="369"/>
  <c r="D60" i="369"/>
  <c r="D59" i="369"/>
  <c r="D67" i="369" s="1"/>
  <c r="D55" i="369"/>
  <c r="D54" i="369"/>
  <c r="D53" i="369"/>
  <c r="D52" i="369"/>
  <c r="D50" i="369"/>
  <c r="D49" i="369"/>
  <c r="D56" i="369" s="1"/>
  <c r="D47" i="369"/>
  <c r="D46" i="369"/>
  <c r="D45" i="369"/>
  <c r="D44" i="369"/>
  <c r="D43" i="369"/>
  <c r="D42" i="369"/>
  <c r="D41" i="369"/>
  <c r="D40" i="369"/>
  <c r="D39" i="369"/>
  <c r="D38" i="369"/>
  <c r="D37" i="369"/>
  <c r="D36" i="369"/>
  <c r="D35" i="369"/>
  <c r="D34" i="369"/>
  <c r="D32" i="369" s="1"/>
  <c r="D33" i="369"/>
  <c r="C32" i="369"/>
  <c r="C56" i="369" s="1"/>
  <c r="B32" i="369"/>
  <c r="B56" i="369" s="1"/>
  <c r="D31" i="369"/>
  <c r="D30" i="369"/>
  <c r="D29" i="369"/>
  <c r="D28" i="369"/>
  <c r="D27" i="369"/>
  <c r="D26" i="369"/>
  <c r="D25" i="369"/>
  <c r="D24" i="369"/>
  <c r="D23" i="369"/>
  <c r="D22" i="369"/>
  <c r="D21" i="369"/>
  <c r="D20" i="369"/>
  <c r="D19" i="369"/>
  <c r="D18" i="369"/>
  <c r="C18" i="369"/>
  <c r="D17" i="369"/>
  <c r="D15" i="369"/>
  <c r="C12" i="369"/>
  <c r="B12" i="369"/>
  <c r="D11" i="369"/>
  <c r="D10" i="369"/>
  <c r="D9" i="369"/>
  <c r="D12" i="369" s="1"/>
  <c r="G275" i="368"/>
  <c r="E275" i="368"/>
  <c r="H274" i="368"/>
  <c r="G274" i="368"/>
  <c r="E274" i="368"/>
  <c r="E273" i="368"/>
  <c r="H272" i="368"/>
  <c r="G272" i="368"/>
  <c r="E272" i="368"/>
  <c r="H271" i="368"/>
  <c r="G271" i="368"/>
  <c r="E271" i="368"/>
  <c r="H270" i="368"/>
  <c r="G270" i="368"/>
  <c r="E270" i="368"/>
  <c r="H269" i="368"/>
  <c r="G269" i="368"/>
  <c r="E269" i="368"/>
  <c r="H268" i="368"/>
  <c r="E268" i="368"/>
  <c r="E267" i="368"/>
  <c r="G266" i="368"/>
  <c r="E266" i="368"/>
  <c r="G265" i="368"/>
  <c r="E265" i="368"/>
  <c r="H264" i="368"/>
  <c r="E264" i="368"/>
  <c r="H263" i="368"/>
  <c r="G263" i="368"/>
  <c r="E263" i="368"/>
  <c r="H262" i="368"/>
  <c r="G262" i="368"/>
  <c r="E262" i="368"/>
  <c r="H261" i="368"/>
  <c r="G261" i="368"/>
  <c r="E261" i="368"/>
  <c r="H260" i="368"/>
  <c r="G260" i="368"/>
  <c r="E260" i="368"/>
  <c r="H259" i="368"/>
  <c r="G259" i="368"/>
  <c r="F259" i="368"/>
  <c r="D259" i="368"/>
  <c r="C259" i="368"/>
  <c r="E259" i="368" s="1"/>
  <c r="H258" i="368"/>
  <c r="G258" i="368"/>
  <c r="E258" i="368"/>
  <c r="E256" i="368"/>
  <c r="H255" i="368"/>
  <c r="E255" i="368"/>
  <c r="H254" i="368"/>
  <c r="G254" i="368"/>
  <c r="E254" i="368"/>
  <c r="E253" i="368"/>
  <c r="E252" i="368"/>
  <c r="E251" i="368"/>
  <c r="E250" i="368"/>
  <c r="E249" i="368"/>
  <c r="E248" i="368"/>
  <c r="E247" i="368"/>
  <c r="E246" i="368" s="1"/>
  <c r="D247" i="368"/>
  <c r="C247" i="368"/>
  <c r="H246" i="368"/>
  <c r="H257" i="368" s="1"/>
  <c r="H276" i="368" s="1"/>
  <c r="G246" i="368"/>
  <c r="F246" i="368"/>
  <c r="F257" i="368" s="1"/>
  <c r="F276" i="368" s="1"/>
  <c r="D246" i="368"/>
  <c r="C246" i="368"/>
  <c r="E245" i="368"/>
  <c r="E244" i="368"/>
  <c r="E243" i="368"/>
  <c r="E242" i="368"/>
  <c r="E241" i="368"/>
  <c r="G240" i="368"/>
  <c r="E240" i="368"/>
  <c r="E239" i="368"/>
  <c r="E238" i="368"/>
  <c r="E237" i="368"/>
  <c r="E236" i="368"/>
  <c r="E235" i="368"/>
  <c r="E234" i="368"/>
  <c r="E233" i="368"/>
  <c r="E232" i="368"/>
  <c r="E231" i="368"/>
  <c r="E230" i="368"/>
  <c r="E229" i="368"/>
  <c r="E228" i="368"/>
  <c r="E227" i="368"/>
  <c r="E226" i="368"/>
  <c r="E225" i="368"/>
  <c r="G224" i="368"/>
  <c r="E224" i="368"/>
  <c r="E223" i="368"/>
  <c r="E222" i="368"/>
  <c r="G221" i="368"/>
  <c r="E221" i="368"/>
  <c r="E220" i="368"/>
  <c r="E219" i="368"/>
  <c r="E218" i="368"/>
  <c r="E217" i="368"/>
  <c r="G216" i="368"/>
  <c r="E216" i="368"/>
  <c r="G215" i="368"/>
  <c r="E215" i="368"/>
  <c r="G214" i="368"/>
  <c r="E214" i="368"/>
  <c r="E213" i="368"/>
  <c r="G212" i="368"/>
  <c r="E212" i="368"/>
  <c r="G211" i="368"/>
  <c r="E211" i="368"/>
  <c r="E210" i="368"/>
  <c r="G209" i="368"/>
  <c r="E209" i="368"/>
  <c r="E208" i="368"/>
  <c r="E207" i="368"/>
  <c r="G206" i="368"/>
  <c r="E206" i="368"/>
  <c r="E205" i="368"/>
  <c r="E204" i="368"/>
  <c r="G203" i="368"/>
  <c r="E203" i="368"/>
  <c r="H202" i="368"/>
  <c r="E202" i="368"/>
  <c r="H201" i="368"/>
  <c r="E201" i="368"/>
  <c r="H200" i="368"/>
  <c r="E200" i="368"/>
  <c r="E199" i="368"/>
  <c r="E198" i="368"/>
  <c r="E197" i="368"/>
  <c r="E196" i="368"/>
  <c r="H195" i="368"/>
  <c r="E195" i="368"/>
  <c r="G194" i="368"/>
  <c r="E194" i="368"/>
  <c r="E193" i="368"/>
  <c r="E192" i="368"/>
  <c r="E191" i="368"/>
  <c r="E190" i="368"/>
  <c r="E189" i="368"/>
  <c r="E188" i="368"/>
  <c r="E187" i="368"/>
  <c r="E186" i="368"/>
  <c r="E185" i="368"/>
  <c r="E184" i="368"/>
  <c r="G183" i="368"/>
  <c r="E183" i="368"/>
  <c r="G182" i="368"/>
  <c r="E182" i="368"/>
  <c r="E181" i="368"/>
  <c r="H180" i="368"/>
  <c r="G180" i="368"/>
  <c r="E180" i="368"/>
  <c r="E178" i="368"/>
  <c r="E177" i="368"/>
  <c r="E176" i="368"/>
  <c r="E175" i="368"/>
  <c r="E174" i="368"/>
  <c r="E173" i="368"/>
  <c r="E172" i="368"/>
  <c r="E171" i="368"/>
  <c r="E170" i="368"/>
  <c r="E169" i="368"/>
  <c r="E168" i="368"/>
  <c r="E167" i="368"/>
  <c r="G166" i="368"/>
  <c r="E166" i="368"/>
  <c r="E165" i="368"/>
  <c r="G164" i="368"/>
  <c r="F164" i="368"/>
  <c r="E164" i="368"/>
  <c r="E163" i="368"/>
  <c r="G162" i="368"/>
  <c r="E162" i="368"/>
  <c r="E161" i="368"/>
  <c r="E160" i="368"/>
  <c r="E159" i="368"/>
  <c r="G158" i="368"/>
  <c r="E158" i="368"/>
  <c r="E157" i="368"/>
  <c r="E156" i="368"/>
  <c r="E155" i="368"/>
  <c r="E154" i="368"/>
  <c r="E153" i="368"/>
  <c r="E152" i="368"/>
  <c r="E151" i="368"/>
  <c r="E150" i="368"/>
  <c r="E149" i="368"/>
  <c r="E148" i="368"/>
  <c r="E147" i="368"/>
  <c r="E146" i="368"/>
  <c r="E145" i="368"/>
  <c r="E144" i="368"/>
  <c r="E143" i="368"/>
  <c r="E141" i="368"/>
  <c r="G140" i="368"/>
  <c r="E140" i="368"/>
  <c r="E139" i="368"/>
  <c r="E138" i="368"/>
  <c r="H136" i="368"/>
  <c r="G136" i="368"/>
  <c r="F136" i="368"/>
  <c r="E136" i="368"/>
  <c r="E135" i="368"/>
  <c r="E134" i="368"/>
  <c r="G133" i="368"/>
  <c r="E133" i="368"/>
  <c r="E132" i="368"/>
  <c r="E131" i="368"/>
  <c r="E130" i="368"/>
  <c r="E129" i="368"/>
  <c r="E128" i="368"/>
  <c r="E127" i="368"/>
  <c r="E126" i="368"/>
  <c r="G125" i="368"/>
  <c r="E125" i="368"/>
  <c r="G124" i="368"/>
  <c r="F124" i="368"/>
  <c r="E124" i="368"/>
  <c r="E123" i="368"/>
  <c r="E122" i="368"/>
  <c r="E121" i="368"/>
  <c r="E120" i="368"/>
  <c r="E119" i="368"/>
  <c r="E118" i="368"/>
  <c r="E117" i="368"/>
  <c r="E116" i="368"/>
  <c r="E115" i="368"/>
  <c r="G114" i="368"/>
  <c r="E114" i="368"/>
  <c r="E113" i="368"/>
  <c r="E112" i="368"/>
  <c r="E111" i="368"/>
  <c r="E110" i="368"/>
  <c r="E109" i="368"/>
  <c r="E108" i="368"/>
  <c r="E107" i="368"/>
  <c r="E106" i="368"/>
  <c r="G105" i="368"/>
  <c r="G104" i="368" s="1"/>
  <c r="E105" i="368"/>
  <c r="H104" i="368"/>
  <c r="F104" i="368"/>
  <c r="D104" i="368"/>
  <c r="C104" i="368"/>
  <c r="E104" i="368" s="1"/>
  <c r="E103" i="368"/>
  <c r="G102" i="368"/>
  <c r="E102" i="368"/>
  <c r="G101" i="368"/>
  <c r="E101" i="368"/>
  <c r="G100" i="368"/>
  <c r="E100" i="368"/>
  <c r="E99" i="368"/>
  <c r="G98" i="368"/>
  <c r="E98" i="368"/>
  <c r="G97" i="368"/>
  <c r="E97" i="368"/>
  <c r="E96" i="368"/>
  <c r="E95" i="368"/>
  <c r="E94" i="368"/>
  <c r="E93" i="368"/>
  <c r="E92" i="368"/>
  <c r="E91" i="368"/>
  <c r="E90" i="368"/>
  <c r="E89" i="368"/>
  <c r="G88" i="368"/>
  <c r="E88" i="368"/>
  <c r="G87" i="368"/>
  <c r="F87" i="368"/>
  <c r="D87" i="368"/>
  <c r="C87" i="368"/>
  <c r="E87" i="368" s="1"/>
  <c r="E86" i="368"/>
  <c r="E85" i="368"/>
  <c r="E84" i="368"/>
  <c r="E83" i="368"/>
  <c r="G82" i="368"/>
  <c r="E82" i="368"/>
  <c r="G81" i="368"/>
  <c r="G80" i="368" s="1"/>
  <c r="E81" i="368"/>
  <c r="E80" i="368" s="1"/>
  <c r="F80" i="368"/>
  <c r="D80" i="368"/>
  <c r="C80" i="368"/>
  <c r="G79" i="368"/>
  <c r="E79" i="368"/>
  <c r="G78" i="368"/>
  <c r="E78" i="368"/>
  <c r="G77" i="368"/>
  <c r="F77" i="368"/>
  <c r="E77" i="368"/>
  <c r="H76" i="368"/>
  <c r="G76" i="368"/>
  <c r="G75" i="368" s="1"/>
  <c r="E76" i="368"/>
  <c r="H75" i="368"/>
  <c r="F75" i="368"/>
  <c r="D75" i="368"/>
  <c r="C75" i="368"/>
  <c r="E75" i="368" s="1"/>
  <c r="E74" i="368"/>
  <c r="E73" i="368"/>
  <c r="G72" i="368"/>
  <c r="F72" i="368"/>
  <c r="E72" i="368"/>
  <c r="D72" i="368"/>
  <c r="E71" i="368"/>
  <c r="E70" i="368"/>
  <c r="G69" i="368"/>
  <c r="E69" i="368"/>
  <c r="E68" i="368"/>
  <c r="G67" i="368"/>
  <c r="E67" i="368"/>
  <c r="E66" i="368"/>
  <c r="G65" i="368"/>
  <c r="E65" i="368"/>
  <c r="G64" i="368"/>
  <c r="E64" i="368"/>
  <c r="G63" i="368"/>
  <c r="E63" i="368"/>
  <c r="G62" i="368"/>
  <c r="E62" i="368"/>
  <c r="E61" i="368"/>
  <c r="E60" i="368"/>
  <c r="E59" i="368"/>
  <c r="E58" i="368"/>
  <c r="G57" i="368"/>
  <c r="E57" i="368"/>
  <c r="E56" i="368"/>
  <c r="E55" i="368"/>
  <c r="G54" i="368"/>
  <c r="E54" i="368"/>
  <c r="E53" i="368"/>
  <c r="E52" i="368"/>
  <c r="E51" i="368"/>
  <c r="E50" i="368"/>
  <c r="E49" i="368"/>
  <c r="G48" i="368"/>
  <c r="E48" i="368"/>
  <c r="E47" i="368"/>
  <c r="E46" i="368"/>
  <c r="E45" i="368"/>
  <c r="E44" i="368"/>
  <c r="E43" i="368"/>
  <c r="E42" i="368"/>
  <c r="E41" i="368"/>
  <c r="E40" i="368"/>
  <c r="E39" i="368"/>
  <c r="E38" i="368"/>
  <c r="E37" i="368"/>
  <c r="E36" i="368"/>
  <c r="E35" i="368"/>
  <c r="E34" i="368"/>
  <c r="E33" i="368"/>
  <c r="E32" i="368"/>
  <c r="E31" i="368"/>
  <c r="G30" i="368"/>
  <c r="E30" i="368"/>
  <c r="E29" i="368"/>
  <c r="E28" i="368"/>
  <c r="E27" i="368"/>
  <c r="E26" i="368"/>
  <c r="E25" i="368"/>
  <c r="E24" i="368"/>
  <c r="E23" i="368"/>
  <c r="E22" i="368"/>
  <c r="E21" i="368"/>
  <c r="E20" i="368"/>
  <c r="E19" i="368"/>
  <c r="E18" i="368"/>
  <c r="E17" i="368"/>
  <c r="E16" i="368"/>
  <c r="E15" i="368"/>
  <c r="E14" i="368"/>
  <c r="E13" i="368"/>
  <c r="E12" i="368"/>
  <c r="E11" i="368"/>
  <c r="G10" i="368"/>
  <c r="F10" i="368"/>
  <c r="E10" i="368"/>
  <c r="H9" i="368"/>
  <c r="G9" i="368"/>
  <c r="F9" i="368"/>
  <c r="D9" i="368"/>
  <c r="C9" i="368"/>
  <c r="E9" i="368" s="1"/>
  <c r="E8" i="368"/>
  <c r="E6" i="368" s="1"/>
  <c r="G7" i="368"/>
  <c r="F7" i="368"/>
  <c r="F6" i="368" s="1"/>
  <c r="F5" i="368" s="1"/>
  <c r="E7" i="368"/>
  <c r="G6" i="368"/>
  <c r="G5" i="368" s="1"/>
  <c r="D6" i="368"/>
  <c r="D5" i="368" s="1"/>
  <c r="C6" i="368"/>
  <c r="C5" i="368" s="1"/>
  <c r="H5" i="368"/>
  <c r="N188" i="367"/>
  <c r="M188" i="367"/>
  <c r="O188" i="367" s="1"/>
  <c r="P188" i="367" s="1"/>
  <c r="O187" i="367"/>
  <c r="P187" i="367" s="1"/>
  <c r="O185" i="367"/>
  <c r="P185" i="367" s="1"/>
  <c r="O184" i="367"/>
  <c r="P184" i="367" s="1"/>
  <c r="O183" i="367"/>
  <c r="P183" i="367" s="1"/>
  <c r="O182" i="367"/>
  <c r="P182" i="367" s="1"/>
  <c r="O181" i="367"/>
  <c r="P181" i="367" s="1"/>
  <c r="O180" i="367"/>
  <c r="P180" i="367" s="1"/>
  <c r="O179" i="367"/>
  <c r="P179" i="367" s="1"/>
  <c r="O178" i="367"/>
  <c r="P178" i="367" s="1"/>
  <c r="O176" i="367"/>
  <c r="P176" i="367" s="1"/>
  <c r="O175" i="367"/>
  <c r="P175" i="367" s="1"/>
  <c r="O174" i="367"/>
  <c r="P174" i="367" s="1"/>
  <c r="O173" i="367"/>
  <c r="P173" i="367" s="1"/>
  <c r="O172" i="367"/>
  <c r="P172" i="367" s="1"/>
  <c r="O170" i="367"/>
  <c r="P170" i="367" s="1"/>
  <c r="O168" i="367"/>
  <c r="P168" i="367" s="1"/>
  <c r="O167" i="367"/>
  <c r="P167" i="367" s="1"/>
  <c r="O166" i="367"/>
  <c r="P166" i="367" s="1"/>
  <c r="O165" i="367"/>
  <c r="P165" i="367" s="1"/>
  <c r="O164" i="367"/>
  <c r="P164" i="367" s="1"/>
  <c r="O163" i="367"/>
  <c r="P163" i="367" s="1"/>
  <c r="O159" i="367"/>
  <c r="P159" i="367" s="1"/>
  <c r="O158" i="367"/>
  <c r="P158" i="367" s="1"/>
  <c r="P156" i="367"/>
  <c r="O156" i="367"/>
  <c r="N154" i="367"/>
  <c r="N189" i="367" s="1"/>
  <c r="N191" i="367" s="1"/>
  <c r="M154" i="367"/>
  <c r="M189" i="367" s="1"/>
  <c r="M191" i="367" s="1"/>
  <c r="L154" i="367"/>
  <c r="L189" i="367" s="1"/>
  <c r="L191" i="367" s="1"/>
  <c r="K154" i="367"/>
  <c r="K189" i="367" s="1"/>
  <c r="K191" i="367" s="1"/>
  <c r="J154" i="367"/>
  <c r="J189" i="367" s="1"/>
  <c r="J191" i="367" s="1"/>
  <c r="G154" i="367"/>
  <c r="G189" i="367" s="1"/>
  <c r="G191" i="367" s="1"/>
  <c r="F154" i="367"/>
  <c r="F189" i="367" s="1"/>
  <c r="F191" i="367" s="1"/>
  <c r="E154" i="367"/>
  <c r="E189" i="367" s="1"/>
  <c r="E191" i="367" s="1"/>
  <c r="D154" i="367"/>
  <c r="D189" i="367" s="1"/>
  <c r="D191" i="367" s="1"/>
  <c r="L152" i="367"/>
  <c r="H152" i="367"/>
  <c r="L149" i="367"/>
  <c r="H149" i="367"/>
  <c r="P149" i="367" s="1"/>
  <c r="P147" i="367"/>
  <c r="L147" i="367"/>
  <c r="H147" i="367"/>
  <c r="P143" i="367"/>
  <c r="L143" i="367"/>
  <c r="H143" i="367"/>
  <c r="L139" i="367"/>
  <c r="H139" i="367"/>
  <c r="L137" i="367"/>
  <c r="H137" i="367"/>
  <c r="P137" i="367" s="1"/>
  <c r="P135" i="367"/>
  <c r="L135" i="367"/>
  <c r="H135" i="367"/>
  <c r="L131" i="367"/>
  <c r="P131" i="367" s="1"/>
  <c r="H131" i="367"/>
  <c r="L130" i="367"/>
  <c r="P130" i="367" s="1"/>
  <c r="H130" i="367"/>
  <c r="L126" i="367"/>
  <c r="H126" i="367"/>
  <c r="P126" i="367" s="1"/>
  <c r="P125" i="367"/>
  <c r="L125" i="367"/>
  <c r="H125" i="367"/>
  <c r="P122" i="367"/>
  <c r="L122" i="367"/>
  <c r="H122" i="367"/>
  <c r="L121" i="367"/>
  <c r="H121" i="367"/>
  <c r="L120" i="367"/>
  <c r="H120" i="367"/>
  <c r="P120" i="367" s="1"/>
  <c r="P116" i="367"/>
  <c r="L116" i="367"/>
  <c r="H116" i="367"/>
  <c r="L115" i="367"/>
  <c r="P115" i="367" s="1"/>
  <c r="H115" i="367"/>
  <c r="L109" i="367"/>
  <c r="P109" i="367" s="1"/>
  <c r="H109" i="367"/>
  <c r="L103" i="367"/>
  <c r="H103" i="367"/>
  <c r="P103" i="367" s="1"/>
  <c r="P102" i="367"/>
  <c r="L102" i="367"/>
  <c r="H102" i="367"/>
  <c r="P97" i="367"/>
  <c r="L97" i="367"/>
  <c r="H97" i="367"/>
  <c r="L94" i="367"/>
  <c r="H94" i="367"/>
  <c r="L93" i="367"/>
  <c r="H93" i="367"/>
  <c r="P93" i="367" s="1"/>
  <c r="P92" i="367"/>
  <c r="L92" i="367"/>
  <c r="H92" i="367"/>
  <c r="L89" i="367"/>
  <c r="P89" i="367" s="1"/>
  <c r="H89" i="367"/>
  <c r="L88" i="367"/>
  <c r="P88" i="367" s="1"/>
  <c r="H88" i="367"/>
  <c r="I87" i="367"/>
  <c r="L87" i="367" s="1"/>
  <c r="H87" i="367"/>
  <c r="L86" i="367"/>
  <c r="H86" i="367"/>
  <c r="P86" i="367" s="1"/>
  <c r="P83" i="367"/>
  <c r="L83" i="367"/>
  <c r="H83" i="367"/>
  <c r="L82" i="367"/>
  <c r="P82" i="367" s="1"/>
  <c r="H82" i="367"/>
  <c r="L81" i="367"/>
  <c r="P81" i="367" s="1"/>
  <c r="H81" i="367"/>
  <c r="L80" i="367"/>
  <c r="H80" i="367"/>
  <c r="P80" i="367" s="1"/>
  <c r="L79" i="367"/>
  <c r="D79" i="367"/>
  <c r="C79" i="367"/>
  <c r="L76" i="367"/>
  <c r="H76" i="367"/>
  <c r="P76" i="367" s="1"/>
  <c r="P75" i="367"/>
  <c r="L75" i="367"/>
  <c r="H75" i="367"/>
  <c r="L74" i="367"/>
  <c r="P74" i="367" s="1"/>
  <c r="H74" i="367"/>
  <c r="L73" i="367"/>
  <c r="P73" i="367" s="1"/>
  <c r="H73" i="367"/>
  <c r="L72" i="367"/>
  <c r="H72" i="367"/>
  <c r="P72" i="367" s="1"/>
  <c r="P71" i="367"/>
  <c r="L71" i="367"/>
  <c r="H71" i="367"/>
  <c r="P70" i="367"/>
  <c r="L70" i="367"/>
  <c r="H70" i="367"/>
  <c r="L69" i="367"/>
  <c r="H69" i="367"/>
  <c r="L68" i="367"/>
  <c r="H68" i="367"/>
  <c r="P68" i="367" s="1"/>
  <c r="P67" i="367"/>
  <c r="L67" i="367"/>
  <c r="H67" i="367"/>
  <c r="L66" i="367"/>
  <c r="P66" i="367" s="1"/>
  <c r="H66" i="367"/>
  <c r="L65" i="367"/>
  <c r="P65" i="367" s="1"/>
  <c r="H65" i="367"/>
  <c r="L64" i="367"/>
  <c r="H64" i="367"/>
  <c r="P64" i="367" s="1"/>
  <c r="P63" i="367"/>
  <c r="L63" i="367"/>
  <c r="H63" i="367"/>
  <c r="P62" i="367"/>
  <c r="L62" i="367"/>
  <c r="H62" i="367"/>
  <c r="L58" i="367"/>
  <c r="H58" i="367"/>
  <c r="L57" i="367"/>
  <c r="H57" i="367"/>
  <c r="P57" i="367" s="1"/>
  <c r="P56" i="367"/>
  <c r="L56" i="367"/>
  <c r="H56" i="367"/>
  <c r="L53" i="367"/>
  <c r="P53" i="367" s="1"/>
  <c r="H53" i="367"/>
  <c r="L50" i="367"/>
  <c r="P50" i="367" s="1"/>
  <c r="H50" i="367"/>
  <c r="L49" i="367"/>
  <c r="H49" i="367"/>
  <c r="P49" i="367" s="1"/>
  <c r="P44" i="367"/>
  <c r="L44" i="367"/>
  <c r="H44" i="367"/>
  <c r="P43" i="367"/>
  <c r="L43" i="367"/>
  <c r="H43" i="367"/>
  <c r="L40" i="367"/>
  <c r="H40" i="367"/>
  <c r="L36" i="367"/>
  <c r="H36" i="367"/>
  <c r="P36" i="367" s="1"/>
  <c r="P35" i="367"/>
  <c r="L35" i="367"/>
  <c r="H35" i="367"/>
  <c r="L34" i="367"/>
  <c r="P34" i="367" s="1"/>
  <c r="H34" i="367"/>
  <c r="L31" i="367"/>
  <c r="P31" i="367" s="1"/>
  <c r="H31" i="367"/>
  <c r="L26" i="367"/>
  <c r="H26" i="367"/>
  <c r="P26" i="367" s="1"/>
  <c r="P23" i="367"/>
  <c r="L23" i="367"/>
  <c r="H23" i="367"/>
  <c r="P20" i="367"/>
  <c r="L20" i="367"/>
  <c r="H20" i="367"/>
  <c r="L19" i="367"/>
  <c r="H19" i="367"/>
  <c r="O13" i="367"/>
  <c r="O154" i="367" s="1"/>
  <c r="L13" i="367"/>
  <c r="H13" i="367"/>
  <c r="O12" i="367"/>
  <c r="L12" i="367"/>
  <c r="P12" i="367" s="1"/>
  <c r="H12" i="367"/>
  <c r="O11" i="367"/>
  <c r="L11" i="367"/>
  <c r="P11" i="367" s="1"/>
  <c r="H11" i="367"/>
  <c r="O10" i="367"/>
  <c r="L10" i="367"/>
  <c r="H10" i="367"/>
  <c r="O9" i="367"/>
  <c r="L9" i="367"/>
  <c r="H9" i="367"/>
  <c r="O8" i="367"/>
  <c r="L8" i="367"/>
  <c r="P8" i="367" s="1"/>
  <c r="H8" i="367"/>
  <c r="C140" i="366"/>
  <c r="B140" i="366"/>
  <c r="C107" i="366"/>
  <c r="B107" i="366"/>
  <c r="C100" i="366"/>
  <c r="B100" i="366"/>
  <c r="C97" i="366"/>
  <c r="B97" i="366"/>
  <c r="C88" i="366"/>
  <c r="B88" i="366"/>
  <c r="C77" i="366"/>
  <c r="B77" i="366"/>
  <c r="C75" i="366"/>
  <c r="B75" i="366"/>
  <c r="C64" i="366"/>
  <c r="B64" i="366"/>
  <c r="C58" i="366"/>
  <c r="B58" i="366"/>
  <c r="C55" i="366"/>
  <c r="C53" i="366"/>
  <c r="C50" i="366"/>
  <c r="B50" i="366"/>
  <c r="C48" i="366"/>
  <c r="C45" i="366"/>
  <c r="C42" i="366"/>
  <c r="C40" i="366"/>
  <c r="C37" i="366"/>
  <c r="C34" i="366"/>
  <c r="C30" i="366"/>
  <c r="C27" i="366"/>
  <c r="C25" i="366"/>
  <c r="C22" i="366"/>
  <c r="C19" i="366"/>
  <c r="C15" i="366"/>
  <c r="C13" i="366"/>
  <c r="C10" i="366"/>
  <c r="C8" i="366"/>
  <c r="B8" i="366"/>
  <c r="C5" i="366"/>
  <c r="C139" i="366" s="1"/>
  <c r="B5" i="366"/>
  <c r="B139" i="366" s="1"/>
  <c r="D489" i="365"/>
  <c r="N487" i="365"/>
  <c r="F487" i="365"/>
  <c r="N480" i="365"/>
  <c r="N489" i="365" s="1"/>
  <c r="K480" i="365"/>
  <c r="K489" i="365" s="1"/>
  <c r="J480" i="365"/>
  <c r="J489" i="365" s="1"/>
  <c r="G480" i="365"/>
  <c r="G489" i="365" s="1"/>
  <c r="F480" i="365"/>
  <c r="F489" i="365" s="1"/>
  <c r="E480" i="365"/>
  <c r="E489" i="365" s="1"/>
  <c r="D480" i="365"/>
  <c r="N478" i="365"/>
  <c r="K478" i="365"/>
  <c r="J478" i="365"/>
  <c r="G478" i="365"/>
  <c r="F478" i="365"/>
  <c r="D478" i="365"/>
  <c r="C478" i="365"/>
  <c r="N477" i="365"/>
  <c r="K477" i="365"/>
  <c r="J477" i="365"/>
  <c r="G477" i="365"/>
  <c r="F477" i="365"/>
  <c r="D477" i="365"/>
  <c r="C477" i="365"/>
  <c r="N476" i="365"/>
  <c r="K476" i="365"/>
  <c r="J476" i="365"/>
  <c r="I476" i="365"/>
  <c r="G476" i="365"/>
  <c r="F476" i="365"/>
  <c r="E476" i="365"/>
  <c r="D476" i="365"/>
  <c r="C476" i="365"/>
  <c r="N475" i="365"/>
  <c r="K475" i="365"/>
  <c r="J475" i="365"/>
  <c r="I475" i="365"/>
  <c r="G475" i="365"/>
  <c r="F475" i="365"/>
  <c r="E475" i="365"/>
  <c r="D475" i="365"/>
  <c r="C475" i="365"/>
  <c r="N474" i="365"/>
  <c r="K474" i="365"/>
  <c r="J474" i="365"/>
  <c r="J488" i="365" s="1"/>
  <c r="I474" i="365"/>
  <c r="G474" i="365"/>
  <c r="F474" i="365"/>
  <c r="E474" i="365"/>
  <c r="D474" i="365"/>
  <c r="C474" i="365"/>
  <c r="N473" i="365"/>
  <c r="N488" i="365" s="1"/>
  <c r="K473" i="365"/>
  <c r="J473" i="365"/>
  <c r="I473" i="365"/>
  <c r="G473" i="365"/>
  <c r="F473" i="365"/>
  <c r="F488" i="365" s="1"/>
  <c r="E473" i="365"/>
  <c r="D473" i="365"/>
  <c r="C473" i="365"/>
  <c r="N472" i="365"/>
  <c r="K472" i="365"/>
  <c r="J472" i="365"/>
  <c r="I472" i="365"/>
  <c r="G472" i="365"/>
  <c r="F472" i="365"/>
  <c r="E472" i="365"/>
  <c r="D472" i="365"/>
  <c r="C472" i="365"/>
  <c r="N471" i="365"/>
  <c r="K471" i="365"/>
  <c r="J471" i="365"/>
  <c r="I471" i="365"/>
  <c r="G471" i="365"/>
  <c r="F471" i="365"/>
  <c r="E471" i="365"/>
  <c r="D471" i="365"/>
  <c r="D488" i="365" s="1"/>
  <c r="C471" i="365"/>
  <c r="C488" i="365" s="1"/>
  <c r="N469" i="365"/>
  <c r="K469" i="365"/>
  <c r="J469" i="365"/>
  <c r="I469" i="365"/>
  <c r="G469" i="365"/>
  <c r="F469" i="365"/>
  <c r="D469" i="365"/>
  <c r="C469" i="365"/>
  <c r="N468" i="365"/>
  <c r="K468" i="365"/>
  <c r="J468" i="365"/>
  <c r="G468" i="365"/>
  <c r="F468" i="365"/>
  <c r="N467" i="365"/>
  <c r="K467" i="365"/>
  <c r="J467" i="365"/>
  <c r="I467" i="365"/>
  <c r="G467" i="365"/>
  <c r="F467" i="365"/>
  <c r="E467" i="365"/>
  <c r="D467" i="365"/>
  <c r="C467" i="365"/>
  <c r="N466" i="365"/>
  <c r="K466" i="365"/>
  <c r="J466" i="365"/>
  <c r="I466" i="365"/>
  <c r="G466" i="365"/>
  <c r="F466" i="365"/>
  <c r="E466" i="365"/>
  <c r="D466" i="365"/>
  <c r="C466" i="365"/>
  <c r="N465" i="365"/>
  <c r="K465" i="365"/>
  <c r="J465" i="365"/>
  <c r="I465" i="365"/>
  <c r="G465" i="365"/>
  <c r="F465" i="365"/>
  <c r="E465" i="365"/>
  <c r="D465" i="365"/>
  <c r="C465" i="365"/>
  <c r="N464" i="365"/>
  <c r="K464" i="365"/>
  <c r="J464" i="365"/>
  <c r="I464" i="365"/>
  <c r="G464" i="365"/>
  <c r="F464" i="365"/>
  <c r="E464" i="365"/>
  <c r="D464" i="365"/>
  <c r="C464" i="365"/>
  <c r="N463" i="365"/>
  <c r="K463" i="365"/>
  <c r="J463" i="365"/>
  <c r="I463" i="365"/>
  <c r="G463" i="365"/>
  <c r="G481" i="365" s="1"/>
  <c r="G486" i="365" s="1"/>
  <c r="F463" i="365"/>
  <c r="E463" i="365"/>
  <c r="D463" i="365"/>
  <c r="C463" i="365"/>
  <c r="N462" i="365"/>
  <c r="K462" i="365"/>
  <c r="J462" i="365"/>
  <c r="I462" i="365"/>
  <c r="G462" i="365"/>
  <c r="F462" i="365"/>
  <c r="E462" i="365"/>
  <c r="D462" i="365"/>
  <c r="C462" i="365"/>
  <c r="N461" i="365"/>
  <c r="K461" i="365"/>
  <c r="J461" i="365"/>
  <c r="I461" i="365"/>
  <c r="G461" i="365"/>
  <c r="F461" i="365"/>
  <c r="E461" i="365"/>
  <c r="D461" i="365"/>
  <c r="C461" i="365"/>
  <c r="N460" i="365"/>
  <c r="K460" i="365"/>
  <c r="K487" i="365" s="1"/>
  <c r="J460" i="365"/>
  <c r="I460" i="365"/>
  <c r="G460" i="365"/>
  <c r="F460" i="365"/>
  <c r="E460" i="365"/>
  <c r="D460" i="365"/>
  <c r="C460" i="365"/>
  <c r="N458" i="365"/>
  <c r="N481" i="365" s="1"/>
  <c r="N486" i="365" s="1"/>
  <c r="K458" i="365"/>
  <c r="K481" i="365" s="1"/>
  <c r="K486" i="365" s="1"/>
  <c r="J458" i="365"/>
  <c r="I458" i="365"/>
  <c r="G458" i="365"/>
  <c r="F458" i="365"/>
  <c r="F481" i="365" s="1"/>
  <c r="F486" i="365" s="1"/>
  <c r="E458" i="365"/>
  <c r="D458" i="365"/>
  <c r="D481" i="365" s="1"/>
  <c r="D486" i="365" s="1"/>
  <c r="C458" i="365"/>
  <c r="N456" i="365"/>
  <c r="N484" i="365" s="1"/>
  <c r="K456" i="365"/>
  <c r="K484" i="365" s="1"/>
  <c r="J456" i="365"/>
  <c r="J484" i="365" s="1"/>
  <c r="G456" i="365"/>
  <c r="G484" i="365" s="1"/>
  <c r="F456" i="365"/>
  <c r="F484" i="365" s="1"/>
  <c r="E456" i="365"/>
  <c r="E484" i="365" s="1"/>
  <c r="D456" i="365"/>
  <c r="D484" i="365" s="1"/>
  <c r="N455" i="365"/>
  <c r="K455" i="365"/>
  <c r="J455" i="365"/>
  <c r="I455" i="365"/>
  <c r="G455" i="365"/>
  <c r="F455" i="365"/>
  <c r="E455" i="365"/>
  <c r="D455" i="365"/>
  <c r="C455" i="365"/>
  <c r="N454" i="365"/>
  <c r="K454" i="365"/>
  <c r="J454" i="365"/>
  <c r="G454" i="365"/>
  <c r="F454" i="365"/>
  <c r="N453" i="365"/>
  <c r="K453" i="365"/>
  <c r="J453" i="365"/>
  <c r="G453" i="365"/>
  <c r="F453" i="365"/>
  <c r="D453" i="365"/>
  <c r="C453" i="365"/>
  <c r="I452" i="365"/>
  <c r="I480" i="365" s="1"/>
  <c r="I489" i="365" s="1"/>
  <c r="E452" i="365"/>
  <c r="E453" i="365" s="1"/>
  <c r="C452" i="365"/>
  <c r="C480" i="365" s="1"/>
  <c r="C489" i="365" s="1"/>
  <c r="O451" i="365"/>
  <c r="L451" i="365"/>
  <c r="H451" i="365"/>
  <c r="M451" i="365" s="1"/>
  <c r="O450" i="365"/>
  <c r="L450" i="365"/>
  <c r="H450" i="365"/>
  <c r="M450" i="365" s="1"/>
  <c r="L449" i="365"/>
  <c r="H449" i="365"/>
  <c r="M449" i="365" s="1"/>
  <c r="O449" i="365" s="1"/>
  <c r="I448" i="365"/>
  <c r="E448" i="365"/>
  <c r="E454" i="365" s="1"/>
  <c r="D448" i="365"/>
  <c r="D468" i="365" s="1"/>
  <c r="C448" i="365"/>
  <c r="C454" i="365" s="1"/>
  <c r="O447" i="365"/>
  <c r="L447" i="365"/>
  <c r="H447" i="365"/>
  <c r="M447" i="365" s="1"/>
  <c r="L446" i="365"/>
  <c r="H446" i="365"/>
  <c r="M446" i="365" s="1"/>
  <c r="O446" i="365" s="1"/>
  <c r="L444" i="365"/>
  <c r="H444" i="365"/>
  <c r="M444" i="365" s="1"/>
  <c r="L443" i="365"/>
  <c r="L455" i="365" s="1"/>
  <c r="H443" i="365"/>
  <c r="L442" i="365"/>
  <c r="H442" i="365"/>
  <c r="L441" i="365"/>
  <c r="H441" i="365"/>
  <c r="N437" i="365"/>
  <c r="K437" i="365"/>
  <c r="J437" i="365"/>
  <c r="I437" i="365"/>
  <c r="G437" i="365"/>
  <c r="F437" i="365"/>
  <c r="E437" i="365"/>
  <c r="D437" i="365"/>
  <c r="C437" i="365"/>
  <c r="N436" i="365"/>
  <c r="K436" i="365"/>
  <c r="J436" i="365"/>
  <c r="I436" i="365"/>
  <c r="G436" i="365"/>
  <c r="F436" i="365"/>
  <c r="E436" i="365"/>
  <c r="D436" i="365"/>
  <c r="C436" i="365"/>
  <c r="N435" i="365"/>
  <c r="K435" i="365"/>
  <c r="J435" i="365"/>
  <c r="I435" i="365"/>
  <c r="H435" i="365"/>
  <c r="G435" i="365"/>
  <c r="F435" i="365"/>
  <c r="E435" i="365"/>
  <c r="D435" i="365"/>
  <c r="C435" i="365"/>
  <c r="L434" i="365"/>
  <c r="L476" i="365" s="1"/>
  <c r="H434" i="365"/>
  <c r="L433" i="365"/>
  <c r="H433" i="365"/>
  <c r="L431" i="365"/>
  <c r="H431" i="365"/>
  <c r="L429" i="365"/>
  <c r="L437" i="365" s="1"/>
  <c r="H429" i="365"/>
  <c r="L428" i="365"/>
  <c r="L436" i="365" s="1"/>
  <c r="H428" i="365"/>
  <c r="L427" i="365"/>
  <c r="L435" i="365" s="1"/>
  <c r="H427" i="365"/>
  <c r="N425" i="365"/>
  <c r="L425" i="365"/>
  <c r="K425" i="365"/>
  <c r="J425" i="365"/>
  <c r="I425" i="365"/>
  <c r="G425" i="365"/>
  <c r="F425" i="365"/>
  <c r="D425" i="365"/>
  <c r="C425" i="365"/>
  <c r="N424" i="365"/>
  <c r="K424" i="365"/>
  <c r="J424" i="365"/>
  <c r="I424" i="365"/>
  <c r="G424" i="365"/>
  <c r="F424" i="365"/>
  <c r="D424" i="365"/>
  <c r="C424" i="365"/>
  <c r="O423" i="365"/>
  <c r="M423" i="365"/>
  <c r="L423" i="365"/>
  <c r="H423" i="365"/>
  <c r="I422" i="365"/>
  <c r="L422" i="365" s="1"/>
  <c r="E422" i="365"/>
  <c r="L421" i="365"/>
  <c r="H421" i="365"/>
  <c r="M421" i="365" s="1"/>
  <c r="O421" i="365" s="1"/>
  <c r="L420" i="365"/>
  <c r="H420" i="365"/>
  <c r="M420" i="365" s="1"/>
  <c r="O420" i="365" s="1"/>
  <c r="L418" i="365"/>
  <c r="H418" i="365"/>
  <c r="M418" i="365" s="1"/>
  <c r="O418" i="365" s="1"/>
  <c r="L417" i="365"/>
  <c r="H417" i="365"/>
  <c r="N415" i="365"/>
  <c r="K415" i="365"/>
  <c r="J415" i="365"/>
  <c r="G415" i="365"/>
  <c r="F415" i="365"/>
  <c r="D415" i="365"/>
  <c r="C415" i="365"/>
  <c r="N414" i="365"/>
  <c r="K414" i="365"/>
  <c r="J414" i="365"/>
  <c r="G414" i="365"/>
  <c r="F414" i="365"/>
  <c r="E414" i="365"/>
  <c r="D414" i="365"/>
  <c r="C414" i="365"/>
  <c r="M413" i="365"/>
  <c r="O413" i="365" s="1"/>
  <c r="L413" i="365"/>
  <c r="E413" i="365"/>
  <c r="H413" i="365" s="1"/>
  <c r="I412" i="365"/>
  <c r="H412" i="365"/>
  <c r="H415" i="365" s="1"/>
  <c r="E412" i="365"/>
  <c r="E477" i="365" s="1"/>
  <c r="L411" i="365"/>
  <c r="M411" i="365" s="1"/>
  <c r="O411" i="365" s="1"/>
  <c r="H411" i="365"/>
  <c r="M409" i="365"/>
  <c r="O409" i="365" s="1"/>
  <c r="L409" i="365"/>
  <c r="H409" i="365"/>
  <c r="L408" i="365"/>
  <c r="H408" i="365"/>
  <c r="N406" i="365"/>
  <c r="K406" i="365"/>
  <c r="J406" i="365"/>
  <c r="I406" i="365"/>
  <c r="G406" i="365"/>
  <c r="F406" i="365"/>
  <c r="E406" i="365"/>
  <c r="D406" i="365"/>
  <c r="C406" i="365"/>
  <c r="N405" i="365"/>
  <c r="K405" i="365"/>
  <c r="J405" i="365"/>
  <c r="I405" i="365"/>
  <c r="G405" i="365"/>
  <c r="F405" i="365"/>
  <c r="E405" i="365"/>
  <c r="D405" i="365"/>
  <c r="C405" i="365"/>
  <c r="N404" i="365"/>
  <c r="L404" i="365"/>
  <c r="K404" i="365"/>
  <c r="J404" i="365"/>
  <c r="I404" i="365"/>
  <c r="G404" i="365"/>
  <c r="F404" i="365"/>
  <c r="E404" i="365"/>
  <c r="D404" i="365"/>
  <c r="C404" i="365"/>
  <c r="O403" i="365"/>
  <c r="L403" i="365"/>
  <c r="H403" i="365"/>
  <c r="M403" i="365" s="1"/>
  <c r="M402" i="365"/>
  <c r="O402" i="365" s="1"/>
  <c r="L402" i="365"/>
  <c r="H402" i="365"/>
  <c r="M400" i="365"/>
  <c r="O400" i="365" s="1"/>
  <c r="L400" i="365"/>
  <c r="H400" i="365"/>
  <c r="M399" i="365"/>
  <c r="O399" i="365" s="1"/>
  <c r="L399" i="365"/>
  <c r="H399" i="365"/>
  <c r="M398" i="365"/>
  <c r="O398" i="365" s="1"/>
  <c r="L398" i="365"/>
  <c r="H398" i="365"/>
  <c r="M396" i="365"/>
  <c r="L396" i="365"/>
  <c r="L406" i="365" s="1"/>
  <c r="H396" i="365"/>
  <c r="H406" i="365" s="1"/>
  <c r="M395" i="365"/>
  <c r="L395" i="365"/>
  <c r="L405" i="365" s="1"/>
  <c r="H395" i="365"/>
  <c r="H405" i="365" s="1"/>
  <c r="M394" i="365"/>
  <c r="L394" i="365"/>
  <c r="H394" i="365"/>
  <c r="H404" i="365" s="1"/>
  <c r="N392" i="365"/>
  <c r="K392" i="365"/>
  <c r="J392" i="365"/>
  <c r="I392" i="365"/>
  <c r="G392" i="365"/>
  <c r="F392" i="365"/>
  <c r="E392" i="365"/>
  <c r="D392" i="365"/>
  <c r="C392" i="365"/>
  <c r="N391" i="365"/>
  <c r="K391" i="365"/>
  <c r="J391" i="365"/>
  <c r="I391" i="365"/>
  <c r="G391" i="365"/>
  <c r="F391" i="365"/>
  <c r="E391" i="365"/>
  <c r="D391" i="365"/>
  <c r="C391" i="365"/>
  <c r="N390" i="365"/>
  <c r="K390" i="365"/>
  <c r="J390" i="365"/>
  <c r="I390" i="365"/>
  <c r="H390" i="365"/>
  <c r="G390" i="365"/>
  <c r="F390" i="365"/>
  <c r="E390" i="365"/>
  <c r="D390" i="365"/>
  <c r="C390" i="365"/>
  <c r="L389" i="365"/>
  <c r="H389" i="365"/>
  <c r="L388" i="365"/>
  <c r="H388" i="365"/>
  <c r="M388" i="365" s="1"/>
  <c r="O388" i="365" s="1"/>
  <c r="L386" i="365"/>
  <c r="H386" i="365"/>
  <c r="L385" i="365"/>
  <c r="H385" i="365"/>
  <c r="M385" i="365" s="1"/>
  <c r="O385" i="365" s="1"/>
  <c r="L384" i="365"/>
  <c r="L466" i="365" s="1"/>
  <c r="H384" i="365"/>
  <c r="H466" i="365" s="1"/>
  <c r="L383" i="365"/>
  <c r="L463" i="365" s="1"/>
  <c r="H383" i="365"/>
  <c r="H463" i="365" s="1"/>
  <c r="L382" i="365"/>
  <c r="H382" i="365"/>
  <c r="L380" i="365"/>
  <c r="H380" i="365"/>
  <c r="H392" i="365" s="1"/>
  <c r="L379" i="365"/>
  <c r="L391" i="365" s="1"/>
  <c r="H379" i="365"/>
  <c r="H391" i="365" s="1"/>
  <c r="L378" i="365"/>
  <c r="L390" i="365" s="1"/>
  <c r="H378" i="365"/>
  <c r="M378" i="365" s="1"/>
  <c r="N376" i="365"/>
  <c r="K376" i="365"/>
  <c r="J376" i="365"/>
  <c r="I376" i="365"/>
  <c r="H376" i="365"/>
  <c r="G376" i="365"/>
  <c r="F376" i="365"/>
  <c r="E376" i="365"/>
  <c r="D376" i="365"/>
  <c r="C376" i="365"/>
  <c r="N375" i="365"/>
  <c r="K375" i="365"/>
  <c r="J375" i="365"/>
  <c r="I375" i="365"/>
  <c r="H375" i="365"/>
  <c r="G375" i="365"/>
  <c r="F375" i="365"/>
  <c r="E375" i="365"/>
  <c r="D375" i="365"/>
  <c r="C375" i="365"/>
  <c r="L373" i="365"/>
  <c r="L376" i="365" s="1"/>
  <c r="H373" i="365"/>
  <c r="O372" i="365"/>
  <c r="O375" i="365" s="1"/>
  <c r="L372" i="365"/>
  <c r="M372" i="365" s="1"/>
  <c r="M375" i="365" s="1"/>
  <c r="H372" i="365"/>
  <c r="N370" i="365"/>
  <c r="K370" i="365"/>
  <c r="J370" i="365"/>
  <c r="I370" i="365"/>
  <c r="G370" i="365"/>
  <c r="F370" i="365"/>
  <c r="D370" i="365"/>
  <c r="C370" i="365"/>
  <c r="N369" i="365"/>
  <c r="K369" i="365"/>
  <c r="K438" i="365" s="1"/>
  <c r="J369" i="365"/>
  <c r="I369" i="365"/>
  <c r="G369" i="365"/>
  <c r="G438" i="365" s="1"/>
  <c r="F369" i="365"/>
  <c r="D369" i="365"/>
  <c r="D438" i="365" s="1"/>
  <c r="C369" i="365"/>
  <c r="C438" i="365" s="1"/>
  <c r="L368" i="365"/>
  <c r="L478" i="365" s="1"/>
  <c r="E368" i="365"/>
  <c r="E369" i="365" s="1"/>
  <c r="M367" i="365"/>
  <c r="L367" i="365"/>
  <c r="H367" i="365"/>
  <c r="H477" i="365" s="1"/>
  <c r="M366" i="365"/>
  <c r="L366" i="365"/>
  <c r="H366" i="365"/>
  <c r="H475" i="365" s="1"/>
  <c r="M365" i="365"/>
  <c r="O365" i="365" s="1"/>
  <c r="L365" i="365"/>
  <c r="H365" i="365"/>
  <c r="M364" i="365"/>
  <c r="L364" i="365"/>
  <c r="L471" i="365" s="1"/>
  <c r="H364" i="365"/>
  <c r="M362" i="365"/>
  <c r="L362" i="365"/>
  <c r="H362" i="365"/>
  <c r="M361" i="365"/>
  <c r="L361" i="365"/>
  <c r="H361" i="365"/>
  <c r="N359" i="365"/>
  <c r="K359" i="365"/>
  <c r="J359" i="365"/>
  <c r="I359" i="365"/>
  <c r="G359" i="365"/>
  <c r="F359" i="365"/>
  <c r="E359" i="365"/>
  <c r="D359" i="365"/>
  <c r="C359" i="365"/>
  <c r="N358" i="365"/>
  <c r="K358" i="365"/>
  <c r="J358" i="365"/>
  <c r="I358" i="365"/>
  <c r="G358" i="365"/>
  <c r="F358" i="365"/>
  <c r="E358" i="365"/>
  <c r="D358" i="365"/>
  <c r="C358" i="365"/>
  <c r="N357" i="365"/>
  <c r="K357" i="365"/>
  <c r="J357" i="365"/>
  <c r="I357" i="365"/>
  <c r="H357" i="365"/>
  <c r="G357" i="365"/>
  <c r="F357" i="365"/>
  <c r="E357" i="365"/>
  <c r="D357" i="365"/>
  <c r="C357" i="365"/>
  <c r="L356" i="365"/>
  <c r="M356" i="365" s="1"/>
  <c r="O356" i="365" s="1"/>
  <c r="H356" i="365"/>
  <c r="L354" i="365"/>
  <c r="H354" i="365"/>
  <c r="M354" i="365" s="1"/>
  <c r="O354" i="365" s="1"/>
  <c r="L353" i="365"/>
  <c r="H353" i="365"/>
  <c r="L352" i="365"/>
  <c r="H352" i="365"/>
  <c r="M352" i="365" s="1"/>
  <c r="O352" i="365" s="1"/>
  <c r="L351" i="365"/>
  <c r="H351" i="365"/>
  <c r="L349" i="365"/>
  <c r="H349" i="365"/>
  <c r="H359" i="365" s="1"/>
  <c r="L348" i="365"/>
  <c r="L358" i="365" s="1"/>
  <c r="H348" i="365"/>
  <c r="H358" i="365" s="1"/>
  <c r="L347" i="365"/>
  <c r="L357" i="365" s="1"/>
  <c r="H347" i="365"/>
  <c r="M347" i="365" s="1"/>
  <c r="I345" i="365"/>
  <c r="N344" i="365"/>
  <c r="K344" i="365"/>
  <c r="J344" i="365"/>
  <c r="I344" i="365"/>
  <c r="G344" i="365"/>
  <c r="F344" i="365"/>
  <c r="E344" i="365"/>
  <c r="D344" i="365"/>
  <c r="C344" i="365"/>
  <c r="N343" i="365"/>
  <c r="K343" i="365"/>
  <c r="J343" i="365"/>
  <c r="I343" i="365"/>
  <c r="G343" i="365"/>
  <c r="F343" i="365"/>
  <c r="D343" i="365"/>
  <c r="C343" i="365"/>
  <c r="N342" i="365"/>
  <c r="K342" i="365"/>
  <c r="J342" i="365"/>
  <c r="I342" i="365"/>
  <c r="H342" i="365"/>
  <c r="G342" i="365"/>
  <c r="F342" i="365"/>
  <c r="D342" i="365"/>
  <c r="C342" i="365"/>
  <c r="L341" i="365"/>
  <c r="H341" i="365"/>
  <c r="H474" i="365" s="1"/>
  <c r="L340" i="365"/>
  <c r="H340" i="365"/>
  <c r="M340" i="365" s="1"/>
  <c r="O340" i="365" s="1"/>
  <c r="L338" i="365"/>
  <c r="H338" i="365"/>
  <c r="E338" i="365"/>
  <c r="E343" i="365" s="1"/>
  <c r="M337" i="365"/>
  <c r="O337" i="365" s="1"/>
  <c r="L337" i="365"/>
  <c r="H337" i="365"/>
  <c r="M336" i="365"/>
  <c r="O336" i="365" s="1"/>
  <c r="L336" i="365"/>
  <c r="H336" i="365"/>
  <c r="M335" i="365"/>
  <c r="O335" i="365" s="1"/>
  <c r="L335" i="365"/>
  <c r="H335" i="365"/>
  <c r="M334" i="365"/>
  <c r="O334" i="365" s="1"/>
  <c r="L334" i="365"/>
  <c r="H334" i="365"/>
  <c r="M332" i="365"/>
  <c r="L332" i="365"/>
  <c r="L344" i="365" s="1"/>
  <c r="H332" i="365"/>
  <c r="H344" i="365" s="1"/>
  <c r="M331" i="365"/>
  <c r="L331" i="365"/>
  <c r="H331" i="365"/>
  <c r="H343" i="365" s="1"/>
  <c r="M330" i="365"/>
  <c r="L330" i="365"/>
  <c r="H330" i="365"/>
  <c r="N328" i="365"/>
  <c r="K328" i="365"/>
  <c r="J328" i="365"/>
  <c r="I328" i="365"/>
  <c r="G328" i="365"/>
  <c r="F328" i="365"/>
  <c r="E328" i="365"/>
  <c r="D328" i="365"/>
  <c r="C328" i="365"/>
  <c r="N327" i="365"/>
  <c r="K327" i="365"/>
  <c r="J327" i="365"/>
  <c r="I327" i="365"/>
  <c r="G327" i="365"/>
  <c r="F327" i="365"/>
  <c r="D327" i="365"/>
  <c r="C327" i="365"/>
  <c r="N326" i="365"/>
  <c r="K326" i="365"/>
  <c r="J326" i="365"/>
  <c r="I326" i="365"/>
  <c r="H326" i="365"/>
  <c r="G326" i="365"/>
  <c r="F326" i="365"/>
  <c r="D326" i="365"/>
  <c r="C326" i="365"/>
  <c r="L325" i="365"/>
  <c r="H325" i="365"/>
  <c r="L323" i="365"/>
  <c r="H323" i="365"/>
  <c r="L322" i="365"/>
  <c r="H322" i="365"/>
  <c r="E322" i="365"/>
  <c r="E327" i="365" s="1"/>
  <c r="M321" i="365"/>
  <c r="O321" i="365" s="1"/>
  <c r="L321" i="365"/>
  <c r="H321" i="365"/>
  <c r="M320" i="365"/>
  <c r="O320" i="365" s="1"/>
  <c r="L320" i="365"/>
  <c r="H320" i="365"/>
  <c r="M319" i="365"/>
  <c r="O319" i="365" s="1"/>
  <c r="L319" i="365"/>
  <c r="H319" i="365"/>
  <c r="M318" i="365"/>
  <c r="O318" i="365" s="1"/>
  <c r="L318" i="365"/>
  <c r="H318" i="365"/>
  <c r="M316" i="365"/>
  <c r="L316" i="365"/>
  <c r="L328" i="365" s="1"/>
  <c r="H316" i="365"/>
  <c r="H328" i="365" s="1"/>
  <c r="M315" i="365"/>
  <c r="L315" i="365"/>
  <c r="H315" i="365"/>
  <c r="H327" i="365" s="1"/>
  <c r="M314" i="365"/>
  <c r="L314" i="365"/>
  <c r="H314" i="365"/>
  <c r="N312" i="365"/>
  <c r="K312" i="365"/>
  <c r="J312" i="365"/>
  <c r="I312" i="365"/>
  <c r="G312" i="365"/>
  <c r="F312" i="365"/>
  <c r="E312" i="365"/>
  <c r="D312" i="365"/>
  <c r="C312" i="365"/>
  <c r="N311" i="365"/>
  <c r="K311" i="365"/>
  <c r="J311" i="365"/>
  <c r="I311" i="365"/>
  <c r="G311" i="365"/>
  <c r="F311" i="365"/>
  <c r="D311" i="365"/>
  <c r="C311" i="365"/>
  <c r="N310" i="365"/>
  <c r="N345" i="365" s="1"/>
  <c r="K310" i="365"/>
  <c r="K345" i="365" s="1"/>
  <c r="J310" i="365"/>
  <c r="J345" i="365" s="1"/>
  <c r="I310" i="365"/>
  <c r="H310" i="365"/>
  <c r="H345" i="365" s="1"/>
  <c r="G310" i="365"/>
  <c r="G345" i="365" s="1"/>
  <c r="F310" i="365"/>
  <c r="F345" i="365" s="1"/>
  <c r="D310" i="365"/>
  <c r="D345" i="365" s="1"/>
  <c r="C310" i="365"/>
  <c r="C345" i="365" s="1"/>
  <c r="L309" i="365"/>
  <c r="L473" i="365" s="1"/>
  <c r="H309" i="365"/>
  <c r="H473" i="365" s="1"/>
  <c r="L308" i="365"/>
  <c r="L310" i="365" s="1"/>
  <c r="H308" i="365"/>
  <c r="L306" i="365"/>
  <c r="H306" i="365"/>
  <c r="E306" i="365"/>
  <c r="E311" i="365" s="1"/>
  <c r="M305" i="365"/>
  <c r="O305" i="365" s="1"/>
  <c r="L305" i="365"/>
  <c r="H305" i="365"/>
  <c r="M304" i="365"/>
  <c r="O304" i="365" s="1"/>
  <c r="L304" i="365"/>
  <c r="H304" i="365"/>
  <c r="M303" i="365"/>
  <c r="O303" i="365" s="1"/>
  <c r="L303" i="365"/>
  <c r="H303" i="365"/>
  <c r="M302" i="365"/>
  <c r="O302" i="365" s="1"/>
  <c r="L302" i="365"/>
  <c r="H302" i="365"/>
  <c r="M301" i="365"/>
  <c r="O301" i="365" s="1"/>
  <c r="L301" i="365"/>
  <c r="H301" i="365"/>
  <c r="M299" i="365"/>
  <c r="L299" i="365"/>
  <c r="H299" i="365"/>
  <c r="H312" i="365" s="1"/>
  <c r="M298" i="365"/>
  <c r="L298" i="365"/>
  <c r="H298" i="365"/>
  <c r="H311" i="365" s="1"/>
  <c r="M297" i="365"/>
  <c r="L297" i="365"/>
  <c r="H297" i="365"/>
  <c r="G294" i="365"/>
  <c r="N293" i="365"/>
  <c r="L293" i="365"/>
  <c r="K293" i="365"/>
  <c r="J293" i="365"/>
  <c r="I293" i="365"/>
  <c r="H293" i="365"/>
  <c r="G293" i="365"/>
  <c r="F293" i="365"/>
  <c r="E293" i="365"/>
  <c r="D293" i="365"/>
  <c r="C293" i="365"/>
  <c r="N292" i="365"/>
  <c r="M292" i="365"/>
  <c r="K292" i="365"/>
  <c r="J292" i="365"/>
  <c r="I292" i="365"/>
  <c r="H292" i="365"/>
  <c r="G292" i="365"/>
  <c r="F292" i="365"/>
  <c r="E292" i="365"/>
  <c r="D292" i="365"/>
  <c r="C292" i="365"/>
  <c r="N291" i="365"/>
  <c r="K291" i="365"/>
  <c r="J291" i="365"/>
  <c r="I291" i="365"/>
  <c r="H291" i="365"/>
  <c r="G291" i="365"/>
  <c r="F291" i="365"/>
  <c r="E291" i="365"/>
  <c r="D291" i="365"/>
  <c r="C291" i="365"/>
  <c r="O290" i="365"/>
  <c r="M290" i="365"/>
  <c r="L290" i="365"/>
  <c r="H290" i="365"/>
  <c r="O288" i="365"/>
  <c r="M288" i="365"/>
  <c r="L288" i="365"/>
  <c r="H288" i="365"/>
  <c r="O287" i="365"/>
  <c r="M287" i="365"/>
  <c r="L287" i="365"/>
  <c r="H287" i="365"/>
  <c r="O286" i="365"/>
  <c r="M286" i="365"/>
  <c r="L286" i="365"/>
  <c r="H286" i="365"/>
  <c r="O285" i="365"/>
  <c r="M285" i="365"/>
  <c r="L285" i="365"/>
  <c r="H285" i="365"/>
  <c r="O283" i="365"/>
  <c r="O293" i="365" s="1"/>
  <c r="M283" i="365"/>
  <c r="M293" i="365" s="1"/>
  <c r="L283" i="365"/>
  <c r="H283" i="365"/>
  <c r="O282" i="365"/>
  <c r="O292" i="365" s="1"/>
  <c r="M282" i="365"/>
  <c r="L282" i="365"/>
  <c r="L292" i="365" s="1"/>
  <c r="H282" i="365"/>
  <c r="O281" i="365"/>
  <c r="O291" i="365" s="1"/>
  <c r="M281" i="365"/>
  <c r="M291" i="365" s="1"/>
  <c r="L281" i="365"/>
  <c r="L291" i="365" s="1"/>
  <c r="H281" i="365"/>
  <c r="N279" i="365"/>
  <c r="K279" i="365"/>
  <c r="J279" i="365"/>
  <c r="I279" i="365"/>
  <c r="G279" i="365"/>
  <c r="F279" i="365"/>
  <c r="E279" i="365"/>
  <c r="D279" i="365"/>
  <c r="C279" i="365"/>
  <c r="N278" i="365"/>
  <c r="L278" i="365"/>
  <c r="K278" i="365"/>
  <c r="J278" i="365"/>
  <c r="I278" i="365"/>
  <c r="H278" i="365"/>
  <c r="G278" i="365"/>
  <c r="F278" i="365"/>
  <c r="D278" i="365"/>
  <c r="C278" i="365"/>
  <c r="N277" i="365"/>
  <c r="K277" i="365"/>
  <c r="J277" i="365"/>
  <c r="I277" i="365"/>
  <c r="H277" i="365"/>
  <c r="G277" i="365"/>
  <c r="F277" i="365"/>
  <c r="E277" i="365"/>
  <c r="D277" i="365"/>
  <c r="C277" i="365"/>
  <c r="M276" i="365"/>
  <c r="O276" i="365" s="1"/>
  <c r="L276" i="365"/>
  <c r="H276" i="365"/>
  <c r="M274" i="365"/>
  <c r="L274" i="365"/>
  <c r="L277" i="365" s="1"/>
  <c r="H274" i="365"/>
  <c r="E274" i="365"/>
  <c r="E278" i="365" s="1"/>
  <c r="O273" i="365"/>
  <c r="M273" i="365"/>
  <c r="L273" i="365"/>
  <c r="H273" i="365"/>
  <c r="O272" i="365"/>
  <c r="M272" i="365"/>
  <c r="L272" i="365"/>
  <c r="H272" i="365"/>
  <c r="O270" i="365"/>
  <c r="O279" i="365" s="1"/>
  <c r="M270" i="365"/>
  <c r="M279" i="365" s="1"/>
  <c r="L270" i="365"/>
  <c r="L279" i="365" s="1"/>
  <c r="H270" i="365"/>
  <c r="H279" i="365" s="1"/>
  <c r="O269" i="365"/>
  <c r="M269" i="365"/>
  <c r="L269" i="365"/>
  <c r="H269" i="365"/>
  <c r="O268" i="365"/>
  <c r="M268" i="365"/>
  <c r="L268" i="365"/>
  <c r="H268" i="365"/>
  <c r="N266" i="365"/>
  <c r="K266" i="365"/>
  <c r="J266" i="365"/>
  <c r="I266" i="365"/>
  <c r="G266" i="365"/>
  <c r="F266" i="365"/>
  <c r="E266" i="365"/>
  <c r="D266" i="365"/>
  <c r="C266" i="365"/>
  <c r="N265" i="365"/>
  <c r="L265" i="365"/>
  <c r="K265" i="365"/>
  <c r="J265" i="365"/>
  <c r="I265" i="365"/>
  <c r="G265" i="365"/>
  <c r="F265" i="365"/>
  <c r="D265" i="365"/>
  <c r="C265" i="365"/>
  <c r="N264" i="365"/>
  <c r="K264" i="365"/>
  <c r="J264" i="365"/>
  <c r="I264" i="365"/>
  <c r="G264" i="365"/>
  <c r="F264" i="365"/>
  <c r="D264" i="365"/>
  <c r="C264" i="365"/>
  <c r="M263" i="365"/>
  <c r="O263" i="365" s="1"/>
  <c r="L263" i="365"/>
  <c r="H263" i="365"/>
  <c r="M261" i="365"/>
  <c r="O261" i="365" s="1"/>
  <c r="L261" i="365"/>
  <c r="L264" i="365" s="1"/>
  <c r="H261" i="365"/>
  <c r="E261" i="365"/>
  <c r="L260" i="365"/>
  <c r="E260" i="365"/>
  <c r="L259" i="365"/>
  <c r="H259" i="365"/>
  <c r="M259" i="365" s="1"/>
  <c r="O259" i="365" s="1"/>
  <c r="L257" i="365"/>
  <c r="L266" i="365" s="1"/>
  <c r="H257" i="365"/>
  <c r="L256" i="365"/>
  <c r="H256" i="365"/>
  <c r="M256" i="365" s="1"/>
  <c r="L255" i="365"/>
  <c r="H255" i="365"/>
  <c r="N253" i="365"/>
  <c r="L253" i="365"/>
  <c r="K253" i="365"/>
  <c r="J253" i="365"/>
  <c r="I253" i="365"/>
  <c r="G253" i="365"/>
  <c r="F253" i="365"/>
  <c r="E253" i="365"/>
  <c r="D253" i="365"/>
  <c r="C253" i="365"/>
  <c r="N252" i="365"/>
  <c r="L252" i="365"/>
  <c r="K252" i="365"/>
  <c r="J252" i="365"/>
  <c r="I252" i="365"/>
  <c r="G252" i="365"/>
  <c r="F252" i="365"/>
  <c r="D252" i="365"/>
  <c r="C252" i="365"/>
  <c r="N251" i="365"/>
  <c r="K251" i="365"/>
  <c r="J251" i="365"/>
  <c r="I251" i="365"/>
  <c r="G251" i="365"/>
  <c r="F251" i="365"/>
  <c r="D251" i="365"/>
  <c r="C251" i="365"/>
  <c r="O250" i="365"/>
  <c r="M250" i="365"/>
  <c r="L250" i="365"/>
  <c r="L251" i="365" s="1"/>
  <c r="H250" i="365"/>
  <c r="L248" i="365"/>
  <c r="E248" i="365"/>
  <c r="L247" i="365"/>
  <c r="H247" i="365"/>
  <c r="M247" i="365" s="1"/>
  <c r="O247" i="365" s="1"/>
  <c r="L246" i="365"/>
  <c r="H246" i="365"/>
  <c r="M246" i="365" s="1"/>
  <c r="O246" i="365" s="1"/>
  <c r="L245" i="365"/>
  <c r="H245" i="365"/>
  <c r="M245" i="365" s="1"/>
  <c r="O245" i="365" s="1"/>
  <c r="L243" i="365"/>
  <c r="H243" i="365"/>
  <c r="L242" i="365"/>
  <c r="H242" i="365"/>
  <c r="L241" i="365"/>
  <c r="H241" i="365"/>
  <c r="N239" i="365"/>
  <c r="L239" i="365"/>
  <c r="K239" i="365"/>
  <c r="J239" i="365"/>
  <c r="I239" i="365"/>
  <c r="H239" i="365"/>
  <c r="G239" i="365"/>
  <c r="F239" i="365"/>
  <c r="E239" i="365"/>
  <c r="D239" i="365"/>
  <c r="C239" i="365"/>
  <c r="N238" i="365"/>
  <c r="L238" i="365"/>
  <c r="K238" i="365"/>
  <c r="J238" i="365"/>
  <c r="I238" i="365"/>
  <c r="G238" i="365"/>
  <c r="F238" i="365"/>
  <c r="E238" i="365"/>
  <c r="D238" i="365"/>
  <c r="C238" i="365"/>
  <c r="N237" i="365"/>
  <c r="K237" i="365"/>
  <c r="J237" i="365"/>
  <c r="I237" i="365"/>
  <c r="G237" i="365"/>
  <c r="F237" i="365"/>
  <c r="D237" i="365"/>
  <c r="C237" i="365"/>
  <c r="O236" i="365"/>
  <c r="M236" i="365"/>
  <c r="L236" i="365"/>
  <c r="H236" i="365"/>
  <c r="L234" i="365"/>
  <c r="L237" i="365" s="1"/>
  <c r="E234" i="365"/>
  <c r="L233" i="365"/>
  <c r="H233" i="365"/>
  <c r="M233" i="365" s="1"/>
  <c r="O233" i="365" s="1"/>
  <c r="L232" i="365"/>
  <c r="H232" i="365"/>
  <c r="M232" i="365" s="1"/>
  <c r="O232" i="365" s="1"/>
  <c r="L230" i="365"/>
  <c r="H230" i="365"/>
  <c r="M230" i="365" s="1"/>
  <c r="L229" i="365"/>
  <c r="H229" i="365"/>
  <c r="L228" i="365"/>
  <c r="H228" i="365"/>
  <c r="N226" i="365"/>
  <c r="L226" i="365"/>
  <c r="K226" i="365"/>
  <c r="J226" i="365"/>
  <c r="I226" i="365"/>
  <c r="H226" i="365"/>
  <c r="G226" i="365"/>
  <c r="F226" i="365"/>
  <c r="E226" i="365"/>
  <c r="D226" i="365"/>
  <c r="C226" i="365"/>
  <c r="N225" i="365"/>
  <c r="K225" i="365"/>
  <c r="J225" i="365"/>
  <c r="G225" i="365"/>
  <c r="F225" i="365"/>
  <c r="D225" i="365"/>
  <c r="C225" i="365"/>
  <c r="N224" i="365"/>
  <c r="K224" i="365"/>
  <c r="J224" i="365"/>
  <c r="I224" i="365"/>
  <c r="G224" i="365"/>
  <c r="F224" i="365"/>
  <c r="D224" i="365"/>
  <c r="C224" i="365"/>
  <c r="O223" i="365"/>
  <c r="M223" i="365"/>
  <c r="L223" i="365"/>
  <c r="H223" i="365"/>
  <c r="L221" i="365"/>
  <c r="E221" i="365"/>
  <c r="H221" i="365" s="1"/>
  <c r="M221" i="365" s="1"/>
  <c r="O221" i="365" s="1"/>
  <c r="I220" i="365"/>
  <c r="H220" i="365"/>
  <c r="E220" i="365"/>
  <c r="M219" i="365"/>
  <c r="O219" i="365" s="1"/>
  <c r="L219" i="365"/>
  <c r="H219" i="365"/>
  <c r="L218" i="365"/>
  <c r="M218" i="365" s="1"/>
  <c r="O218" i="365" s="1"/>
  <c r="H218" i="365"/>
  <c r="M216" i="365"/>
  <c r="L216" i="365"/>
  <c r="H216" i="365"/>
  <c r="L215" i="365"/>
  <c r="H215" i="365"/>
  <c r="L214" i="365"/>
  <c r="H214" i="365"/>
  <c r="N212" i="365"/>
  <c r="K212" i="365"/>
  <c r="J212" i="365"/>
  <c r="I212" i="365"/>
  <c r="G212" i="365"/>
  <c r="F212" i="365"/>
  <c r="E212" i="365"/>
  <c r="D212" i="365"/>
  <c r="C212" i="365"/>
  <c r="N211" i="365"/>
  <c r="K211" i="365"/>
  <c r="J211" i="365"/>
  <c r="I211" i="365"/>
  <c r="G211" i="365"/>
  <c r="F211" i="365"/>
  <c r="D211" i="365"/>
  <c r="C211" i="365"/>
  <c r="N210" i="365"/>
  <c r="K210" i="365"/>
  <c r="J210" i="365"/>
  <c r="I210" i="365"/>
  <c r="G210" i="365"/>
  <c r="F210" i="365"/>
  <c r="D210" i="365"/>
  <c r="C210" i="365"/>
  <c r="L209" i="365"/>
  <c r="L210" i="365" s="1"/>
  <c r="H209" i="365"/>
  <c r="L207" i="365"/>
  <c r="H207" i="365"/>
  <c r="M207" i="365" s="1"/>
  <c r="O207" i="365" s="1"/>
  <c r="E207" i="365"/>
  <c r="E210" i="365" s="1"/>
  <c r="L206" i="365"/>
  <c r="H206" i="365"/>
  <c r="M206" i="365" s="1"/>
  <c r="O206" i="365" s="1"/>
  <c r="L205" i="365"/>
  <c r="H205" i="365"/>
  <c r="M205" i="365" s="1"/>
  <c r="O205" i="365" s="1"/>
  <c r="L203" i="365"/>
  <c r="H203" i="365"/>
  <c r="L202" i="365"/>
  <c r="L211" i="365" s="1"/>
  <c r="H202" i="365"/>
  <c r="L201" i="365"/>
  <c r="H201" i="365"/>
  <c r="N199" i="365"/>
  <c r="L199" i="365"/>
  <c r="K199" i="365"/>
  <c r="J199" i="365"/>
  <c r="I199" i="365"/>
  <c r="H199" i="365"/>
  <c r="G199" i="365"/>
  <c r="F199" i="365"/>
  <c r="E199" i="365"/>
  <c r="D199" i="365"/>
  <c r="C199" i="365"/>
  <c r="N198" i="365"/>
  <c r="K198" i="365"/>
  <c r="J198" i="365"/>
  <c r="I198" i="365"/>
  <c r="G198" i="365"/>
  <c r="F198" i="365"/>
  <c r="D198" i="365"/>
  <c r="C198" i="365"/>
  <c r="N197" i="365"/>
  <c r="K197" i="365"/>
  <c r="J197" i="365"/>
  <c r="I197" i="365"/>
  <c r="G197" i="365"/>
  <c r="F197" i="365"/>
  <c r="D197" i="365"/>
  <c r="C197" i="365"/>
  <c r="O196" i="365"/>
  <c r="L196" i="365"/>
  <c r="H196" i="365"/>
  <c r="M196" i="365" s="1"/>
  <c r="L194" i="365"/>
  <c r="L197" i="365" s="1"/>
  <c r="E194" i="365"/>
  <c r="L193" i="365"/>
  <c r="H193" i="365"/>
  <c r="M193" i="365" s="1"/>
  <c r="O193" i="365" s="1"/>
  <c r="L192" i="365"/>
  <c r="H192" i="365"/>
  <c r="M192" i="365" s="1"/>
  <c r="O192" i="365" s="1"/>
  <c r="L190" i="365"/>
  <c r="H190" i="365"/>
  <c r="M190" i="365" s="1"/>
  <c r="L189" i="365"/>
  <c r="L198" i="365" s="1"/>
  <c r="H189" i="365"/>
  <c r="L188" i="365"/>
  <c r="H188" i="365"/>
  <c r="N186" i="365"/>
  <c r="L186" i="365"/>
  <c r="K186" i="365"/>
  <c r="J186" i="365"/>
  <c r="I186" i="365"/>
  <c r="G186" i="365"/>
  <c r="F186" i="365"/>
  <c r="E186" i="365"/>
  <c r="D186" i="365"/>
  <c r="C186" i="365"/>
  <c r="N185" i="365"/>
  <c r="K185" i="365"/>
  <c r="J185" i="365"/>
  <c r="I185" i="365"/>
  <c r="G185" i="365"/>
  <c r="F185" i="365"/>
  <c r="D185" i="365"/>
  <c r="C185" i="365"/>
  <c r="N184" i="365"/>
  <c r="K184" i="365"/>
  <c r="J184" i="365"/>
  <c r="I184" i="365"/>
  <c r="G184" i="365"/>
  <c r="F184" i="365"/>
  <c r="D184" i="365"/>
  <c r="C184" i="365"/>
  <c r="O183" i="365"/>
  <c r="L183" i="365"/>
  <c r="L184" i="365" s="1"/>
  <c r="H183" i="365"/>
  <c r="M183" i="365" s="1"/>
  <c r="L181" i="365"/>
  <c r="E181" i="365"/>
  <c r="L180" i="365"/>
  <c r="H180" i="365"/>
  <c r="M180" i="365" s="1"/>
  <c r="O180" i="365" s="1"/>
  <c r="L179" i="365"/>
  <c r="H179" i="365"/>
  <c r="M179" i="365" s="1"/>
  <c r="O179" i="365" s="1"/>
  <c r="L178" i="365"/>
  <c r="H178" i="365"/>
  <c r="M178" i="365" s="1"/>
  <c r="O178" i="365" s="1"/>
  <c r="L176" i="365"/>
  <c r="H176" i="365"/>
  <c r="M176" i="365" s="1"/>
  <c r="L175" i="365"/>
  <c r="L185" i="365" s="1"/>
  <c r="H175" i="365"/>
  <c r="L174" i="365"/>
  <c r="H174" i="365"/>
  <c r="N172" i="365"/>
  <c r="L172" i="365"/>
  <c r="K172" i="365"/>
  <c r="J172" i="365"/>
  <c r="I172" i="365"/>
  <c r="H172" i="365"/>
  <c r="G172" i="365"/>
  <c r="F172" i="365"/>
  <c r="E172" i="365"/>
  <c r="D172" i="365"/>
  <c r="C172" i="365"/>
  <c r="N171" i="365"/>
  <c r="K171" i="365"/>
  <c r="J171" i="365"/>
  <c r="I171" i="365"/>
  <c r="G171" i="365"/>
  <c r="F171" i="365"/>
  <c r="D171" i="365"/>
  <c r="C171" i="365"/>
  <c r="N170" i="365"/>
  <c r="K170" i="365"/>
  <c r="J170" i="365"/>
  <c r="I170" i="365"/>
  <c r="G170" i="365"/>
  <c r="F170" i="365"/>
  <c r="D170" i="365"/>
  <c r="C170" i="365"/>
  <c r="O169" i="365"/>
  <c r="L169" i="365"/>
  <c r="L170" i="365" s="1"/>
  <c r="H169" i="365"/>
  <c r="M169" i="365" s="1"/>
  <c r="L167" i="365"/>
  <c r="E167" i="365"/>
  <c r="L166" i="365"/>
  <c r="H166" i="365"/>
  <c r="M166" i="365" s="1"/>
  <c r="O166" i="365" s="1"/>
  <c r="L165" i="365"/>
  <c r="H165" i="365"/>
  <c r="M165" i="365" s="1"/>
  <c r="O165" i="365" s="1"/>
  <c r="L164" i="365"/>
  <c r="H164" i="365"/>
  <c r="M164" i="365" s="1"/>
  <c r="O164" i="365" s="1"/>
  <c r="L162" i="365"/>
  <c r="H162" i="365"/>
  <c r="M162" i="365" s="1"/>
  <c r="L161" i="365"/>
  <c r="L171" i="365" s="1"/>
  <c r="H161" i="365"/>
  <c r="L160" i="365"/>
  <c r="H160" i="365"/>
  <c r="N158" i="365"/>
  <c r="L158" i="365"/>
  <c r="K158" i="365"/>
  <c r="J158" i="365"/>
  <c r="I158" i="365"/>
  <c r="G158" i="365"/>
  <c r="F158" i="365"/>
  <c r="E158" i="365"/>
  <c r="D158" i="365"/>
  <c r="C158" i="365"/>
  <c r="N157" i="365"/>
  <c r="K157" i="365"/>
  <c r="J157" i="365"/>
  <c r="I157" i="365"/>
  <c r="G157" i="365"/>
  <c r="F157" i="365"/>
  <c r="E157" i="365"/>
  <c r="D157" i="365"/>
  <c r="C157" i="365"/>
  <c r="N156" i="365"/>
  <c r="K156" i="365"/>
  <c r="J156" i="365"/>
  <c r="I156" i="365"/>
  <c r="G156" i="365"/>
  <c r="F156" i="365"/>
  <c r="D156" i="365"/>
  <c r="C156" i="365"/>
  <c r="L155" i="365"/>
  <c r="H155" i="365"/>
  <c r="M155" i="365" s="1"/>
  <c r="O155" i="365" s="1"/>
  <c r="L153" i="365"/>
  <c r="L156" i="365" s="1"/>
  <c r="E153" i="365"/>
  <c r="L152" i="365"/>
  <c r="H152" i="365"/>
  <c r="M152" i="365" s="1"/>
  <c r="O152" i="365" s="1"/>
  <c r="L151" i="365"/>
  <c r="H151" i="365"/>
  <c r="M151" i="365" s="1"/>
  <c r="O151" i="365" s="1"/>
  <c r="L149" i="365"/>
  <c r="H149" i="365"/>
  <c r="M149" i="365" s="1"/>
  <c r="L148" i="365"/>
  <c r="L157" i="365" s="1"/>
  <c r="H148" i="365"/>
  <c r="L147" i="365"/>
  <c r="H147" i="365"/>
  <c r="N145" i="365"/>
  <c r="L145" i="365"/>
  <c r="K145" i="365"/>
  <c r="J145" i="365"/>
  <c r="I145" i="365"/>
  <c r="H145" i="365"/>
  <c r="G145" i="365"/>
  <c r="F145" i="365"/>
  <c r="E145" i="365"/>
  <c r="D145" i="365"/>
  <c r="C145" i="365"/>
  <c r="N144" i="365"/>
  <c r="K144" i="365"/>
  <c r="J144" i="365"/>
  <c r="I144" i="365"/>
  <c r="G144" i="365"/>
  <c r="F144" i="365"/>
  <c r="D144" i="365"/>
  <c r="C144" i="365"/>
  <c r="N143" i="365"/>
  <c r="N294" i="365" s="1"/>
  <c r="K143" i="365"/>
  <c r="K294" i="365" s="1"/>
  <c r="J143" i="365"/>
  <c r="J294" i="365" s="1"/>
  <c r="I143" i="365"/>
  <c r="G143" i="365"/>
  <c r="F143" i="365"/>
  <c r="D143" i="365"/>
  <c r="D294" i="365" s="1"/>
  <c r="C143" i="365"/>
  <c r="C294" i="365" s="1"/>
  <c r="O142" i="365"/>
  <c r="L142" i="365"/>
  <c r="H142" i="365"/>
  <c r="M142" i="365" s="1"/>
  <c r="L140" i="365"/>
  <c r="L143" i="365" s="1"/>
  <c r="E140" i="365"/>
  <c r="L139" i="365"/>
  <c r="H139" i="365"/>
  <c r="M139" i="365" s="1"/>
  <c r="O139" i="365" s="1"/>
  <c r="L138" i="365"/>
  <c r="H138" i="365"/>
  <c r="M138" i="365" s="1"/>
  <c r="O138" i="365" s="1"/>
  <c r="L136" i="365"/>
  <c r="H136" i="365"/>
  <c r="M136" i="365" s="1"/>
  <c r="L135" i="365"/>
  <c r="L144" i="365" s="1"/>
  <c r="H135" i="365"/>
  <c r="L134" i="365"/>
  <c r="H134" i="365"/>
  <c r="N131" i="365"/>
  <c r="K131" i="365"/>
  <c r="J131" i="365"/>
  <c r="I131" i="365"/>
  <c r="G131" i="365"/>
  <c r="F131" i="365"/>
  <c r="E131" i="365"/>
  <c r="D131" i="365"/>
  <c r="C131" i="365"/>
  <c r="N130" i="365"/>
  <c r="K130" i="365"/>
  <c r="J130" i="365"/>
  <c r="I130" i="365"/>
  <c r="G130" i="365"/>
  <c r="F130" i="365"/>
  <c r="D130" i="365"/>
  <c r="C130" i="365"/>
  <c r="N129" i="365"/>
  <c r="K129" i="365"/>
  <c r="J129" i="365"/>
  <c r="I129" i="365"/>
  <c r="G129" i="365"/>
  <c r="F129" i="365"/>
  <c r="E129" i="365"/>
  <c r="D129" i="365"/>
  <c r="C129" i="365"/>
  <c r="L128" i="365"/>
  <c r="H128" i="365"/>
  <c r="M128" i="365" s="1"/>
  <c r="O128" i="365" s="1"/>
  <c r="L126" i="365"/>
  <c r="H126" i="365"/>
  <c r="E126" i="365"/>
  <c r="E130" i="365" s="1"/>
  <c r="L125" i="365"/>
  <c r="H125" i="365"/>
  <c r="H467" i="365" s="1"/>
  <c r="L124" i="365"/>
  <c r="M124" i="365" s="1"/>
  <c r="O124" i="365" s="1"/>
  <c r="H124" i="365"/>
  <c r="L123" i="365"/>
  <c r="M123" i="365" s="1"/>
  <c r="O123" i="365" s="1"/>
  <c r="H123" i="365"/>
  <c r="L122" i="365"/>
  <c r="M122" i="365" s="1"/>
  <c r="O122" i="365" s="1"/>
  <c r="H122" i="365"/>
  <c r="L121" i="365"/>
  <c r="M121" i="365" s="1"/>
  <c r="O121" i="365" s="1"/>
  <c r="H121" i="365"/>
  <c r="L119" i="365"/>
  <c r="H119" i="365"/>
  <c r="L118" i="365"/>
  <c r="H118" i="365"/>
  <c r="L117" i="365"/>
  <c r="H117" i="365"/>
  <c r="N115" i="365"/>
  <c r="K115" i="365"/>
  <c r="J115" i="365"/>
  <c r="I115" i="365"/>
  <c r="G115" i="365"/>
  <c r="F115" i="365"/>
  <c r="E115" i="365"/>
  <c r="D115" i="365"/>
  <c r="C115" i="365"/>
  <c r="N114" i="365"/>
  <c r="K114" i="365"/>
  <c r="J114" i="365"/>
  <c r="I114" i="365"/>
  <c r="G114" i="365"/>
  <c r="F114" i="365"/>
  <c r="D114" i="365"/>
  <c r="C114" i="365"/>
  <c r="N113" i="365"/>
  <c r="K113" i="365"/>
  <c r="J113" i="365"/>
  <c r="I113" i="365"/>
  <c r="G113" i="365"/>
  <c r="F113" i="365"/>
  <c r="E113" i="365"/>
  <c r="D113" i="365"/>
  <c r="C113" i="365"/>
  <c r="L112" i="365"/>
  <c r="H112" i="365"/>
  <c r="M112" i="365" s="1"/>
  <c r="O112" i="365" s="1"/>
  <c r="L110" i="365"/>
  <c r="H110" i="365"/>
  <c r="E110" i="365"/>
  <c r="E114" i="365" s="1"/>
  <c r="L109" i="365"/>
  <c r="H109" i="365"/>
  <c r="M109" i="365" s="1"/>
  <c r="O109" i="365" s="1"/>
  <c r="L108" i="365"/>
  <c r="H108" i="365"/>
  <c r="M108" i="365" s="1"/>
  <c r="O108" i="365" s="1"/>
  <c r="L107" i="365"/>
  <c r="H107" i="365"/>
  <c r="M107" i="365" s="1"/>
  <c r="O107" i="365" s="1"/>
  <c r="L106" i="365"/>
  <c r="H106" i="365"/>
  <c r="M106" i="365" s="1"/>
  <c r="O106" i="365" s="1"/>
  <c r="L105" i="365"/>
  <c r="H105" i="365"/>
  <c r="M105" i="365" s="1"/>
  <c r="O105" i="365" s="1"/>
  <c r="L103" i="365"/>
  <c r="L115" i="365" s="1"/>
  <c r="H103" i="365"/>
  <c r="H115" i="365" s="1"/>
  <c r="L102" i="365"/>
  <c r="H102" i="365"/>
  <c r="M102" i="365" s="1"/>
  <c r="L101" i="365"/>
  <c r="L113" i="365" s="1"/>
  <c r="H101" i="365"/>
  <c r="H113" i="365" s="1"/>
  <c r="N99" i="365"/>
  <c r="K99" i="365"/>
  <c r="J99" i="365"/>
  <c r="I99" i="365"/>
  <c r="G99" i="365"/>
  <c r="F99" i="365"/>
  <c r="E99" i="365"/>
  <c r="D99" i="365"/>
  <c r="C99" i="365"/>
  <c r="N98" i="365"/>
  <c r="K98" i="365"/>
  <c r="J98" i="365"/>
  <c r="I98" i="365"/>
  <c r="G98" i="365"/>
  <c r="F98" i="365"/>
  <c r="D98" i="365"/>
  <c r="C98" i="365"/>
  <c r="N97" i="365"/>
  <c r="K97" i="365"/>
  <c r="J97" i="365"/>
  <c r="I97" i="365"/>
  <c r="G97" i="365"/>
  <c r="F97" i="365"/>
  <c r="E97" i="365"/>
  <c r="D97" i="365"/>
  <c r="C97" i="365"/>
  <c r="L96" i="365"/>
  <c r="H96" i="365"/>
  <c r="M96" i="365" s="1"/>
  <c r="O96" i="365" s="1"/>
  <c r="L94" i="365"/>
  <c r="H94" i="365"/>
  <c r="M94" i="365" s="1"/>
  <c r="O94" i="365" s="1"/>
  <c r="L93" i="365"/>
  <c r="H93" i="365"/>
  <c r="E93" i="365"/>
  <c r="E98" i="365" s="1"/>
  <c r="L92" i="365"/>
  <c r="H92" i="365"/>
  <c r="L91" i="365"/>
  <c r="H91" i="365"/>
  <c r="L90" i="365"/>
  <c r="H90" i="365"/>
  <c r="L89" i="365"/>
  <c r="H89" i="365"/>
  <c r="L87" i="365"/>
  <c r="L99" i="365" s="1"/>
  <c r="H87" i="365"/>
  <c r="L86" i="365"/>
  <c r="H86" i="365"/>
  <c r="L85" i="365"/>
  <c r="L97" i="365" s="1"/>
  <c r="H85" i="365"/>
  <c r="N83" i="365"/>
  <c r="K83" i="365"/>
  <c r="J83" i="365"/>
  <c r="I83" i="365"/>
  <c r="G83" i="365"/>
  <c r="F83" i="365"/>
  <c r="E83" i="365"/>
  <c r="D83" i="365"/>
  <c r="C83" i="365"/>
  <c r="N82" i="365"/>
  <c r="L82" i="365"/>
  <c r="K82" i="365"/>
  <c r="J82" i="365"/>
  <c r="I82" i="365"/>
  <c r="G82" i="365"/>
  <c r="F82" i="365"/>
  <c r="E82" i="365"/>
  <c r="D82" i="365"/>
  <c r="C82" i="365"/>
  <c r="N81" i="365"/>
  <c r="K81" i="365"/>
  <c r="J81" i="365"/>
  <c r="I81" i="365"/>
  <c r="G81" i="365"/>
  <c r="F81" i="365"/>
  <c r="E81" i="365"/>
  <c r="D81" i="365"/>
  <c r="C81" i="365"/>
  <c r="L80" i="365"/>
  <c r="H80" i="365"/>
  <c r="M80" i="365" s="1"/>
  <c r="O80" i="365" s="1"/>
  <c r="L78" i="365"/>
  <c r="H78" i="365"/>
  <c r="M78" i="365" s="1"/>
  <c r="O78" i="365" s="1"/>
  <c r="L77" i="365"/>
  <c r="H77" i="365"/>
  <c r="M77" i="365" s="1"/>
  <c r="O77" i="365" s="1"/>
  <c r="L76" i="365"/>
  <c r="H76" i="365"/>
  <c r="M76" i="365" s="1"/>
  <c r="O76" i="365" s="1"/>
  <c r="L75" i="365"/>
  <c r="H75" i="365"/>
  <c r="M75" i="365" s="1"/>
  <c r="O75" i="365" s="1"/>
  <c r="M74" i="365"/>
  <c r="O74" i="365" s="1"/>
  <c r="L74" i="365"/>
  <c r="H74" i="365"/>
  <c r="M72" i="365"/>
  <c r="O72" i="365" s="1"/>
  <c r="O83" i="365" s="1"/>
  <c r="L72" i="365"/>
  <c r="L83" i="365" s="1"/>
  <c r="H72" i="365"/>
  <c r="H83" i="365" s="1"/>
  <c r="L71" i="365"/>
  <c r="H71" i="365"/>
  <c r="L70" i="365"/>
  <c r="L81" i="365" s="1"/>
  <c r="H70" i="365"/>
  <c r="N68" i="365"/>
  <c r="K68" i="365"/>
  <c r="J68" i="365"/>
  <c r="I68" i="365"/>
  <c r="H68" i="365"/>
  <c r="G68" i="365"/>
  <c r="F68" i="365"/>
  <c r="E68" i="365"/>
  <c r="D68" i="365"/>
  <c r="C68" i="365"/>
  <c r="N67" i="365"/>
  <c r="K67" i="365"/>
  <c r="J67" i="365"/>
  <c r="I67" i="365"/>
  <c r="G67" i="365"/>
  <c r="F67" i="365"/>
  <c r="E67" i="365"/>
  <c r="D67" i="365"/>
  <c r="C67" i="365"/>
  <c r="N66" i="365"/>
  <c r="K66" i="365"/>
  <c r="J66" i="365"/>
  <c r="I66" i="365"/>
  <c r="H66" i="365"/>
  <c r="G66" i="365"/>
  <c r="F66" i="365"/>
  <c r="E66" i="365"/>
  <c r="D66" i="365"/>
  <c r="D132" i="365" s="1"/>
  <c r="C66" i="365"/>
  <c r="L65" i="365"/>
  <c r="H65" i="365"/>
  <c r="O63" i="365"/>
  <c r="L63" i="365"/>
  <c r="H63" i="365"/>
  <c r="M63" i="365" s="1"/>
  <c r="L62" i="365"/>
  <c r="H62" i="365"/>
  <c r="L61" i="365"/>
  <c r="H61" i="365"/>
  <c r="M61" i="365" s="1"/>
  <c r="O61" i="365" s="1"/>
  <c r="L60" i="365"/>
  <c r="H60" i="365"/>
  <c r="O59" i="365"/>
  <c r="L59" i="365"/>
  <c r="H59" i="365"/>
  <c r="M59" i="365" s="1"/>
  <c r="L58" i="365"/>
  <c r="H58" i="365"/>
  <c r="L56" i="365"/>
  <c r="L68" i="365" s="1"/>
  <c r="H56" i="365"/>
  <c r="M56" i="365" s="1"/>
  <c r="L55" i="365"/>
  <c r="H55" i="365"/>
  <c r="H67" i="365" s="1"/>
  <c r="O54" i="365"/>
  <c r="L54" i="365"/>
  <c r="L66" i="365" s="1"/>
  <c r="H54" i="365"/>
  <c r="M54" i="365" s="1"/>
  <c r="N52" i="365"/>
  <c r="K52" i="365"/>
  <c r="J52" i="365"/>
  <c r="I52" i="365"/>
  <c r="G52" i="365"/>
  <c r="F52" i="365"/>
  <c r="E52" i="365"/>
  <c r="D52" i="365"/>
  <c r="C52" i="365"/>
  <c r="N51" i="365"/>
  <c r="K51" i="365"/>
  <c r="J51" i="365"/>
  <c r="I51" i="365"/>
  <c r="G51" i="365"/>
  <c r="F51" i="365"/>
  <c r="D51" i="365"/>
  <c r="C51" i="365"/>
  <c r="N50" i="365"/>
  <c r="K50" i="365"/>
  <c r="J50" i="365"/>
  <c r="J132" i="365" s="1"/>
  <c r="I50" i="365"/>
  <c r="I132" i="365" s="1"/>
  <c r="G50" i="365"/>
  <c r="F50" i="365"/>
  <c r="F132" i="365" s="1"/>
  <c r="E50" i="365"/>
  <c r="E132" i="365" s="1"/>
  <c r="D50" i="365"/>
  <c r="C50" i="365"/>
  <c r="M49" i="365"/>
  <c r="O49" i="365" s="1"/>
  <c r="L49" i="365"/>
  <c r="H49" i="365"/>
  <c r="L47" i="365"/>
  <c r="H47" i="365"/>
  <c r="E47" i="365"/>
  <c r="E51" i="365" s="1"/>
  <c r="L46" i="365"/>
  <c r="H46" i="365"/>
  <c r="M46" i="365" s="1"/>
  <c r="O46" i="365" s="1"/>
  <c r="L45" i="365"/>
  <c r="L465" i="365" s="1"/>
  <c r="H45" i="365"/>
  <c r="L44" i="365"/>
  <c r="H44" i="365"/>
  <c r="L43" i="365"/>
  <c r="H43" i="365"/>
  <c r="L42" i="365"/>
  <c r="H42" i="365"/>
  <c r="M42" i="365" s="1"/>
  <c r="O42" i="365" s="1"/>
  <c r="L41" i="365"/>
  <c r="H41" i="365"/>
  <c r="O39" i="365"/>
  <c r="O52" i="365" s="1"/>
  <c r="L39" i="365"/>
  <c r="L52" i="365" s="1"/>
  <c r="H39" i="365"/>
  <c r="M39" i="365" s="1"/>
  <c r="M52" i="365" s="1"/>
  <c r="L38" i="365"/>
  <c r="H38" i="365"/>
  <c r="L37" i="365"/>
  <c r="H37" i="365"/>
  <c r="H50" i="365" s="1"/>
  <c r="I35" i="365"/>
  <c r="N34" i="365"/>
  <c r="K34" i="365"/>
  <c r="J34" i="365"/>
  <c r="I34" i="365"/>
  <c r="G34" i="365"/>
  <c r="F34" i="365"/>
  <c r="E34" i="365"/>
  <c r="D34" i="365"/>
  <c r="C34" i="365"/>
  <c r="N33" i="365"/>
  <c r="K33" i="365"/>
  <c r="J33" i="365"/>
  <c r="I33" i="365"/>
  <c r="G33" i="365"/>
  <c r="F33" i="365"/>
  <c r="D33" i="365"/>
  <c r="C33" i="365"/>
  <c r="N32" i="365"/>
  <c r="K32" i="365"/>
  <c r="J32" i="365"/>
  <c r="I32" i="365"/>
  <c r="G32" i="365"/>
  <c r="F32" i="365"/>
  <c r="D32" i="365"/>
  <c r="C32" i="365"/>
  <c r="O31" i="365"/>
  <c r="L31" i="365"/>
  <c r="H31" i="365"/>
  <c r="M31" i="365" s="1"/>
  <c r="L29" i="365"/>
  <c r="E29" i="365"/>
  <c r="E32" i="365" s="1"/>
  <c r="L28" i="365"/>
  <c r="H28" i="365"/>
  <c r="L27" i="365"/>
  <c r="H27" i="365"/>
  <c r="L26" i="365"/>
  <c r="H26" i="365"/>
  <c r="H461" i="365" s="1"/>
  <c r="L25" i="365"/>
  <c r="H25" i="365"/>
  <c r="L23" i="365"/>
  <c r="L34" i="365" s="1"/>
  <c r="H23" i="365"/>
  <c r="H34" i="365" s="1"/>
  <c r="L22" i="365"/>
  <c r="L33" i="365" s="1"/>
  <c r="H22" i="365"/>
  <c r="L21" i="365"/>
  <c r="H21" i="365"/>
  <c r="N19" i="365"/>
  <c r="K19" i="365"/>
  <c r="J19" i="365"/>
  <c r="J483" i="365" s="1"/>
  <c r="I19" i="365"/>
  <c r="G19" i="365"/>
  <c r="G483" i="365" s="1"/>
  <c r="F19" i="365"/>
  <c r="E19" i="365"/>
  <c r="D19" i="365"/>
  <c r="C19" i="365"/>
  <c r="C483" i="365" s="1"/>
  <c r="N18" i="365"/>
  <c r="N482" i="365" s="1"/>
  <c r="K18" i="365"/>
  <c r="J18" i="365"/>
  <c r="J482" i="365" s="1"/>
  <c r="I18" i="365"/>
  <c r="G18" i="365"/>
  <c r="G482" i="365" s="1"/>
  <c r="F18" i="365"/>
  <c r="F482" i="365" s="1"/>
  <c r="D18" i="365"/>
  <c r="C18" i="365"/>
  <c r="C482" i="365" s="1"/>
  <c r="N17" i="365"/>
  <c r="N35" i="365" s="1"/>
  <c r="K17" i="365"/>
  <c r="K35" i="365" s="1"/>
  <c r="J17" i="365"/>
  <c r="J35" i="365" s="1"/>
  <c r="I17" i="365"/>
  <c r="G17" i="365"/>
  <c r="G35" i="365" s="1"/>
  <c r="F17" i="365"/>
  <c r="F35" i="365" s="1"/>
  <c r="E17" i="365"/>
  <c r="E35" i="365" s="1"/>
  <c r="D17" i="365"/>
  <c r="D35" i="365" s="1"/>
  <c r="C17" i="365"/>
  <c r="C35" i="365" s="1"/>
  <c r="L16" i="365"/>
  <c r="H16" i="365"/>
  <c r="L14" i="365"/>
  <c r="H14" i="365"/>
  <c r="E14" i="365"/>
  <c r="L13" i="365"/>
  <c r="H13" i="365"/>
  <c r="L12" i="365"/>
  <c r="H12" i="365"/>
  <c r="L10" i="365"/>
  <c r="H10" i="365"/>
  <c r="H19" i="365" s="1"/>
  <c r="L9" i="365"/>
  <c r="H9" i="365"/>
  <c r="L8" i="365"/>
  <c r="H8" i="365"/>
  <c r="M460" i="364"/>
  <c r="I460" i="364"/>
  <c r="E460" i="364"/>
  <c r="M454" i="364"/>
  <c r="I454" i="364"/>
  <c r="E454" i="364"/>
  <c r="E451" i="364"/>
  <c r="E457" i="364" s="1"/>
  <c r="N450" i="364"/>
  <c r="N460" i="364" s="1"/>
  <c r="M450" i="364"/>
  <c r="I450" i="364"/>
  <c r="H450" i="364"/>
  <c r="H460" i="364" s="1"/>
  <c r="G450" i="364"/>
  <c r="G460" i="364" s="1"/>
  <c r="F450" i="364"/>
  <c r="F460" i="364" s="1"/>
  <c r="E450" i="364"/>
  <c r="D450" i="364"/>
  <c r="D460" i="364" s="1"/>
  <c r="C450" i="364"/>
  <c r="C460" i="364" s="1"/>
  <c r="N448" i="364"/>
  <c r="M448" i="364"/>
  <c r="K448" i="364"/>
  <c r="I448" i="364"/>
  <c r="H448" i="364"/>
  <c r="G448" i="364"/>
  <c r="F448" i="364"/>
  <c r="E448" i="364"/>
  <c r="D448" i="364"/>
  <c r="C448" i="364"/>
  <c r="N447" i="364"/>
  <c r="M447" i="364"/>
  <c r="I447" i="364"/>
  <c r="H447" i="364"/>
  <c r="G447" i="364"/>
  <c r="E447" i="364"/>
  <c r="D447" i="364"/>
  <c r="C447" i="364"/>
  <c r="N446" i="364"/>
  <c r="M446" i="364"/>
  <c r="I446" i="364"/>
  <c r="H446" i="364"/>
  <c r="G446" i="364"/>
  <c r="F446" i="364"/>
  <c r="E446" i="364"/>
  <c r="D446" i="364"/>
  <c r="C446" i="364"/>
  <c r="N445" i="364"/>
  <c r="M445" i="364"/>
  <c r="J445" i="364"/>
  <c r="I445" i="364"/>
  <c r="H445" i="364"/>
  <c r="G445" i="364"/>
  <c r="F445" i="364"/>
  <c r="E445" i="364"/>
  <c r="D445" i="364"/>
  <c r="C445" i="364"/>
  <c r="N444" i="364"/>
  <c r="M444" i="364"/>
  <c r="I444" i="364"/>
  <c r="H444" i="364"/>
  <c r="G444" i="364"/>
  <c r="F444" i="364"/>
  <c r="E444" i="364"/>
  <c r="D444" i="364"/>
  <c r="C444" i="364"/>
  <c r="N443" i="364"/>
  <c r="M443" i="364"/>
  <c r="I443" i="364"/>
  <c r="H443" i="364"/>
  <c r="G443" i="364"/>
  <c r="F443" i="364"/>
  <c r="E443" i="364"/>
  <c r="D443" i="364"/>
  <c r="C443" i="364"/>
  <c r="N442" i="364"/>
  <c r="M442" i="364"/>
  <c r="I442" i="364"/>
  <c r="H442" i="364"/>
  <c r="G442" i="364"/>
  <c r="F442" i="364"/>
  <c r="E442" i="364"/>
  <c r="D442" i="364"/>
  <c r="C442" i="364"/>
  <c r="N441" i="364"/>
  <c r="N459" i="364" s="1"/>
  <c r="M441" i="364"/>
  <c r="J441" i="364"/>
  <c r="I441" i="364"/>
  <c r="I459" i="364" s="1"/>
  <c r="H441" i="364"/>
  <c r="H459" i="364" s="1"/>
  <c r="G441" i="364"/>
  <c r="F441" i="364"/>
  <c r="E441" i="364"/>
  <c r="E459" i="364" s="1"/>
  <c r="D441" i="364"/>
  <c r="D459" i="364" s="1"/>
  <c r="C441" i="364"/>
  <c r="N439" i="364"/>
  <c r="M439" i="364"/>
  <c r="K439" i="364"/>
  <c r="I439" i="364"/>
  <c r="H439" i="364"/>
  <c r="G439" i="364"/>
  <c r="F439" i="364"/>
  <c r="E439" i="364"/>
  <c r="D439" i="364"/>
  <c r="C439" i="364"/>
  <c r="N438" i="364"/>
  <c r="M438" i="364"/>
  <c r="I438" i="364"/>
  <c r="H438" i="364"/>
  <c r="G438" i="364"/>
  <c r="E438" i="364"/>
  <c r="D438" i="364"/>
  <c r="N437" i="364"/>
  <c r="M437" i="364"/>
  <c r="I437" i="364"/>
  <c r="H437" i="364"/>
  <c r="G437" i="364"/>
  <c r="F437" i="364"/>
  <c r="E437" i="364"/>
  <c r="D437" i="364"/>
  <c r="C437" i="364"/>
  <c r="N436" i="364"/>
  <c r="M436" i="364"/>
  <c r="J436" i="364"/>
  <c r="I436" i="364"/>
  <c r="H436" i="364"/>
  <c r="G436" i="364"/>
  <c r="F436" i="364"/>
  <c r="E436" i="364"/>
  <c r="D436" i="364"/>
  <c r="C436" i="364"/>
  <c r="N435" i="364"/>
  <c r="M435" i="364"/>
  <c r="I435" i="364"/>
  <c r="H435" i="364"/>
  <c r="G435" i="364"/>
  <c r="F435" i="364"/>
  <c r="E435" i="364"/>
  <c r="D435" i="364"/>
  <c r="C435" i="364"/>
  <c r="N434" i="364"/>
  <c r="M434" i="364"/>
  <c r="I434" i="364"/>
  <c r="H434" i="364"/>
  <c r="G434" i="364"/>
  <c r="F434" i="364"/>
  <c r="E434" i="364"/>
  <c r="D434" i="364"/>
  <c r="C434" i="364"/>
  <c r="N433" i="364"/>
  <c r="M433" i="364"/>
  <c r="I433" i="364"/>
  <c r="H433" i="364"/>
  <c r="G433" i="364"/>
  <c r="F433" i="364"/>
  <c r="E433" i="364"/>
  <c r="D433" i="364"/>
  <c r="C433" i="364"/>
  <c r="N432" i="364"/>
  <c r="M432" i="364"/>
  <c r="I432" i="364"/>
  <c r="H432" i="364"/>
  <c r="G432" i="364"/>
  <c r="F432" i="364"/>
  <c r="E432" i="364"/>
  <c r="D432" i="364"/>
  <c r="C432" i="364"/>
  <c r="N431" i="364"/>
  <c r="M431" i="364"/>
  <c r="I431" i="364"/>
  <c r="H431" i="364"/>
  <c r="G431" i="364"/>
  <c r="G458" i="364" s="1"/>
  <c r="F431" i="364"/>
  <c r="E431" i="364"/>
  <c r="D431" i="364"/>
  <c r="C431" i="364"/>
  <c r="N430" i="364"/>
  <c r="M430" i="364"/>
  <c r="M458" i="364" s="1"/>
  <c r="I430" i="364"/>
  <c r="I458" i="364" s="1"/>
  <c r="H430" i="364"/>
  <c r="H458" i="364" s="1"/>
  <c r="G430" i="364"/>
  <c r="F430" i="364"/>
  <c r="E430" i="364"/>
  <c r="E458" i="364" s="1"/>
  <c r="D430" i="364"/>
  <c r="C430" i="364"/>
  <c r="N428" i="364"/>
  <c r="M428" i="364"/>
  <c r="M451" i="364" s="1"/>
  <c r="M457" i="364" s="1"/>
  <c r="I428" i="364"/>
  <c r="I451" i="364" s="1"/>
  <c r="I457" i="364" s="1"/>
  <c r="H428" i="364"/>
  <c r="H451" i="364" s="1"/>
  <c r="H457" i="364" s="1"/>
  <c r="G428" i="364"/>
  <c r="F428" i="364"/>
  <c r="E428" i="364"/>
  <c r="D428" i="364"/>
  <c r="C428" i="364"/>
  <c r="N426" i="364"/>
  <c r="N454" i="364" s="1"/>
  <c r="M426" i="364"/>
  <c r="K426" i="364"/>
  <c r="K454" i="364" s="1"/>
  <c r="I426" i="364"/>
  <c r="H426" i="364"/>
  <c r="H454" i="364" s="1"/>
  <c r="G426" i="364"/>
  <c r="G454" i="364" s="1"/>
  <c r="F426" i="364"/>
  <c r="F454" i="364" s="1"/>
  <c r="E426" i="364"/>
  <c r="D426" i="364"/>
  <c r="D454" i="364" s="1"/>
  <c r="C426" i="364"/>
  <c r="C454" i="364" s="1"/>
  <c r="N425" i="364"/>
  <c r="M425" i="364"/>
  <c r="I425" i="364"/>
  <c r="H425" i="364"/>
  <c r="G425" i="364"/>
  <c r="F425" i="364"/>
  <c r="E425" i="364"/>
  <c r="D425" i="364"/>
  <c r="C425" i="364"/>
  <c r="N424" i="364"/>
  <c r="M424" i="364"/>
  <c r="I424" i="364"/>
  <c r="H424" i="364"/>
  <c r="G424" i="364"/>
  <c r="F424" i="364"/>
  <c r="E424" i="364"/>
  <c r="D424" i="364"/>
  <c r="C424" i="364"/>
  <c r="N423" i="364"/>
  <c r="M423" i="364"/>
  <c r="K423" i="364"/>
  <c r="I423" i="364"/>
  <c r="H423" i="364"/>
  <c r="G423" i="364"/>
  <c r="F423" i="364"/>
  <c r="E423" i="364"/>
  <c r="D423" i="364"/>
  <c r="C423" i="364"/>
  <c r="K422" i="364"/>
  <c r="K450" i="364" s="1"/>
  <c r="K460" i="364" s="1"/>
  <c r="J422" i="364"/>
  <c r="L422" i="364" s="1"/>
  <c r="K421" i="364"/>
  <c r="J421" i="364"/>
  <c r="L421" i="364" s="1"/>
  <c r="O421" i="364" s="1"/>
  <c r="K420" i="364"/>
  <c r="J420" i="364"/>
  <c r="K419" i="364"/>
  <c r="J419" i="364"/>
  <c r="L419" i="364" s="1"/>
  <c r="O419" i="364" s="1"/>
  <c r="K418" i="364"/>
  <c r="J418" i="364"/>
  <c r="K417" i="364"/>
  <c r="J417" i="364"/>
  <c r="L417" i="364" s="1"/>
  <c r="O417" i="364" s="1"/>
  <c r="K416" i="364"/>
  <c r="J416" i="364"/>
  <c r="L416" i="364" s="1"/>
  <c r="O416" i="364" s="1"/>
  <c r="K414" i="364"/>
  <c r="J414" i="364"/>
  <c r="K413" i="364"/>
  <c r="K425" i="364" s="1"/>
  <c r="J413" i="364"/>
  <c r="K412" i="364"/>
  <c r="K424" i="364" s="1"/>
  <c r="J412" i="364"/>
  <c r="K411" i="364"/>
  <c r="J411" i="364"/>
  <c r="I408" i="364"/>
  <c r="N407" i="364"/>
  <c r="M407" i="364"/>
  <c r="J407" i="364"/>
  <c r="I407" i="364"/>
  <c r="H407" i="364"/>
  <c r="G407" i="364"/>
  <c r="F407" i="364"/>
  <c r="E407" i="364"/>
  <c r="D407" i="364"/>
  <c r="C407" i="364"/>
  <c r="N406" i="364"/>
  <c r="M406" i="364"/>
  <c r="K406" i="364"/>
  <c r="I406" i="364"/>
  <c r="H406" i="364"/>
  <c r="G406" i="364"/>
  <c r="F406" i="364"/>
  <c r="E406" i="364"/>
  <c r="D406" i="364"/>
  <c r="C406" i="364"/>
  <c r="N405" i="364"/>
  <c r="M405" i="364"/>
  <c r="M408" i="364" s="1"/>
  <c r="I405" i="364"/>
  <c r="H405" i="364"/>
  <c r="G405" i="364"/>
  <c r="F405" i="364"/>
  <c r="E405" i="364"/>
  <c r="D405" i="364"/>
  <c r="C405" i="364"/>
  <c r="L404" i="364"/>
  <c r="K404" i="364"/>
  <c r="K446" i="364" s="1"/>
  <c r="J404" i="364"/>
  <c r="J446" i="364" s="1"/>
  <c r="L403" i="364"/>
  <c r="O403" i="364" s="1"/>
  <c r="K403" i="364"/>
  <c r="J403" i="364"/>
  <c r="L401" i="364"/>
  <c r="O401" i="364" s="1"/>
  <c r="K401" i="364"/>
  <c r="J401" i="364"/>
  <c r="L399" i="364"/>
  <c r="K399" i="364"/>
  <c r="K407" i="364" s="1"/>
  <c r="J399" i="364"/>
  <c r="L398" i="364"/>
  <c r="K398" i="364"/>
  <c r="J398" i="364"/>
  <c r="J406" i="364" s="1"/>
  <c r="L397" i="364"/>
  <c r="K397" i="364"/>
  <c r="K405" i="364" s="1"/>
  <c r="J397" i="364"/>
  <c r="J405" i="364" s="1"/>
  <c r="N395" i="364"/>
  <c r="M395" i="364"/>
  <c r="J395" i="364"/>
  <c r="I395" i="364"/>
  <c r="H395" i="364"/>
  <c r="G395" i="364"/>
  <c r="F395" i="364"/>
  <c r="E395" i="364"/>
  <c r="D395" i="364"/>
  <c r="C395" i="364"/>
  <c r="N394" i="364"/>
  <c r="M394" i="364"/>
  <c r="I394" i="364"/>
  <c r="H394" i="364"/>
  <c r="G394" i="364"/>
  <c r="E394" i="364"/>
  <c r="D394" i="364"/>
  <c r="C394" i="364"/>
  <c r="K393" i="364"/>
  <c r="F393" i="364"/>
  <c r="J393" i="364" s="1"/>
  <c r="L392" i="364"/>
  <c r="O392" i="364" s="1"/>
  <c r="K392" i="364"/>
  <c r="J392" i="364"/>
  <c r="L391" i="364"/>
  <c r="O391" i="364" s="1"/>
  <c r="K391" i="364"/>
  <c r="J391" i="364"/>
  <c r="L389" i="364"/>
  <c r="K389" i="364"/>
  <c r="J389" i="364"/>
  <c r="L388" i="364"/>
  <c r="O388" i="364" s="1"/>
  <c r="K388" i="364"/>
  <c r="K394" i="364" s="1"/>
  <c r="J388" i="364"/>
  <c r="J394" i="364" s="1"/>
  <c r="N386" i="364"/>
  <c r="M386" i="364"/>
  <c r="J386" i="364"/>
  <c r="I386" i="364"/>
  <c r="H386" i="364"/>
  <c r="G386" i="364"/>
  <c r="F386" i="364"/>
  <c r="E386" i="364"/>
  <c r="D386" i="364"/>
  <c r="C386" i="364"/>
  <c r="N385" i="364"/>
  <c r="M385" i="364"/>
  <c r="I385" i="364"/>
  <c r="H385" i="364"/>
  <c r="G385" i="364"/>
  <c r="F385" i="364"/>
  <c r="E385" i="364"/>
  <c r="D385" i="364"/>
  <c r="C385" i="364"/>
  <c r="K384" i="364"/>
  <c r="J384" i="364"/>
  <c r="L384" i="364" s="1"/>
  <c r="O384" i="364" s="1"/>
  <c r="K383" i="364"/>
  <c r="J383" i="364"/>
  <c r="L383" i="364" s="1"/>
  <c r="O383" i="364" s="1"/>
  <c r="K381" i="364"/>
  <c r="J381" i="364"/>
  <c r="L381" i="364" s="1"/>
  <c r="K380" i="364"/>
  <c r="K385" i="364" s="1"/>
  <c r="J380" i="364"/>
  <c r="J385" i="364" s="1"/>
  <c r="N378" i="364"/>
  <c r="M378" i="364"/>
  <c r="I378" i="364"/>
  <c r="H378" i="364"/>
  <c r="G378" i="364"/>
  <c r="F378" i="364"/>
  <c r="E378" i="364"/>
  <c r="D378" i="364"/>
  <c r="C378" i="364"/>
  <c r="N377" i="364"/>
  <c r="M377" i="364"/>
  <c r="J377" i="364"/>
  <c r="I377" i="364"/>
  <c r="H377" i="364"/>
  <c r="G377" i="364"/>
  <c r="F377" i="364"/>
  <c r="E377" i="364"/>
  <c r="D377" i="364"/>
  <c r="C377" i="364"/>
  <c r="N376" i="364"/>
  <c r="M376" i="364"/>
  <c r="I376" i="364"/>
  <c r="H376" i="364"/>
  <c r="G376" i="364"/>
  <c r="F376" i="364"/>
  <c r="E376" i="364"/>
  <c r="D376" i="364"/>
  <c r="C376" i="364"/>
  <c r="K375" i="364"/>
  <c r="J375" i="364"/>
  <c r="L375" i="364" s="1"/>
  <c r="O375" i="364" s="1"/>
  <c r="K374" i="364"/>
  <c r="J374" i="364"/>
  <c r="L374" i="364" s="1"/>
  <c r="O374" i="364" s="1"/>
  <c r="K372" i="364"/>
  <c r="J372" i="364"/>
  <c r="L372" i="364" s="1"/>
  <c r="O372" i="364" s="1"/>
  <c r="K371" i="364"/>
  <c r="J371" i="364"/>
  <c r="L371" i="364" s="1"/>
  <c r="O371" i="364" s="1"/>
  <c r="K369" i="364"/>
  <c r="K378" i="364" s="1"/>
  <c r="J369" i="364"/>
  <c r="J378" i="364" s="1"/>
  <c r="K368" i="364"/>
  <c r="J368" i="364"/>
  <c r="L368" i="364" s="1"/>
  <c r="K367" i="364"/>
  <c r="K376" i="364" s="1"/>
  <c r="J367" i="364"/>
  <c r="J376" i="364" s="1"/>
  <c r="N365" i="364"/>
  <c r="M365" i="364"/>
  <c r="I365" i="364"/>
  <c r="H365" i="364"/>
  <c r="G365" i="364"/>
  <c r="F365" i="364"/>
  <c r="E365" i="364"/>
  <c r="D365" i="364"/>
  <c r="C365" i="364"/>
  <c r="N364" i="364"/>
  <c r="M364" i="364"/>
  <c r="J364" i="364"/>
  <c r="I364" i="364"/>
  <c r="H364" i="364"/>
  <c r="G364" i="364"/>
  <c r="F364" i="364"/>
  <c r="E364" i="364"/>
  <c r="D364" i="364"/>
  <c r="C364" i="364"/>
  <c r="N363" i="364"/>
  <c r="M363" i="364"/>
  <c r="I363" i="364"/>
  <c r="H363" i="364"/>
  <c r="G363" i="364"/>
  <c r="F363" i="364"/>
  <c r="E363" i="364"/>
  <c r="D363" i="364"/>
  <c r="C363" i="364"/>
  <c r="K362" i="364"/>
  <c r="K445" i="364" s="1"/>
  <c r="J362" i="364"/>
  <c r="L362" i="364" s="1"/>
  <c r="K361" i="364"/>
  <c r="J361" i="364"/>
  <c r="L361" i="364" s="1"/>
  <c r="O361" i="364" s="1"/>
  <c r="K359" i="364"/>
  <c r="J359" i="364"/>
  <c r="L359" i="364" s="1"/>
  <c r="O359" i="364" s="1"/>
  <c r="K358" i="364"/>
  <c r="K436" i="364" s="1"/>
  <c r="J358" i="364"/>
  <c r="L358" i="364" s="1"/>
  <c r="K357" i="364"/>
  <c r="K433" i="364" s="1"/>
  <c r="J357" i="364"/>
  <c r="J433" i="364" s="1"/>
  <c r="K356" i="364"/>
  <c r="J356" i="364"/>
  <c r="L356" i="364" s="1"/>
  <c r="O356" i="364" s="1"/>
  <c r="K354" i="364"/>
  <c r="K365" i="364" s="1"/>
  <c r="J354" i="364"/>
  <c r="J365" i="364" s="1"/>
  <c r="K353" i="364"/>
  <c r="J353" i="364"/>
  <c r="L353" i="364" s="1"/>
  <c r="K352" i="364"/>
  <c r="K363" i="364" s="1"/>
  <c r="J352" i="364"/>
  <c r="J363" i="364" s="1"/>
  <c r="N350" i="364"/>
  <c r="M350" i="364"/>
  <c r="I350" i="364"/>
  <c r="H350" i="364"/>
  <c r="G350" i="364"/>
  <c r="F350" i="364"/>
  <c r="E350" i="364"/>
  <c r="D350" i="364"/>
  <c r="C350" i="364"/>
  <c r="N349" i="364"/>
  <c r="M349" i="364"/>
  <c r="K349" i="364"/>
  <c r="I349" i="364"/>
  <c r="H349" i="364"/>
  <c r="G349" i="364"/>
  <c r="F349" i="364"/>
  <c r="E349" i="364"/>
  <c r="D349" i="364"/>
  <c r="C349" i="364"/>
  <c r="K347" i="364"/>
  <c r="K350" i="364" s="1"/>
  <c r="J347" i="364"/>
  <c r="K346" i="364"/>
  <c r="J346" i="364"/>
  <c r="N344" i="364"/>
  <c r="M344" i="364"/>
  <c r="K344" i="364"/>
  <c r="I344" i="364"/>
  <c r="H344" i="364"/>
  <c r="G344" i="364"/>
  <c r="F344" i="364"/>
  <c r="E344" i="364"/>
  <c r="D344" i="364"/>
  <c r="C344" i="364"/>
  <c r="N343" i="364"/>
  <c r="N408" i="364" s="1"/>
  <c r="M343" i="364"/>
  <c r="J343" i="364"/>
  <c r="I343" i="364"/>
  <c r="H343" i="364"/>
  <c r="H408" i="364" s="1"/>
  <c r="G343" i="364"/>
  <c r="F343" i="364"/>
  <c r="E343" i="364"/>
  <c r="E408" i="364" s="1"/>
  <c r="D343" i="364"/>
  <c r="D408" i="364" s="1"/>
  <c r="C343" i="364"/>
  <c r="O342" i="364"/>
  <c r="L342" i="364"/>
  <c r="K342" i="364"/>
  <c r="K447" i="364" s="1"/>
  <c r="J342" i="364"/>
  <c r="J447" i="364" s="1"/>
  <c r="O341" i="364"/>
  <c r="L341" i="364"/>
  <c r="K341" i="364"/>
  <c r="J341" i="364"/>
  <c r="O340" i="364"/>
  <c r="L340" i="364"/>
  <c r="K340" i="364"/>
  <c r="J340" i="364"/>
  <c r="O339" i="364"/>
  <c r="O441" i="364" s="1"/>
  <c r="L339" i="364"/>
  <c r="L441" i="364" s="1"/>
  <c r="K339" i="364"/>
  <c r="K441" i="364" s="1"/>
  <c r="J339" i="364"/>
  <c r="O337" i="364"/>
  <c r="O344" i="364" s="1"/>
  <c r="P343" i="364" s="1"/>
  <c r="L337" i="364"/>
  <c r="L344" i="364" s="1"/>
  <c r="K337" i="364"/>
  <c r="J337" i="364"/>
  <c r="J344" i="364" s="1"/>
  <c r="O336" i="364"/>
  <c r="O343" i="364" s="1"/>
  <c r="L336" i="364"/>
  <c r="L343" i="364" s="1"/>
  <c r="K336" i="364"/>
  <c r="K343" i="364" s="1"/>
  <c r="K408" i="364" s="1"/>
  <c r="J336" i="364"/>
  <c r="N334" i="364"/>
  <c r="M334" i="364"/>
  <c r="J334" i="364"/>
  <c r="I334" i="364"/>
  <c r="H334" i="364"/>
  <c r="G334" i="364"/>
  <c r="F334" i="364"/>
  <c r="E334" i="364"/>
  <c r="D334" i="364"/>
  <c r="C334" i="364"/>
  <c r="N333" i="364"/>
  <c r="M333" i="364"/>
  <c r="I333" i="364"/>
  <c r="H333" i="364"/>
  <c r="G333" i="364"/>
  <c r="F333" i="364"/>
  <c r="E333" i="364"/>
  <c r="D333" i="364"/>
  <c r="C333" i="364"/>
  <c r="N332" i="364"/>
  <c r="M332" i="364"/>
  <c r="J332" i="364"/>
  <c r="I332" i="364"/>
  <c r="H332" i="364"/>
  <c r="G332" i="364"/>
  <c r="F332" i="364"/>
  <c r="E332" i="364"/>
  <c r="D332" i="364"/>
  <c r="C332" i="364"/>
  <c r="K331" i="364"/>
  <c r="L331" i="364" s="1"/>
  <c r="O331" i="364" s="1"/>
  <c r="J331" i="364"/>
  <c r="K329" i="364"/>
  <c r="L329" i="364" s="1"/>
  <c r="O329" i="364" s="1"/>
  <c r="J329" i="364"/>
  <c r="K328" i="364"/>
  <c r="L328" i="364" s="1"/>
  <c r="O328" i="364" s="1"/>
  <c r="J328" i="364"/>
  <c r="K327" i="364"/>
  <c r="L327" i="364" s="1"/>
  <c r="O327" i="364" s="1"/>
  <c r="J327" i="364"/>
  <c r="K325" i="364"/>
  <c r="J325" i="364"/>
  <c r="K324" i="364"/>
  <c r="J324" i="364"/>
  <c r="J333" i="364" s="1"/>
  <c r="K323" i="364"/>
  <c r="J323" i="364"/>
  <c r="E321" i="364"/>
  <c r="N320" i="364"/>
  <c r="M320" i="364"/>
  <c r="J320" i="364"/>
  <c r="I320" i="364"/>
  <c r="H320" i="364"/>
  <c r="G320" i="364"/>
  <c r="F320" i="364"/>
  <c r="E320" i="364"/>
  <c r="D320" i="364"/>
  <c r="C320" i="364"/>
  <c r="N319" i="364"/>
  <c r="M319" i="364"/>
  <c r="K319" i="364"/>
  <c r="I319" i="364"/>
  <c r="H319" i="364"/>
  <c r="G319" i="364"/>
  <c r="E319" i="364"/>
  <c r="D319" i="364"/>
  <c r="C319" i="364"/>
  <c r="N318" i="364"/>
  <c r="M318" i="364"/>
  <c r="M321" i="364" s="1"/>
  <c r="I318" i="364"/>
  <c r="I321" i="364" s="1"/>
  <c r="H318" i="364"/>
  <c r="G318" i="364"/>
  <c r="E318" i="364"/>
  <c r="D318" i="364"/>
  <c r="C318" i="364"/>
  <c r="L317" i="364"/>
  <c r="K317" i="364"/>
  <c r="K444" i="364" s="1"/>
  <c r="J317" i="364"/>
  <c r="J444" i="364" s="1"/>
  <c r="L316" i="364"/>
  <c r="O316" i="364" s="1"/>
  <c r="K316" i="364"/>
  <c r="J316" i="364"/>
  <c r="L314" i="364"/>
  <c r="O314" i="364" s="1"/>
  <c r="K314" i="364"/>
  <c r="J314" i="364"/>
  <c r="F314" i="364"/>
  <c r="F319" i="364" s="1"/>
  <c r="K313" i="364"/>
  <c r="J313" i="364"/>
  <c r="L313" i="364" s="1"/>
  <c r="O313" i="364" s="1"/>
  <c r="K312" i="364"/>
  <c r="J312" i="364"/>
  <c r="L312" i="364" s="1"/>
  <c r="O312" i="364" s="1"/>
  <c r="O311" i="364"/>
  <c r="K311" i="364"/>
  <c r="J311" i="364"/>
  <c r="L311" i="364" s="1"/>
  <c r="O309" i="364"/>
  <c r="K309" i="364"/>
  <c r="K320" i="364" s="1"/>
  <c r="J309" i="364"/>
  <c r="L309" i="364" s="1"/>
  <c r="K308" i="364"/>
  <c r="J308" i="364"/>
  <c r="J319" i="364" s="1"/>
  <c r="K307" i="364"/>
  <c r="K318" i="364" s="1"/>
  <c r="J307" i="364"/>
  <c r="L307" i="364" s="1"/>
  <c r="N305" i="364"/>
  <c r="M305" i="364"/>
  <c r="K305" i="364"/>
  <c r="I305" i="364"/>
  <c r="H305" i="364"/>
  <c r="G305" i="364"/>
  <c r="F305" i="364"/>
  <c r="E305" i="364"/>
  <c r="D305" i="364"/>
  <c r="C305" i="364"/>
  <c r="N304" i="364"/>
  <c r="M304" i="364"/>
  <c r="I304" i="364"/>
  <c r="H304" i="364"/>
  <c r="G304" i="364"/>
  <c r="F304" i="364"/>
  <c r="E304" i="364"/>
  <c r="D304" i="364"/>
  <c r="C304" i="364"/>
  <c r="N303" i="364"/>
  <c r="M303" i="364"/>
  <c r="J303" i="364"/>
  <c r="I303" i="364"/>
  <c r="H303" i="364"/>
  <c r="G303" i="364"/>
  <c r="F303" i="364"/>
  <c r="E303" i="364"/>
  <c r="D303" i="364"/>
  <c r="C303" i="364"/>
  <c r="O302" i="364"/>
  <c r="K302" i="364"/>
  <c r="J302" i="364"/>
  <c r="L302" i="364" s="1"/>
  <c r="K300" i="364"/>
  <c r="J300" i="364"/>
  <c r="L300" i="364" s="1"/>
  <c r="O300" i="364" s="1"/>
  <c r="K299" i="364"/>
  <c r="J299" i="364"/>
  <c r="L299" i="364" s="1"/>
  <c r="O299" i="364" s="1"/>
  <c r="O298" i="364"/>
  <c r="K298" i="364"/>
  <c r="J298" i="364"/>
  <c r="L298" i="364" s="1"/>
  <c r="O297" i="364"/>
  <c r="K297" i="364"/>
  <c r="J297" i="364"/>
  <c r="L297" i="364" s="1"/>
  <c r="K296" i="364"/>
  <c r="J296" i="364"/>
  <c r="L296" i="364" s="1"/>
  <c r="O296" i="364" s="1"/>
  <c r="K294" i="364"/>
  <c r="J294" i="364"/>
  <c r="J305" i="364" s="1"/>
  <c r="O293" i="364"/>
  <c r="K293" i="364"/>
  <c r="K304" i="364" s="1"/>
  <c r="J293" i="364"/>
  <c r="L293" i="364" s="1"/>
  <c r="L304" i="364" s="1"/>
  <c r="O292" i="364"/>
  <c r="K292" i="364"/>
  <c r="K303" i="364" s="1"/>
  <c r="J292" i="364"/>
  <c r="L292" i="364" s="1"/>
  <c r="N290" i="364"/>
  <c r="M290" i="364"/>
  <c r="K290" i="364"/>
  <c r="I290" i="364"/>
  <c r="H290" i="364"/>
  <c r="G290" i="364"/>
  <c r="F290" i="364"/>
  <c r="E290" i="364"/>
  <c r="D290" i="364"/>
  <c r="C290" i="364"/>
  <c r="N289" i="364"/>
  <c r="M289" i="364"/>
  <c r="I289" i="364"/>
  <c r="H289" i="364"/>
  <c r="G289" i="364"/>
  <c r="E289" i="364"/>
  <c r="D289" i="364"/>
  <c r="C289" i="364"/>
  <c r="N288" i="364"/>
  <c r="N321" i="364" s="1"/>
  <c r="M288" i="364"/>
  <c r="I288" i="364"/>
  <c r="H288" i="364"/>
  <c r="H321" i="364" s="1"/>
  <c r="G288" i="364"/>
  <c r="G321" i="364" s="1"/>
  <c r="E288" i="364"/>
  <c r="D288" i="364"/>
  <c r="D321" i="364" s="1"/>
  <c r="C288" i="364"/>
  <c r="C321" i="364" s="1"/>
  <c r="K287" i="364"/>
  <c r="K443" i="364" s="1"/>
  <c r="J287" i="364"/>
  <c r="J443" i="364" s="1"/>
  <c r="O286" i="364"/>
  <c r="K286" i="364"/>
  <c r="J286" i="364"/>
  <c r="L286" i="364" s="1"/>
  <c r="K284" i="364"/>
  <c r="F284" i="364"/>
  <c r="K283" i="364"/>
  <c r="J283" i="364"/>
  <c r="L283" i="364" s="1"/>
  <c r="O283" i="364" s="1"/>
  <c r="K282" i="364"/>
  <c r="J282" i="364"/>
  <c r="L282" i="364" s="1"/>
  <c r="O282" i="364" s="1"/>
  <c r="K281" i="364"/>
  <c r="J281" i="364"/>
  <c r="L281" i="364" s="1"/>
  <c r="O281" i="364" s="1"/>
  <c r="K280" i="364"/>
  <c r="J280" i="364"/>
  <c r="L280" i="364" s="1"/>
  <c r="O280" i="364" s="1"/>
  <c r="K278" i="364"/>
  <c r="J278" i="364"/>
  <c r="K277" i="364"/>
  <c r="K289" i="364" s="1"/>
  <c r="J277" i="364"/>
  <c r="K276" i="364"/>
  <c r="K288" i="364" s="1"/>
  <c r="J276" i="364"/>
  <c r="L276" i="364" s="1"/>
  <c r="N272" i="364"/>
  <c r="M272" i="364"/>
  <c r="K272" i="364"/>
  <c r="J272" i="364"/>
  <c r="I272" i="364"/>
  <c r="H272" i="364"/>
  <c r="G272" i="364"/>
  <c r="F272" i="364"/>
  <c r="E272" i="364"/>
  <c r="D272" i="364"/>
  <c r="C272" i="364"/>
  <c r="N271" i="364"/>
  <c r="M271" i="364"/>
  <c r="K271" i="364"/>
  <c r="I271" i="364"/>
  <c r="H271" i="364"/>
  <c r="G271" i="364"/>
  <c r="F271" i="364"/>
  <c r="E271" i="364"/>
  <c r="D271" i="364"/>
  <c r="C271" i="364"/>
  <c r="N270" i="364"/>
  <c r="M270" i="364"/>
  <c r="K270" i="364"/>
  <c r="I270" i="364"/>
  <c r="H270" i="364"/>
  <c r="G270" i="364"/>
  <c r="F270" i="364"/>
  <c r="E270" i="364"/>
  <c r="D270" i="364"/>
  <c r="C270" i="364"/>
  <c r="L269" i="364"/>
  <c r="O269" i="364" s="1"/>
  <c r="K269" i="364"/>
  <c r="J269" i="364"/>
  <c r="L267" i="364"/>
  <c r="O267" i="364" s="1"/>
  <c r="K267" i="364"/>
  <c r="J267" i="364"/>
  <c r="L266" i="364"/>
  <c r="O266" i="364" s="1"/>
  <c r="K266" i="364"/>
  <c r="J266" i="364"/>
  <c r="L265" i="364"/>
  <c r="O265" i="364" s="1"/>
  <c r="K265" i="364"/>
  <c r="J265" i="364"/>
  <c r="L263" i="364"/>
  <c r="K263" i="364"/>
  <c r="J263" i="364"/>
  <c r="L262" i="364"/>
  <c r="K262" i="364"/>
  <c r="J262" i="364"/>
  <c r="J271" i="364" s="1"/>
  <c r="L261" i="364"/>
  <c r="K261" i="364"/>
  <c r="J261" i="364"/>
  <c r="J270" i="364" s="1"/>
  <c r="N259" i="364"/>
  <c r="M259" i="364"/>
  <c r="K259" i="364"/>
  <c r="J259" i="364"/>
  <c r="I259" i="364"/>
  <c r="H259" i="364"/>
  <c r="G259" i="364"/>
  <c r="F259" i="364"/>
  <c r="E259" i="364"/>
  <c r="D259" i="364"/>
  <c r="C259" i="364"/>
  <c r="N258" i="364"/>
  <c r="M258" i="364"/>
  <c r="K258" i="364"/>
  <c r="I258" i="364"/>
  <c r="H258" i="364"/>
  <c r="G258" i="364"/>
  <c r="F258" i="364"/>
  <c r="E258" i="364"/>
  <c r="D258" i="364"/>
  <c r="C258" i="364"/>
  <c r="N257" i="364"/>
  <c r="M257" i="364"/>
  <c r="K257" i="364"/>
  <c r="I257" i="364"/>
  <c r="H257" i="364"/>
  <c r="G257" i="364"/>
  <c r="F257" i="364"/>
  <c r="E257" i="364"/>
  <c r="D257" i="364"/>
  <c r="C257" i="364"/>
  <c r="L256" i="364"/>
  <c r="O256" i="364" s="1"/>
  <c r="K256" i="364"/>
  <c r="J256" i="364"/>
  <c r="L254" i="364"/>
  <c r="O254" i="364" s="1"/>
  <c r="K254" i="364"/>
  <c r="J254" i="364"/>
  <c r="L253" i="364"/>
  <c r="O253" i="364" s="1"/>
  <c r="K253" i="364"/>
  <c r="J253" i="364"/>
  <c r="L251" i="364"/>
  <c r="K251" i="364"/>
  <c r="J251" i="364"/>
  <c r="L250" i="364"/>
  <c r="K250" i="364"/>
  <c r="J250" i="364"/>
  <c r="J258" i="364" s="1"/>
  <c r="L249" i="364"/>
  <c r="K249" i="364"/>
  <c r="J249" i="364"/>
  <c r="J257" i="364" s="1"/>
  <c r="N247" i="364"/>
  <c r="M247" i="364"/>
  <c r="J247" i="364"/>
  <c r="I247" i="364"/>
  <c r="H247" i="364"/>
  <c r="G247" i="364"/>
  <c r="F247" i="364"/>
  <c r="E247" i="364"/>
  <c r="D247" i="364"/>
  <c r="C247" i="364"/>
  <c r="N246" i="364"/>
  <c r="M246" i="364"/>
  <c r="K246" i="364"/>
  <c r="I246" i="364"/>
  <c r="H246" i="364"/>
  <c r="G246" i="364"/>
  <c r="E246" i="364"/>
  <c r="D246" i="364"/>
  <c r="C246" i="364"/>
  <c r="N245" i="364"/>
  <c r="M245" i="364"/>
  <c r="I245" i="364"/>
  <c r="H245" i="364"/>
  <c r="G245" i="364"/>
  <c r="E245" i="364"/>
  <c r="D245" i="364"/>
  <c r="C245" i="364"/>
  <c r="L244" i="364"/>
  <c r="O244" i="364" s="1"/>
  <c r="K244" i="364"/>
  <c r="J244" i="364"/>
  <c r="L242" i="364"/>
  <c r="O242" i="364" s="1"/>
  <c r="K242" i="364"/>
  <c r="J242" i="364"/>
  <c r="F242" i="364"/>
  <c r="F246" i="364" s="1"/>
  <c r="O241" i="364"/>
  <c r="K241" i="364"/>
  <c r="J241" i="364"/>
  <c r="L241" i="364" s="1"/>
  <c r="K239" i="364"/>
  <c r="K247" i="364" s="1"/>
  <c r="J239" i="364"/>
  <c r="L239" i="364" s="1"/>
  <c r="L247" i="364" s="1"/>
  <c r="K238" i="364"/>
  <c r="J238" i="364"/>
  <c r="J246" i="364" s="1"/>
  <c r="O237" i="364"/>
  <c r="O245" i="364" s="1"/>
  <c r="K237" i="364"/>
  <c r="K245" i="364" s="1"/>
  <c r="J237" i="364"/>
  <c r="L237" i="364" s="1"/>
  <c r="N235" i="364"/>
  <c r="M235" i="364"/>
  <c r="K235" i="364"/>
  <c r="I235" i="364"/>
  <c r="H235" i="364"/>
  <c r="G235" i="364"/>
  <c r="F235" i="364"/>
  <c r="E235" i="364"/>
  <c r="D235" i="364"/>
  <c r="C235" i="364"/>
  <c r="N234" i="364"/>
  <c r="M234" i="364"/>
  <c r="I234" i="364"/>
  <c r="H234" i="364"/>
  <c r="G234" i="364"/>
  <c r="E234" i="364"/>
  <c r="D234" i="364"/>
  <c r="C234" i="364"/>
  <c r="N233" i="364"/>
  <c r="M233" i="364"/>
  <c r="I233" i="364"/>
  <c r="H233" i="364"/>
  <c r="G233" i="364"/>
  <c r="E233" i="364"/>
  <c r="D233" i="364"/>
  <c r="C233" i="364"/>
  <c r="K232" i="364"/>
  <c r="J232" i="364"/>
  <c r="L232" i="364" s="1"/>
  <c r="O232" i="364" s="1"/>
  <c r="K230" i="364"/>
  <c r="F230" i="364"/>
  <c r="K229" i="364"/>
  <c r="J229" i="364"/>
  <c r="L229" i="364" s="1"/>
  <c r="O229" i="364" s="1"/>
  <c r="K228" i="364"/>
  <c r="J228" i="364"/>
  <c r="L228" i="364" s="1"/>
  <c r="O228" i="364" s="1"/>
  <c r="K226" i="364"/>
  <c r="J226" i="364"/>
  <c r="K225" i="364"/>
  <c r="K234" i="364" s="1"/>
  <c r="J225" i="364"/>
  <c r="K224" i="364"/>
  <c r="K233" i="364" s="1"/>
  <c r="J224" i="364"/>
  <c r="L224" i="364" s="1"/>
  <c r="N222" i="364"/>
  <c r="M222" i="364"/>
  <c r="I222" i="364"/>
  <c r="H222" i="364"/>
  <c r="G222" i="364"/>
  <c r="F222" i="364"/>
  <c r="E222" i="364"/>
  <c r="D222" i="364"/>
  <c r="C222" i="364"/>
  <c r="N221" i="364"/>
  <c r="M221" i="364"/>
  <c r="I221" i="364"/>
  <c r="H221" i="364"/>
  <c r="G221" i="364"/>
  <c r="F221" i="364"/>
  <c r="E221" i="364"/>
  <c r="D221" i="364"/>
  <c r="C221" i="364"/>
  <c r="N220" i="364"/>
  <c r="M220" i="364"/>
  <c r="I220" i="364"/>
  <c r="H220" i="364"/>
  <c r="G220" i="364"/>
  <c r="E220" i="364"/>
  <c r="D220" i="364"/>
  <c r="C220" i="364"/>
  <c r="K219" i="364"/>
  <c r="J219" i="364"/>
  <c r="K217" i="364"/>
  <c r="J217" i="364"/>
  <c r="F217" i="364"/>
  <c r="F220" i="364" s="1"/>
  <c r="K216" i="364"/>
  <c r="L216" i="364" s="1"/>
  <c r="O216" i="364" s="1"/>
  <c r="J216" i="364"/>
  <c r="K214" i="364"/>
  <c r="J214" i="364"/>
  <c r="K213" i="364"/>
  <c r="J213" i="364"/>
  <c r="K212" i="364"/>
  <c r="L212" i="364" s="1"/>
  <c r="J212" i="364"/>
  <c r="J220" i="364" s="1"/>
  <c r="N210" i="364"/>
  <c r="M210" i="364"/>
  <c r="I210" i="364"/>
  <c r="H210" i="364"/>
  <c r="G210" i="364"/>
  <c r="F210" i="364"/>
  <c r="E210" i="364"/>
  <c r="D210" i="364"/>
  <c r="C210" i="364"/>
  <c r="N209" i="364"/>
  <c r="M209" i="364"/>
  <c r="J209" i="364"/>
  <c r="I209" i="364"/>
  <c r="H209" i="364"/>
  <c r="G209" i="364"/>
  <c r="F209" i="364"/>
  <c r="E209" i="364"/>
  <c r="D209" i="364"/>
  <c r="C209" i="364"/>
  <c r="N208" i="364"/>
  <c r="M208" i="364"/>
  <c r="I208" i="364"/>
  <c r="H208" i="364"/>
  <c r="G208" i="364"/>
  <c r="E208" i="364"/>
  <c r="D208" i="364"/>
  <c r="C208" i="364"/>
  <c r="K207" i="364"/>
  <c r="J207" i="364"/>
  <c r="K205" i="364"/>
  <c r="K209" i="364" s="1"/>
  <c r="F205" i="364"/>
  <c r="J205" i="364" s="1"/>
  <c r="L204" i="364"/>
  <c r="O204" i="364" s="1"/>
  <c r="K204" i="364"/>
  <c r="J204" i="364"/>
  <c r="L203" i="364"/>
  <c r="O203" i="364" s="1"/>
  <c r="K203" i="364"/>
  <c r="J203" i="364"/>
  <c r="L201" i="364"/>
  <c r="K201" i="364"/>
  <c r="J201" i="364"/>
  <c r="J210" i="364" s="1"/>
  <c r="L200" i="364"/>
  <c r="K200" i="364"/>
  <c r="J200" i="364"/>
  <c r="L199" i="364"/>
  <c r="O199" i="364" s="1"/>
  <c r="K199" i="364"/>
  <c r="J199" i="364"/>
  <c r="J208" i="364" s="1"/>
  <c r="N197" i="364"/>
  <c r="M197" i="364"/>
  <c r="J197" i="364"/>
  <c r="I197" i="364"/>
  <c r="H197" i="364"/>
  <c r="G197" i="364"/>
  <c r="F197" i="364"/>
  <c r="E197" i="364"/>
  <c r="D197" i="364"/>
  <c r="C197" i="364"/>
  <c r="N196" i="364"/>
  <c r="M196" i="364"/>
  <c r="K196" i="364"/>
  <c r="I196" i="364"/>
  <c r="H196" i="364"/>
  <c r="G196" i="364"/>
  <c r="E196" i="364"/>
  <c r="D196" i="364"/>
  <c r="C196" i="364"/>
  <c r="N195" i="364"/>
  <c r="M195" i="364"/>
  <c r="I195" i="364"/>
  <c r="H195" i="364"/>
  <c r="G195" i="364"/>
  <c r="E195" i="364"/>
  <c r="E273" i="364" s="1"/>
  <c r="D195" i="364"/>
  <c r="C195" i="364"/>
  <c r="L194" i="364"/>
  <c r="O194" i="364" s="1"/>
  <c r="K194" i="364"/>
  <c r="J194" i="364"/>
  <c r="L192" i="364"/>
  <c r="O192" i="364" s="1"/>
  <c r="K192" i="364"/>
  <c r="J192" i="364"/>
  <c r="F192" i="364"/>
  <c r="F196" i="364" s="1"/>
  <c r="K191" i="364"/>
  <c r="J191" i="364"/>
  <c r="L191" i="364" s="1"/>
  <c r="O191" i="364" s="1"/>
  <c r="K189" i="364"/>
  <c r="K197" i="364" s="1"/>
  <c r="J189" i="364"/>
  <c r="L189" i="364" s="1"/>
  <c r="L197" i="364" s="1"/>
  <c r="K188" i="364"/>
  <c r="J188" i="364"/>
  <c r="J196" i="364" s="1"/>
  <c r="O187" i="364"/>
  <c r="K187" i="364"/>
  <c r="K195" i="364" s="1"/>
  <c r="J187" i="364"/>
  <c r="L187" i="364" s="1"/>
  <c r="N185" i="364"/>
  <c r="M185" i="364"/>
  <c r="K185" i="364"/>
  <c r="I185" i="364"/>
  <c r="H185" i="364"/>
  <c r="G185" i="364"/>
  <c r="F185" i="364"/>
  <c r="E185" i="364"/>
  <c r="D185" i="364"/>
  <c r="C185" i="364"/>
  <c r="N184" i="364"/>
  <c r="M184" i="364"/>
  <c r="I184" i="364"/>
  <c r="H184" i="364"/>
  <c r="G184" i="364"/>
  <c r="E184" i="364"/>
  <c r="D184" i="364"/>
  <c r="C184" i="364"/>
  <c r="N183" i="364"/>
  <c r="M183" i="364"/>
  <c r="I183" i="364"/>
  <c r="H183" i="364"/>
  <c r="G183" i="364"/>
  <c r="F183" i="364"/>
  <c r="E183" i="364"/>
  <c r="D183" i="364"/>
  <c r="C183" i="364"/>
  <c r="O182" i="364"/>
  <c r="K182" i="364"/>
  <c r="J182" i="364"/>
  <c r="L182" i="364" s="1"/>
  <c r="K180" i="364"/>
  <c r="F180" i="364"/>
  <c r="K179" i="364"/>
  <c r="J179" i="364"/>
  <c r="L179" i="364" s="1"/>
  <c r="O179" i="364" s="1"/>
  <c r="K177" i="364"/>
  <c r="J177" i="364"/>
  <c r="K176" i="364"/>
  <c r="K184" i="364" s="1"/>
  <c r="J176" i="364"/>
  <c r="K175" i="364"/>
  <c r="K183" i="364" s="1"/>
  <c r="J175" i="364"/>
  <c r="L175" i="364" s="1"/>
  <c r="N173" i="364"/>
  <c r="M173" i="364"/>
  <c r="I173" i="364"/>
  <c r="H173" i="364"/>
  <c r="G173" i="364"/>
  <c r="F173" i="364"/>
  <c r="E173" i="364"/>
  <c r="D173" i="364"/>
  <c r="C173" i="364"/>
  <c r="N172" i="364"/>
  <c r="M172" i="364"/>
  <c r="I172" i="364"/>
  <c r="H172" i="364"/>
  <c r="G172" i="364"/>
  <c r="F172" i="364"/>
  <c r="E172" i="364"/>
  <c r="D172" i="364"/>
  <c r="C172" i="364"/>
  <c r="N171" i="364"/>
  <c r="M171" i="364"/>
  <c r="I171" i="364"/>
  <c r="H171" i="364"/>
  <c r="G171" i="364"/>
  <c r="E171" i="364"/>
  <c r="D171" i="364"/>
  <c r="C171" i="364"/>
  <c r="K170" i="364"/>
  <c r="J170" i="364"/>
  <c r="K168" i="364"/>
  <c r="J168" i="364"/>
  <c r="F168" i="364"/>
  <c r="F171" i="364" s="1"/>
  <c r="K167" i="364"/>
  <c r="L167" i="364" s="1"/>
  <c r="O167" i="364" s="1"/>
  <c r="J167" i="364"/>
  <c r="K166" i="364"/>
  <c r="L166" i="364" s="1"/>
  <c r="O166" i="364" s="1"/>
  <c r="J166" i="364"/>
  <c r="K164" i="364"/>
  <c r="J164" i="364"/>
  <c r="K163" i="364"/>
  <c r="J163" i="364"/>
  <c r="K162" i="364"/>
  <c r="L162" i="364" s="1"/>
  <c r="J162" i="364"/>
  <c r="N160" i="364"/>
  <c r="M160" i="364"/>
  <c r="I160" i="364"/>
  <c r="H160" i="364"/>
  <c r="G160" i="364"/>
  <c r="F160" i="364"/>
  <c r="E160" i="364"/>
  <c r="D160" i="364"/>
  <c r="C160" i="364"/>
  <c r="N159" i="364"/>
  <c r="M159" i="364"/>
  <c r="I159" i="364"/>
  <c r="H159" i="364"/>
  <c r="G159" i="364"/>
  <c r="F159" i="364"/>
  <c r="E159" i="364"/>
  <c r="D159" i="364"/>
  <c r="C159" i="364"/>
  <c r="N158" i="364"/>
  <c r="M158" i="364"/>
  <c r="I158" i="364"/>
  <c r="H158" i="364"/>
  <c r="G158" i="364"/>
  <c r="E158" i="364"/>
  <c r="D158" i="364"/>
  <c r="C158" i="364"/>
  <c r="K157" i="364"/>
  <c r="J157" i="364"/>
  <c r="K155" i="364"/>
  <c r="F155" i="364"/>
  <c r="J155" i="364" s="1"/>
  <c r="L155" i="364" s="1"/>
  <c r="O155" i="364" s="1"/>
  <c r="L154" i="364"/>
  <c r="O154" i="364" s="1"/>
  <c r="K154" i="364"/>
  <c r="J154" i="364"/>
  <c r="L153" i="364"/>
  <c r="O153" i="364" s="1"/>
  <c r="K153" i="364"/>
  <c r="J153" i="364"/>
  <c r="L151" i="364"/>
  <c r="K151" i="364"/>
  <c r="J151" i="364"/>
  <c r="J160" i="364" s="1"/>
  <c r="L150" i="364"/>
  <c r="K150" i="364"/>
  <c r="K159" i="364" s="1"/>
  <c r="J150" i="364"/>
  <c r="L149" i="364"/>
  <c r="O149" i="364" s="1"/>
  <c r="K149" i="364"/>
  <c r="K158" i="364" s="1"/>
  <c r="J149" i="364"/>
  <c r="N147" i="364"/>
  <c r="M147" i="364"/>
  <c r="J147" i="364"/>
  <c r="I147" i="364"/>
  <c r="H147" i="364"/>
  <c r="G147" i="364"/>
  <c r="F147" i="364"/>
  <c r="E147" i="364"/>
  <c r="D147" i="364"/>
  <c r="C147" i="364"/>
  <c r="N146" i="364"/>
  <c r="M146" i="364"/>
  <c r="K146" i="364"/>
  <c r="I146" i="364"/>
  <c r="H146" i="364"/>
  <c r="G146" i="364"/>
  <c r="E146" i="364"/>
  <c r="D146" i="364"/>
  <c r="C146" i="364"/>
  <c r="N145" i="364"/>
  <c r="M145" i="364"/>
  <c r="M273" i="364" s="1"/>
  <c r="I145" i="364"/>
  <c r="I273" i="364" s="1"/>
  <c r="H145" i="364"/>
  <c r="G145" i="364"/>
  <c r="E145" i="364"/>
  <c r="D145" i="364"/>
  <c r="C145" i="364"/>
  <c r="L144" i="364"/>
  <c r="O144" i="364" s="1"/>
  <c r="K144" i="364"/>
  <c r="J144" i="364"/>
  <c r="L142" i="364"/>
  <c r="O142" i="364" s="1"/>
  <c r="K142" i="364"/>
  <c r="J142" i="364"/>
  <c r="F142" i="364"/>
  <c r="F146" i="364" s="1"/>
  <c r="K141" i="364"/>
  <c r="J141" i="364"/>
  <c r="L141" i="364" s="1"/>
  <c r="O141" i="364" s="1"/>
  <c r="O139" i="364"/>
  <c r="O147" i="364" s="1"/>
  <c r="K139" i="364"/>
  <c r="K147" i="364" s="1"/>
  <c r="J139" i="364"/>
  <c r="L139" i="364" s="1"/>
  <c r="L147" i="364" s="1"/>
  <c r="K138" i="364"/>
  <c r="J138" i="364"/>
  <c r="J146" i="364" s="1"/>
  <c r="K137" i="364"/>
  <c r="K145" i="364" s="1"/>
  <c r="J137" i="364"/>
  <c r="L137" i="364" s="1"/>
  <c r="L145" i="364" s="1"/>
  <c r="N135" i="364"/>
  <c r="M135" i="364"/>
  <c r="K135" i="364"/>
  <c r="I135" i="364"/>
  <c r="H135" i="364"/>
  <c r="G135" i="364"/>
  <c r="F135" i="364"/>
  <c r="E135" i="364"/>
  <c r="D135" i="364"/>
  <c r="C135" i="364"/>
  <c r="N134" i="364"/>
  <c r="M134" i="364"/>
  <c r="I134" i="364"/>
  <c r="H134" i="364"/>
  <c r="G134" i="364"/>
  <c r="E134" i="364"/>
  <c r="D134" i="364"/>
  <c r="C134" i="364"/>
  <c r="N133" i="364"/>
  <c r="M133" i="364"/>
  <c r="I133" i="364"/>
  <c r="H133" i="364"/>
  <c r="G133" i="364"/>
  <c r="G273" i="364" s="1"/>
  <c r="E133" i="364"/>
  <c r="D133" i="364"/>
  <c r="C133" i="364"/>
  <c r="C273" i="364" s="1"/>
  <c r="O132" i="364"/>
  <c r="K132" i="364"/>
  <c r="J132" i="364"/>
  <c r="L132" i="364" s="1"/>
  <c r="K130" i="364"/>
  <c r="F130" i="364"/>
  <c r="F133" i="364" s="1"/>
  <c r="K129" i="364"/>
  <c r="J129" i="364"/>
  <c r="L129" i="364" s="1"/>
  <c r="O129" i="364" s="1"/>
  <c r="K127" i="364"/>
  <c r="J127" i="364"/>
  <c r="K126" i="364"/>
  <c r="K134" i="364" s="1"/>
  <c r="J126" i="364"/>
  <c r="K125" i="364"/>
  <c r="K133" i="364" s="1"/>
  <c r="J125" i="364"/>
  <c r="L125" i="364" s="1"/>
  <c r="N122" i="364"/>
  <c r="M122" i="364"/>
  <c r="I122" i="364"/>
  <c r="H122" i="364"/>
  <c r="G122" i="364"/>
  <c r="F122" i="364"/>
  <c r="E122" i="364"/>
  <c r="D122" i="364"/>
  <c r="C122" i="364"/>
  <c r="N121" i="364"/>
  <c r="M121" i="364"/>
  <c r="I121" i="364"/>
  <c r="H121" i="364"/>
  <c r="G121" i="364"/>
  <c r="F121" i="364"/>
  <c r="E121" i="364"/>
  <c r="D121" i="364"/>
  <c r="C121" i="364"/>
  <c r="N120" i="364"/>
  <c r="M120" i="364"/>
  <c r="I120" i="364"/>
  <c r="H120" i="364"/>
  <c r="H123" i="364" s="1"/>
  <c r="G120" i="364"/>
  <c r="E120" i="364"/>
  <c r="D120" i="364"/>
  <c r="D123" i="364" s="1"/>
  <c r="C120" i="364"/>
  <c r="K119" i="364"/>
  <c r="L119" i="364" s="1"/>
  <c r="O119" i="364" s="1"/>
  <c r="J119" i="364"/>
  <c r="K117" i="364"/>
  <c r="F117" i="364"/>
  <c r="J117" i="364" s="1"/>
  <c r="L117" i="364" s="1"/>
  <c r="O117" i="364" s="1"/>
  <c r="L116" i="364"/>
  <c r="K116" i="364"/>
  <c r="K437" i="364" s="1"/>
  <c r="J116" i="364"/>
  <c r="J437" i="364" s="1"/>
  <c r="L115" i="364"/>
  <c r="O115" i="364" s="1"/>
  <c r="K115" i="364"/>
  <c r="J115" i="364"/>
  <c r="L114" i="364"/>
  <c r="O114" i="364" s="1"/>
  <c r="K114" i="364"/>
  <c r="J114" i="364"/>
  <c r="L113" i="364"/>
  <c r="O113" i="364" s="1"/>
  <c r="K113" i="364"/>
  <c r="J113" i="364"/>
  <c r="L112" i="364"/>
  <c r="O112" i="364" s="1"/>
  <c r="K112" i="364"/>
  <c r="J112" i="364"/>
  <c r="L110" i="364"/>
  <c r="K110" i="364"/>
  <c r="K122" i="364" s="1"/>
  <c r="J110" i="364"/>
  <c r="J122" i="364" s="1"/>
  <c r="L109" i="364"/>
  <c r="K109" i="364"/>
  <c r="K121" i="364" s="1"/>
  <c r="J109" i="364"/>
  <c r="L108" i="364"/>
  <c r="O108" i="364" s="1"/>
  <c r="K108" i="364"/>
  <c r="K120" i="364" s="1"/>
  <c r="J108" i="364"/>
  <c r="J120" i="364" s="1"/>
  <c r="N106" i="364"/>
  <c r="M106" i="364"/>
  <c r="J106" i="364"/>
  <c r="I106" i="364"/>
  <c r="H106" i="364"/>
  <c r="G106" i="364"/>
  <c r="F106" i="364"/>
  <c r="E106" i="364"/>
  <c r="D106" i="364"/>
  <c r="C106" i="364"/>
  <c r="N105" i="364"/>
  <c r="M105" i="364"/>
  <c r="K105" i="364"/>
  <c r="I105" i="364"/>
  <c r="H105" i="364"/>
  <c r="G105" i="364"/>
  <c r="E105" i="364"/>
  <c r="D105" i="364"/>
  <c r="C105" i="364"/>
  <c r="N104" i="364"/>
  <c r="M104" i="364"/>
  <c r="I104" i="364"/>
  <c r="H104" i="364"/>
  <c r="G104" i="364"/>
  <c r="E104" i="364"/>
  <c r="D104" i="364"/>
  <c r="C104" i="364"/>
  <c r="L103" i="364"/>
  <c r="O103" i="364" s="1"/>
  <c r="K103" i="364"/>
  <c r="J103" i="364"/>
  <c r="L101" i="364"/>
  <c r="O101" i="364" s="1"/>
  <c r="K101" i="364"/>
  <c r="J101" i="364"/>
  <c r="F101" i="364"/>
  <c r="F105" i="364" s="1"/>
  <c r="O100" i="364"/>
  <c r="K100" i="364"/>
  <c r="L100" i="364" s="1"/>
  <c r="J100" i="364"/>
  <c r="O99" i="364"/>
  <c r="K99" i="364"/>
  <c r="J99" i="364"/>
  <c r="L99" i="364" s="1"/>
  <c r="K98" i="364"/>
  <c r="J98" i="364"/>
  <c r="L98" i="364" s="1"/>
  <c r="O98" i="364" s="1"/>
  <c r="K97" i="364"/>
  <c r="J97" i="364"/>
  <c r="L97" i="364" s="1"/>
  <c r="O97" i="364" s="1"/>
  <c r="O95" i="364"/>
  <c r="O106" i="364" s="1"/>
  <c r="K95" i="364"/>
  <c r="K106" i="364" s="1"/>
  <c r="J95" i="364"/>
  <c r="L95" i="364" s="1"/>
  <c r="L106" i="364" s="1"/>
  <c r="K94" i="364"/>
  <c r="J94" i="364"/>
  <c r="J105" i="364" s="1"/>
  <c r="K93" i="364"/>
  <c r="K104" i="364" s="1"/>
  <c r="J93" i="364"/>
  <c r="L93" i="364" s="1"/>
  <c r="L104" i="364" s="1"/>
  <c r="N91" i="364"/>
  <c r="M91" i="364"/>
  <c r="K91" i="364"/>
  <c r="I91" i="364"/>
  <c r="H91" i="364"/>
  <c r="G91" i="364"/>
  <c r="F91" i="364"/>
  <c r="E91" i="364"/>
  <c r="D91" i="364"/>
  <c r="C91" i="364"/>
  <c r="N90" i="364"/>
  <c r="M90" i="364"/>
  <c r="I90" i="364"/>
  <c r="H90" i="364"/>
  <c r="G90" i="364"/>
  <c r="E90" i="364"/>
  <c r="D90" i="364"/>
  <c r="C90" i="364"/>
  <c r="N89" i="364"/>
  <c r="M89" i="364"/>
  <c r="I89" i="364"/>
  <c r="H89" i="364"/>
  <c r="G89" i="364"/>
  <c r="E89" i="364"/>
  <c r="D89" i="364"/>
  <c r="C89" i="364"/>
  <c r="O88" i="364"/>
  <c r="K88" i="364"/>
  <c r="J88" i="364"/>
  <c r="L88" i="364" s="1"/>
  <c r="K86" i="364"/>
  <c r="F86" i="364"/>
  <c r="K85" i="364"/>
  <c r="J85" i="364"/>
  <c r="L85" i="364" s="1"/>
  <c r="O85" i="364" s="1"/>
  <c r="K84" i="364"/>
  <c r="J84" i="364"/>
  <c r="L84" i="364" s="1"/>
  <c r="O84" i="364" s="1"/>
  <c r="K83" i="364"/>
  <c r="J83" i="364"/>
  <c r="L83" i="364" s="1"/>
  <c r="O83" i="364" s="1"/>
  <c r="K82" i="364"/>
  <c r="J82" i="364"/>
  <c r="L82" i="364" s="1"/>
  <c r="O82" i="364" s="1"/>
  <c r="K80" i="364"/>
  <c r="J80" i="364"/>
  <c r="K79" i="364"/>
  <c r="K90" i="364" s="1"/>
  <c r="J79" i="364"/>
  <c r="K78" i="364"/>
  <c r="K89" i="364" s="1"/>
  <c r="J78" i="364"/>
  <c r="L78" i="364" s="1"/>
  <c r="N76" i="364"/>
  <c r="M76" i="364"/>
  <c r="I76" i="364"/>
  <c r="H76" i="364"/>
  <c r="G76" i="364"/>
  <c r="F76" i="364"/>
  <c r="E76" i="364"/>
  <c r="D76" i="364"/>
  <c r="C76" i="364"/>
  <c r="N75" i="364"/>
  <c r="M75" i="364"/>
  <c r="K75" i="364"/>
  <c r="I75" i="364"/>
  <c r="H75" i="364"/>
  <c r="G75" i="364"/>
  <c r="F75" i="364"/>
  <c r="E75" i="364"/>
  <c r="D75" i="364"/>
  <c r="C75" i="364"/>
  <c r="N74" i="364"/>
  <c r="M74" i="364"/>
  <c r="K74" i="364"/>
  <c r="I74" i="364"/>
  <c r="H74" i="364"/>
  <c r="G74" i="364"/>
  <c r="F74" i="364"/>
  <c r="E74" i="364"/>
  <c r="D74" i="364"/>
  <c r="C74" i="364"/>
  <c r="K73" i="364"/>
  <c r="J73" i="364"/>
  <c r="L73" i="364" s="1"/>
  <c r="O73" i="364" s="1"/>
  <c r="K71" i="364"/>
  <c r="J71" i="364"/>
  <c r="L71" i="364" s="1"/>
  <c r="O71" i="364" s="1"/>
  <c r="K70" i="364"/>
  <c r="J70" i="364"/>
  <c r="L70" i="364" s="1"/>
  <c r="O70" i="364" s="1"/>
  <c r="K69" i="364"/>
  <c r="J69" i="364"/>
  <c r="L69" i="364" s="1"/>
  <c r="O69" i="364" s="1"/>
  <c r="K68" i="364"/>
  <c r="J68" i="364"/>
  <c r="L68" i="364" s="1"/>
  <c r="O68" i="364" s="1"/>
  <c r="K66" i="364"/>
  <c r="K76" i="364" s="1"/>
  <c r="J66" i="364"/>
  <c r="K65" i="364"/>
  <c r="J65" i="364"/>
  <c r="K64" i="364"/>
  <c r="J64" i="364"/>
  <c r="N62" i="364"/>
  <c r="M62" i="364"/>
  <c r="I62" i="364"/>
  <c r="H62" i="364"/>
  <c r="G62" i="364"/>
  <c r="F62" i="364"/>
  <c r="E62" i="364"/>
  <c r="D62" i="364"/>
  <c r="C62" i="364"/>
  <c r="N61" i="364"/>
  <c r="M61" i="364"/>
  <c r="I61" i="364"/>
  <c r="H61" i="364"/>
  <c r="G61" i="364"/>
  <c r="F61" i="364"/>
  <c r="E61" i="364"/>
  <c r="D61" i="364"/>
  <c r="C61" i="364"/>
  <c r="N60" i="364"/>
  <c r="M60" i="364"/>
  <c r="K60" i="364"/>
  <c r="I60" i="364"/>
  <c r="H60" i="364"/>
  <c r="G60" i="364"/>
  <c r="F60" i="364"/>
  <c r="E60" i="364"/>
  <c r="D60" i="364"/>
  <c r="C60" i="364"/>
  <c r="K59" i="364"/>
  <c r="J59" i="364"/>
  <c r="L59" i="364" s="1"/>
  <c r="O59" i="364" s="1"/>
  <c r="K57" i="364"/>
  <c r="J57" i="364"/>
  <c r="L57" i="364" s="1"/>
  <c r="O57" i="364" s="1"/>
  <c r="K56" i="364"/>
  <c r="J56" i="364"/>
  <c r="L56" i="364" s="1"/>
  <c r="O56" i="364" s="1"/>
  <c r="K55" i="364"/>
  <c r="J55" i="364"/>
  <c r="L55" i="364" s="1"/>
  <c r="O55" i="364" s="1"/>
  <c r="K54" i="364"/>
  <c r="J54" i="364"/>
  <c r="L54" i="364" s="1"/>
  <c r="O54" i="364" s="1"/>
  <c r="K53" i="364"/>
  <c r="J53" i="364"/>
  <c r="L53" i="364" s="1"/>
  <c r="O53" i="364" s="1"/>
  <c r="K51" i="364"/>
  <c r="K62" i="364" s="1"/>
  <c r="J51" i="364"/>
  <c r="K50" i="364"/>
  <c r="K61" i="364" s="1"/>
  <c r="J50" i="364"/>
  <c r="K49" i="364"/>
  <c r="J49" i="364"/>
  <c r="N47" i="364"/>
  <c r="M47" i="364"/>
  <c r="I47" i="364"/>
  <c r="H47" i="364"/>
  <c r="G47" i="364"/>
  <c r="F47" i="364"/>
  <c r="E47" i="364"/>
  <c r="D47" i="364"/>
  <c r="C47" i="364"/>
  <c r="N46" i="364"/>
  <c r="M46" i="364"/>
  <c r="I46" i="364"/>
  <c r="H46" i="364"/>
  <c r="G46" i="364"/>
  <c r="F46" i="364"/>
  <c r="E46" i="364"/>
  <c r="D46" i="364"/>
  <c r="C46" i="364"/>
  <c r="N45" i="364"/>
  <c r="N123" i="364" s="1"/>
  <c r="M45" i="364"/>
  <c r="I45" i="364"/>
  <c r="I123" i="364" s="1"/>
  <c r="H45" i="364"/>
  <c r="G45" i="364"/>
  <c r="G123" i="364" s="1"/>
  <c r="E45" i="364"/>
  <c r="E123" i="364" s="1"/>
  <c r="D45" i="364"/>
  <c r="C45" i="364"/>
  <c r="C123" i="364" s="1"/>
  <c r="K44" i="364"/>
  <c r="J44" i="364"/>
  <c r="K42" i="364"/>
  <c r="J42" i="364"/>
  <c r="L42" i="364" s="1"/>
  <c r="O42" i="364" s="1"/>
  <c r="F42" i="364"/>
  <c r="F45" i="364" s="1"/>
  <c r="K41" i="364"/>
  <c r="J41" i="364"/>
  <c r="K40" i="364"/>
  <c r="J40" i="364"/>
  <c r="K39" i="364"/>
  <c r="J39" i="364"/>
  <c r="K38" i="364"/>
  <c r="L38" i="364" s="1"/>
  <c r="O38" i="364" s="1"/>
  <c r="J38" i="364"/>
  <c r="K37" i="364"/>
  <c r="L37" i="364" s="1"/>
  <c r="O37" i="364" s="1"/>
  <c r="J37" i="364"/>
  <c r="K35" i="364"/>
  <c r="J35" i="364"/>
  <c r="K34" i="364"/>
  <c r="J34" i="364"/>
  <c r="K33" i="364"/>
  <c r="L33" i="364" s="1"/>
  <c r="J33" i="364"/>
  <c r="N30" i="364"/>
  <c r="M30" i="364"/>
  <c r="J30" i="364"/>
  <c r="I30" i="364"/>
  <c r="H30" i="364"/>
  <c r="G30" i="364"/>
  <c r="F30" i="364"/>
  <c r="E30" i="364"/>
  <c r="D30" i="364"/>
  <c r="C30" i="364"/>
  <c r="N29" i="364"/>
  <c r="M29" i="364"/>
  <c r="K29" i="364"/>
  <c r="I29" i="364"/>
  <c r="H29" i="364"/>
  <c r="G29" i="364"/>
  <c r="G452" i="364" s="1"/>
  <c r="E29" i="364"/>
  <c r="D29" i="364"/>
  <c r="C29" i="364"/>
  <c r="N28" i="364"/>
  <c r="M28" i="364"/>
  <c r="M31" i="364" s="1"/>
  <c r="I28" i="364"/>
  <c r="I31" i="364" s="1"/>
  <c r="I274" i="364" s="1"/>
  <c r="I409" i="364" s="1"/>
  <c r="I427" i="364" s="1"/>
  <c r="H28" i="364"/>
  <c r="G28" i="364"/>
  <c r="E28" i="364"/>
  <c r="E31" i="364" s="1"/>
  <c r="E274" i="364" s="1"/>
  <c r="E409" i="364" s="1"/>
  <c r="E427" i="364" s="1"/>
  <c r="D28" i="364"/>
  <c r="C28" i="364"/>
  <c r="L27" i="364"/>
  <c r="O27" i="364" s="1"/>
  <c r="K27" i="364"/>
  <c r="J27" i="364"/>
  <c r="L25" i="364"/>
  <c r="O25" i="364" s="1"/>
  <c r="K25" i="364"/>
  <c r="J25" i="364"/>
  <c r="F25" i="364"/>
  <c r="K24" i="364"/>
  <c r="J24" i="364"/>
  <c r="L24" i="364" s="1"/>
  <c r="O24" i="364" s="1"/>
  <c r="K23" i="364"/>
  <c r="K431" i="364" s="1"/>
  <c r="J23" i="364"/>
  <c r="O22" i="364"/>
  <c r="K22" i="364"/>
  <c r="J22" i="364"/>
  <c r="L22" i="364" s="1"/>
  <c r="O20" i="364"/>
  <c r="O30" i="364" s="1"/>
  <c r="K20" i="364"/>
  <c r="K30" i="364" s="1"/>
  <c r="J20" i="364"/>
  <c r="L20" i="364" s="1"/>
  <c r="K19" i="364"/>
  <c r="J19" i="364"/>
  <c r="J29" i="364" s="1"/>
  <c r="K18" i="364"/>
  <c r="K28" i="364" s="1"/>
  <c r="J18" i="364"/>
  <c r="L18" i="364" s="1"/>
  <c r="N16" i="364"/>
  <c r="M16" i="364"/>
  <c r="K16" i="364"/>
  <c r="I16" i="364"/>
  <c r="H16" i="364"/>
  <c r="G16" i="364"/>
  <c r="F16" i="364"/>
  <c r="E16" i="364"/>
  <c r="D16" i="364"/>
  <c r="C16" i="364"/>
  <c r="N15" i="364"/>
  <c r="M15" i="364"/>
  <c r="I15" i="364"/>
  <c r="H15" i="364"/>
  <c r="G15" i="364"/>
  <c r="F15" i="364"/>
  <c r="E15" i="364"/>
  <c r="D15" i="364"/>
  <c r="N14" i="364"/>
  <c r="N31" i="364" s="1"/>
  <c r="M14" i="364"/>
  <c r="I14" i="364"/>
  <c r="H14" i="364"/>
  <c r="H31" i="364" s="1"/>
  <c r="G14" i="364"/>
  <c r="G31" i="364" s="1"/>
  <c r="F14" i="364"/>
  <c r="E14" i="364"/>
  <c r="D14" i="364"/>
  <c r="D31" i="364" s="1"/>
  <c r="K13" i="364"/>
  <c r="J13" i="364"/>
  <c r="K11" i="364"/>
  <c r="C11" i="364"/>
  <c r="K10" i="364"/>
  <c r="J10" i="364"/>
  <c r="K8" i="364"/>
  <c r="J8" i="364"/>
  <c r="K7" i="364"/>
  <c r="K15" i="364" s="1"/>
  <c r="J7" i="364"/>
  <c r="K6" i="364"/>
  <c r="J6" i="364"/>
  <c r="C16" i="363"/>
  <c r="C20" i="363" s="1"/>
  <c r="J28" i="362"/>
  <c r="I28" i="362"/>
  <c r="H28" i="362"/>
  <c r="K28" i="362" s="1"/>
  <c r="J27" i="362"/>
  <c r="H27" i="362"/>
  <c r="H71" i="361" s="1"/>
  <c r="G27" i="362"/>
  <c r="F27" i="362"/>
  <c r="D27" i="362"/>
  <c r="D71" i="361" s="1"/>
  <c r="C27" i="362"/>
  <c r="K26" i="362"/>
  <c r="C19" i="363" s="1"/>
  <c r="J26" i="362"/>
  <c r="I26" i="362"/>
  <c r="E26" i="362"/>
  <c r="K25" i="362"/>
  <c r="C18" i="363" s="1"/>
  <c r="J25" i="362"/>
  <c r="I25" i="362"/>
  <c r="E25" i="362"/>
  <c r="K24" i="362"/>
  <c r="C17" i="363" s="1"/>
  <c r="J24" i="362"/>
  <c r="I24" i="362"/>
  <c r="E24" i="362"/>
  <c r="J23" i="362"/>
  <c r="I23" i="362"/>
  <c r="H23" i="362"/>
  <c r="E23" i="362"/>
  <c r="K23" i="362" s="1"/>
  <c r="K27" i="362" s="1"/>
  <c r="G21" i="362"/>
  <c r="G22" i="362" s="1"/>
  <c r="G61" i="361" s="1"/>
  <c r="F21" i="362"/>
  <c r="D21" i="362"/>
  <c r="C21" i="362"/>
  <c r="C22" i="362" s="1"/>
  <c r="C61" i="361" s="1"/>
  <c r="J20" i="362"/>
  <c r="I20" i="362"/>
  <c r="H20" i="362"/>
  <c r="E20" i="362"/>
  <c r="K20" i="362" s="1"/>
  <c r="J19" i="362"/>
  <c r="J21" i="362" s="1"/>
  <c r="I19" i="362"/>
  <c r="I21" i="362" s="1"/>
  <c r="H19" i="362"/>
  <c r="H21" i="362" s="1"/>
  <c r="E19" i="362"/>
  <c r="E21" i="362" s="1"/>
  <c r="J18" i="362"/>
  <c r="G18" i="362"/>
  <c r="F18" i="362"/>
  <c r="F22" i="362" s="1"/>
  <c r="F61" i="361" s="1"/>
  <c r="D18" i="362"/>
  <c r="D22" i="362" s="1"/>
  <c r="D61" i="361" s="1"/>
  <c r="J61" i="361" s="1"/>
  <c r="C18" i="362"/>
  <c r="J17" i="362"/>
  <c r="I17" i="362"/>
  <c r="H17" i="362"/>
  <c r="E17" i="362"/>
  <c r="K17" i="362" s="1"/>
  <c r="J16" i="362"/>
  <c r="I16" i="362"/>
  <c r="H16" i="362"/>
  <c r="H18" i="362" s="1"/>
  <c r="E16" i="362"/>
  <c r="K16" i="362" s="1"/>
  <c r="J15" i="362"/>
  <c r="I15" i="362"/>
  <c r="I18" i="362" s="1"/>
  <c r="H15" i="362"/>
  <c r="E15" i="362"/>
  <c r="E18" i="362" s="1"/>
  <c r="G14" i="362"/>
  <c r="F14" i="362"/>
  <c r="D14" i="362"/>
  <c r="C14" i="362"/>
  <c r="J13" i="362"/>
  <c r="I13" i="362"/>
  <c r="H13" i="362"/>
  <c r="E13" i="362"/>
  <c r="K13" i="362" s="1"/>
  <c r="J12" i="362"/>
  <c r="I12" i="362"/>
  <c r="H12" i="362"/>
  <c r="E12" i="362"/>
  <c r="K12" i="362" s="1"/>
  <c r="J11" i="362"/>
  <c r="I11" i="362"/>
  <c r="H11" i="362"/>
  <c r="E11" i="362"/>
  <c r="K11" i="362" s="1"/>
  <c r="J10" i="362"/>
  <c r="J14" i="362" s="1"/>
  <c r="J22" i="362" s="1"/>
  <c r="I10" i="362"/>
  <c r="H10" i="362"/>
  <c r="H14" i="362" s="1"/>
  <c r="E10" i="362"/>
  <c r="K10" i="362" s="1"/>
  <c r="J9" i="362"/>
  <c r="I9" i="362"/>
  <c r="H9" i="362"/>
  <c r="E9" i="362"/>
  <c r="J71" i="361"/>
  <c r="G71" i="361"/>
  <c r="F71" i="361"/>
  <c r="C71" i="361"/>
  <c r="G70" i="361"/>
  <c r="G72" i="361" s="1"/>
  <c r="C70" i="361"/>
  <c r="C72" i="361" s="1"/>
  <c r="J69" i="361"/>
  <c r="I69" i="361"/>
  <c r="E69" i="361"/>
  <c r="K69" i="361" s="1"/>
  <c r="C11" i="363" s="1"/>
  <c r="J68" i="361"/>
  <c r="I68" i="361"/>
  <c r="E68" i="361"/>
  <c r="K68" i="361" s="1"/>
  <c r="C10" i="363" s="1"/>
  <c r="J67" i="361"/>
  <c r="I67" i="361"/>
  <c r="H67" i="361"/>
  <c r="K67" i="361" s="1"/>
  <c r="C9" i="363" s="1"/>
  <c r="J66" i="361"/>
  <c r="I66" i="361"/>
  <c r="E66" i="361"/>
  <c r="G65" i="361"/>
  <c r="F65" i="361"/>
  <c r="F70" i="361" s="1"/>
  <c r="E65" i="361"/>
  <c r="D65" i="361"/>
  <c r="D70" i="361" s="1"/>
  <c r="C65" i="361"/>
  <c r="K64" i="361"/>
  <c r="J64" i="361"/>
  <c r="I64" i="361"/>
  <c r="J63" i="361"/>
  <c r="J65" i="361" s="1"/>
  <c r="J70" i="361" s="1"/>
  <c r="J72" i="361" s="1"/>
  <c r="I63" i="361"/>
  <c r="H63" i="361"/>
  <c r="H65" i="361" s="1"/>
  <c r="H70" i="361" s="1"/>
  <c r="H72" i="361" s="1"/>
  <c r="E63" i="361"/>
  <c r="I61" i="361"/>
  <c r="J54" i="361"/>
  <c r="I54" i="361"/>
  <c r="H54" i="361"/>
  <c r="E54" i="361"/>
  <c r="K54" i="361" s="1"/>
  <c r="J53" i="361"/>
  <c r="I53" i="361"/>
  <c r="H53" i="361"/>
  <c r="E53" i="361"/>
  <c r="I52" i="361"/>
  <c r="G52" i="361"/>
  <c r="F52" i="361"/>
  <c r="D52" i="361"/>
  <c r="C52" i="361"/>
  <c r="J51" i="361"/>
  <c r="I51" i="361"/>
  <c r="H51" i="361"/>
  <c r="E51" i="361"/>
  <c r="K51" i="361" s="1"/>
  <c r="J50" i="361"/>
  <c r="I50" i="361"/>
  <c r="H50" i="361"/>
  <c r="E50" i="361"/>
  <c r="E52" i="361" s="1"/>
  <c r="J49" i="361"/>
  <c r="I49" i="361"/>
  <c r="H49" i="361"/>
  <c r="H52" i="361" s="1"/>
  <c r="E49" i="361"/>
  <c r="K49" i="361" s="1"/>
  <c r="J48" i="361"/>
  <c r="I48" i="361"/>
  <c r="H48" i="361"/>
  <c r="E48" i="361"/>
  <c r="K48" i="361" s="1"/>
  <c r="J47" i="361"/>
  <c r="I47" i="361"/>
  <c r="H47" i="361"/>
  <c r="E47" i="361"/>
  <c r="K47" i="361" s="1"/>
  <c r="J46" i="361"/>
  <c r="I46" i="361"/>
  <c r="H46" i="361"/>
  <c r="E46" i="361"/>
  <c r="K46" i="361" s="1"/>
  <c r="J45" i="361"/>
  <c r="I45" i="361"/>
  <c r="H45" i="361"/>
  <c r="E45" i="361"/>
  <c r="J43" i="361"/>
  <c r="G43" i="361"/>
  <c r="F43" i="361"/>
  <c r="D43" i="361"/>
  <c r="C43" i="361"/>
  <c r="J42" i="361"/>
  <c r="I42" i="361"/>
  <c r="H42" i="361"/>
  <c r="E42" i="361"/>
  <c r="K42" i="361" s="1"/>
  <c r="J41" i="361"/>
  <c r="I41" i="361"/>
  <c r="H41" i="361"/>
  <c r="K41" i="361" s="1"/>
  <c r="E41" i="361"/>
  <c r="J40" i="361"/>
  <c r="I40" i="361"/>
  <c r="H40" i="361"/>
  <c r="E40" i="361"/>
  <c r="K40" i="361" s="1"/>
  <c r="J39" i="361"/>
  <c r="I39" i="361"/>
  <c r="H39" i="361"/>
  <c r="K39" i="361" s="1"/>
  <c r="E39" i="361"/>
  <c r="J38" i="361"/>
  <c r="I38" i="361"/>
  <c r="H38" i="361"/>
  <c r="E38" i="361"/>
  <c r="K38" i="361" s="1"/>
  <c r="J37" i="361"/>
  <c r="I37" i="361"/>
  <c r="H37" i="361"/>
  <c r="K37" i="361" s="1"/>
  <c r="E37" i="361"/>
  <c r="J36" i="361"/>
  <c r="I36" i="361"/>
  <c r="H36" i="361"/>
  <c r="E36" i="361"/>
  <c r="K36" i="361" s="1"/>
  <c r="J35" i="361"/>
  <c r="I35" i="361"/>
  <c r="I43" i="361" s="1"/>
  <c r="H35" i="361"/>
  <c r="E35" i="361"/>
  <c r="E43" i="361" s="1"/>
  <c r="G34" i="361"/>
  <c r="C34" i="361"/>
  <c r="H33" i="361"/>
  <c r="H34" i="361" s="1"/>
  <c r="G33" i="361"/>
  <c r="F33" i="361"/>
  <c r="F34" i="361" s="1"/>
  <c r="D33" i="361"/>
  <c r="C33" i="361"/>
  <c r="J32" i="361"/>
  <c r="I32" i="361"/>
  <c r="H32" i="361"/>
  <c r="E32" i="361"/>
  <c r="K32" i="361" s="1"/>
  <c r="J31" i="361"/>
  <c r="J33" i="361" s="1"/>
  <c r="J34" i="361" s="1"/>
  <c r="I31" i="361"/>
  <c r="I33" i="361" s="1"/>
  <c r="I34" i="361" s="1"/>
  <c r="H31" i="361"/>
  <c r="K31" i="361" s="1"/>
  <c r="E31" i="361"/>
  <c r="E33" i="361" s="1"/>
  <c r="J30" i="361"/>
  <c r="I30" i="361"/>
  <c r="H30" i="361"/>
  <c r="E30" i="361"/>
  <c r="K30" i="361" s="1"/>
  <c r="J29" i="361"/>
  <c r="H29" i="361"/>
  <c r="G29" i="361"/>
  <c r="F29" i="361"/>
  <c r="D29" i="361"/>
  <c r="C29" i="361"/>
  <c r="J28" i="361"/>
  <c r="I28" i="361"/>
  <c r="I29" i="361" s="1"/>
  <c r="H28" i="361"/>
  <c r="E28" i="361"/>
  <c r="K28" i="361" s="1"/>
  <c r="K29" i="361" s="1"/>
  <c r="J27" i="361"/>
  <c r="G27" i="361"/>
  <c r="F27" i="361"/>
  <c r="D27" i="361"/>
  <c r="C27" i="361"/>
  <c r="J26" i="361"/>
  <c r="I26" i="361"/>
  <c r="H26" i="361"/>
  <c r="E26" i="361"/>
  <c r="K26" i="361" s="1"/>
  <c r="J25" i="361"/>
  <c r="I25" i="361"/>
  <c r="I27" i="361" s="1"/>
  <c r="H25" i="361"/>
  <c r="E25" i="361"/>
  <c r="E27" i="361" s="1"/>
  <c r="I24" i="361"/>
  <c r="I44" i="361" s="1"/>
  <c r="G24" i="361"/>
  <c r="F24" i="361"/>
  <c r="E24" i="361"/>
  <c r="D24" i="361"/>
  <c r="C24" i="361"/>
  <c r="C44" i="361" s="1"/>
  <c r="J23" i="361"/>
  <c r="J24" i="361" s="1"/>
  <c r="I23" i="361"/>
  <c r="H23" i="361"/>
  <c r="H24" i="361" s="1"/>
  <c r="E23" i="361"/>
  <c r="G22" i="361"/>
  <c r="G56" i="361" s="1"/>
  <c r="F22" i="361"/>
  <c r="F56" i="361" s="1"/>
  <c r="D22" i="361"/>
  <c r="D56" i="361" s="1"/>
  <c r="C22" i="361"/>
  <c r="C56" i="361" s="1"/>
  <c r="J21" i="361"/>
  <c r="I21" i="361"/>
  <c r="H21" i="361"/>
  <c r="E21" i="361"/>
  <c r="K21" i="361" s="1"/>
  <c r="J20" i="361"/>
  <c r="J22" i="361" s="1"/>
  <c r="I20" i="361"/>
  <c r="I22" i="361" s="1"/>
  <c r="I56" i="361" s="1"/>
  <c r="H20" i="361"/>
  <c r="H22" i="361" s="1"/>
  <c r="E20" i="361"/>
  <c r="E22" i="361" s="1"/>
  <c r="F19" i="361"/>
  <c r="J18" i="361"/>
  <c r="I18" i="361"/>
  <c r="H18" i="361"/>
  <c r="E18" i="361"/>
  <c r="K18" i="361" s="1"/>
  <c r="H17" i="361"/>
  <c r="H19" i="361" s="1"/>
  <c r="G17" i="361"/>
  <c r="G19" i="361" s="1"/>
  <c r="F17" i="361"/>
  <c r="D17" i="361"/>
  <c r="D19" i="361" s="1"/>
  <c r="C17" i="361"/>
  <c r="C19" i="361" s="1"/>
  <c r="J16" i="361"/>
  <c r="I16" i="361"/>
  <c r="H16" i="361"/>
  <c r="E16" i="361"/>
  <c r="K16" i="361" s="1"/>
  <c r="J15" i="361"/>
  <c r="I15" i="361"/>
  <c r="H15" i="361"/>
  <c r="E15" i="361"/>
  <c r="K15" i="361" s="1"/>
  <c r="J14" i="361"/>
  <c r="I14" i="361"/>
  <c r="H14" i="361"/>
  <c r="E14" i="361"/>
  <c r="K14" i="361" s="1"/>
  <c r="J13" i="361"/>
  <c r="I13" i="361"/>
  <c r="H13" i="361"/>
  <c r="E13" i="361"/>
  <c r="J12" i="361"/>
  <c r="I12" i="361"/>
  <c r="H12" i="361"/>
  <c r="E12" i="361"/>
  <c r="K12" i="361" s="1"/>
  <c r="J11" i="361"/>
  <c r="I11" i="361"/>
  <c r="H11" i="361"/>
  <c r="K11" i="361" s="1"/>
  <c r="E11" i="361"/>
  <c r="J10" i="361"/>
  <c r="I10" i="361"/>
  <c r="H10" i="361"/>
  <c r="E10" i="361"/>
  <c r="K10" i="361" s="1"/>
  <c r="J9" i="361"/>
  <c r="I9" i="361"/>
  <c r="H9" i="361"/>
  <c r="K9" i="361" s="1"/>
  <c r="E9" i="361"/>
  <c r="E17" i="361" s="1"/>
  <c r="E19" i="361" s="1"/>
  <c r="AL28" i="360"/>
  <c r="AH28" i="360"/>
  <c r="AD28" i="360"/>
  <c r="Z28" i="360"/>
  <c r="X27" i="360"/>
  <c r="U27" i="360"/>
  <c r="T27" i="360"/>
  <c r="S27" i="360"/>
  <c r="Q27" i="360"/>
  <c r="P27" i="360"/>
  <c r="O27" i="360"/>
  <c r="I27" i="360"/>
  <c r="H27" i="360"/>
  <c r="G27" i="360"/>
  <c r="E27" i="360"/>
  <c r="D27" i="360"/>
  <c r="C27" i="360"/>
  <c r="AJ26" i="360"/>
  <c r="AG26" i="360"/>
  <c r="AF26" i="360"/>
  <c r="AE26" i="360"/>
  <c r="AD26" i="360"/>
  <c r="AC26" i="360"/>
  <c r="AB26" i="360"/>
  <c r="AA26" i="360"/>
  <c r="Y26" i="360"/>
  <c r="AK26" i="360" s="1"/>
  <c r="X26" i="360"/>
  <c r="Z26" i="360" s="1"/>
  <c r="W26" i="360"/>
  <c r="AI26" i="360" s="1"/>
  <c r="V26" i="360"/>
  <c r="R26" i="360"/>
  <c r="N26" i="360"/>
  <c r="M26" i="360"/>
  <c r="L26" i="360"/>
  <c r="K26" i="360"/>
  <c r="J26" i="360"/>
  <c r="F26" i="360"/>
  <c r="AG25" i="360"/>
  <c r="AF25" i="360"/>
  <c r="AE25" i="360"/>
  <c r="AD25" i="360"/>
  <c r="AC25" i="360"/>
  <c r="AB25" i="360"/>
  <c r="AA25" i="360"/>
  <c r="Y25" i="360"/>
  <c r="AK25" i="360" s="1"/>
  <c r="X25" i="360"/>
  <c r="Z25" i="360" s="1"/>
  <c r="W25" i="360"/>
  <c r="AI25" i="360" s="1"/>
  <c r="V25" i="360"/>
  <c r="AH25" i="360" s="1"/>
  <c r="R25" i="360"/>
  <c r="N25" i="360"/>
  <c r="M25" i="360"/>
  <c r="L25" i="360"/>
  <c r="K25" i="360"/>
  <c r="J25" i="360"/>
  <c r="F25" i="360"/>
  <c r="AJ24" i="360"/>
  <c r="AG24" i="360"/>
  <c r="AF24" i="360"/>
  <c r="AE24" i="360"/>
  <c r="AD24" i="360"/>
  <c r="AC24" i="360"/>
  <c r="AB24" i="360"/>
  <c r="AA24" i="360"/>
  <c r="Y24" i="360"/>
  <c r="AK24" i="360" s="1"/>
  <c r="X24" i="360"/>
  <c r="Z24" i="360" s="1"/>
  <c r="W24" i="360"/>
  <c r="AI24" i="360" s="1"/>
  <c r="V24" i="360"/>
  <c r="AH24" i="360" s="1"/>
  <c r="R24" i="360"/>
  <c r="N24" i="360"/>
  <c r="M24" i="360"/>
  <c r="L24" i="360"/>
  <c r="K24" i="360"/>
  <c r="J24" i="360"/>
  <c r="F24" i="360"/>
  <c r="AG23" i="360"/>
  <c r="AG27" i="360" s="1"/>
  <c r="AF23" i="360"/>
  <c r="AE23" i="360"/>
  <c r="AE27" i="360" s="1"/>
  <c r="AD23" i="360"/>
  <c r="AD27" i="360" s="1"/>
  <c r="AC23" i="360"/>
  <c r="AC27" i="360" s="1"/>
  <c r="AB23" i="360"/>
  <c r="AA23" i="360"/>
  <c r="AA27" i="360" s="1"/>
  <c r="Z23" i="360"/>
  <c r="Y23" i="360"/>
  <c r="Y27" i="360" s="1"/>
  <c r="X23" i="360"/>
  <c r="W23" i="360"/>
  <c r="W27" i="360" s="1"/>
  <c r="V23" i="360"/>
  <c r="R23" i="360"/>
  <c r="R27" i="360" s="1"/>
  <c r="M23" i="360"/>
  <c r="M27" i="360" s="1"/>
  <c r="L23" i="360"/>
  <c r="N23" i="360" s="1"/>
  <c r="N27" i="360" s="1"/>
  <c r="K23" i="360"/>
  <c r="K27" i="360" s="1"/>
  <c r="J23" i="360"/>
  <c r="F23" i="360"/>
  <c r="F27" i="360" s="1"/>
  <c r="T22" i="360"/>
  <c r="P22" i="360"/>
  <c r="D22" i="360"/>
  <c r="AB21" i="360"/>
  <c r="U21" i="360"/>
  <c r="T21" i="360"/>
  <c r="S21" i="360"/>
  <c r="Q21" i="360"/>
  <c r="P21" i="360"/>
  <c r="O21" i="360"/>
  <c r="L21" i="360"/>
  <c r="K21" i="360"/>
  <c r="I21" i="360"/>
  <c r="H21" i="360"/>
  <c r="G21" i="360"/>
  <c r="E21" i="360"/>
  <c r="D21" i="360"/>
  <c r="C21" i="360"/>
  <c r="AG20" i="360"/>
  <c r="AF20" i="360"/>
  <c r="AE20" i="360"/>
  <c r="AH20" i="360" s="1"/>
  <c r="AC20" i="360"/>
  <c r="AB20" i="360"/>
  <c r="AA20" i="360"/>
  <c r="AD20" i="360" s="1"/>
  <c r="Y20" i="360"/>
  <c r="AK20" i="360" s="1"/>
  <c r="X20" i="360"/>
  <c r="AJ20" i="360" s="1"/>
  <c r="W20" i="360"/>
  <c r="Z20" i="360" s="1"/>
  <c r="V20" i="360"/>
  <c r="R20" i="360"/>
  <c r="M20" i="360"/>
  <c r="L20" i="360"/>
  <c r="K20" i="360"/>
  <c r="J20" i="360"/>
  <c r="F20" i="360"/>
  <c r="AI19" i="360"/>
  <c r="AG19" i="360"/>
  <c r="AG21" i="360" s="1"/>
  <c r="AF19" i="360"/>
  <c r="AF21" i="360" s="1"/>
  <c r="AE19" i="360"/>
  <c r="AC19" i="360"/>
  <c r="AC21" i="360" s="1"/>
  <c r="AB19" i="360"/>
  <c r="AA19" i="360"/>
  <c r="Y19" i="360"/>
  <c r="Y21" i="360" s="1"/>
  <c r="X19" i="360"/>
  <c r="X21" i="360" s="1"/>
  <c r="W19" i="360"/>
  <c r="Z19" i="360" s="1"/>
  <c r="V19" i="360"/>
  <c r="V21" i="360" s="1"/>
  <c r="R19" i="360"/>
  <c r="R21" i="360" s="1"/>
  <c r="M19" i="360"/>
  <c r="M21" i="360" s="1"/>
  <c r="L19" i="360"/>
  <c r="K19" i="360"/>
  <c r="J19" i="360"/>
  <c r="J21" i="360" s="1"/>
  <c r="F19" i="360"/>
  <c r="F21" i="360" s="1"/>
  <c r="W18" i="360"/>
  <c r="U18" i="360"/>
  <c r="AG18" i="360" s="1"/>
  <c r="T18" i="360"/>
  <c r="S18" i="360"/>
  <c r="Q18" i="360"/>
  <c r="AC18" i="360" s="1"/>
  <c r="P18" i="360"/>
  <c r="O18" i="360"/>
  <c r="I18" i="360"/>
  <c r="G18" i="360"/>
  <c r="E18" i="360"/>
  <c r="D18" i="360"/>
  <c r="C18" i="360"/>
  <c r="AG17" i="360"/>
  <c r="AE17" i="360"/>
  <c r="AC17" i="360"/>
  <c r="AB17" i="360"/>
  <c r="AA17" i="360"/>
  <c r="AD17" i="360" s="1"/>
  <c r="Y17" i="360"/>
  <c r="X17" i="360"/>
  <c r="W17" i="360"/>
  <c r="Z17" i="360" s="1"/>
  <c r="V17" i="360"/>
  <c r="R17" i="360"/>
  <c r="M17" i="360"/>
  <c r="K17" i="360"/>
  <c r="H17" i="360"/>
  <c r="F17" i="360"/>
  <c r="AJ16" i="360"/>
  <c r="AG16" i="360"/>
  <c r="AF16" i="360"/>
  <c r="AC16" i="360"/>
  <c r="AB16" i="360"/>
  <c r="AA16" i="360"/>
  <c r="Y16" i="360"/>
  <c r="AK16" i="360" s="1"/>
  <c r="X16" i="360"/>
  <c r="W16" i="360"/>
  <c r="V16" i="360"/>
  <c r="R16" i="360"/>
  <c r="N16" i="360"/>
  <c r="M16" i="360"/>
  <c r="L16" i="360"/>
  <c r="K16" i="360"/>
  <c r="AI16" i="360" s="1"/>
  <c r="J16" i="360"/>
  <c r="G16" i="360"/>
  <c r="AE16" i="360" s="1"/>
  <c r="AH16" i="360" s="1"/>
  <c r="F16" i="360"/>
  <c r="AG15" i="360"/>
  <c r="AE15" i="360"/>
  <c r="AH15" i="360" s="1"/>
  <c r="AC15" i="360"/>
  <c r="AB15" i="360"/>
  <c r="AA15" i="360"/>
  <c r="AD15" i="360" s="1"/>
  <c r="Y15" i="360"/>
  <c r="Y18" i="360" s="1"/>
  <c r="X15" i="360"/>
  <c r="W15" i="360"/>
  <c r="V15" i="360"/>
  <c r="V18" i="360" s="1"/>
  <c r="R15" i="360"/>
  <c r="R18" i="360" s="1"/>
  <c r="M15" i="360"/>
  <c r="K15" i="360"/>
  <c r="K18" i="360" s="1"/>
  <c r="H15" i="360"/>
  <c r="AF15" i="360" s="1"/>
  <c r="G15" i="360"/>
  <c r="J15" i="360" s="1"/>
  <c r="F15" i="360"/>
  <c r="F18" i="360" s="1"/>
  <c r="U14" i="360"/>
  <c r="T14" i="360"/>
  <c r="S14" i="360"/>
  <c r="Q14" i="360"/>
  <c r="P14" i="360"/>
  <c r="O14" i="360"/>
  <c r="I14" i="360"/>
  <c r="G14" i="360"/>
  <c r="E14" i="360"/>
  <c r="D14" i="360"/>
  <c r="C14" i="360"/>
  <c r="AG13" i="360"/>
  <c r="AE13" i="360"/>
  <c r="AC13" i="360"/>
  <c r="AB13" i="360"/>
  <c r="AA13" i="360"/>
  <c r="AD13" i="360" s="1"/>
  <c r="Y13" i="360"/>
  <c r="AK13" i="360" s="1"/>
  <c r="X13" i="360"/>
  <c r="W13" i="360"/>
  <c r="Z13" i="360" s="1"/>
  <c r="V13" i="360"/>
  <c r="R13" i="360"/>
  <c r="M13" i="360"/>
  <c r="K13" i="360"/>
  <c r="H13" i="360"/>
  <c r="G13" i="360"/>
  <c r="F13" i="360"/>
  <c r="AK12" i="360"/>
  <c r="AG12" i="360"/>
  <c r="AF12" i="360"/>
  <c r="AE12" i="360"/>
  <c r="AC12" i="360"/>
  <c r="AB12" i="360"/>
  <c r="AA12" i="360"/>
  <c r="AD12" i="360" s="1"/>
  <c r="Y12" i="360"/>
  <c r="X12" i="360"/>
  <c r="W12" i="360"/>
  <c r="Z12" i="360" s="1"/>
  <c r="V12" i="360"/>
  <c r="R12" i="360"/>
  <c r="M12" i="360"/>
  <c r="L12" i="360"/>
  <c r="AJ12" i="360" s="1"/>
  <c r="K12" i="360"/>
  <c r="J12" i="360"/>
  <c r="F12" i="360"/>
  <c r="AK11" i="360"/>
  <c r="AG11" i="360"/>
  <c r="AE11" i="360"/>
  <c r="AC11" i="360"/>
  <c r="AB11" i="360"/>
  <c r="AA11" i="360"/>
  <c r="AD11" i="360" s="1"/>
  <c r="Y11" i="360"/>
  <c r="X11" i="360"/>
  <c r="W11" i="360"/>
  <c r="Z11" i="360" s="1"/>
  <c r="V11" i="360"/>
  <c r="R11" i="360"/>
  <c r="M11" i="360"/>
  <c r="K11" i="360"/>
  <c r="H11" i="360"/>
  <c r="AF11" i="360" s="1"/>
  <c r="G11" i="360"/>
  <c r="J11" i="360" s="1"/>
  <c r="F11" i="360"/>
  <c r="AG10" i="360"/>
  <c r="AG14" i="360" s="1"/>
  <c r="AE10" i="360"/>
  <c r="AC10" i="360"/>
  <c r="AC14" i="360" s="1"/>
  <c r="AB10" i="360"/>
  <c r="AA10" i="360"/>
  <c r="AD10" i="360" s="1"/>
  <c r="Y10" i="360"/>
  <c r="Y14" i="360" s="1"/>
  <c r="X10" i="360"/>
  <c r="W10" i="360"/>
  <c r="Z10" i="360" s="1"/>
  <c r="V10" i="360"/>
  <c r="R10" i="360"/>
  <c r="M10" i="360"/>
  <c r="M14" i="360" s="1"/>
  <c r="K10" i="360"/>
  <c r="H10" i="360"/>
  <c r="F10" i="360"/>
  <c r="AJ9" i="360"/>
  <c r="AG9" i="360"/>
  <c r="AF9" i="360"/>
  <c r="AC9" i="360"/>
  <c r="AB9" i="360"/>
  <c r="AA9" i="360"/>
  <c r="Y9" i="360"/>
  <c r="AK9" i="360" s="1"/>
  <c r="X9" i="360"/>
  <c r="W9" i="360"/>
  <c r="V9" i="360"/>
  <c r="V14" i="360" s="1"/>
  <c r="R9" i="360"/>
  <c r="R14" i="360" s="1"/>
  <c r="M9" i="360"/>
  <c r="L9" i="360"/>
  <c r="J9" i="360"/>
  <c r="H9" i="360"/>
  <c r="G9" i="360"/>
  <c r="AE9" i="360" s="1"/>
  <c r="AE14" i="360" s="1"/>
  <c r="F9" i="360"/>
  <c r="F14" i="360" s="1"/>
  <c r="AG71" i="359"/>
  <c r="AF71" i="359"/>
  <c r="AC71" i="359"/>
  <c r="AB71" i="359"/>
  <c r="AD71" i="359" s="1"/>
  <c r="AA71" i="359"/>
  <c r="Y71" i="359"/>
  <c r="X71" i="359"/>
  <c r="Z71" i="359" s="1"/>
  <c r="W71" i="359"/>
  <c r="V71" i="359"/>
  <c r="R71" i="359"/>
  <c r="J71" i="359"/>
  <c r="I71" i="359"/>
  <c r="M71" i="359" s="1"/>
  <c r="H71" i="359"/>
  <c r="L71" i="359" s="1"/>
  <c r="G71" i="359"/>
  <c r="AE71" i="359" s="1"/>
  <c r="AH71" i="359" s="1"/>
  <c r="F71" i="359"/>
  <c r="AA70" i="359"/>
  <c r="U70" i="359"/>
  <c r="S70" i="359"/>
  <c r="Q70" i="359"/>
  <c r="O70" i="359"/>
  <c r="I70" i="359"/>
  <c r="G70" i="359"/>
  <c r="E70" i="359"/>
  <c r="C70" i="359"/>
  <c r="AG69" i="359"/>
  <c r="AF69" i="359"/>
  <c r="AE69" i="359"/>
  <c r="AH69" i="359" s="1"/>
  <c r="AC69" i="359"/>
  <c r="AB69" i="359"/>
  <c r="AA69" i="359"/>
  <c r="AD69" i="359" s="1"/>
  <c r="Y69" i="359"/>
  <c r="X69" i="359"/>
  <c r="AJ69" i="359" s="1"/>
  <c r="W69" i="359"/>
  <c r="Z69" i="359" s="1"/>
  <c r="V69" i="359"/>
  <c r="R69" i="359"/>
  <c r="M69" i="359"/>
  <c r="L69" i="359"/>
  <c r="K69" i="359"/>
  <c r="J69" i="359"/>
  <c r="F69" i="359"/>
  <c r="AI68" i="359"/>
  <c r="AG68" i="359"/>
  <c r="AF68" i="359"/>
  <c r="AE68" i="359"/>
  <c r="AH68" i="359" s="1"/>
  <c r="AC68" i="359"/>
  <c r="AB68" i="359"/>
  <c r="AA68" i="359"/>
  <c r="AD68" i="359" s="1"/>
  <c r="Y68" i="359"/>
  <c r="X68" i="359"/>
  <c r="AJ68" i="359" s="1"/>
  <c r="W68" i="359"/>
  <c r="Z68" i="359" s="1"/>
  <c r="V68" i="359"/>
  <c r="R68" i="359"/>
  <c r="M68" i="359"/>
  <c r="L68" i="359"/>
  <c r="K68" i="359"/>
  <c r="J68" i="359"/>
  <c r="F68" i="359"/>
  <c r="AG67" i="359"/>
  <c r="AF67" i="359"/>
  <c r="AE67" i="359"/>
  <c r="AH67" i="359" s="1"/>
  <c r="AC67" i="359"/>
  <c r="AB67" i="359"/>
  <c r="AA67" i="359"/>
  <c r="AD67" i="359" s="1"/>
  <c r="Y67" i="359"/>
  <c r="AK67" i="359" s="1"/>
  <c r="X67" i="359"/>
  <c r="AJ67" i="359" s="1"/>
  <c r="W67" i="359"/>
  <c r="Z67" i="359" s="1"/>
  <c r="V67" i="359"/>
  <c r="R67" i="359"/>
  <c r="M67" i="359"/>
  <c r="L67" i="359"/>
  <c r="K67" i="359"/>
  <c r="N67" i="359" s="1"/>
  <c r="J67" i="359"/>
  <c r="F67" i="359"/>
  <c r="AH66" i="359"/>
  <c r="AF66" i="359"/>
  <c r="AE66" i="359"/>
  <c r="AB66" i="359"/>
  <c r="AD66" i="359" s="1"/>
  <c r="AA66" i="359"/>
  <c r="Y66" i="359"/>
  <c r="X66" i="359"/>
  <c r="W66" i="359"/>
  <c r="V66" i="359"/>
  <c r="R66" i="359"/>
  <c r="N66" i="359"/>
  <c r="M66" i="359"/>
  <c r="L66" i="359"/>
  <c r="K66" i="359"/>
  <c r="AI66" i="359" s="1"/>
  <c r="J66" i="359"/>
  <c r="F66" i="359"/>
  <c r="U65" i="359"/>
  <c r="T65" i="359"/>
  <c r="T70" i="359" s="1"/>
  <c r="S65" i="359"/>
  <c r="R65" i="359"/>
  <c r="R70" i="359" s="1"/>
  <c r="R72" i="359" s="1"/>
  <c r="Q65" i="359"/>
  <c r="P65" i="359"/>
  <c r="P70" i="359" s="1"/>
  <c r="O65" i="359"/>
  <c r="L65" i="359"/>
  <c r="L70" i="359" s="1"/>
  <c r="I65" i="359"/>
  <c r="H65" i="359"/>
  <c r="H70" i="359" s="1"/>
  <c r="G65" i="359"/>
  <c r="F65" i="359"/>
  <c r="E65" i="359"/>
  <c r="D65" i="359"/>
  <c r="D70" i="359" s="1"/>
  <c r="C65" i="359"/>
  <c r="AG64" i="359"/>
  <c r="AF64" i="359"/>
  <c r="AH64" i="359" s="1"/>
  <c r="AE64" i="359"/>
  <c r="AC64" i="359"/>
  <c r="AB64" i="359"/>
  <c r="AD64" i="359" s="1"/>
  <c r="AA64" i="359"/>
  <c r="Y64" i="359"/>
  <c r="AK64" i="359" s="1"/>
  <c r="X64" i="359"/>
  <c r="Z64" i="359" s="1"/>
  <c r="W64" i="359"/>
  <c r="AI64" i="359" s="1"/>
  <c r="V64" i="359"/>
  <c r="R64" i="359"/>
  <c r="N64" i="359"/>
  <c r="M64" i="359"/>
  <c r="L64" i="359"/>
  <c r="K64" i="359"/>
  <c r="J64" i="359"/>
  <c r="F64" i="359"/>
  <c r="AG63" i="359"/>
  <c r="AG65" i="359" s="1"/>
  <c r="AG70" i="359" s="1"/>
  <c r="AF63" i="359"/>
  <c r="AH63" i="359" s="1"/>
  <c r="AH65" i="359" s="1"/>
  <c r="AE63" i="359"/>
  <c r="AE65" i="359" s="1"/>
  <c r="AE70" i="359" s="1"/>
  <c r="AC63" i="359"/>
  <c r="AC65" i="359" s="1"/>
  <c r="AC70" i="359" s="1"/>
  <c r="AB63" i="359"/>
  <c r="AD63" i="359" s="1"/>
  <c r="AD65" i="359" s="1"/>
  <c r="AD70" i="359" s="1"/>
  <c r="AD72" i="359" s="1"/>
  <c r="AA63" i="359"/>
  <c r="AA65" i="359" s="1"/>
  <c r="Y63" i="359"/>
  <c r="Y65" i="359" s="1"/>
  <c r="Y70" i="359" s="1"/>
  <c r="X63" i="359"/>
  <c r="Z63" i="359" s="1"/>
  <c r="Z65" i="359" s="1"/>
  <c r="W63" i="359"/>
  <c r="W65" i="359" s="1"/>
  <c r="W70" i="359" s="1"/>
  <c r="V63" i="359"/>
  <c r="V65" i="359" s="1"/>
  <c r="V70" i="359" s="1"/>
  <c r="V72" i="359" s="1"/>
  <c r="R63" i="359"/>
  <c r="N63" i="359"/>
  <c r="N65" i="359" s="1"/>
  <c r="M63" i="359"/>
  <c r="M65" i="359" s="1"/>
  <c r="M70" i="359" s="1"/>
  <c r="L63" i="359"/>
  <c r="K63" i="359"/>
  <c r="K65" i="359" s="1"/>
  <c r="K70" i="359" s="1"/>
  <c r="J63" i="359"/>
  <c r="J65" i="359" s="1"/>
  <c r="F63" i="359"/>
  <c r="G56" i="359"/>
  <c r="AG54" i="359"/>
  <c r="AF54" i="359"/>
  <c r="AE54" i="359"/>
  <c r="AC54" i="359"/>
  <c r="AB54" i="359"/>
  <c r="AA54" i="359"/>
  <c r="Y54" i="359"/>
  <c r="X54" i="359"/>
  <c r="W54" i="359"/>
  <c r="Z54" i="359" s="1"/>
  <c r="V54" i="359"/>
  <c r="R54" i="359"/>
  <c r="M54" i="359"/>
  <c r="AK54" i="359" s="1"/>
  <c r="L54" i="359"/>
  <c r="AJ54" i="359" s="1"/>
  <c r="K54" i="359"/>
  <c r="N54" i="359" s="1"/>
  <c r="J54" i="359"/>
  <c r="AH54" i="359" s="1"/>
  <c r="F54" i="359"/>
  <c r="AD54" i="359" s="1"/>
  <c r="AI53" i="359"/>
  <c r="AG53" i="359"/>
  <c r="AF53" i="359"/>
  <c r="AE53" i="359"/>
  <c r="AC53" i="359"/>
  <c r="AB53" i="359"/>
  <c r="AA53" i="359"/>
  <c r="Y53" i="359"/>
  <c r="X53" i="359"/>
  <c r="W53" i="359"/>
  <c r="Z53" i="359" s="1"/>
  <c r="V53" i="359"/>
  <c r="R53" i="359"/>
  <c r="M53" i="359"/>
  <c r="L53" i="359"/>
  <c r="K53" i="359"/>
  <c r="J53" i="359"/>
  <c r="F53" i="359"/>
  <c r="U52" i="359"/>
  <c r="U56" i="359" s="1"/>
  <c r="T52" i="359"/>
  <c r="S52" i="359"/>
  <c r="S56" i="359" s="1"/>
  <c r="Q52" i="359"/>
  <c r="Q56" i="359" s="1"/>
  <c r="P52" i="359"/>
  <c r="O52" i="359"/>
  <c r="O56" i="359" s="1"/>
  <c r="K52" i="359"/>
  <c r="I52" i="359"/>
  <c r="I56" i="359" s="1"/>
  <c r="H52" i="359"/>
  <c r="G52" i="359"/>
  <c r="E52" i="359"/>
  <c r="E56" i="359" s="1"/>
  <c r="D52" i="359"/>
  <c r="C52" i="359"/>
  <c r="C56" i="359" s="1"/>
  <c r="AG51" i="359"/>
  <c r="AF51" i="359"/>
  <c r="AE51" i="359"/>
  <c r="AC51" i="359"/>
  <c r="AB51" i="359"/>
  <c r="AA51" i="359"/>
  <c r="Y51" i="359"/>
  <c r="X51" i="359"/>
  <c r="W51" i="359"/>
  <c r="Z51" i="359" s="1"/>
  <c r="V51" i="359"/>
  <c r="R51" i="359"/>
  <c r="M51" i="359"/>
  <c r="AK51" i="359" s="1"/>
  <c r="L51" i="359"/>
  <c r="AJ51" i="359" s="1"/>
  <c r="K51" i="359"/>
  <c r="N51" i="359" s="1"/>
  <c r="AL51" i="359" s="1"/>
  <c r="J51" i="359"/>
  <c r="AH51" i="359" s="1"/>
  <c r="F51" i="359"/>
  <c r="AD51" i="359" s="1"/>
  <c r="AG50" i="359"/>
  <c r="AF50" i="359"/>
  <c r="AE50" i="359"/>
  <c r="AC50" i="359"/>
  <c r="AB50" i="359"/>
  <c r="AA50" i="359"/>
  <c r="Y50" i="359"/>
  <c r="X50" i="359"/>
  <c r="W50" i="359"/>
  <c r="Z50" i="359" s="1"/>
  <c r="V50" i="359"/>
  <c r="R50" i="359"/>
  <c r="M50" i="359"/>
  <c r="AK50" i="359" s="1"/>
  <c r="L50" i="359"/>
  <c r="AJ50" i="359" s="1"/>
  <c r="K50" i="359"/>
  <c r="J50" i="359"/>
  <c r="AH50" i="359" s="1"/>
  <c r="F50" i="359"/>
  <c r="AD50" i="359" s="1"/>
  <c r="AI49" i="359"/>
  <c r="AG49" i="359"/>
  <c r="AG52" i="359" s="1"/>
  <c r="AF49" i="359"/>
  <c r="AF52" i="359" s="1"/>
  <c r="AE49" i="359"/>
  <c r="AE52" i="359" s="1"/>
  <c r="AC49" i="359"/>
  <c r="AC52" i="359" s="1"/>
  <c r="AB49" i="359"/>
  <c r="AB52" i="359" s="1"/>
  <c r="AA49" i="359"/>
  <c r="AA52" i="359" s="1"/>
  <c r="Y49" i="359"/>
  <c r="Y52" i="359" s="1"/>
  <c r="X49" i="359"/>
  <c r="X52" i="359" s="1"/>
  <c r="W49" i="359"/>
  <c r="Z49" i="359" s="1"/>
  <c r="V49" i="359"/>
  <c r="V52" i="359" s="1"/>
  <c r="R49" i="359"/>
  <c r="R52" i="359" s="1"/>
  <c r="M49" i="359"/>
  <c r="L49" i="359"/>
  <c r="L52" i="359" s="1"/>
  <c r="K49" i="359"/>
  <c r="J49" i="359"/>
  <c r="J52" i="359" s="1"/>
  <c r="F49" i="359"/>
  <c r="AG48" i="359"/>
  <c r="AF48" i="359"/>
  <c r="AE48" i="359"/>
  <c r="AH48" i="359" s="1"/>
  <c r="AC48" i="359"/>
  <c r="AB48" i="359"/>
  <c r="AA48" i="359"/>
  <c r="AD48" i="359" s="1"/>
  <c r="Y48" i="359"/>
  <c r="AK48" i="359" s="1"/>
  <c r="X48" i="359"/>
  <c r="AJ48" i="359" s="1"/>
  <c r="W48" i="359"/>
  <c r="Z48" i="359" s="1"/>
  <c r="V48" i="359"/>
  <c r="R48" i="359"/>
  <c r="M48" i="359"/>
  <c r="L48" i="359"/>
  <c r="K48" i="359"/>
  <c r="N48" i="359" s="1"/>
  <c r="J48" i="359"/>
  <c r="F48" i="359"/>
  <c r="AG47" i="359"/>
  <c r="AF47" i="359"/>
  <c r="AE47" i="359"/>
  <c r="AH47" i="359" s="1"/>
  <c r="AC47" i="359"/>
  <c r="AA47" i="359"/>
  <c r="Y47" i="359"/>
  <c r="AK47" i="359" s="1"/>
  <c r="W47" i="359"/>
  <c r="V47" i="359"/>
  <c r="R47" i="359"/>
  <c r="P47" i="359"/>
  <c r="AB47" i="359" s="1"/>
  <c r="N47" i="359"/>
  <c r="M47" i="359"/>
  <c r="L47" i="359"/>
  <c r="K47" i="359"/>
  <c r="J47" i="359"/>
  <c r="F47" i="359"/>
  <c r="AG46" i="359"/>
  <c r="AF46" i="359"/>
  <c r="AH46" i="359" s="1"/>
  <c r="AE46" i="359"/>
  <c r="AC46" i="359"/>
  <c r="AB46" i="359"/>
  <c r="AD46" i="359" s="1"/>
  <c r="AA46" i="359"/>
  <c r="Y46" i="359"/>
  <c r="AK46" i="359" s="1"/>
  <c r="X46" i="359"/>
  <c r="Z46" i="359" s="1"/>
  <c r="W46" i="359"/>
  <c r="AI46" i="359" s="1"/>
  <c r="V46" i="359"/>
  <c r="R46" i="359"/>
  <c r="N46" i="359"/>
  <c r="M46" i="359"/>
  <c r="L46" i="359"/>
  <c r="K46" i="359"/>
  <c r="J46" i="359"/>
  <c r="F46" i="359"/>
  <c r="AG45" i="359"/>
  <c r="AF45" i="359"/>
  <c r="AH45" i="359" s="1"/>
  <c r="AE45" i="359"/>
  <c r="AC45" i="359"/>
  <c r="AB45" i="359"/>
  <c r="AD45" i="359" s="1"/>
  <c r="AA45" i="359"/>
  <c r="Y45" i="359"/>
  <c r="AK45" i="359" s="1"/>
  <c r="X45" i="359"/>
  <c r="Z45" i="359" s="1"/>
  <c r="W45" i="359"/>
  <c r="AI45" i="359" s="1"/>
  <c r="V45" i="359"/>
  <c r="R45" i="359"/>
  <c r="N45" i="359"/>
  <c r="M45" i="359"/>
  <c r="L45" i="359"/>
  <c r="K45" i="359"/>
  <c r="J45" i="359"/>
  <c r="F45" i="359"/>
  <c r="U43" i="359"/>
  <c r="T43" i="359"/>
  <c r="S43" i="359"/>
  <c r="Q43" i="359"/>
  <c r="P43" i="359"/>
  <c r="O43" i="359"/>
  <c r="I43" i="359"/>
  <c r="H43" i="359"/>
  <c r="G43" i="359"/>
  <c r="E43" i="359"/>
  <c r="D43" i="359"/>
  <c r="C43" i="359"/>
  <c r="AG42" i="359"/>
  <c r="AF42" i="359"/>
  <c r="AH42" i="359" s="1"/>
  <c r="AE42" i="359"/>
  <c r="AC42" i="359"/>
  <c r="AB42" i="359"/>
  <c r="AD42" i="359" s="1"/>
  <c r="AA42" i="359"/>
  <c r="Y42" i="359"/>
  <c r="X42" i="359"/>
  <c r="Z42" i="359" s="1"/>
  <c r="W42" i="359"/>
  <c r="AI42" i="359" s="1"/>
  <c r="V42" i="359"/>
  <c r="M42" i="359"/>
  <c r="L42" i="359"/>
  <c r="K42" i="359"/>
  <c r="J42" i="359"/>
  <c r="F42" i="359"/>
  <c r="AG41" i="359"/>
  <c r="AF41" i="359"/>
  <c r="AE41" i="359"/>
  <c r="AH41" i="359" s="1"/>
  <c r="AC41" i="359"/>
  <c r="AB41" i="359"/>
  <c r="AA41" i="359"/>
  <c r="AD41" i="359" s="1"/>
  <c r="Y41" i="359"/>
  <c r="AK41" i="359" s="1"/>
  <c r="X41" i="359"/>
  <c r="W41" i="359"/>
  <c r="Z41" i="359" s="1"/>
  <c r="V41" i="359"/>
  <c r="M41" i="359"/>
  <c r="L41" i="359"/>
  <c r="N41" i="359" s="1"/>
  <c r="K41" i="359"/>
  <c r="J41" i="359"/>
  <c r="F41" i="359"/>
  <c r="AH40" i="359"/>
  <c r="AG40" i="359"/>
  <c r="AF40" i="359"/>
  <c r="AE40" i="359"/>
  <c r="AD40" i="359"/>
  <c r="AC40" i="359"/>
  <c r="AB40" i="359"/>
  <c r="AA40" i="359"/>
  <c r="Z40" i="359"/>
  <c r="Y40" i="359"/>
  <c r="AK40" i="359" s="1"/>
  <c r="X40" i="359"/>
  <c r="AJ40" i="359" s="1"/>
  <c r="W40" i="359"/>
  <c r="V40" i="359"/>
  <c r="M40" i="359"/>
  <c r="L40" i="359"/>
  <c r="K40" i="359"/>
  <c r="N40" i="359" s="1"/>
  <c r="J40" i="359"/>
  <c r="F40" i="359"/>
  <c r="AK39" i="359"/>
  <c r="AG39" i="359"/>
  <c r="AF39" i="359"/>
  <c r="AE39" i="359"/>
  <c r="AC39" i="359"/>
  <c r="AB39" i="359"/>
  <c r="AA39" i="359"/>
  <c r="Y39" i="359"/>
  <c r="X39" i="359"/>
  <c r="AJ39" i="359" s="1"/>
  <c r="W39" i="359"/>
  <c r="AI39" i="359" s="1"/>
  <c r="V39" i="359"/>
  <c r="N39" i="359"/>
  <c r="M39" i="359"/>
  <c r="L39" i="359"/>
  <c r="K39" i="359"/>
  <c r="J39" i="359"/>
  <c r="F39" i="359"/>
  <c r="AG38" i="359"/>
  <c r="AF38" i="359"/>
  <c r="AH38" i="359" s="1"/>
  <c r="AE38" i="359"/>
  <c r="AC38" i="359"/>
  <c r="AB38" i="359"/>
  <c r="AD38" i="359" s="1"/>
  <c r="AA38" i="359"/>
  <c r="Y38" i="359"/>
  <c r="X38" i="359"/>
  <c r="Z38" i="359" s="1"/>
  <c r="W38" i="359"/>
  <c r="AI38" i="359" s="1"/>
  <c r="V38" i="359"/>
  <c r="M38" i="359"/>
  <c r="L38" i="359"/>
  <c r="K38" i="359"/>
  <c r="J38" i="359"/>
  <c r="F38" i="359"/>
  <c r="AG37" i="359"/>
  <c r="AF37" i="359"/>
  <c r="AE37" i="359"/>
  <c r="AH37" i="359" s="1"/>
  <c r="AC37" i="359"/>
  <c r="AB37" i="359"/>
  <c r="AA37" i="359"/>
  <c r="AD37" i="359" s="1"/>
  <c r="Y37" i="359"/>
  <c r="AK37" i="359" s="1"/>
  <c r="X37" i="359"/>
  <c r="W37" i="359"/>
  <c r="Z37" i="359" s="1"/>
  <c r="V37" i="359"/>
  <c r="M37" i="359"/>
  <c r="L37" i="359"/>
  <c r="N37" i="359" s="1"/>
  <c r="K37" i="359"/>
  <c r="J37" i="359"/>
  <c r="J43" i="359" s="1"/>
  <c r="F37" i="359"/>
  <c r="AH36" i="359"/>
  <c r="AG36" i="359"/>
  <c r="AF36" i="359"/>
  <c r="AE36" i="359"/>
  <c r="AD36" i="359"/>
  <c r="AC36" i="359"/>
  <c r="AB36" i="359"/>
  <c r="AA36" i="359"/>
  <c r="Z36" i="359"/>
  <c r="Y36" i="359"/>
  <c r="AK36" i="359" s="1"/>
  <c r="X36" i="359"/>
  <c r="AJ36" i="359" s="1"/>
  <c r="W36" i="359"/>
  <c r="V36" i="359"/>
  <c r="V43" i="359" s="1"/>
  <c r="M36" i="359"/>
  <c r="L36" i="359"/>
  <c r="K36" i="359"/>
  <c r="N36" i="359" s="1"/>
  <c r="J36" i="359"/>
  <c r="F36" i="359"/>
  <c r="AK35" i="359"/>
  <c r="AG35" i="359"/>
  <c r="AG43" i="359" s="1"/>
  <c r="AF35" i="359"/>
  <c r="AE35" i="359"/>
  <c r="AC35" i="359"/>
  <c r="AC43" i="359" s="1"/>
  <c r="AB35" i="359"/>
  <c r="AA35" i="359"/>
  <c r="AA43" i="359" s="1"/>
  <c r="Y35" i="359"/>
  <c r="Y43" i="359" s="1"/>
  <c r="X35" i="359"/>
  <c r="AJ35" i="359" s="1"/>
  <c r="W35" i="359"/>
  <c r="W43" i="359" s="1"/>
  <c r="V35" i="359"/>
  <c r="R35" i="359"/>
  <c r="R43" i="359" s="1"/>
  <c r="M35" i="359"/>
  <c r="M43" i="359" s="1"/>
  <c r="L35" i="359"/>
  <c r="K35" i="359"/>
  <c r="J35" i="359"/>
  <c r="F35" i="359"/>
  <c r="F43" i="359" s="1"/>
  <c r="I34" i="359"/>
  <c r="U33" i="359"/>
  <c r="U34" i="359" s="1"/>
  <c r="T33" i="359"/>
  <c r="T34" i="359" s="1"/>
  <c r="T44" i="359" s="1"/>
  <c r="S33" i="359"/>
  <c r="S34" i="359" s="1"/>
  <c r="Q33" i="359"/>
  <c r="Q34" i="359" s="1"/>
  <c r="P33" i="359"/>
  <c r="P34" i="359" s="1"/>
  <c r="P44" i="359" s="1"/>
  <c r="O33" i="359"/>
  <c r="M33" i="359"/>
  <c r="M34" i="359" s="1"/>
  <c r="I33" i="359"/>
  <c r="H33" i="359"/>
  <c r="H34" i="359" s="1"/>
  <c r="H44" i="359" s="1"/>
  <c r="G33" i="359"/>
  <c r="E33" i="359"/>
  <c r="E34" i="359" s="1"/>
  <c r="D33" i="359"/>
  <c r="D34" i="359" s="1"/>
  <c r="D44" i="359" s="1"/>
  <c r="C33" i="359"/>
  <c r="AG32" i="359"/>
  <c r="AF32" i="359"/>
  <c r="AE32" i="359"/>
  <c r="AC32" i="359"/>
  <c r="AB32" i="359"/>
  <c r="AA32" i="359"/>
  <c r="AD32" i="359" s="1"/>
  <c r="Y32" i="359"/>
  <c r="AK32" i="359" s="1"/>
  <c r="X32" i="359"/>
  <c r="AJ32" i="359" s="1"/>
  <c r="W32" i="359"/>
  <c r="AI32" i="359" s="1"/>
  <c r="V32" i="359"/>
  <c r="R32" i="359"/>
  <c r="R33" i="359" s="1"/>
  <c r="M32" i="359"/>
  <c r="L32" i="359"/>
  <c r="K32" i="359"/>
  <c r="J32" i="359"/>
  <c r="F32" i="359"/>
  <c r="AK31" i="359"/>
  <c r="AK33" i="359" s="1"/>
  <c r="AG31" i="359"/>
  <c r="AG33" i="359" s="1"/>
  <c r="AG34" i="359" s="1"/>
  <c r="AF31" i="359"/>
  <c r="AF33" i="359" s="1"/>
  <c r="AE31" i="359"/>
  <c r="AE33" i="359" s="1"/>
  <c r="AC31" i="359"/>
  <c r="AC33" i="359" s="1"/>
  <c r="AC34" i="359" s="1"/>
  <c r="AB31" i="359"/>
  <c r="AB33" i="359" s="1"/>
  <c r="AA31" i="359"/>
  <c r="AA33" i="359" s="1"/>
  <c r="Y31" i="359"/>
  <c r="Y33" i="359" s="1"/>
  <c r="Y34" i="359" s="1"/>
  <c r="X31" i="359"/>
  <c r="X33" i="359" s="1"/>
  <c r="X34" i="359" s="1"/>
  <c r="W31" i="359"/>
  <c r="W33" i="359" s="1"/>
  <c r="V31" i="359"/>
  <c r="V33" i="359" s="1"/>
  <c r="N31" i="359"/>
  <c r="M31" i="359"/>
  <c r="L31" i="359"/>
  <c r="L33" i="359" s="1"/>
  <c r="K31" i="359"/>
  <c r="J31" i="359"/>
  <c r="J33" i="359" s="1"/>
  <c r="F31" i="359"/>
  <c r="F33" i="359" s="1"/>
  <c r="AG30" i="359"/>
  <c r="AF30" i="359"/>
  <c r="AH30" i="359" s="1"/>
  <c r="AE30" i="359"/>
  <c r="AC30" i="359"/>
  <c r="AB30" i="359"/>
  <c r="AD30" i="359" s="1"/>
  <c r="AA30" i="359"/>
  <c r="Y30" i="359"/>
  <c r="X30" i="359"/>
  <c r="Z30" i="359" s="1"/>
  <c r="W30" i="359"/>
  <c r="AI30" i="359" s="1"/>
  <c r="V30" i="359"/>
  <c r="M30" i="359"/>
  <c r="L30" i="359"/>
  <c r="K30" i="359"/>
  <c r="J30" i="359"/>
  <c r="F30" i="359"/>
  <c r="AE29" i="359"/>
  <c r="W29" i="359"/>
  <c r="U29" i="359"/>
  <c r="T29" i="359"/>
  <c r="S29" i="359"/>
  <c r="Q29" i="359"/>
  <c r="P29" i="359"/>
  <c r="O29" i="359"/>
  <c r="K29" i="359"/>
  <c r="I29" i="359"/>
  <c r="H29" i="359"/>
  <c r="G29" i="359"/>
  <c r="E29" i="359"/>
  <c r="D29" i="359"/>
  <c r="C29" i="359"/>
  <c r="AI28" i="359"/>
  <c r="AI29" i="359" s="1"/>
  <c r="AG28" i="359"/>
  <c r="AG29" i="359" s="1"/>
  <c r="AF28" i="359"/>
  <c r="AF29" i="359" s="1"/>
  <c r="AE28" i="359"/>
  <c r="AH28" i="359" s="1"/>
  <c r="AH29" i="359" s="1"/>
  <c r="AC28" i="359"/>
  <c r="AC29" i="359" s="1"/>
  <c r="AB28" i="359"/>
  <c r="AB29" i="359" s="1"/>
  <c r="AA28" i="359"/>
  <c r="AD28" i="359" s="1"/>
  <c r="AD29" i="359" s="1"/>
  <c r="Y28" i="359"/>
  <c r="Y29" i="359" s="1"/>
  <c r="X28" i="359"/>
  <c r="X29" i="359" s="1"/>
  <c r="W28" i="359"/>
  <c r="Z28" i="359" s="1"/>
  <c r="Z29" i="359" s="1"/>
  <c r="V28" i="359"/>
  <c r="V29" i="359" s="1"/>
  <c r="R28" i="359"/>
  <c r="R29" i="359" s="1"/>
  <c r="M28" i="359"/>
  <c r="M29" i="359" s="1"/>
  <c r="L28" i="359"/>
  <c r="L29" i="359" s="1"/>
  <c r="K28" i="359"/>
  <c r="N28" i="359" s="1"/>
  <c r="N29" i="359" s="1"/>
  <c r="J28" i="359"/>
  <c r="J29" i="359" s="1"/>
  <c r="F28" i="359"/>
  <c r="F29" i="359" s="1"/>
  <c r="AE27" i="359"/>
  <c r="U27" i="359"/>
  <c r="T27" i="359"/>
  <c r="S27" i="359"/>
  <c r="Q27" i="359"/>
  <c r="P27" i="359"/>
  <c r="O27" i="359"/>
  <c r="K27" i="359"/>
  <c r="I27" i="359"/>
  <c r="H27" i="359"/>
  <c r="G27" i="359"/>
  <c r="E27" i="359"/>
  <c r="D27" i="359"/>
  <c r="C27" i="359"/>
  <c r="AI26" i="359"/>
  <c r="AG26" i="359"/>
  <c r="AF26" i="359"/>
  <c r="AE26" i="359"/>
  <c r="AH26" i="359" s="1"/>
  <c r="AC26" i="359"/>
  <c r="AB26" i="359"/>
  <c r="AA26" i="359"/>
  <c r="AD26" i="359" s="1"/>
  <c r="Y26" i="359"/>
  <c r="X26" i="359"/>
  <c r="AJ26" i="359" s="1"/>
  <c r="W26" i="359"/>
  <c r="Z26" i="359" s="1"/>
  <c r="V26" i="359"/>
  <c r="R26" i="359"/>
  <c r="M26" i="359"/>
  <c r="L26" i="359"/>
  <c r="K26" i="359"/>
  <c r="J26" i="359"/>
  <c r="F26" i="359"/>
  <c r="AG25" i="359"/>
  <c r="AG27" i="359" s="1"/>
  <c r="AF25" i="359"/>
  <c r="AF27" i="359" s="1"/>
  <c r="AE25" i="359"/>
  <c r="AH25" i="359" s="1"/>
  <c r="AH27" i="359" s="1"/>
  <c r="AC25" i="359"/>
  <c r="AC27" i="359" s="1"/>
  <c r="AB25" i="359"/>
  <c r="AB27" i="359" s="1"/>
  <c r="AA25" i="359"/>
  <c r="AD25" i="359" s="1"/>
  <c r="Y25" i="359"/>
  <c r="Y27" i="359" s="1"/>
  <c r="X25" i="359"/>
  <c r="X27" i="359" s="1"/>
  <c r="W25" i="359"/>
  <c r="Z25" i="359" s="1"/>
  <c r="Z27" i="359" s="1"/>
  <c r="V25" i="359"/>
  <c r="V27" i="359" s="1"/>
  <c r="R25" i="359"/>
  <c r="R27" i="359" s="1"/>
  <c r="M25" i="359"/>
  <c r="L25" i="359"/>
  <c r="L27" i="359" s="1"/>
  <c r="K25" i="359"/>
  <c r="N25" i="359" s="1"/>
  <c r="J25" i="359"/>
  <c r="J27" i="359" s="1"/>
  <c r="F25" i="359"/>
  <c r="AA24" i="359"/>
  <c r="U24" i="359"/>
  <c r="T24" i="359"/>
  <c r="S24" i="359"/>
  <c r="S44" i="359" s="1"/>
  <c r="R24" i="359"/>
  <c r="Q24" i="359"/>
  <c r="P24" i="359"/>
  <c r="O24" i="359"/>
  <c r="M24" i="359"/>
  <c r="K24" i="359"/>
  <c r="I24" i="359"/>
  <c r="I44" i="359" s="1"/>
  <c r="H24" i="359"/>
  <c r="G24" i="359"/>
  <c r="E24" i="359"/>
  <c r="E44" i="359" s="1"/>
  <c r="D24" i="359"/>
  <c r="C24" i="359"/>
  <c r="AG23" i="359"/>
  <c r="AG24" i="359" s="1"/>
  <c r="AG44" i="359" s="1"/>
  <c r="AF23" i="359"/>
  <c r="AF24" i="359" s="1"/>
  <c r="AE23" i="359"/>
  <c r="AC23" i="359"/>
  <c r="AC24" i="359" s="1"/>
  <c r="AB23" i="359"/>
  <c r="AB24" i="359" s="1"/>
  <c r="AA23" i="359"/>
  <c r="AD23" i="359" s="1"/>
  <c r="AD24" i="359" s="1"/>
  <c r="Y23" i="359"/>
  <c r="Y24" i="359" s="1"/>
  <c r="X23" i="359"/>
  <c r="X24" i="359" s="1"/>
  <c r="W23" i="359"/>
  <c r="V23" i="359"/>
  <c r="V24" i="359" s="1"/>
  <c r="M23" i="359"/>
  <c r="L23" i="359"/>
  <c r="K23" i="359"/>
  <c r="J23" i="359"/>
  <c r="J24" i="359" s="1"/>
  <c r="F23" i="359"/>
  <c r="F24" i="359" s="1"/>
  <c r="AD22" i="359"/>
  <c r="Z22" i="359"/>
  <c r="U22" i="359"/>
  <c r="T22" i="359"/>
  <c r="T56" i="359" s="1"/>
  <c r="S22" i="359"/>
  <c r="R22" i="359"/>
  <c r="R56" i="359" s="1"/>
  <c r="Q22" i="359"/>
  <c r="P22" i="359"/>
  <c r="P56" i="359" s="1"/>
  <c r="O22" i="359"/>
  <c r="J22" i="359"/>
  <c r="J56" i="359" s="1"/>
  <c r="I22" i="359"/>
  <c r="H22" i="359"/>
  <c r="H56" i="359" s="1"/>
  <c r="G22" i="359"/>
  <c r="F22" i="359"/>
  <c r="E22" i="359"/>
  <c r="D22" i="359"/>
  <c r="D56" i="359" s="1"/>
  <c r="C22" i="359"/>
  <c r="AG21" i="359"/>
  <c r="AF21" i="359"/>
  <c r="AE21" i="359"/>
  <c r="AD21" i="359"/>
  <c r="AC21" i="359"/>
  <c r="AB21" i="359"/>
  <c r="AA21" i="359"/>
  <c r="Z21" i="359"/>
  <c r="Y21" i="359"/>
  <c r="X21" i="359"/>
  <c r="W21" i="359"/>
  <c r="V21" i="359"/>
  <c r="AH21" i="359" s="1"/>
  <c r="R21" i="359"/>
  <c r="M21" i="359"/>
  <c r="AK21" i="359" s="1"/>
  <c r="L21" i="359"/>
  <c r="K21" i="359"/>
  <c r="AI21" i="359" s="1"/>
  <c r="J21" i="359"/>
  <c r="F21" i="359"/>
  <c r="AG20" i="359"/>
  <c r="AG22" i="359" s="1"/>
  <c r="AG56" i="359" s="1"/>
  <c r="AF20" i="359"/>
  <c r="AF22" i="359" s="1"/>
  <c r="AF56" i="359" s="1"/>
  <c r="AE20" i="359"/>
  <c r="AE22" i="359" s="1"/>
  <c r="AD20" i="359"/>
  <c r="AC20" i="359"/>
  <c r="AC22" i="359" s="1"/>
  <c r="AC56" i="359" s="1"/>
  <c r="AB20" i="359"/>
  <c r="AB22" i="359" s="1"/>
  <c r="AB56" i="359" s="1"/>
  <c r="AA20" i="359"/>
  <c r="AA22" i="359" s="1"/>
  <c r="Z20" i="359"/>
  <c r="Y20" i="359"/>
  <c r="Y22" i="359" s="1"/>
  <c r="Y56" i="359" s="1"/>
  <c r="X20" i="359"/>
  <c r="X22" i="359" s="1"/>
  <c r="X56" i="359" s="1"/>
  <c r="W20" i="359"/>
  <c r="W22" i="359" s="1"/>
  <c r="V20" i="359"/>
  <c r="V22" i="359" s="1"/>
  <c r="V56" i="359" s="1"/>
  <c r="R20" i="359"/>
  <c r="M20" i="359"/>
  <c r="M22" i="359" s="1"/>
  <c r="L20" i="359"/>
  <c r="K20" i="359"/>
  <c r="K22" i="359" s="1"/>
  <c r="K56" i="359" s="1"/>
  <c r="J20" i="359"/>
  <c r="F20" i="359"/>
  <c r="Z19" i="359"/>
  <c r="AG18" i="359"/>
  <c r="AF18" i="359"/>
  <c r="AE18" i="359"/>
  <c r="AD18" i="359"/>
  <c r="AC18" i="359"/>
  <c r="AB18" i="359"/>
  <c r="AA18" i="359"/>
  <c r="Z18" i="359"/>
  <c r="Y18" i="359"/>
  <c r="X18" i="359"/>
  <c r="W18" i="359"/>
  <c r="V18" i="359"/>
  <c r="AH18" i="359" s="1"/>
  <c r="R18" i="359"/>
  <c r="M18" i="359"/>
  <c r="AK18" i="359" s="1"/>
  <c r="L18" i="359"/>
  <c r="K18" i="359"/>
  <c r="AI18" i="359" s="1"/>
  <c r="J18" i="359"/>
  <c r="F18" i="359"/>
  <c r="Z17" i="359"/>
  <c r="Y17" i="359"/>
  <c r="Y19" i="359" s="1"/>
  <c r="X17" i="359"/>
  <c r="X19" i="359" s="1"/>
  <c r="W17" i="359"/>
  <c r="W19" i="359" s="1"/>
  <c r="V17" i="359"/>
  <c r="V19" i="359" s="1"/>
  <c r="U17" i="359"/>
  <c r="U19" i="359" s="1"/>
  <c r="T17" i="359"/>
  <c r="T19" i="359" s="1"/>
  <c r="S17" i="359"/>
  <c r="S19" i="359" s="1"/>
  <c r="R17" i="359"/>
  <c r="R19" i="359" s="1"/>
  <c r="Q17" i="359"/>
  <c r="Q19" i="359" s="1"/>
  <c r="P17" i="359"/>
  <c r="P19" i="359" s="1"/>
  <c r="O17" i="359"/>
  <c r="O19" i="359" s="1"/>
  <c r="I17" i="359"/>
  <c r="I19" i="359" s="1"/>
  <c r="H17" i="359"/>
  <c r="H19" i="359" s="1"/>
  <c r="G17" i="359"/>
  <c r="G19" i="359" s="1"/>
  <c r="F17" i="359"/>
  <c r="F19" i="359" s="1"/>
  <c r="E17" i="359"/>
  <c r="E19" i="359" s="1"/>
  <c r="D17" i="359"/>
  <c r="D19" i="359" s="1"/>
  <c r="C17" i="359"/>
  <c r="C19" i="359" s="1"/>
  <c r="AG16" i="359"/>
  <c r="AF16" i="359"/>
  <c r="AE16" i="359"/>
  <c r="AD16" i="359"/>
  <c r="AC16" i="359"/>
  <c r="AB16" i="359"/>
  <c r="AA16" i="359"/>
  <c r="N16" i="359"/>
  <c r="AL16" i="359" s="1"/>
  <c r="M16" i="359"/>
  <c r="AK16" i="359" s="1"/>
  <c r="L16" i="359"/>
  <c r="AJ16" i="359" s="1"/>
  <c r="K16" i="359"/>
  <c r="AI16" i="359" s="1"/>
  <c r="J16" i="359"/>
  <c r="AH16" i="359" s="1"/>
  <c r="F16" i="359"/>
  <c r="AG15" i="359"/>
  <c r="AF15" i="359"/>
  <c r="AE15" i="359"/>
  <c r="AD15" i="359"/>
  <c r="AC15" i="359"/>
  <c r="AB15" i="359"/>
  <c r="AA15" i="359"/>
  <c r="M15" i="359"/>
  <c r="AK15" i="359" s="1"/>
  <c r="L15" i="359"/>
  <c r="N15" i="359" s="1"/>
  <c r="AL15" i="359" s="1"/>
  <c r="K15" i="359"/>
  <c r="AI15" i="359" s="1"/>
  <c r="J15" i="359"/>
  <c r="AH15" i="359" s="1"/>
  <c r="F15" i="359"/>
  <c r="AG14" i="359"/>
  <c r="AF14" i="359"/>
  <c r="AE14" i="359"/>
  <c r="AD14" i="359"/>
  <c r="AC14" i="359"/>
  <c r="AB14" i="359"/>
  <c r="AA14" i="359"/>
  <c r="N14" i="359"/>
  <c r="AL14" i="359" s="1"/>
  <c r="M14" i="359"/>
  <c r="AK14" i="359" s="1"/>
  <c r="L14" i="359"/>
  <c r="AJ14" i="359" s="1"/>
  <c r="K14" i="359"/>
  <c r="AI14" i="359" s="1"/>
  <c r="J14" i="359"/>
  <c r="AH14" i="359" s="1"/>
  <c r="F14" i="359"/>
  <c r="AG13" i="359"/>
  <c r="AF13" i="359"/>
  <c r="AE13" i="359"/>
  <c r="AD13" i="359"/>
  <c r="AC13" i="359"/>
  <c r="AB13" i="359"/>
  <c r="AA13" i="359"/>
  <c r="M13" i="359"/>
  <c r="AK13" i="359" s="1"/>
  <c r="L13" i="359"/>
  <c r="N13" i="359" s="1"/>
  <c r="AL13" i="359" s="1"/>
  <c r="K13" i="359"/>
  <c r="AI13" i="359" s="1"/>
  <c r="J13" i="359"/>
  <c r="AH13" i="359" s="1"/>
  <c r="F13" i="359"/>
  <c r="AG12" i="359"/>
  <c r="AF12" i="359"/>
  <c r="AE12" i="359"/>
  <c r="AD12" i="359"/>
  <c r="AC12" i="359"/>
  <c r="AB12" i="359"/>
  <c r="AA12" i="359"/>
  <c r="N12" i="359"/>
  <c r="AL12" i="359" s="1"/>
  <c r="M12" i="359"/>
  <c r="AK12" i="359" s="1"/>
  <c r="L12" i="359"/>
  <c r="AJ12" i="359" s="1"/>
  <c r="K12" i="359"/>
  <c r="AI12" i="359" s="1"/>
  <c r="J12" i="359"/>
  <c r="AH12" i="359" s="1"/>
  <c r="F12" i="359"/>
  <c r="AG11" i="359"/>
  <c r="AF11" i="359"/>
  <c r="AH11" i="359" s="1"/>
  <c r="AE11" i="359"/>
  <c r="AC11" i="359"/>
  <c r="AB11" i="359"/>
  <c r="AD11" i="359" s="1"/>
  <c r="AA11" i="359"/>
  <c r="M11" i="359"/>
  <c r="AK11" i="359" s="1"/>
  <c r="L11" i="359"/>
  <c r="N11" i="359" s="1"/>
  <c r="K11" i="359"/>
  <c r="AI11" i="359" s="1"/>
  <c r="J11" i="359"/>
  <c r="F11" i="359"/>
  <c r="AH10" i="359"/>
  <c r="AG10" i="359"/>
  <c r="AF10" i="359"/>
  <c r="AE10" i="359"/>
  <c r="AD10" i="359"/>
  <c r="AC10" i="359"/>
  <c r="AB10" i="359"/>
  <c r="AA10" i="359"/>
  <c r="N10" i="359"/>
  <c r="M10" i="359"/>
  <c r="AK10" i="359" s="1"/>
  <c r="L10" i="359"/>
  <c r="AJ10" i="359" s="1"/>
  <c r="K10" i="359"/>
  <c r="AI10" i="359" s="1"/>
  <c r="AL10" i="359" s="1"/>
  <c r="J10" i="359"/>
  <c r="J17" i="359" s="1"/>
  <c r="J19" i="359" s="1"/>
  <c r="F10" i="359"/>
  <c r="AG9" i="359"/>
  <c r="AG17" i="359" s="1"/>
  <c r="AG19" i="359" s="1"/>
  <c r="AF9" i="359"/>
  <c r="AE9" i="359"/>
  <c r="AE17" i="359" s="1"/>
  <c r="AE19" i="359" s="1"/>
  <c r="AC9" i="359"/>
  <c r="AC17" i="359" s="1"/>
  <c r="AC19" i="359" s="1"/>
  <c r="AB9" i="359"/>
  <c r="AA9" i="359"/>
  <c r="AA17" i="359" s="1"/>
  <c r="AA19" i="359" s="1"/>
  <c r="M9" i="359"/>
  <c r="M17" i="359" s="1"/>
  <c r="M19" i="359" s="1"/>
  <c r="L9" i="359"/>
  <c r="K9" i="359"/>
  <c r="AI9" i="359" s="1"/>
  <c r="J9" i="359"/>
  <c r="F9" i="359"/>
  <c r="N9" i="359" l="1"/>
  <c r="N17" i="359" s="1"/>
  <c r="L17" i="359"/>
  <c r="L19" i="359" s="1"/>
  <c r="Z23" i="359"/>
  <c r="Z24" i="359" s="1"/>
  <c r="W24" i="359"/>
  <c r="AI23" i="359"/>
  <c r="AF17" i="359"/>
  <c r="AF19" i="359" s="1"/>
  <c r="AH9" i="359"/>
  <c r="AH17" i="359" s="1"/>
  <c r="AH19" i="359" s="1"/>
  <c r="AL11" i="359"/>
  <c r="AJ18" i="359"/>
  <c r="N18" i="359"/>
  <c r="AL18" i="359" s="1"/>
  <c r="AH20" i="359"/>
  <c r="AH22" i="359" s="1"/>
  <c r="S55" i="359"/>
  <c r="S57" i="359" s="1"/>
  <c r="D55" i="359"/>
  <c r="D57" i="359" s="1"/>
  <c r="AJ9" i="359"/>
  <c r="H55" i="359"/>
  <c r="H57" i="359" s="1"/>
  <c r="AI17" i="359"/>
  <c r="AI19" i="359" s="1"/>
  <c r="AB17" i="359"/>
  <c r="AB19" i="359" s="1"/>
  <c r="AD9" i="359"/>
  <c r="AD17" i="359" s="1"/>
  <c r="AD19" i="359" s="1"/>
  <c r="AJ11" i="359"/>
  <c r="AJ13" i="359"/>
  <c r="AJ15" i="359"/>
  <c r="AJ20" i="359"/>
  <c r="N20" i="359"/>
  <c r="L22" i="359"/>
  <c r="L56" i="359" s="1"/>
  <c r="AA56" i="359"/>
  <c r="AE56" i="359"/>
  <c r="AJ21" i="359"/>
  <c r="N21" i="359"/>
  <c r="AL21" i="359" s="1"/>
  <c r="Y44" i="359"/>
  <c r="AH23" i="359"/>
  <c r="AH24" i="359" s="1"/>
  <c r="AE24" i="359"/>
  <c r="E55" i="359"/>
  <c r="E57" i="359" s="1"/>
  <c r="T55" i="359"/>
  <c r="T57" i="359" s="1"/>
  <c r="P55" i="359"/>
  <c r="P57" i="359" s="1"/>
  <c r="N23" i="359"/>
  <c r="N24" i="359" s="1"/>
  <c r="L24" i="359"/>
  <c r="AC44" i="359"/>
  <c r="F27" i="359"/>
  <c r="F44" i="359" s="1"/>
  <c r="F55" i="359" s="1"/>
  <c r="M27" i="359"/>
  <c r="M44" i="359" s="1"/>
  <c r="M55" i="359" s="1"/>
  <c r="AI25" i="359"/>
  <c r="AA27" i="359"/>
  <c r="AA44" i="359" s="1"/>
  <c r="AA55" i="359" s="1"/>
  <c r="AA57" i="359" s="1"/>
  <c r="AJ30" i="359"/>
  <c r="L34" i="359"/>
  <c r="W34" i="359"/>
  <c r="AB34" i="359"/>
  <c r="AB44" i="359" s="1"/>
  <c r="AB55" i="359" s="1"/>
  <c r="AB57" i="359" s="1"/>
  <c r="N32" i="359"/>
  <c r="K33" i="359"/>
  <c r="K34" i="359" s="1"/>
  <c r="K44" i="359" s="1"/>
  <c r="K55" i="359" s="1"/>
  <c r="K57" i="359" s="1"/>
  <c r="AI36" i="359"/>
  <c r="AL36" i="359" s="1"/>
  <c r="AJ37" i="359"/>
  <c r="AI37" i="359"/>
  <c r="AL37" i="359" s="1"/>
  <c r="AJ38" i="359"/>
  <c r="AL39" i="359"/>
  <c r="AI40" i="359"/>
  <c r="AL40" i="359" s="1"/>
  <c r="AJ41" i="359"/>
  <c r="AJ43" i="359" s="1"/>
  <c r="AI41" i="359"/>
  <c r="AJ42" i="359"/>
  <c r="AF43" i="359"/>
  <c r="AJ45" i="359"/>
  <c r="AI48" i="359"/>
  <c r="AL48" i="359" s="1"/>
  <c r="Z52" i="359"/>
  <c r="Z56" i="359" s="1"/>
  <c r="N50" i="359"/>
  <c r="AL50" i="359" s="1"/>
  <c r="AG55" i="359"/>
  <c r="AG57" i="359" s="1"/>
  <c r="AL54" i="359"/>
  <c r="AH70" i="359"/>
  <c r="AH72" i="359" s="1"/>
  <c r="AJ64" i="359"/>
  <c r="F70" i="359"/>
  <c r="F72" i="359" s="1"/>
  <c r="X65" i="359"/>
  <c r="X70" i="359" s="1"/>
  <c r="AI67" i="359"/>
  <c r="AL67" i="359" s="1"/>
  <c r="N69" i="359"/>
  <c r="AJ71" i="359"/>
  <c r="H14" i="360"/>
  <c r="Z9" i="360"/>
  <c r="Z14" i="360" s="1"/>
  <c r="X14" i="360"/>
  <c r="AH10" i="360"/>
  <c r="AH11" i="360"/>
  <c r="AH12" i="360"/>
  <c r="W14" i="360"/>
  <c r="M18" i="360"/>
  <c r="M22" i="360" s="1"/>
  <c r="AI17" i="360"/>
  <c r="Z21" i="360"/>
  <c r="N20" i="360"/>
  <c r="AB27" i="360"/>
  <c r="AF27" i="360"/>
  <c r="E56" i="361"/>
  <c r="AK30" i="359"/>
  <c r="AK34" i="359" s="1"/>
  <c r="F34" i="359"/>
  <c r="AL32" i="359"/>
  <c r="AK43" i="359"/>
  <c r="AK38" i="359"/>
  <c r="AK42" i="359"/>
  <c r="F52" i="359"/>
  <c r="F56" i="359" s="1"/>
  <c r="AD49" i="359"/>
  <c r="AD52" i="359" s="1"/>
  <c r="AD56" i="359" s="1"/>
  <c r="M52" i="359"/>
  <c r="M56" i="359" s="1"/>
  <c r="AK49" i="359"/>
  <c r="AK52" i="359" s="1"/>
  <c r="W52" i="359"/>
  <c r="W56" i="359" s="1"/>
  <c r="AD53" i="359"/>
  <c r="AK53" i="359"/>
  <c r="AC55" i="359"/>
  <c r="AC57" i="359" s="1"/>
  <c r="AB65" i="359"/>
  <c r="AB70" i="359" s="1"/>
  <c r="AJ66" i="359"/>
  <c r="AL66" i="359" s="1"/>
  <c r="Z66" i="359"/>
  <c r="L10" i="360"/>
  <c r="AJ10" i="360" s="1"/>
  <c r="AF10" i="360"/>
  <c r="AF14" i="360" s="1"/>
  <c r="J10" i="360"/>
  <c r="J14" i="360" s="1"/>
  <c r="N12" i="360"/>
  <c r="AI12" i="360"/>
  <c r="AL12" i="360" s="1"/>
  <c r="AA14" i="360"/>
  <c r="AK18" i="360"/>
  <c r="AD16" i="360"/>
  <c r="AB18" i="360"/>
  <c r="AB22" i="360" s="1"/>
  <c r="F22" i="360"/>
  <c r="F61" i="359" s="1"/>
  <c r="W21" i="360"/>
  <c r="W22" i="360" s="1"/>
  <c r="K50" i="361"/>
  <c r="K52" i="361" s="1"/>
  <c r="I55" i="359"/>
  <c r="I57" i="359" s="1"/>
  <c r="AD27" i="359"/>
  <c r="AD44" i="359" s="1"/>
  <c r="AK26" i="359"/>
  <c r="AL26" i="359" s="1"/>
  <c r="AA29" i="359"/>
  <c r="J34" i="359"/>
  <c r="J44" i="359" s="1"/>
  <c r="J55" i="359" s="1"/>
  <c r="J57" i="359" s="1"/>
  <c r="J60" i="359" s="1"/>
  <c r="N33" i="359"/>
  <c r="AE34" i="359"/>
  <c r="G34" i="359"/>
  <c r="G44" i="359" s="1"/>
  <c r="G55" i="359" s="1"/>
  <c r="G57" i="359" s="1"/>
  <c r="O34" i="359"/>
  <c r="O44" i="359" s="1"/>
  <c r="O55" i="359" s="1"/>
  <c r="O57" i="359" s="1"/>
  <c r="AE43" i="359"/>
  <c r="AH39" i="359"/>
  <c r="X43" i="359"/>
  <c r="X44" i="359" s="1"/>
  <c r="X55" i="359" s="1"/>
  <c r="X57" i="359" s="1"/>
  <c r="AJ46" i="359"/>
  <c r="AL46" i="359" s="1"/>
  <c r="AD47" i="359"/>
  <c r="AI50" i="359"/>
  <c r="AI52" i="359" s="1"/>
  <c r="Y55" i="359"/>
  <c r="Y57" i="359" s="1"/>
  <c r="AI54" i="359"/>
  <c r="J70" i="359"/>
  <c r="J72" i="359" s="1"/>
  <c r="Z70" i="359"/>
  <c r="Z72" i="359" s="1"/>
  <c r="AJ63" i="359"/>
  <c r="AJ65" i="359" s="1"/>
  <c r="AF65" i="359"/>
  <c r="AF70" i="359" s="1"/>
  <c r="AK68" i="359"/>
  <c r="AL68" i="359" s="1"/>
  <c r="AI69" i="359"/>
  <c r="AK71" i="359"/>
  <c r="N10" i="360"/>
  <c r="AI10" i="360"/>
  <c r="AI11" i="360"/>
  <c r="L13" i="360"/>
  <c r="AJ13" i="360" s="1"/>
  <c r="AF13" i="360"/>
  <c r="AH13" i="360" s="1"/>
  <c r="J13" i="360"/>
  <c r="AD18" i="360"/>
  <c r="Z16" i="360"/>
  <c r="X18" i="360"/>
  <c r="X22" i="360" s="1"/>
  <c r="AK17" i="360"/>
  <c r="AA18" i="360"/>
  <c r="R22" i="360"/>
  <c r="R61" i="359" s="1"/>
  <c r="AH19" i="360"/>
  <c r="AH21" i="360" s="1"/>
  <c r="AE21" i="360"/>
  <c r="AI20" i="360"/>
  <c r="AL20" i="360" s="1"/>
  <c r="G22" i="360"/>
  <c r="S22" i="360"/>
  <c r="Q44" i="359"/>
  <c r="Q55" i="359" s="1"/>
  <c r="Q57" i="359" s="1"/>
  <c r="U44" i="359"/>
  <c r="U55" i="359" s="1"/>
  <c r="U57" i="359" s="1"/>
  <c r="N26" i="359"/>
  <c r="N27" i="359" s="1"/>
  <c r="W27" i="359"/>
  <c r="N30" i="359"/>
  <c r="AL30" i="359"/>
  <c r="V34" i="359"/>
  <c r="V44" i="359" s="1"/>
  <c r="V55" i="359" s="1"/>
  <c r="V57" i="359" s="1"/>
  <c r="V60" i="359" s="1"/>
  <c r="V59" i="359" s="1"/>
  <c r="V73" i="359" s="1"/>
  <c r="AA34" i="359"/>
  <c r="AF34" i="359"/>
  <c r="AF44" i="359" s="1"/>
  <c r="AF55" i="359" s="1"/>
  <c r="AF57" i="359" s="1"/>
  <c r="R34" i="359"/>
  <c r="R44" i="359" s="1"/>
  <c r="R55" i="359" s="1"/>
  <c r="R57" i="359" s="1"/>
  <c r="R60" i="359" s="1"/>
  <c r="R59" i="359" s="1"/>
  <c r="R73" i="359" s="1"/>
  <c r="AH32" i="359"/>
  <c r="C34" i="359"/>
  <c r="C44" i="359" s="1"/>
  <c r="C55" i="359" s="1"/>
  <c r="C57" i="359" s="1"/>
  <c r="K43" i="359"/>
  <c r="N35" i="359"/>
  <c r="N38" i="359"/>
  <c r="AL38" i="359"/>
  <c r="AD39" i="359"/>
  <c r="N42" i="359"/>
  <c r="AL42" i="359"/>
  <c r="L43" i="359"/>
  <c r="AB43" i="359"/>
  <c r="AL45" i="359"/>
  <c r="AI47" i="359"/>
  <c r="N49" i="359"/>
  <c r="AI51" i="359"/>
  <c r="N53" i="359"/>
  <c r="AL64" i="359"/>
  <c r="N68" i="359"/>
  <c r="N70" i="359" s="1"/>
  <c r="N72" i="359" s="1"/>
  <c r="AK69" i="359"/>
  <c r="AH9" i="360"/>
  <c r="AD9" i="360"/>
  <c r="AD14" i="360" s="1"/>
  <c r="AB14" i="360"/>
  <c r="N13" i="360"/>
  <c r="AI13" i="360"/>
  <c r="AL13" i="360" s="1"/>
  <c r="AI15" i="360"/>
  <c r="Z15" i="360"/>
  <c r="Z18" i="360" s="1"/>
  <c r="AK15" i="360"/>
  <c r="AL16" i="360"/>
  <c r="L17" i="360"/>
  <c r="AJ17" i="360" s="1"/>
  <c r="AF17" i="360"/>
  <c r="AH17" i="360" s="1"/>
  <c r="AH18" i="360" s="1"/>
  <c r="J17" i="360"/>
  <c r="J18" i="360" s="1"/>
  <c r="J22" i="360" s="1"/>
  <c r="J61" i="359" s="1"/>
  <c r="N61" i="359" s="1"/>
  <c r="AE18" i="360"/>
  <c r="N19" i="360"/>
  <c r="N21" i="360" s="1"/>
  <c r="V22" i="360"/>
  <c r="V61" i="359" s="1"/>
  <c r="AA21" i="360"/>
  <c r="AA22" i="360" s="1"/>
  <c r="AD19" i="360"/>
  <c r="AD21" i="360" s="1"/>
  <c r="C22" i="360"/>
  <c r="O22" i="360"/>
  <c r="J430" i="364"/>
  <c r="L10" i="364"/>
  <c r="K435" i="364"/>
  <c r="L41" i="364"/>
  <c r="L79" i="364"/>
  <c r="F90" i="364"/>
  <c r="J86" i="364"/>
  <c r="L86" i="364" s="1"/>
  <c r="O86" i="364" s="1"/>
  <c r="L122" i="364"/>
  <c r="O110" i="364"/>
  <c r="O122" i="364" s="1"/>
  <c r="J135" i="364"/>
  <c r="L127" i="364"/>
  <c r="O162" i="364"/>
  <c r="K173" i="364"/>
  <c r="L164" i="364"/>
  <c r="J173" i="364"/>
  <c r="L170" i="364"/>
  <c r="O170" i="364" s="1"/>
  <c r="K210" i="364"/>
  <c r="L207" i="364"/>
  <c r="O207" i="364" s="1"/>
  <c r="O224" i="364"/>
  <c r="J235" i="364"/>
  <c r="L226" i="364"/>
  <c r="L271" i="364"/>
  <c r="O262" i="364"/>
  <c r="O271" i="364" s="1"/>
  <c r="L277" i="364"/>
  <c r="O304" i="364"/>
  <c r="L444" i="364"/>
  <c r="O317" i="364"/>
  <c r="O444" i="364" s="1"/>
  <c r="E29" i="375"/>
  <c r="E43" i="375" s="1"/>
  <c r="E45" i="375" s="1"/>
  <c r="AK9" i="359"/>
  <c r="AK17" i="359" s="1"/>
  <c r="AK19" i="359" s="1"/>
  <c r="K17" i="359"/>
  <c r="K19" i="359" s="1"/>
  <c r="AI20" i="359"/>
  <c r="AI22" i="359" s="1"/>
  <c r="AJ23" i="359"/>
  <c r="AJ24" i="359" s="1"/>
  <c r="AJ25" i="359"/>
  <c r="AJ27" i="359" s="1"/>
  <c r="AJ28" i="359"/>
  <c r="AJ29" i="359" s="1"/>
  <c r="Z31" i="359"/>
  <c r="AD31" i="359"/>
  <c r="AD33" i="359" s="1"/>
  <c r="AD34" i="359" s="1"/>
  <c r="AH31" i="359"/>
  <c r="AH33" i="359" s="1"/>
  <c r="AH34" i="359" s="1"/>
  <c r="Z32" i="359"/>
  <c r="Z35" i="359"/>
  <c r="AD35" i="359"/>
  <c r="AD43" i="359" s="1"/>
  <c r="AH35" i="359"/>
  <c r="AH43" i="359" s="1"/>
  <c r="Z39" i="359"/>
  <c r="X47" i="359"/>
  <c r="AJ47" i="359" s="1"/>
  <c r="AJ49" i="359"/>
  <c r="AJ52" i="359" s="1"/>
  <c r="AJ53" i="359"/>
  <c r="AK63" i="359"/>
  <c r="AK65" i="359" s="1"/>
  <c r="AK70" i="359" s="1"/>
  <c r="K71" i="359"/>
  <c r="N71" i="359" s="1"/>
  <c r="K9" i="360"/>
  <c r="L11" i="360"/>
  <c r="AJ11" i="360" s="1"/>
  <c r="AJ14" i="360" s="1"/>
  <c r="L15" i="360"/>
  <c r="H18" i="360"/>
  <c r="H22" i="360" s="1"/>
  <c r="AJ19" i="360"/>
  <c r="AJ21" i="360" s="1"/>
  <c r="V27" i="360"/>
  <c r="AH23" i="360"/>
  <c r="Z27" i="360"/>
  <c r="AL23" i="360"/>
  <c r="AJ23" i="360"/>
  <c r="AL26" i="360"/>
  <c r="L27" i="360"/>
  <c r="K17" i="361"/>
  <c r="K19" i="361" s="1"/>
  <c r="K13" i="361"/>
  <c r="J56" i="361"/>
  <c r="K63" i="361"/>
  <c r="K65" i="361" s="1"/>
  <c r="D72" i="361"/>
  <c r="I71" i="361"/>
  <c r="E14" i="362"/>
  <c r="K9" i="362"/>
  <c r="K14" i="362" s="1"/>
  <c r="D452" i="364"/>
  <c r="H452" i="364"/>
  <c r="F453" i="364"/>
  <c r="J45" i="364"/>
  <c r="M123" i="364"/>
  <c r="M274" i="364" s="1"/>
  <c r="M409" i="364" s="1"/>
  <c r="M427" i="364" s="1"/>
  <c r="L50" i="364"/>
  <c r="J61" i="364"/>
  <c r="L65" i="364"/>
  <c r="J75" i="364"/>
  <c r="F89" i="364"/>
  <c r="F123" i="364" s="1"/>
  <c r="J89" i="364"/>
  <c r="L121" i="364"/>
  <c r="O109" i="364"/>
  <c r="J121" i="364"/>
  <c r="K160" i="364"/>
  <c r="L157" i="364"/>
  <c r="L176" i="364"/>
  <c r="O195" i="364"/>
  <c r="L205" i="364"/>
  <c r="O205" i="364" s="1"/>
  <c r="K221" i="364"/>
  <c r="L213" i="364"/>
  <c r="J222" i="364"/>
  <c r="L219" i="364"/>
  <c r="O219" i="364" s="1"/>
  <c r="K220" i="364"/>
  <c r="L259" i="364"/>
  <c r="O251" i="364"/>
  <c r="O259" i="364" s="1"/>
  <c r="L270" i="364"/>
  <c r="O261" i="364"/>
  <c r="O270" i="364" s="1"/>
  <c r="O303" i="364"/>
  <c r="L318" i="364"/>
  <c r="O320" i="364"/>
  <c r="K332" i="364"/>
  <c r="L323" i="364"/>
  <c r="K334" i="364"/>
  <c r="L325" i="364"/>
  <c r="L406" i="364"/>
  <c r="O398" i="364"/>
  <c r="O406" i="364" s="1"/>
  <c r="L446" i="364"/>
  <c r="O404" i="364"/>
  <c r="O446" i="364" s="1"/>
  <c r="AK23" i="359"/>
  <c r="AK24" i="359" s="1"/>
  <c r="AK25" i="359"/>
  <c r="AK27" i="359" s="1"/>
  <c r="AK10" i="360"/>
  <c r="AK14" i="360" s="1"/>
  <c r="Y22" i="360"/>
  <c r="AC22" i="360"/>
  <c r="AG22" i="360"/>
  <c r="AK19" i="360"/>
  <c r="AK21" i="360" s="1"/>
  <c r="E22" i="360"/>
  <c r="I22" i="360"/>
  <c r="Q22" i="360"/>
  <c r="U22" i="360"/>
  <c r="AL25" i="360"/>
  <c r="I17" i="361"/>
  <c r="I19" i="361" s="1"/>
  <c r="I55" i="361" s="1"/>
  <c r="I57" i="361" s="1"/>
  <c r="I60" i="361" s="1"/>
  <c r="I59" i="361" s="1"/>
  <c r="J44" i="361"/>
  <c r="J55" i="361" s="1"/>
  <c r="J57" i="361" s="1"/>
  <c r="J60" i="361" s="1"/>
  <c r="J59" i="361" s="1"/>
  <c r="J73" i="361" s="1"/>
  <c r="F44" i="361"/>
  <c r="F55" i="361" s="1"/>
  <c r="F57" i="361" s="1"/>
  <c r="F60" i="361" s="1"/>
  <c r="F59" i="361" s="1"/>
  <c r="K25" i="361"/>
  <c r="K27" i="361" s="1"/>
  <c r="H27" i="361"/>
  <c r="H44" i="361" s="1"/>
  <c r="H55" i="361" s="1"/>
  <c r="H57" i="361" s="1"/>
  <c r="H60" i="361" s="1"/>
  <c r="H59" i="361" s="1"/>
  <c r="H73" i="361" s="1"/>
  <c r="E34" i="361"/>
  <c r="E44" i="361" s="1"/>
  <c r="E55" i="361" s="1"/>
  <c r="E57" i="361" s="1"/>
  <c r="E60" i="361" s="1"/>
  <c r="E59" i="361" s="1"/>
  <c r="K66" i="361"/>
  <c r="C12" i="363" s="1"/>
  <c r="E70" i="361"/>
  <c r="E22" i="362"/>
  <c r="E61" i="361" s="1"/>
  <c r="J428" i="364"/>
  <c r="L6" i="364"/>
  <c r="J16" i="364"/>
  <c r="L8" i="364"/>
  <c r="C438" i="364"/>
  <c r="C458" i="364" s="1"/>
  <c r="C15" i="364"/>
  <c r="C452" i="364" s="1"/>
  <c r="C14" i="364"/>
  <c r="C31" i="364" s="1"/>
  <c r="C274" i="364" s="1"/>
  <c r="J11" i="364"/>
  <c r="J14" i="364"/>
  <c r="C453" i="364"/>
  <c r="G453" i="364"/>
  <c r="O33" i="364"/>
  <c r="K47" i="364"/>
  <c r="K453" i="364" s="1"/>
  <c r="L35" i="364"/>
  <c r="K434" i="364"/>
  <c r="L40" i="364"/>
  <c r="O78" i="364"/>
  <c r="O89" i="364" s="1"/>
  <c r="L89" i="364"/>
  <c r="J91" i="364"/>
  <c r="L80" i="364"/>
  <c r="O93" i="364"/>
  <c r="O104" i="364" s="1"/>
  <c r="L120" i="364"/>
  <c r="L126" i="364"/>
  <c r="O137" i="364"/>
  <c r="O145" i="364" s="1"/>
  <c r="K172" i="364"/>
  <c r="L163" i="364"/>
  <c r="L168" i="364"/>
  <c r="O168" i="364" s="1"/>
  <c r="J172" i="364"/>
  <c r="L210" i="364"/>
  <c r="O201" i="364"/>
  <c r="O210" i="364" s="1"/>
  <c r="J234" i="364"/>
  <c r="L225" i="364"/>
  <c r="F234" i="364"/>
  <c r="J230" i="364"/>
  <c r="L230" i="364" s="1"/>
  <c r="O230" i="364" s="1"/>
  <c r="L245" i="364"/>
  <c r="O239" i="364"/>
  <c r="O247" i="364" s="1"/>
  <c r="L258" i="364"/>
  <c r="O250" i="364"/>
  <c r="O258" i="364" s="1"/>
  <c r="O276" i="364"/>
  <c r="J290" i="364"/>
  <c r="L278" i="364"/>
  <c r="L445" i="364"/>
  <c r="O362" i="364"/>
  <c r="O445" i="364" s="1"/>
  <c r="J432" i="364"/>
  <c r="O56" i="365"/>
  <c r="L130" i="365"/>
  <c r="M118" i="365"/>
  <c r="L467" i="365"/>
  <c r="M125" i="365"/>
  <c r="H251" i="365"/>
  <c r="M241" i="365"/>
  <c r="M243" i="365"/>
  <c r="H253" i="365"/>
  <c r="E251" i="365"/>
  <c r="H248" i="365"/>
  <c r="M248" i="365" s="1"/>
  <c r="O248" i="365" s="1"/>
  <c r="E252" i="365"/>
  <c r="J15" i="364"/>
  <c r="L7" i="364"/>
  <c r="K46" i="364"/>
  <c r="K452" i="364" s="1"/>
  <c r="L34" i="364"/>
  <c r="K432" i="364"/>
  <c r="L39" i="364"/>
  <c r="J47" i="364"/>
  <c r="L44" i="364"/>
  <c r="O44" i="364" s="1"/>
  <c r="K45" i="364"/>
  <c r="K123" i="364" s="1"/>
  <c r="O125" i="364"/>
  <c r="F134" i="364"/>
  <c r="J130" i="364"/>
  <c r="L130" i="364" s="1"/>
  <c r="O130" i="364" s="1"/>
  <c r="L159" i="364"/>
  <c r="O150" i="364"/>
  <c r="O159" i="364" s="1"/>
  <c r="K171" i="364"/>
  <c r="K273" i="364" s="1"/>
  <c r="O208" i="364"/>
  <c r="F289" i="364"/>
  <c r="J284" i="364"/>
  <c r="L284" i="364" s="1"/>
  <c r="O284" i="364" s="1"/>
  <c r="F288" i="364"/>
  <c r="J288" i="364"/>
  <c r="J321" i="364" s="1"/>
  <c r="D451" i="364"/>
  <c r="D457" i="364" s="1"/>
  <c r="D257" i="368"/>
  <c r="D276" i="368" s="1"/>
  <c r="AK28" i="359"/>
  <c r="AK29" i="359" s="1"/>
  <c r="AI31" i="359"/>
  <c r="AI35" i="359"/>
  <c r="AK20" i="359"/>
  <c r="AK22" i="359" s="1"/>
  <c r="AK56" i="359" s="1"/>
  <c r="AJ31" i="359"/>
  <c r="AJ33" i="359" s="1"/>
  <c r="AJ34" i="359" s="1"/>
  <c r="AH49" i="359"/>
  <c r="AH52" i="359" s="1"/>
  <c r="AH53" i="359"/>
  <c r="AI63" i="359"/>
  <c r="J27" i="360"/>
  <c r="AL24" i="360"/>
  <c r="AJ25" i="360"/>
  <c r="AH26" i="360"/>
  <c r="J17" i="361"/>
  <c r="J19" i="361" s="1"/>
  <c r="H56" i="361"/>
  <c r="C55" i="361"/>
  <c r="C57" i="361" s="1"/>
  <c r="C60" i="361" s="1"/>
  <c r="C59" i="361" s="1"/>
  <c r="C73" i="361" s="1"/>
  <c r="G44" i="361"/>
  <c r="G55" i="361" s="1"/>
  <c r="G57" i="361" s="1"/>
  <c r="G60" i="361" s="1"/>
  <c r="G59" i="361" s="1"/>
  <c r="G73" i="361" s="1"/>
  <c r="K33" i="361"/>
  <c r="K34" i="361" s="1"/>
  <c r="D34" i="361"/>
  <c r="D44" i="361" s="1"/>
  <c r="D55" i="361" s="1"/>
  <c r="D57" i="361" s="1"/>
  <c r="D60" i="361" s="1"/>
  <c r="D59" i="361" s="1"/>
  <c r="D73" i="361" s="1"/>
  <c r="H43" i="361"/>
  <c r="K45" i="361"/>
  <c r="J52" i="361"/>
  <c r="I65" i="361"/>
  <c r="I70" i="361" s="1"/>
  <c r="F72" i="361"/>
  <c r="I14" i="362"/>
  <c r="I22" i="362" s="1"/>
  <c r="H22" i="362"/>
  <c r="H61" i="361" s="1"/>
  <c r="I27" i="362"/>
  <c r="G274" i="364"/>
  <c r="G409" i="364" s="1"/>
  <c r="G427" i="364" s="1"/>
  <c r="N453" i="364"/>
  <c r="O18" i="364"/>
  <c r="L30" i="364"/>
  <c r="J46" i="364"/>
  <c r="J60" i="364"/>
  <c r="L49" i="364"/>
  <c r="J62" i="364"/>
  <c r="L51" i="364"/>
  <c r="J74" i="364"/>
  <c r="L64" i="364"/>
  <c r="J76" i="364"/>
  <c r="L66" i="364"/>
  <c r="L437" i="364"/>
  <c r="O116" i="364"/>
  <c r="O437" i="364" s="1"/>
  <c r="D273" i="364"/>
  <c r="D274" i="364" s="1"/>
  <c r="D409" i="364" s="1"/>
  <c r="D427" i="364" s="1"/>
  <c r="H273" i="364"/>
  <c r="H274" i="364" s="1"/>
  <c r="H409" i="364" s="1"/>
  <c r="H427" i="364" s="1"/>
  <c r="N273" i="364"/>
  <c r="N274" i="364" s="1"/>
  <c r="N409" i="364" s="1"/>
  <c r="N427" i="364" s="1"/>
  <c r="J158" i="364"/>
  <c r="L160" i="364"/>
  <c r="O151" i="364"/>
  <c r="J159" i="364"/>
  <c r="J171" i="364"/>
  <c r="O175" i="364"/>
  <c r="J185" i="364"/>
  <c r="L177" i="364"/>
  <c r="F184" i="364"/>
  <c r="J180" i="364"/>
  <c r="J184" i="364" s="1"/>
  <c r="L195" i="364"/>
  <c r="O189" i="364"/>
  <c r="O197" i="364" s="1"/>
  <c r="K208" i="364"/>
  <c r="L209" i="364"/>
  <c r="O200" i="364"/>
  <c r="O209" i="364" s="1"/>
  <c r="P208" i="364" s="1"/>
  <c r="L208" i="364"/>
  <c r="O212" i="364"/>
  <c r="L220" i="364"/>
  <c r="K222" i="364"/>
  <c r="L214" i="364"/>
  <c r="L217" i="364"/>
  <c r="O217" i="364" s="1"/>
  <c r="J221" i="364"/>
  <c r="F233" i="364"/>
  <c r="J233" i="364"/>
  <c r="L257" i="364"/>
  <c r="O249" i="364"/>
  <c r="O257" i="364" s="1"/>
  <c r="L272" i="364"/>
  <c r="O263" i="364"/>
  <c r="O272" i="364" s="1"/>
  <c r="K321" i="364"/>
  <c r="L303" i="364"/>
  <c r="O307" i="364"/>
  <c r="O318" i="364" s="1"/>
  <c r="L320" i="364"/>
  <c r="K333" i="364"/>
  <c r="L324" i="364"/>
  <c r="J349" i="364"/>
  <c r="L346" i="364"/>
  <c r="AK23" i="360"/>
  <c r="AK27" i="360" s="1"/>
  <c r="K23" i="361"/>
  <c r="K24" i="361" s="1"/>
  <c r="K44" i="361" s="1"/>
  <c r="E29" i="361"/>
  <c r="K35" i="361"/>
  <c r="K43" i="361" s="1"/>
  <c r="E27" i="362"/>
  <c r="E71" i="361" s="1"/>
  <c r="K71" i="361" s="1"/>
  <c r="K428" i="364"/>
  <c r="K430" i="364"/>
  <c r="J442" i="364"/>
  <c r="J459" i="364" s="1"/>
  <c r="K14" i="364"/>
  <c r="K31" i="364" s="1"/>
  <c r="E452" i="364"/>
  <c r="I452" i="364"/>
  <c r="M452" i="364"/>
  <c r="D453" i="364"/>
  <c r="H453" i="364"/>
  <c r="J431" i="364"/>
  <c r="F438" i="364"/>
  <c r="F28" i="364"/>
  <c r="F31" i="364" s="1"/>
  <c r="J28" i="364"/>
  <c r="F104" i="364"/>
  <c r="J104" i="364"/>
  <c r="F145" i="364"/>
  <c r="F273" i="364" s="1"/>
  <c r="J145" i="364"/>
  <c r="F195" i="364"/>
  <c r="J195" i="364"/>
  <c r="F245" i="364"/>
  <c r="J245" i="364"/>
  <c r="F318" i="364"/>
  <c r="J318" i="364"/>
  <c r="K395" i="364"/>
  <c r="L393" i="364"/>
  <c r="O393" i="364" s="1"/>
  <c r="L394" i="364"/>
  <c r="L405" i="364"/>
  <c r="O397" i="364"/>
  <c r="O405" i="364" s="1"/>
  <c r="J423" i="364"/>
  <c r="L411" i="364"/>
  <c r="J425" i="364"/>
  <c r="L413" i="364"/>
  <c r="J439" i="364"/>
  <c r="L418" i="364"/>
  <c r="J448" i="364"/>
  <c r="L420" i="364"/>
  <c r="O422" i="364"/>
  <c r="O450" i="364" s="1"/>
  <c r="O460" i="364" s="1"/>
  <c r="L450" i="364"/>
  <c r="L460" i="364" s="1"/>
  <c r="D458" i="364"/>
  <c r="N458" i="364"/>
  <c r="J450" i="364"/>
  <c r="J460" i="364" s="1"/>
  <c r="L18" i="365"/>
  <c r="M9" i="365"/>
  <c r="L460" i="365"/>
  <c r="M12" i="365"/>
  <c r="H18" i="365"/>
  <c r="M14" i="365"/>
  <c r="H17" i="365"/>
  <c r="C295" i="365"/>
  <c r="C439" i="365" s="1"/>
  <c r="C457" i="365" s="1"/>
  <c r="M28" i="365"/>
  <c r="O28" i="365" s="1"/>
  <c r="L51" i="365"/>
  <c r="H82" i="365"/>
  <c r="M71" i="365"/>
  <c r="H225" i="365"/>
  <c r="L326" i="365"/>
  <c r="L345" i="365" s="1"/>
  <c r="K20" i="361"/>
  <c r="K22" i="361" s="1"/>
  <c r="K15" i="362"/>
  <c r="K18" i="362" s="1"/>
  <c r="K19" i="362"/>
  <c r="K21" i="362" s="1"/>
  <c r="K438" i="364"/>
  <c r="K442" i="364"/>
  <c r="K459" i="364" s="1"/>
  <c r="F452" i="364"/>
  <c r="N452" i="364"/>
  <c r="E453" i="364"/>
  <c r="I453" i="364"/>
  <c r="M453" i="364"/>
  <c r="F120" i="364"/>
  <c r="F158" i="364"/>
  <c r="F208" i="364"/>
  <c r="J304" i="364"/>
  <c r="O447" i="364"/>
  <c r="F408" i="364"/>
  <c r="J408" i="364"/>
  <c r="L347" i="364"/>
  <c r="J350" i="364"/>
  <c r="L364" i="364"/>
  <c r="O353" i="364"/>
  <c r="L436" i="364"/>
  <c r="O358" i="364"/>
  <c r="O436" i="364" s="1"/>
  <c r="L377" i="364"/>
  <c r="O368" i="364"/>
  <c r="O377" i="364" s="1"/>
  <c r="L386" i="364"/>
  <c r="O381" i="364"/>
  <c r="O386" i="364" s="1"/>
  <c r="P385" i="364" s="1"/>
  <c r="L395" i="364"/>
  <c r="O389" i="364"/>
  <c r="O395" i="364" s="1"/>
  <c r="P394" i="364" s="1"/>
  <c r="L32" i="365"/>
  <c r="L461" i="365"/>
  <c r="L462" i="365"/>
  <c r="H157" i="365"/>
  <c r="M148" i="365"/>
  <c r="E156" i="365"/>
  <c r="H153" i="365"/>
  <c r="M153" i="365" s="1"/>
  <c r="O153" i="365" s="1"/>
  <c r="H211" i="365"/>
  <c r="M202" i="365"/>
  <c r="AI23" i="360"/>
  <c r="AI27" i="360" s="1"/>
  <c r="K53" i="361"/>
  <c r="L13" i="364"/>
  <c r="L19" i="364"/>
  <c r="L23" i="364"/>
  <c r="F29" i="364"/>
  <c r="J434" i="364"/>
  <c r="J435" i="364"/>
  <c r="L94" i="364"/>
  <c r="L138" i="364"/>
  <c r="L188" i="364"/>
  <c r="L238" i="364"/>
  <c r="L287" i="364"/>
  <c r="L294" i="364"/>
  <c r="L308" i="364"/>
  <c r="C408" i="364"/>
  <c r="G408" i="364"/>
  <c r="K364" i="364"/>
  <c r="K377" i="364"/>
  <c r="K386" i="364"/>
  <c r="O394" i="364"/>
  <c r="L407" i="364"/>
  <c r="O399" i="364"/>
  <c r="O407" i="364" s="1"/>
  <c r="L412" i="364"/>
  <c r="J424" i="364"/>
  <c r="J426" i="364"/>
  <c r="J454" i="364" s="1"/>
  <c r="L414" i="364"/>
  <c r="C451" i="364"/>
  <c r="C457" i="364" s="1"/>
  <c r="G451" i="364"/>
  <c r="G457" i="364" s="1"/>
  <c r="N451" i="364"/>
  <c r="N457" i="364" s="1"/>
  <c r="F458" i="364"/>
  <c r="C459" i="364"/>
  <c r="G459" i="364"/>
  <c r="M459" i="364"/>
  <c r="L458" i="365"/>
  <c r="L17" i="365"/>
  <c r="M8" i="365"/>
  <c r="L19" i="365"/>
  <c r="M10" i="365"/>
  <c r="M13" i="365"/>
  <c r="H472" i="365"/>
  <c r="M16" i="365"/>
  <c r="J295" i="365"/>
  <c r="M22" i="365"/>
  <c r="M25" i="365"/>
  <c r="O25" i="365" s="1"/>
  <c r="M27" i="365"/>
  <c r="O27" i="365" s="1"/>
  <c r="M47" i="365"/>
  <c r="O47" i="365" s="1"/>
  <c r="H51" i="365"/>
  <c r="H185" i="365"/>
  <c r="M175" i="365"/>
  <c r="M404" i="365"/>
  <c r="O394" i="365"/>
  <c r="O404" i="365" s="1"/>
  <c r="I477" i="365"/>
  <c r="I488" i="365" s="1"/>
  <c r="L412" i="365"/>
  <c r="I414" i="365"/>
  <c r="I415" i="365"/>
  <c r="I483" i="365" s="1"/>
  <c r="L352" i="364"/>
  <c r="L354" i="364"/>
  <c r="L357" i="364"/>
  <c r="L367" i="364"/>
  <c r="L369" i="364"/>
  <c r="L380" i="364"/>
  <c r="L469" i="365"/>
  <c r="L472" i="365"/>
  <c r="D295" i="365"/>
  <c r="D439" i="365" s="1"/>
  <c r="D457" i="365" s="1"/>
  <c r="K482" i="365"/>
  <c r="F483" i="365"/>
  <c r="N483" i="365"/>
  <c r="M21" i="365"/>
  <c r="M23" i="365"/>
  <c r="M26" i="365"/>
  <c r="E33" i="365"/>
  <c r="L50" i="365"/>
  <c r="M41" i="365"/>
  <c r="O41" i="365" s="1"/>
  <c r="K132" i="365"/>
  <c r="K295" i="365" s="1"/>
  <c r="K439" i="365" s="1"/>
  <c r="K457" i="365" s="1"/>
  <c r="M60" i="365"/>
  <c r="O60" i="365" s="1"/>
  <c r="M65" i="365"/>
  <c r="O65" i="365" s="1"/>
  <c r="H81" i="365"/>
  <c r="H132" i="365" s="1"/>
  <c r="M83" i="365"/>
  <c r="M86" i="365"/>
  <c r="M89" i="365"/>
  <c r="O89" i="365" s="1"/>
  <c r="M91" i="365"/>
  <c r="O91" i="365" s="1"/>
  <c r="H114" i="365"/>
  <c r="M110" i="365"/>
  <c r="O110" i="365" s="1"/>
  <c r="H129" i="365"/>
  <c r="H131" i="365"/>
  <c r="M134" i="365"/>
  <c r="O136" i="365"/>
  <c r="O145" i="365" s="1"/>
  <c r="M145" i="365"/>
  <c r="H158" i="365"/>
  <c r="M161" i="365"/>
  <c r="M188" i="365"/>
  <c r="O190" i="365"/>
  <c r="O199" i="365" s="1"/>
  <c r="M199" i="365"/>
  <c r="M215" i="365"/>
  <c r="M226" i="365"/>
  <c r="O216" i="365"/>
  <c r="O226" i="365" s="1"/>
  <c r="O277" i="365"/>
  <c r="O274" i="365"/>
  <c r="O278" i="365" s="1"/>
  <c r="M277" i="365"/>
  <c r="O361" i="365"/>
  <c r="O366" i="365"/>
  <c r="E438" i="365"/>
  <c r="O378" i="365"/>
  <c r="F394" i="364"/>
  <c r="F447" i="364"/>
  <c r="F459" i="364" s="1"/>
  <c r="K483" i="365"/>
  <c r="C132" i="365"/>
  <c r="G132" i="365"/>
  <c r="G295" i="365" s="1"/>
  <c r="G439" i="365" s="1"/>
  <c r="G457" i="365" s="1"/>
  <c r="L67" i="365"/>
  <c r="L98" i="365"/>
  <c r="H98" i="365"/>
  <c r="M93" i="365"/>
  <c r="O93" i="365" s="1"/>
  <c r="M114" i="365"/>
  <c r="O102" i="365"/>
  <c r="O114" i="365" s="1"/>
  <c r="L129" i="365"/>
  <c r="M117" i="365"/>
  <c r="L131" i="365"/>
  <c r="M119" i="365"/>
  <c r="H130" i="365"/>
  <c r="M126" i="365"/>
  <c r="O126" i="365" s="1"/>
  <c r="H156" i="365"/>
  <c r="M147" i="365"/>
  <c r="O149" i="365"/>
  <c r="O158" i="365" s="1"/>
  <c r="M158" i="365"/>
  <c r="H184" i="365"/>
  <c r="M174" i="365"/>
  <c r="O176" i="365"/>
  <c r="O186" i="365" s="1"/>
  <c r="M186" i="365"/>
  <c r="E184" i="365"/>
  <c r="H181" i="365"/>
  <c r="M181" i="365" s="1"/>
  <c r="O181" i="365" s="1"/>
  <c r="E185" i="365"/>
  <c r="H210" i="365"/>
  <c r="M201" i="365"/>
  <c r="M203" i="365"/>
  <c r="H212" i="365"/>
  <c r="O297" i="365"/>
  <c r="L474" i="365"/>
  <c r="L488" i="365" s="1"/>
  <c r="L342" i="365"/>
  <c r="O347" i="365"/>
  <c r="H458" i="365"/>
  <c r="H460" i="365"/>
  <c r="E469" i="365"/>
  <c r="F295" i="365"/>
  <c r="F439" i="365" s="1"/>
  <c r="F457" i="365" s="1"/>
  <c r="E18" i="365"/>
  <c r="D483" i="365"/>
  <c r="H29" i="365"/>
  <c r="M29" i="365" s="1"/>
  <c r="O29" i="365" s="1"/>
  <c r="M38" i="365"/>
  <c r="L464" i="365"/>
  <c r="N132" i="365"/>
  <c r="N295" i="365" s="1"/>
  <c r="N439" i="365" s="1"/>
  <c r="N457" i="365" s="1"/>
  <c r="M58" i="365"/>
  <c r="O58" i="365" s="1"/>
  <c r="O66" i="365" s="1"/>
  <c r="M62" i="365"/>
  <c r="O62" i="365" s="1"/>
  <c r="M70" i="365"/>
  <c r="H97" i="365"/>
  <c r="H99" i="365"/>
  <c r="M90" i="365"/>
  <c r="O90" i="365" s="1"/>
  <c r="M92" i="365"/>
  <c r="O92" i="365" s="1"/>
  <c r="L114" i="365"/>
  <c r="H144" i="365"/>
  <c r="M135" i="365"/>
  <c r="E143" i="365"/>
  <c r="H140" i="365"/>
  <c r="M140" i="365" s="1"/>
  <c r="O140" i="365" s="1"/>
  <c r="F294" i="365"/>
  <c r="E144" i="365"/>
  <c r="H170" i="365"/>
  <c r="M160" i="365"/>
  <c r="O162" i="365"/>
  <c r="O172" i="365" s="1"/>
  <c r="M172" i="365"/>
  <c r="E170" i="365"/>
  <c r="H167" i="365"/>
  <c r="M167" i="365" s="1"/>
  <c r="O167" i="365" s="1"/>
  <c r="E171" i="365"/>
  <c r="H186" i="365"/>
  <c r="H198" i="365"/>
  <c r="M189" i="365"/>
  <c r="E197" i="365"/>
  <c r="H194" i="365"/>
  <c r="M194" i="365" s="1"/>
  <c r="O194" i="365" s="1"/>
  <c r="E198" i="365"/>
  <c r="L212" i="365"/>
  <c r="H224" i="365"/>
  <c r="M214" i="365"/>
  <c r="H462" i="365"/>
  <c r="H464" i="365"/>
  <c r="H465" i="365"/>
  <c r="H52" i="365"/>
  <c r="M85" i="365"/>
  <c r="M87" i="365"/>
  <c r="M101" i="365"/>
  <c r="M103" i="365"/>
  <c r="I468" i="365"/>
  <c r="L220" i="365"/>
  <c r="M220" i="365" s="1"/>
  <c r="O220" i="365" s="1"/>
  <c r="E224" i="365"/>
  <c r="M228" i="365"/>
  <c r="O230" i="365"/>
  <c r="O239" i="365" s="1"/>
  <c r="M239" i="365"/>
  <c r="M255" i="365"/>
  <c r="M257" i="365"/>
  <c r="H266" i="365"/>
  <c r="E265" i="365"/>
  <c r="H260" i="365"/>
  <c r="M260" i="365" s="1"/>
  <c r="O260" i="365" s="1"/>
  <c r="E264" i="365"/>
  <c r="H265" i="365"/>
  <c r="L312" i="365"/>
  <c r="M308" i="365"/>
  <c r="O308" i="365" s="1"/>
  <c r="L327" i="365"/>
  <c r="M328" i="365"/>
  <c r="O316" i="365"/>
  <c r="M323" i="365"/>
  <c r="O323" i="365" s="1"/>
  <c r="L343" i="365"/>
  <c r="M344" i="365"/>
  <c r="O332" i="365"/>
  <c r="L359" i="365"/>
  <c r="L392" i="365"/>
  <c r="M441" i="365"/>
  <c r="H252" i="365"/>
  <c r="M242" i="365"/>
  <c r="L311" i="365"/>
  <c r="O299" i="365"/>
  <c r="O315" i="365"/>
  <c r="O331" i="365"/>
  <c r="M351" i="365"/>
  <c r="O351" i="365" s="1"/>
  <c r="M353" i="365"/>
  <c r="O353" i="365" s="1"/>
  <c r="L370" i="365"/>
  <c r="M471" i="365"/>
  <c r="O364" i="365"/>
  <c r="O471" i="365" s="1"/>
  <c r="L369" i="365"/>
  <c r="M382" i="365"/>
  <c r="O382" i="365" s="1"/>
  <c r="M386" i="365"/>
  <c r="O386" i="365" s="1"/>
  <c r="M389" i="365"/>
  <c r="O389" i="365" s="1"/>
  <c r="M406" i="365"/>
  <c r="O396" i="365"/>
  <c r="O406" i="365" s="1"/>
  <c r="L415" i="365"/>
  <c r="M37" i="365"/>
  <c r="M43" i="365"/>
  <c r="M44" i="365"/>
  <c r="M45" i="365"/>
  <c r="M55" i="365"/>
  <c r="I294" i="365"/>
  <c r="I295" i="365" s="1"/>
  <c r="I439" i="365" s="1"/>
  <c r="I457" i="365" s="1"/>
  <c r="M209" i="365"/>
  <c r="O209" i="365" s="1"/>
  <c r="E211" i="365"/>
  <c r="E225" i="365"/>
  <c r="I225" i="365"/>
  <c r="I482" i="365" s="1"/>
  <c r="H238" i="365"/>
  <c r="M229" i="365"/>
  <c r="E237" i="365"/>
  <c r="H234" i="365"/>
  <c r="M234" i="365" s="1"/>
  <c r="O234" i="365" s="1"/>
  <c r="O256" i="365"/>
  <c r="O265" i="365" s="1"/>
  <c r="M265" i="365"/>
  <c r="M278" i="365"/>
  <c r="M311" i="365"/>
  <c r="O298" i="365"/>
  <c r="O311" i="365" s="1"/>
  <c r="M306" i="365"/>
  <c r="O306" i="365" s="1"/>
  <c r="O314" i="365"/>
  <c r="M322" i="365"/>
  <c r="O322" i="365" s="1"/>
  <c r="M325" i="365"/>
  <c r="O325" i="365" s="1"/>
  <c r="O330" i="365"/>
  <c r="M338" i="365"/>
  <c r="O338" i="365" s="1"/>
  <c r="O362" i="365"/>
  <c r="O367" i="365"/>
  <c r="O477" i="365" s="1"/>
  <c r="I438" i="365"/>
  <c r="M405" i="365"/>
  <c r="O395" i="365"/>
  <c r="O405" i="365" s="1"/>
  <c r="M417" i="365"/>
  <c r="E424" i="365"/>
  <c r="E425" i="365"/>
  <c r="H422" i="365"/>
  <c r="M422" i="365" s="1"/>
  <c r="O422" i="365" s="1"/>
  <c r="M309" i="365"/>
  <c r="E310" i="365"/>
  <c r="E345" i="365" s="1"/>
  <c r="E326" i="365"/>
  <c r="M341" i="365"/>
  <c r="E342" i="365"/>
  <c r="M348" i="365"/>
  <c r="M349" i="365"/>
  <c r="M379" i="365"/>
  <c r="M380" i="365"/>
  <c r="M383" i="365"/>
  <c r="M384" i="365"/>
  <c r="H414" i="365"/>
  <c r="L424" i="365"/>
  <c r="M425" i="365"/>
  <c r="H436" i="365"/>
  <c r="M428" i="365"/>
  <c r="M431" i="365"/>
  <c r="O431" i="365" s="1"/>
  <c r="H476" i="365"/>
  <c r="M434" i="365"/>
  <c r="H448" i="365"/>
  <c r="C487" i="365"/>
  <c r="G487" i="365"/>
  <c r="C468" i="365"/>
  <c r="C481" i="365" s="1"/>
  <c r="C486" i="365" s="1"/>
  <c r="E468" i="365"/>
  <c r="E487" i="365" s="1"/>
  <c r="H471" i="365"/>
  <c r="E478" i="365"/>
  <c r="E488" i="365" s="1"/>
  <c r="F438" i="365"/>
  <c r="J438" i="365"/>
  <c r="N438" i="365"/>
  <c r="E370" i="365"/>
  <c r="E483" i="365" s="1"/>
  <c r="L375" i="365"/>
  <c r="L414" i="365"/>
  <c r="E415" i="365"/>
  <c r="O425" i="365"/>
  <c r="H455" i="365"/>
  <c r="M443" i="365"/>
  <c r="I454" i="365"/>
  <c r="L448" i="365"/>
  <c r="L454" i="365" s="1"/>
  <c r="J481" i="365"/>
  <c r="J486" i="365" s="1"/>
  <c r="I487" i="365"/>
  <c r="C154" i="367"/>
  <c r="C189" i="367" s="1"/>
  <c r="C191" i="367" s="1"/>
  <c r="H79" i="367"/>
  <c r="P79" i="367" s="1"/>
  <c r="L475" i="365"/>
  <c r="L477" i="365"/>
  <c r="H368" i="365"/>
  <c r="M373" i="365"/>
  <c r="M408" i="365"/>
  <c r="M412" i="365"/>
  <c r="O412" i="365" s="1"/>
  <c r="O415" i="365" s="1"/>
  <c r="M427" i="365"/>
  <c r="H437" i="365"/>
  <c r="M429" i="365"/>
  <c r="M433" i="365"/>
  <c r="O433" i="365" s="1"/>
  <c r="M442" i="365"/>
  <c r="H454" i="365"/>
  <c r="O444" i="365"/>
  <c r="I453" i="365"/>
  <c r="I456" i="365"/>
  <c r="I484" i="365" s="1"/>
  <c r="L452" i="365"/>
  <c r="J487" i="365"/>
  <c r="G488" i="365"/>
  <c r="K488" i="365"/>
  <c r="P10" i="367"/>
  <c r="P19" i="367"/>
  <c r="P40" i="367"/>
  <c r="P58" i="367"/>
  <c r="P69" i="367"/>
  <c r="P87" i="367"/>
  <c r="P94" i="367"/>
  <c r="P121" i="367"/>
  <c r="P139" i="367"/>
  <c r="I154" i="367"/>
  <c r="I189" i="367" s="1"/>
  <c r="I191" i="367" s="1"/>
  <c r="E107" i="371"/>
  <c r="H35" i="374"/>
  <c r="D454" i="365"/>
  <c r="D482" i="365" s="1"/>
  <c r="I478" i="365"/>
  <c r="I481" i="365" s="1"/>
  <c r="I486" i="365" s="1"/>
  <c r="B145" i="366"/>
  <c r="P9" i="367"/>
  <c r="P13" i="367"/>
  <c r="H452" i="365"/>
  <c r="H453" i="365" s="1"/>
  <c r="C456" i="365"/>
  <c r="C484" i="365" s="1"/>
  <c r="D487" i="365"/>
  <c r="C145" i="366"/>
  <c r="P152" i="367"/>
  <c r="O189" i="367"/>
  <c r="O191" i="367" s="1"/>
  <c r="G257" i="368"/>
  <c r="G276" i="368" s="1"/>
  <c r="E8" i="372"/>
  <c r="E9" i="372" s="1"/>
  <c r="F20" i="373"/>
  <c r="F22" i="373" s="1"/>
  <c r="E41" i="373"/>
  <c r="F31" i="373"/>
  <c r="F38" i="373" s="1"/>
  <c r="E44" i="373"/>
  <c r="F44" i="373" s="1"/>
  <c r="F36" i="373"/>
  <c r="J35" i="374"/>
  <c r="S15" i="374"/>
  <c r="E5" i="368"/>
  <c r="C257" i="368"/>
  <c r="D128" i="369"/>
  <c r="B128" i="369"/>
  <c r="B41" i="373"/>
  <c r="S17" i="374"/>
  <c r="S24" i="374"/>
  <c r="C29" i="375"/>
  <c r="C43" i="375" s="1"/>
  <c r="C45" i="375" s="1"/>
  <c r="S9" i="374"/>
  <c r="T9" i="374"/>
  <c r="T35" i="374" s="1"/>
  <c r="I35" i="374"/>
  <c r="U9" i="374"/>
  <c r="U35" i="374" s="1"/>
  <c r="F274" i="364" l="1"/>
  <c r="M57" i="359"/>
  <c r="J59" i="359"/>
  <c r="J73" i="359" s="1"/>
  <c r="F57" i="359"/>
  <c r="F60" i="359" s="1"/>
  <c r="F59" i="359" s="1"/>
  <c r="F73" i="359" s="1"/>
  <c r="O442" i="365"/>
  <c r="H478" i="365"/>
  <c r="M368" i="365"/>
  <c r="H369" i="365"/>
  <c r="H456" i="365"/>
  <c r="H484" i="365" s="1"/>
  <c r="O429" i="365"/>
  <c r="M437" i="365"/>
  <c r="O408" i="365"/>
  <c r="O414" i="365" s="1"/>
  <c r="M414" i="365"/>
  <c r="M455" i="365"/>
  <c r="O443" i="365"/>
  <c r="O455" i="365" s="1"/>
  <c r="M436" i="365"/>
  <c r="O428" i="365"/>
  <c r="O436" i="365" s="1"/>
  <c r="M391" i="365"/>
  <c r="O379" i="365"/>
  <c r="M474" i="365"/>
  <c r="O341" i="365"/>
  <c r="O474" i="365" s="1"/>
  <c r="H154" i="367"/>
  <c r="H189" i="367" s="1"/>
  <c r="H191" i="367" s="1"/>
  <c r="M342" i="365"/>
  <c r="M326" i="365"/>
  <c r="M67" i="365"/>
  <c r="O55" i="365"/>
  <c r="O67" i="365" s="1"/>
  <c r="M50" i="365"/>
  <c r="O37" i="365"/>
  <c r="L438" i="365"/>
  <c r="O327" i="365"/>
  <c r="O255" i="365"/>
  <c r="O264" i="365" s="1"/>
  <c r="M264" i="365"/>
  <c r="M237" i="365"/>
  <c r="O228" i="365"/>
  <c r="O237" i="365" s="1"/>
  <c r="O87" i="365"/>
  <c r="O99" i="365" s="1"/>
  <c r="M99" i="365"/>
  <c r="E482" i="365"/>
  <c r="H468" i="365"/>
  <c r="O357" i="365"/>
  <c r="M310" i="365"/>
  <c r="M345" i="365" s="1"/>
  <c r="M210" i="365"/>
  <c r="O201" i="365"/>
  <c r="O210" i="365" s="1"/>
  <c r="M390" i="365"/>
  <c r="M475" i="365"/>
  <c r="M197" i="365"/>
  <c r="O188" i="365"/>
  <c r="O197" i="365" s="1"/>
  <c r="H143" i="365"/>
  <c r="M461" i="365"/>
  <c r="O26" i="365"/>
  <c r="O461" i="365" s="1"/>
  <c r="L433" i="364"/>
  <c r="O357" i="364"/>
  <c r="O433" i="364" s="1"/>
  <c r="J439" i="365"/>
  <c r="J457" i="365" s="1"/>
  <c r="O13" i="365"/>
  <c r="M458" i="365"/>
  <c r="M17" i="365"/>
  <c r="O8" i="365"/>
  <c r="L443" i="364"/>
  <c r="O287" i="364"/>
  <c r="O443" i="364" s="1"/>
  <c r="L105" i="364"/>
  <c r="O94" i="364"/>
  <c r="O105" i="364" s="1"/>
  <c r="P104" i="364" s="1"/>
  <c r="L431" i="364"/>
  <c r="O23" i="364"/>
  <c r="O431" i="364" s="1"/>
  <c r="F451" i="364"/>
  <c r="F457" i="364" s="1"/>
  <c r="L350" i="364"/>
  <c r="O347" i="364"/>
  <c r="O350" i="364" s="1"/>
  <c r="P349" i="364" s="1"/>
  <c r="M469" i="365"/>
  <c r="O14" i="365"/>
  <c r="O469" i="365" s="1"/>
  <c r="O420" i="364"/>
  <c r="O448" i="364" s="1"/>
  <c r="L448" i="364"/>
  <c r="O413" i="364"/>
  <c r="L425" i="364"/>
  <c r="K458" i="364"/>
  <c r="O346" i="364"/>
  <c r="O349" i="364" s="1"/>
  <c r="L349" i="364"/>
  <c r="O214" i="364"/>
  <c r="O222" i="364" s="1"/>
  <c r="L222" i="364"/>
  <c r="O177" i="364"/>
  <c r="O185" i="364" s="1"/>
  <c r="L185" i="364"/>
  <c r="O64" i="364"/>
  <c r="O74" i="364" s="1"/>
  <c r="L74" i="364"/>
  <c r="O49" i="364"/>
  <c r="O60" i="364" s="1"/>
  <c r="L60" i="364"/>
  <c r="O28" i="364"/>
  <c r="AI33" i="359"/>
  <c r="AI34" i="359" s="1"/>
  <c r="AL31" i="359"/>
  <c r="AL33" i="359" s="1"/>
  <c r="L133" i="364"/>
  <c r="O243" i="365"/>
  <c r="O253" i="365" s="1"/>
  <c r="M253" i="365"/>
  <c r="M68" i="365"/>
  <c r="O288" i="364"/>
  <c r="O321" i="364" s="1"/>
  <c r="O126" i="364"/>
  <c r="O134" i="364" s="1"/>
  <c r="L134" i="364"/>
  <c r="C409" i="364"/>
  <c r="C427" i="364" s="1"/>
  <c r="J453" i="364"/>
  <c r="E72" i="361"/>
  <c r="E73" i="361" s="1"/>
  <c r="J133" i="364"/>
  <c r="L75" i="364"/>
  <c r="O65" i="364"/>
  <c r="O75" i="364" s="1"/>
  <c r="C8" i="363"/>
  <c r="C13" i="363" s="1"/>
  <c r="C23" i="363" s="1"/>
  <c r="K70" i="361"/>
  <c r="K72" i="361" s="1"/>
  <c r="AL27" i="360"/>
  <c r="AI9" i="360"/>
  <c r="K14" i="360"/>
  <c r="K22" i="360" s="1"/>
  <c r="N9" i="360"/>
  <c r="AJ44" i="359"/>
  <c r="P270" i="364"/>
  <c r="L233" i="364"/>
  <c r="L171" i="364"/>
  <c r="O79" i="364"/>
  <c r="O90" i="364" s="1"/>
  <c r="L90" i="364"/>
  <c r="AH14" i="360"/>
  <c r="N52" i="359"/>
  <c r="AL49" i="359"/>
  <c r="AL52" i="359" s="1"/>
  <c r="AL28" i="359"/>
  <c r="AL29" i="359" s="1"/>
  <c r="AF18" i="360"/>
  <c r="AF22" i="360" s="1"/>
  <c r="AL11" i="360"/>
  <c r="L14" i="360"/>
  <c r="N17" i="360"/>
  <c r="N22" i="359"/>
  <c r="N56" i="359" s="1"/>
  <c r="AL20" i="359"/>
  <c r="AL22" i="359" s="1"/>
  <c r="AL56" i="359" s="1"/>
  <c r="AL9" i="359"/>
  <c r="AL17" i="359" s="1"/>
  <c r="AL19" i="359" s="1"/>
  <c r="AJ17" i="359"/>
  <c r="AJ19" i="359" s="1"/>
  <c r="AH56" i="359"/>
  <c r="W44" i="359"/>
  <c r="W55" i="359" s="1"/>
  <c r="W57" i="359" s="1"/>
  <c r="O427" i="365"/>
  <c r="O435" i="365" s="1"/>
  <c r="M435" i="365"/>
  <c r="C276" i="368"/>
  <c r="E276" i="368" s="1"/>
  <c r="E257" i="368"/>
  <c r="E481" i="365"/>
  <c r="E486" i="365" s="1"/>
  <c r="S35" i="374"/>
  <c r="L480" i="365"/>
  <c r="L489" i="365" s="1"/>
  <c r="L453" i="365"/>
  <c r="L456" i="365"/>
  <c r="L484" i="365" s="1"/>
  <c r="M376" i="365"/>
  <c r="O373" i="365"/>
  <c r="O376" i="365" s="1"/>
  <c r="H488" i="365"/>
  <c r="M476" i="365"/>
  <c r="O434" i="365"/>
  <c r="O476" i="365" s="1"/>
  <c r="M466" i="365"/>
  <c r="O384" i="365"/>
  <c r="O466" i="365" s="1"/>
  <c r="M359" i="365"/>
  <c r="O349" i="365"/>
  <c r="O359" i="365" s="1"/>
  <c r="O417" i="365"/>
  <c r="O424" i="365" s="1"/>
  <c r="M424" i="365"/>
  <c r="O229" i="365"/>
  <c r="O238" i="365" s="1"/>
  <c r="M238" i="365"/>
  <c r="M465" i="365"/>
  <c r="O45" i="365"/>
  <c r="O465" i="365" s="1"/>
  <c r="H425" i="365"/>
  <c r="M327" i="365"/>
  <c r="O242" i="365"/>
  <c r="O252" i="365" s="1"/>
  <c r="M252" i="365"/>
  <c r="O441" i="365"/>
  <c r="O344" i="365"/>
  <c r="O328" i="365"/>
  <c r="H264" i="365"/>
  <c r="H237" i="365"/>
  <c r="L224" i="365"/>
  <c r="L294" i="365" s="1"/>
  <c r="M97" i="365"/>
  <c r="O85" i="365"/>
  <c r="O97" i="365" s="1"/>
  <c r="O189" i="365"/>
  <c r="O198" i="365" s="1"/>
  <c r="M198" i="365"/>
  <c r="M170" i="365"/>
  <c r="O160" i="365"/>
  <c r="O170" i="365" s="1"/>
  <c r="H33" i="365"/>
  <c r="L225" i="365"/>
  <c r="M129" i="365"/>
  <c r="O117" i="365"/>
  <c r="M66" i="365"/>
  <c r="O215" i="365"/>
  <c r="O225" i="365" s="1"/>
  <c r="M225" i="365"/>
  <c r="H197" i="365"/>
  <c r="M34" i="365"/>
  <c r="O23" i="365"/>
  <c r="O34" i="365" s="1"/>
  <c r="O380" i="364"/>
  <c r="O385" i="364" s="1"/>
  <c r="L385" i="364"/>
  <c r="L365" i="364"/>
  <c r="O354" i="364"/>
  <c r="O365" i="364" s="1"/>
  <c r="O175" i="365"/>
  <c r="O185" i="365" s="1"/>
  <c r="M185" i="365"/>
  <c r="L468" i="365"/>
  <c r="L487" i="365" s="1"/>
  <c r="L35" i="365"/>
  <c r="L424" i="364"/>
  <c r="O412" i="364"/>
  <c r="L246" i="364"/>
  <c r="O238" i="364"/>
  <c r="O246" i="364" s="1"/>
  <c r="P245" i="364" s="1"/>
  <c r="L29" i="364"/>
  <c r="O19" i="364"/>
  <c r="O29" i="364" s="1"/>
  <c r="P28" i="364" s="1"/>
  <c r="O202" i="365"/>
  <c r="O211" i="365" s="1"/>
  <c r="M211" i="365"/>
  <c r="O148" i="365"/>
  <c r="O157" i="365" s="1"/>
  <c r="M157" i="365"/>
  <c r="O364" i="364"/>
  <c r="P363" i="364" s="1"/>
  <c r="K22" i="362"/>
  <c r="C15" i="363" s="1"/>
  <c r="M82" i="365"/>
  <c r="O71" i="365"/>
  <c r="O82" i="365" s="1"/>
  <c r="M18" i="365"/>
  <c r="O9" i="365"/>
  <c r="K451" i="364"/>
  <c r="K457" i="364" s="1"/>
  <c r="O133" i="364"/>
  <c r="L432" i="364"/>
  <c r="O39" i="364"/>
  <c r="O432" i="364" s="1"/>
  <c r="O7" i="364"/>
  <c r="M251" i="365"/>
  <c r="O241" i="365"/>
  <c r="O251" i="365" s="1"/>
  <c r="M130" i="365"/>
  <c r="O118" i="365"/>
  <c r="O278" i="364"/>
  <c r="O290" i="364" s="1"/>
  <c r="L290" i="364"/>
  <c r="P257" i="364"/>
  <c r="L172" i="364"/>
  <c r="O163" i="364"/>
  <c r="O172" i="364" s="1"/>
  <c r="J134" i="364"/>
  <c r="O80" i="364"/>
  <c r="O91" i="364" s="1"/>
  <c r="L91" i="364"/>
  <c r="L434" i="364"/>
  <c r="O40" i="364"/>
  <c r="O434" i="364" s="1"/>
  <c r="L45" i="364"/>
  <c r="L123" i="364" s="1"/>
  <c r="J31" i="364"/>
  <c r="L428" i="364"/>
  <c r="O6" i="364"/>
  <c r="F73" i="361"/>
  <c r="AK22" i="360"/>
  <c r="L334" i="364"/>
  <c r="O325" i="364"/>
  <c r="O334" i="364" s="1"/>
  <c r="O157" i="364"/>
  <c r="O158" i="364" s="1"/>
  <c r="L158" i="364"/>
  <c r="J123" i="364"/>
  <c r="Z43" i="359"/>
  <c r="Z33" i="359"/>
  <c r="Z34" i="359" s="1"/>
  <c r="Z44" i="359" s="1"/>
  <c r="Z55" i="359" s="1"/>
  <c r="Z57" i="359" s="1"/>
  <c r="Z60" i="359" s="1"/>
  <c r="Z59" i="359" s="1"/>
  <c r="Z73" i="359" s="1"/>
  <c r="AI56" i="359"/>
  <c r="O233" i="364"/>
  <c r="O171" i="364"/>
  <c r="J90" i="364"/>
  <c r="L430" i="364"/>
  <c r="O10" i="364"/>
  <c r="O430" i="364" s="1"/>
  <c r="AI18" i="360"/>
  <c r="AL47" i="359"/>
  <c r="N11" i="360"/>
  <c r="AI21" i="360"/>
  <c r="AD55" i="359"/>
  <c r="AD57" i="359" s="1"/>
  <c r="AD60" i="359" s="1"/>
  <c r="AL25" i="359"/>
  <c r="AL27" i="359" s="1"/>
  <c r="AI27" i="359"/>
  <c r="AE44" i="359"/>
  <c r="AE55" i="359" s="1"/>
  <c r="AE57" i="359" s="1"/>
  <c r="AJ22" i="359"/>
  <c r="AJ56" i="359" s="1"/>
  <c r="M463" i="365"/>
  <c r="O383" i="365"/>
  <c r="O463" i="365" s="1"/>
  <c r="M464" i="365"/>
  <c r="O44" i="365"/>
  <c r="O464" i="365" s="1"/>
  <c r="O343" i="365"/>
  <c r="O161" i="365"/>
  <c r="O171" i="365" s="1"/>
  <c r="M171" i="365"/>
  <c r="L132" i="365"/>
  <c r="M32" i="365"/>
  <c r="O21" i="365"/>
  <c r="O32" i="365" s="1"/>
  <c r="L378" i="364"/>
  <c r="O369" i="364"/>
  <c r="O378" i="364" s="1"/>
  <c r="P376" i="364" s="1"/>
  <c r="O352" i="364"/>
  <c r="O363" i="364" s="1"/>
  <c r="L363" i="364"/>
  <c r="M472" i="365"/>
  <c r="O16" i="365"/>
  <c r="O472" i="365" s="1"/>
  <c r="O10" i="365"/>
  <c r="M19" i="365"/>
  <c r="L481" i="365"/>
  <c r="L486" i="365" s="1"/>
  <c r="O414" i="364"/>
  <c r="O426" i="364" s="1"/>
  <c r="O454" i="364" s="1"/>
  <c r="L426" i="364"/>
  <c r="L454" i="364" s="1"/>
  <c r="L319" i="364"/>
  <c r="O308" i="364"/>
  <c r="O319" i="364" s="1"/>
  <c r="P318" i="364" s="1"/>
  <c r="L196" i="364"/>
  <c r="O188" i="364"/>
  <c r="O196" i="364" s="1"/>
  <c r="P195" i="364" s="1"/>
  <c r="L442" i="364"/>
  <c r="O13" i="364"/>
  <c r="H469" i="365"/>
  <c r="H487" i="365" s="1"/>
  <c r="L482" i="365"/>
  <c r="O418" i="364"/>
  <c r="O439" i="364" s="1"/>
  <c r="L439" i="364"/>
  <c r="O411" i="364"/>
  <c r="L423" i="364"/>
  <c r="K274" i="364"/>
  <c r="K409" i="364" s="1"/>
  <c r="K427" i="364" s="1"/>
  <c r="L333" i="364"/>
  <c r="O324" i="364"/>
  <c r="O333" i="364" s="1"/>
  <c r="P332" i="364" s="1"/>
  <c r="L180" i="364"/>
  <c r="J183" i="364"/>
  <c r="O66" i="364"/>
  <c r="O76" i="364" s="1"/>
  <c r="L76" i="364"/>
  <c r="O51" i="364"/>
  <c r="O62" i="364" s="1"/>
  <c r="L62" i="364"/>
  <c r="AI65" i="359"/>
  <c r="AI70" i="359" s="1"/>
  <c r="AL63" i="359"/>
  <c r="AL65" i="359" s="1"/>
  <c r="L61" i="364"/>
  <c r="O50" i="364"/>
  <c r="O61" i="364" s="1"/>
  <c r="P60" i="364" s="1"/>
  <c r="L28" i="364"/>
  <c r="AH27" i="360"/>
  <c r="AJ15" i="360"/>
  <c r="AJ18" i="360" s="1"/>
  <c r="AJ22" i="360" s="1"/>
  <c r="L18" i="360"/>
  <c r="L22" i="360" s="1"/>
  <c r="O277" i="364"/>
  <c r="O289" i="364" s="1"/>
  <c r="P288" i="364" s="1"/>
  <c r="L289" i="364"/>
  <c r="O226" i="364"/>
  <c r="O235" i="364" s="1"/>
  <c r="L235" i="364"/>
  <c r="O164" i="364"/>
  <c r="O173" i="364" s="1"/>
  <c r="L173" i="364"/>
  <c r="O127" i="364"/>
  <c r="O135" i="364" s="1"/>
  <c r="L135" i="364"/>
  <c r="L435" i="364"/>
  <c r="O41" i="364"/>
  <c r="O435" i="364" s="1"/>
  <c r="AD22" i="360"/>
  <c r="AD61" i="359" s="1"/>
  <c r="N15" i="360"/>
  <c r="N18" i="360" s="1"/>
  <c r="AL53" i="359"/>
  <c r="N43" i="359"/>
  <c r="AE22" i="360"/>
  <c r="AL10" i="360"/>
  <c r="AL69" i="359"/>
  <c r="AJ70" i="359"/>
  <c r="AL19" i="360"/>
  <c r="AL21" i="360" s="1"/>
  <c r="Z22" i="360"/>
  <c r="Z61" i="359" s="1"/>
  <c r="AI71" i="359"/>
  <c r="AL71" i="359" s="1"/>
  <c r="Z47" i="359"/>
  <c r="AL41" i="359"/>
  <c r="AH44" i="359"/>
  <c r="H480" i="365"/>
  <c r="H489" i="365" s="1"/>
  <c r="M452" i="365"/>
  <c r="M453" i="365" s="1"/>
  <c r="M358" i="365"/>
  <c r="O348" i="365"/>
  <c r="O358" i="365" s="1"/>
  <c r="H424" i="365"/>
  <c r="O103" i="365"/>
  <c r="O115" i="365" s="1"/>
  <c r="M115" i="365"/>
  <c r="E294" i="365"/>
  <c r="E295" i="365" s="1"/>
  <c r="E439" i="365" s="1"/>
  <c r="E457" i="365" s="1"/>
  <c r="O70" i="365"/>
  <c r="O81" i="365" s="1"/>
  <c r="M81" i="365"/>
  <c r="F41" i="373"/>
  <c r="F46" i="373" s="1"/>
  <c r="P154" i="367"/>
  <c r="P189" i="367" s="1"/>
  <c r="P191" i="367" s="1"/>
  <c r="M415" i="365"/>
  <c r="M448" i="365"/>
  <c r="O448" i="365" s="1"/>
  <c r="M392" i="365"/>
  <c r="O380" i="365"/>
  <c r="O392" i="365" s="1"/>
  <c r="M473" i="365"/>
  <c r="O309" i="365"/>
  <c r="O473" i="365" s="1"/>
  <c r="M477" i="365"/>
  <c r="O342" i="365"/>
  <c r="O326" i="365"/>
  <c r="M462" i="365"/>
  <c r="O43" i="365"/>
  <c r="O462" i="365" s="1"/>
  <c r="M343" i="365"/>
  <c r="M312" i="365"/>
  <c r="H370" i="365"/>
  <c r="H483" i="365" s="1"/>
  <c r="O257" i="365"/>
  <c r="O266" i="365" s="1"/>
  <c r="M266" i="365"/>
  <c r="M113" i="365"/>
  <c r="O101" i="365"/>
  <c r="O113" i="365" s="1"/>
  <c r="O214" i="365"/>
  <c r="O224" i="365" s="1"/>
  <c r="M224" i="365"/>
  <c r="O135" i="365"/>
  <c r="O144" i="365" s="1"/>
  <c r="M144" i="365"/>
  <c r="M51" i="365"/>
  <c r="O38" i="365"/>
  <c r="M357" i="365"/>
  <c r="O310" i="365"/>
  <c r="O203" i="365"/>
  <c r="O212" i="365" s="1"/>
  <c r="M212" i="365"/>
  <c r="M184" i="365"/>
  <c r="O174" i="365"/>
  <c r="O184" i="365" s="1"/>
  <c r="M156" i="365"/>
  <c r="O147" i="365"/>
  <c r="O156" i="365" s="1"/>
  <c r="O119" i="365"/>
  <c r="O131" i="365" s="1"/>
  <c r="M131" i="365"/>
  <c r="O475" i="365"/>
  <c r="H171" i="365"/>
  <c r="H482" i="365" s="1"/>
  <c r="M143" i="365"/>
  <c r="M294" i="365" s="1"/>
  <c r="O134" i="365"/>
  <c r="O143" i="365" s="1"/>
  <c r="M98" i="365"/>
  <c r="O86" i="365"/>
  <c r="O98" i="365" s="1"/>
  <c r="O367" i="364"/>
  <c r="O376" i="364" s="1"/>
  <c r="L376" i="364"/>
  <c r="M33" i="365"/>
  <c r="O22" i="365"/>
  <c r="O33" i="365" s="1"/>
  <c r="L483" i="365"/>
  <c r="L305" i="364"/>
  <c r="O294" i="364"/>
  <c r="O305" i="364" s="1"/>
  <c r="P303" i="364" s="1"/>
  <c r="L146" i="364"/>
  <c r="O138" i="364"/>
  <c r="O146" i="364" s="1"/>
  <c r="P145" i="364" s="1"/>
  <c r="K55" i="361"/>
  <c r="K56" i="361"/>
  <c r="H32" i="365"/>
  <c r="H35" i="365"/>
  <c r="M460" i="365"/>
  <c r="O12" i="365"/>
  <c r="O460" i="365" s="1"/>
  <c r="L447" i="364"/>
  <c r="O220" i="364"/>
  <c r="I72" i="361"/>
  <c r="I73" i="361" s="1"/>
  <c r="AH55" i="359"/>
  <c r="AH57" i="359" s="1"/>
  <c r="AH60" i="359" s="1"/>
  <c r="AI43" i="359"/>
  <c r="AL35" i="359"/>
  <c r="AL43" i="359" s="1"/>
  <c r="F321" i="364"/>
  <c r="L46" i="364"/>
  <c r="O34" i="364"/>
  <c r="O46" i="364" s="1"/>
  <c r="P45" i="364" s="1"/>
  <c r="M467" i="365"/>
  <c r="O125" i="365"/>
  <c r="O467" i="365" s="1"/>
  <c r="O68" i="365"/>
  <c r="L288" i="364"/>
  <c r="L321" i="364" s="1"/>
  <c r="O225" i="364"/>
  <c r="O234" i="364" s="1"/>
  <c r="P233" i="364" s="1"/>
  <c r="L234" i="364"/>
  <c r="O120" i="364"/>
  <c r="O35" i="364"/>
  <c r="O47" i="364" s="1"/>
  <c r="L47" i="364"/>
  <c r="J438" i="364"/>
  <c r="J451" i="364" s="1"/>
  <c r="J457" i="364" s="1"/>
  <c r="L11" i="364"/>
  <c r="O8" i="364"/>
  <c r="O16" i="364" s="1"/>
  <c r="L16" i="364"/>
  <c r="K61" i="361"/>
  <c r="AK44" i="359"/>
  <c r="AK55" i="359" s="1"/>
  <c r="AK57" i="359" s="1"/>
  <c r="P405" i="364"/>
  <c r="L332" i="364"/>
  <c r="O323" i="364"/>
  <c r="O332" i="364" s="1"/>
  <c r="L221" i="364"/>
  <c r="O213" i="364"/>
  <c r="O221" i="364" s="1"/>
  <c r="P220" i="364" s="1"/>
  <c r="O176" i="364"/>
  <c r="L184" i="364"/>
  <c r="O121" i="364"/>
  <c r="P120" i="364" s="1"/>
  <c r="AJ27" i="360"/>
  <c r="AJ55" i="359"/>
  <c r="AJ57" i="359" s="1"/>
  <c r="J289" i="364"/>
  <c r="J452" i="364" s="1"/>
  <c r="AH22" i="360"/>
  <c r="AH61" i="359" s="1"/>
  <c r="N34" i="359"/>
  <c r="N44" i="359" s="1"/>
  <c r="N55" i="359" s="1"/>
  <c r="N57" i="359" s="1"/>
  <c r="N60" i="359" s="1"/>
  <c r="N59" i="359" s="1"/>
  <c r="N73" i="359" s="1"/>
  <c r="AL17" i="360"/>
  <c r="L44" i="359"/>
  <c r="L55" i="359" s="1"/>
  <c r="L57" i="359" s="1"/>
  <c r="AL23" i="359"/>
  <c r="AL24" i="359" s="1"/>
  <c r="AI24" i="359"/>
  <c r="N19" i="359"/>
  <c r="M488" i="365" l="1"/>
  <c r="L438" i="364"/>
  <c r="L458" i="364" s="1"/>
  <c r="O11" i="364"/>
  <c r="O438" i="364" s="1"/>
  <c r="O458" i="364" s="1"/>
  <c r="AH59" i="359"/>
  <c r="AH73" i="359" s="1"/>
  <c r="O51" i="365"/>
  <c r="J458" i="364"/>
  <c r="AL70" i="359"/>
  <c r="AL72" i="359" s="1"/>
  <c r="O180" i="364"/>
  <c r="O183" i="364" s="1"/>
  <c r="L183" i="364"/>
  <c r="L273" i="364" s="1"/>
  <c r="O19" i="365"/>
  <c r="H481" i="365"/>
  <c r="H486" i="365" s="1"/>
  <c r="AL15" i="360"/>
  <c r="AL18" i="360" s="1"/>
  <c r="AL22" i="360" s="1"/>
  <c r="AL61" i="359" s="1"/>
  <c r="L451" i="364"/>
  <c r="L457" i="364" s="1"/>
  <c r="P171" i="364"/>
  <c r="P89" i="364"/>
  <c r="P74" i="364"/>
  <c r="O458" i="365"/>
  <c r="O17" i="365"/>
  <c r="O35" i="365" s="1"/>
  <c r="M468" i="365"/>
  <c r="M487" i="365" s="1"/>
  <c r="O437" i="365"/>
  <c r="H438" i="365"/>
  <c r="M454" i="365"/>
  <c r="M482" i="365" s="1"/>
  <c r="O487" i="365"/>
  <c r="O423" i="364"/>
  <c r="O130" i="365"/>
  <c r="L15" i="364"/>
  <c r="L452" i="364" s="1"/>
  <c r="O273" i="364"/>
  <c r="L295" i="365"/>
  <c r="L439" i="365" s="1"/>
  <c r="L457" i="365" s="1"/>
  <c r="O129" i="365"/>
  <c r="N14" i="360"/>
  <c r="N22" i="360" s="1"/>
  <c r="L408" i="364"/>
  <c r="O425" i="364"/>
  <c r="M35" i="365"/>
  <c r="M295" i="365" s="1"/>
  <c r="O50" i="365"/>
  <c r="M478" i="365"/>
  <c r="O368" i="365"/>
  <c r="M369" i="365"/>
  <c r="M438" i="365" s="1"/>
  <c r="M370" i="365"/>
  <c r="AI44" i="359"/>
  <c r="AI55" i="359" s="1"/>
  <c r="AI57" i="359" s="1"/>
  <c r="O184" i="364"/>
  <c r="P183" i="364" s="1"/>
  <c r="L453" i="364"/>
  <c r="K57" i="361"/>
  <c r="K60" i="361" s="1"/>
  <c r="O294" i="365"/>
  <c r="O345" i="365"/>
  <c r="O45" i="364"/>
  <c r="O123" i="364" s="1"/>
  <c r="O160" i="364"/>
  <c r="P158" i="364" s="1"/>
  <c r="O442" i="364"/>
  <c r="O459" i="364" s="1"/>
  <c r="L14" i="364"/>
  <c r="L31" i="364" s="1"/>
  <c r="J273" i="364"/>
  <c r="J274" i="364" s="1"/>
  <c r="J409" i="364" s="1"/>
  <c r="J427" i="364" s="1"/>
  <c r="AL34" i="359"/>
  <c r="AL44" i="359" s="1"/>
  <c r="AL55" i="359" s="1"/>
  <c r="AL57" i="359" s="1"/>
  <c r="AL60" i="359" s="1"/>
  <c r="AL59" i="359" s="1"/>
  <c r="AL73" i="359" s="1"/>
  <c r="O408" i="364"/>
  <c r="H294" i="365"/>
  <c r="H295" i="365" s="1"/>
  <c r="H439" i="365" s="1"/>
  <c r="H457" i="365" s="1"/>
  <c r="M132" i="365"/>
  <c r="F409" i="364"/>
  <c r="F427" i="364" s="1"/>
  <c r="O453" i="364"/>
  <c r="O452" i="365"/>
  <c r="M480" i="365"/>
  <c r="M489" i="365" s="1"/>
  <c r="M456" i="365"/>
  <c r="M484" i="365" s="1"/>
  <c r="L459" i="364"/>
  <c r="M483" i="365"/>
  <c r="AD59" i="359"/>
  <c r="AD73" i="359" s="1"/>
  <c r="O428" i="364"/>
  <c r="O14" i="364"/>
  <c r="O31" i="364" s="1"/>
  <c r="O274" i="364" s="1"/>
  <c r="O409" i="364" s="1"/>
  <c r="O427" i="364" s="1"/>
  <c r="O18" i="365"/>
  <c r="O424" i="364"/>
  <c r="O390" i="365"/>
  <c r="AL9" i="360"/>
  <c r="AL14" i="360" s="1"/>
  <c r="AI14" i="360"/>
  <c r="AI22" i="360" s="1"/>
  <c r="P133" i="364"/>
  <c r="O468" i="365"/>
  <c r="O391" i="365"/>
  <c r="O312" i="365"/>
  <c r="O454" i="365"/>
  <c r="O480" i="365" l="1"/>
  <c r="O489" i="365" s="1"/>
  <c r="O456" i="365"/>
  <c r="O484" i="365" s="1"/>
  <c r="M439" i="365"/>
  <c r="M457" i="365" s="1"/>
  <c r="O453" i="365"/>
  <c r="O451" i="364"/>
  <c r="O457" i="364" s="1"/>
  <c r="M481" i="365"/>
  <c r="M486" i="365" s="1"/>
  <c r="O15" i="364"/>
  <c r="L274" i="364"/>
  <c r="L409" i="364" s="1"/>
  <c r="L427" i="364" s="1"/>
  <c r="C7" i="363"/>
  <c r="C22" i="363" s="1"/>
  <c r="C24" i="363" s="1"/>
  <c r="K59" i="361"/>
  <c r="K73" i="361" s="1"/>
  <c r="O478" i="365"/>
  <c r="O488" i="365" s="1"/>
  <c r="O370" i="365"/>
  <c r="O483" i="365" s="1"/>
  <c r="O369" i="365"/>
  <c r="O438" i="365" s="1"/>
  <c r="P423" i="364"/>
  <c r="O482" i="365"/>
  <c r="O132" i="365"/>
  <c r="O295" i="365" s="1"/>
  <c r="O439" i="365" s="1"/>
  <c r="O457" i="365" s="1"/>
  <c r="O481" i="365" l="1"/>
  <c r="O486" i="365" s="1"/>
  <c r="O452" i="364"/>
  <c r="P451" i="364" s="1"/>
  <c r="P14" i="364"/>
  <c r="M27" i="358" l="1"/>
  <c r="M30" i="358" s="1"/>
  <c r="L27" i="358"/>
  <c r="K27" i="358"/>
  <c r="J27" i="358"/>
  <c r="I27" i="358"/>
  <c r="H27" i="358"/>
  <c r="G27" i="358"/>
  <c r="F27" i="358"/>
  <c r="E27" i="358"/>
  <c r="D27" i="358"/>
  <c r="C27" i="358"/>
  <c r="B27" i="358"/>
  <c r="N26" i="358"/>
  <c r="N25" i="358"/>
  <c r="N24" i="358"/>
  <c r="N23" i="358"/>
  <c r="N22" i="358"/>
  <c r="N21" i="358"/>
  <c r="N20" i="358"/>
  <c r="N19" i="358"/>
  <c r="N27" i="358" s="1"/>
  <c r="M16" i="358"/>
  <c r="L16" i="358"/>
  <c r="L30" i="358" s="1"/>
  <c r="N15" i="358"/>
  <c r="N14" i="358"/>
  <c r="F13" i="358"/>
  <c r="N13" i="358" s="1"/>
  <c r="N12" i="358"/>
  <c r="I11" i="358"/>
  <c r="H11" i="358"/>
  <c r="H16" i="358" s="1"/>
  <c r="H30" i="358" s="1"/>
  <c r="G11" i="358"/>
  <c r="F11" i="358"/>
  <c r="E11" i="358"/>
  <c r="B11" i="358"/>
  <c r="N11" i="358" s="1"/>
  <c r="K10" i="358"/>
  <c r="J10" i="358"/>
  <c r="I10" i="358"/>
  <c r="I16" i="358" s="1"/>
  <c r="I30" i="358" s="1"/>
  <c r="K9" i="358"/>
  <c r="G9" i="358"/>
  <c r="G16" i="358" s="1"/>
  <c r="G30" i="358" s="1"/>
  <c r="F9" i="358"/>
  <c r="F16" i="358" s="1"/>
  <c r="F30" i="358" s="1"/>
  <c r="E9" i="358"/>
  <c r="E16" i="358" s="1"/>
  <c r="E30" i="358" s="1"/>
  <c r="D9" i="358"/>
  <c r="D16" i="358" s="1"/>
  <c r="D30" i="358" s="1"/>
  <c r="C9" i="358"/>
  <c r="C16" i="358" s="1"/>
  <c r="C30" i="358" s="1"/>
  <c r="B9" i="358"/>
  <c r="B16" i="358" s="1"/>
  <c r="B30" i="358" s="1"/>
  <c r="B31" i="358" s="1"/>
  <c r="C29" i="358" s="1"/>
  <c r="C31" i="358" s="1"/>
  <c r="D29" i="358" s="1"/>
  <c r="D31" i="358" s="1"/>
  <c r="E29" i="358" s="1"/>
  <c r="E31" i="358" s="1"/>
  <c r="F29" i="358" s="1"/>
  <c r="F31" i="358" s="1"/>
  <c r="G29" i="358" s="1"/>
  <c r="G31" i="358" s="1"/>
  <c r="H29" i="358" s="1"/>
  <c r="H31" i="358" s="1"/>
  <c r="I29" i="358" s="1"/>
  <c r="I31" i="358" s="1"/>
  <c r="J29" i="358" s="1"/>
  <c r="J31" i="358" s="1"/>
  <c r="K29" i="358" s="1"/>
  <c r="K8" i="358"/>
  <c r="N8" i="358" s="1"/>
  <c r="N7" i="358"/>
  <c r="N6" i="358"/>
  <c r="K6" i="358"/>
  <c r="K16" i="358" s="1"/>
  <c r="K30" i="358" s="1"/>
  <c r="J6" i="358"/>
  <c r="J16" i="358" s="1"/>
  <c r="J30" i="358" s="1"/>
  <c r="K44" i="352"/>
  <c r="H44" i="352"/>
  <c r="F44" i="352"/>
  <c r="J42" i="352"/>
  <c r="I42" i="352"/>
  <c r="G42" i="352"/>
  <c r="E42" i="352"/>
  <c r="D42" i="352"/>
  <c r="C42" i="352"/>
  <c r="B42" i="352"/>
  <c r="H41" i="352"/>
  <c r="K41" i="352" s="1"/>
  <c r="F41" i="352"/>
  <c r="F40" i="352"/>
  <c r="H40" i="352" s="1"/>
  <c r="K40" i="352" s="1"/>
  <c r="F39" i="352"/>
  <c r="H39" i="352" s="1"/>
  <c r="K39" i="352" s="1"/>
  <c r="K38" i="352"/>
  <c r="H38" i="352"/>
  <c r="F38" i="352"/>
  <c r="H37" i="352"/>
  <c r="K37" i="352" s="1"/>
  <c r="F37" i="352"/>
  <c r="F36" i="352"/>
  <c r="H36" i="352" s="1"/>
  <c r="K36" i="352" s="1"/>
  <c r="F35" i="352"/>
  <c r="F42" i="352" s="1"/>
  <c r="K34" i="352"/>
  <c r="H34" i="352"/>
  <c r="F34" i="352"/>
  <c r="J33" i="352"/>
  <c r="J43" i="352" s="1"/>
  <c r="J45" i="352" s="1"/>
  <c r="I33" i="352"/>
  <c r="G33" i="352"/>
  <c r="G43" i="352" s="1"/>
  <c r="G45" i="352" s="1"/>
  <c r="F33" i="352"/>
  <c r="E33" i="352"/>
  <c r="E43" i="352" s="1"/>
  <c r="E45" i="352" s="1"/>
  <c r="D33" i="352"/>
  <c r="C33" i="352"/>
  <c r="B33" i="352"/>
  <c r="F32" i="352"/>
  <c r="H32" i="352" s="1"/>
  <c r="K32" i="352" s="1"/>
  <c r="K31" i="352"/>
  <c r="H31" i="352"/>
  <c r="F31" i="352"/>
  <c r="H30" i="352"/>
  <c r="H33" i="352" s="1"/>
  <c r="F30" i="352"/>
  <c r="J28" i="352"/>
  <c r="I28" i="352"/>
  <c r="I29" i="352" s="1"/>
  <c r="I43" i="352" s="1"/>
  <c r="I45" i="352" s="1"/>
  <c r="G28" i="352"/>
  <c r="E28" i="352"/>
  <c r="D28" i="352"/>
  <c r="D29" i="352" s="1"/>
  <c r="D43" i="352" s="1"/>
  <c r="D45" i="352" s="1"/>
  <c r="C28" i="352"/>
  <c r="C29" i="352" s="1"/>
  <c r="C43" i="352" s="1"/>
  <c r="C45" i="352" s="1"/>
  <c r="B28" i="352"/>
  <c r="H27" i="352"/>
  <c r="K27" i="352" s="1"/>
  <c r="F27" i="352"/>
  <c r="F26" i="352"/>
  <c r="H26" i="352" s="1"/>
  <c r="K26" i="352" s="1"/>
  <c r="F25" i="352"/>
  <c r="H25" i="352" s="1"/>
  <c r="K25" i="352" s="1"/>
  <c r="K24" i="352"/>
  <c r="H24" i="352"/>
  <c r="F24" i="352"/>
  <c r="H23" i="352"/>
  <c r="K23" i="352" s="1"/>
  <c r="F23" i="352"/>
  <c r="F22" i="352"/>
  <c r="H22" i="352" s="1"/>
  <c r="K22" i="352" s="1"/>
  <c r="F21" i="352"/>
  <c r="H21" i="352" s="1"/>
  <c r="K21" i="352" s="1"/>
  <c r="K20" i="352"/>
  <c r="H20" i="352"/>
  <c r="F20" i="352"/>
  <c r="H19" i="352"/>
  <c r="K19" i="352" s="1"/>
  <c r="F19" i="352"/>
  <c r="F18" i="352"/>
  <c r="H18" i="352" s="1"/>
  <c r="K18" i="352" s="1"/>
  <c r="F17" i="352"/>
  <c r="H17" i="352" s="1"/>
  <c r="K16" i="352"/>
  <c r="H16" i="352"/>
  <c r="F16" i="352"/>
  <c r="F28" i="352" s="1"/>
  <c r="F29" i="352" s="1"/>
  <c r="F43" i="352" s="1"/>
  <c r="F45" i="352" s="1"/>
  <c r="J15" i="352"/>
  <c r="I15" i="352"/>
  <c r="G15" i="352"/>
  <c r="E15" i="352"/>
  <c r="D15" i="352"/>
  <c r="C15" i="352"/>
  <c r="B15" i="352"/>
  <c r="B29" i="352" s="1"/>
  <c r="B43" i="352" s="1"/>
  <c r="B45" i="352" s="1"/>
  <c r="F14" i="352"/>
  <c r="H14" i="352" s="1"/>
  <c r="K14" i="352" s="1"/>
  <c r="K13" i="352"/>
  <c r="H13" i="352"/>
  <c r="F13" i="352"/>
  <c r="H12" i="352"/>
  <c r="K12" i="352" s="1"/>
  <c r="F12" i="352"/>
  <c r="F11" i="352"/>
  <c r="F15" i="352" s="1"/>
  <c r="F10" i="352"/>
  <c r="H10" i="352" s="1"/>
  <c r="K10" i="352" s="1"/>
  <c r="K9" i="352"/>
  <c r="H9" i="352"/>
  <c r="F9" i="352"/>
  <c r="J8" i="352"/>
  <c r="I8" i="352"/>
  <c r="G8" i="352"/>
  <c r="F8" i="352"/>
  <c r="E8" i="352"/>
  <c r="D8" i="352"/>
  <c r="C8" i="352"/>
  <c r="B8" i="352"/>
  <c r="K7" i="352"/>
  <c r="H7" i="352"/>
  <c r="F7" i="352"/>
  <c r="K6" i="352"/>
  <c r="K8" i="352" s="1"/>
  <c r="H6" i="352"/>
  <c r="H8" i="352" s="1"/>
  <c r="F6" i="352"/>
  <c r="K31" i="358" l="1"/>
  <c r="L29" i="358" s="1"/>
  <c r="L31" i="358" s="1"/>
  <c r="M29" i="358" s="1"/>
  <c r="M31" i="358" s="1"/>
  <c r="N9" i="358"/>
  <c r="N16" i="358" s="1"/>
  <c r="N10" i="358"/>
  <c r="H28" i="352"/>
  <c r="K17" i="352"/>
  <c r="K28" i="352" s="1"/>
  <c r="K29" i="352" s="1"/>
  <c r="H11" i="352"/>
  <c r="K11" i="352" s="1"/>
  <c r="K15" i="352" s="1"/>
  <c r="K30" i="352"/>
  <c r="K33" i="352" s="1"/>
  <c r="H35" i="352"/>
  <c r="H15" i="352" l="1"/>
  <c r="H29" i="352" s="1"/>
  <c r="H43" i="352" s="1"/>
  <c r="H45" i="352" s="1"/>
  <c r="H42" i="352"/>
  <c r="K35" i="352"/>
  <c r="K42" i="352" s="1"/>
  <c r="K43" i="352" s="1"/>
  <c r="K45" i="352" s="1"/>
  <c r="E27" i="327" l="1"/>
  <c r="E48" i="294" l="1"/>
  <c r="E47" i="294"/>
  <c r="E46" i="294"/>
  <c r="E45" i="294"/>
  <c r="E43" i="294" s="1"/>
  <c r="D43" i="294"/>
  <c r="C43" i="294"/>
  <c r="E42" i="294"/>
  <c r="E41" i="294"/>
  <c r="E40" i="294"/>
  <c r="E39" i="294"/>
  <c r="E38" i="294"/>
  <c r="E37" i="294"/>
  <c r="E36" i="294"/>
  <c r="E35" i="294"/>
  <c r="E34" i="294"/>
  <c r="E33" i="294"/>
  <c r="E32" i="294"/>
  <c r="E31" i="294"/>
  <c r="E30" i="294"/>
  <c r="E29" i="294"/>
  <c r="E28" i="294"/>
  <c r="E27" i="294"/>
  <c r="E25" i="294"/>
  <c r="E21" i="294" s="1"/>
  <c r="E24" i="294"/>
  <c r="E23" i="294"/>
  <c r="E22" i="294"/>
  <c r="D21" i="294"/>
  <c r="D12" i="294" s="1"/>
  <c r="C21" i="294"/>
  <c r="D13" i="294"/>
  <c r="E13" i="294" s="1"/>
  <c r="C13" i="294"/>
  <c r="C12" i="294"/>
  <c r="C14" i="294" s="1"/>
  <c r="C15" i="294" s="1"/>
  <c r="D9" i="294"/>
  <c r="D7" i="294"/>
  <c r="C7" i="294"/>
  <c r="C9" i="294" s="1"/>
  <c r="E12" i="294" l="1"/>
  <c r="D14" i="294"/>
  <c r="D15" i="294" l="1"/>
  <c r="E15" i="294" s="1"/>
  <c r="E17" i="294" s="1"/>
  <c r="E14" i="294"/>
  <c r="E7" i="272" l="1"/>
  <c r="B7" i="272"/>
  <c r="C7" i="272"/>
  <c r="D7" i="272"/>
  <c r="F7" i="272"/>
  <c r="D15" i="275" l="1"/>
  <c r="C15" i="275"/>
  <c r="E30" i="275"/>
  <c r="E35" i="275"/>
  <c r="E36" i="275"/>
  <c r="E37" i="275"/>
  <c r="E38" i="275"/>
  <c r="E39" i="275"/>
  <c r="E40" i="275"/>
  <c r="E41" i="275"/>
  <c r="E42" i="275"/>
  <c r="E28" i="275"/>
  <c r="E27" i="275"/>
  <c r="E25" i="275"/>
  <c r="E22" i="275"/>
  <c r="C9" i="275"/>
  <c r="E11" i="272" l="1"/>
  <c r="E12" i="272"/>
  <c r="D30" i="236" l="1"/>
  <c r="C30" i="236"/>
  <c r="F27" i="236"/>
  <c r="E27" i="236"/>
  <c r="D27" i="236"/>
  <c r="C27" i="236"/>
  <c r="F24" i="236"/>
  <c r="G38" i="237" l="1"/>
  <c r="I30" i="237"/>
  <c r="I29" i="237"/>
  <c r="I28" i="237"/>
  <c r="I27" i="237"/>
  <c r="I26" i="237"/>
  <c r="I25" i="237"/>
  <c r="I24" i="237"/>
  <c r="I23" i="237"/>
  <c r="I22" i="237"/>
  <c r="I21" i="237"/>
  <c r="I20" i="237"/>
  <c r="I19" i="237"/>
  <c r="I18" i="237"/>
  <c r="I17" i="237"/>
  <c r="I16" i="237"/>
  <c r="I15" i="237"/>
  <c r="I14" i="237"/>
  <c r="I13" i="237"/>
  <c r="I12" i="237"/>
  <c r="I11" i="237"/>
  <c r="I10" i="237"/>
  <c r="I9" i="237"/>
  <c r="I8" i="237"/>
  <c r="I7" i="237"/>
  <c r="I6" i="237"/>
  <c r="I5" i="237"/>
  <c r="I4" i="237"/>
  <c r="I3" i="237"/>
  <c r="G10" i="272" l="1"/>
  <c r="G6" i="272"/>
  <c r="G5" i="272"/>
  <c r="D11" i="272"/>
  <c r="E48" i="275"/>
  <c r="E47" i="275"/>
  <c r="E46" i="275"/>
  <c r="E45" i="275"/>
  <c r="D43" i="275"/>
  <c r="D13" i="275" s="1"/>
  <c r="C43" i="275"/>
  <c r="E29" i="275"/>
  <c r="E24" i="275"/>
  <c r="E23" i="275"/>
  <c r="E15" i="275"/>
  <c r="E17" i="275" s="1"/>
  <c r="C13" i="275"/>
  <c r="D7" i="275"/>
  <c r="D9" i="275" s="1"/>
  <c r="C7" i="275"/>
  <c r="C11" i="272"/>
  <c r="B11" i="272"/>
  <c r="B12" i="272" s="1"/>
  <c r="B5" i="264"/>
  <c r="E7" i="236"/>
  <c r="D7" i="236"/>
  <c r="F6" i="236"/>
  <c r="I37" i="237"/>
  <c r="F4" i="236"/>
  <c r="F7" i="236" s="1"/>
  <c r="F5" i="236"/>
  <c r="C7" i="236"/>
  <c r="C18" i="236" s="1"/>
  <c r="F9" i="236"/>
  <c r="F10" i="236" s="1"/>
  <c r="C10" i="236"/>
  <c r="D10" i="236"/>
  <c r="E10" i="236"/>
  <c r="F12" i="236"/>
  <c r="F13" i="236"/>
  <c r="F14" i="236"/>
  <c r="F17" i="236" s="1"/>
  <c r="F15" i="236"/>
  <c r="F16" i="236"/>
  <c r="C17" i="236"/>
  <c r="D17" i="236"/>
  <c r="D18" i="236" s="1"/>
  <c r="E17" i="236"/>
  <c r="F20" i="236"/>
  <c r="F21" i="236"/>
  <c r="F22" i="236"/>
  <c r="F23" i="236"/>
  <c r="F25" i="236"/>
  <c r="F26" i="236"/>
  <c r="F28" i="236"/>
  <c r="F29" i="236"/>
  <c r="G31" i="237"/>
  <c r="H31" i="237"/>
  <c r="H38" i="237" s="1"/>
  <c r="I31" i="237"/>
  <c r="I38" i="237" s="1"/>
  <c r="G37" i="237"/>
  <c r="H37" i="237"/>
  <c r="G7" i="272"/>
  <c r="F11" i="272"/>
  <c r="F12" i="272" s="1"/>
  <c r="E13" i="275" l="1"/>
  <c r="E43" i="275"/>
  <c r="G11" i="272"/>
  <c r="G12" i="272" s="1"/>
  <c r="C12" i="272"/>
  <c r="D12" i="272"/>
  <c r="F18" i="236"/>
  <c r="E18" i="236"/>
  <c r="E30" i="236" s="1"/>
  <c r="F30" i="236" l="1"/>
  <c r="E31" i="275" l="1"/>
  <c r="E32" i="275"/>
  <c r="E33" i="275"/>
  <c r="D21" i="275"/>
  <c r="D12" i="275" s="1"/>
  <c r="D14" i="275" s="1"/>
  <c r="E21" i="275"/>
  <c r="E34" i="275"/>
  <c r="C21" i="275"/>
  <c r="C12" i="275" s="1"/>
  <c r="E12" i="275" l="1"/>
  <c r="C14" i="275"/>
  <c r="E14" i="275" s="1"/>
</calcChain>
</file>

<file path=xl/sharedStrings.xml><?xml version="1.0" encoding="utf-8"?>
<sst xmlns="http://schemas.openxmlformats.org/spreadsheetml/2006/main" count="3635" uniqueCount="1501">
  <si>
    <t>10.</t>
  </si>
  <si>
    <t>11.</t>
  </si>
  <si>
    <t>12.</t>
  </si>
  <si>
    <t>13.</t>
  </si>
  <si>
    <t>Zombori u. 21.</t>
  </si>
  <si>
    <t>Fehérvári Rugby Club</t>
  </si>
  <si>
    <t xml:space="preserve">sportklub 1050 </t>
  </si>
  <si>
    <t>14.</t>
  </si>
  <si>
    <t>Sziget u. 27.</t>
  </si>
  <si>
    <t>Fm.-i Állattenyésztők Tenyésztő és Termelésell.</t>
  </si>
  <si>
    <t>bemutatót. 1050</t>
  </si>
  <si>
    <t>15.</t>
  </si>
  <si>
    <t>Cserepes köz 3. 2.j.</t>
  </si>
  <si>
    <t xml:space="preserve">Fm.-i Állattenyésztők Tenyésztő és Termelésell. </t>
  </si>
  <si>
    <t>gyüjtemény 1050</t>
  </si>
  <si>
    <t>16.</t>
  </si>
  <si>
    <t>Tolnai u.8. 2.j.</t>
  </si>
  <si>
    <t>Fm-i és Szfv.i Nyugdíjasok Egyesülete</t>
  </si>
  <si>
    <t>17.</t>
  </si>
  <si>
    <t>Széchenyi u. 3-5.</t>
  </si>
  <si>
    <t xml:space="preserve">Fm-i Osteoporosis Klub </t>
  </si>
  <si>
    <t>klubh. 1050</t>
  </si>
  <si>
    <t>18.</t>
  </si>
  <si>
    <t>Csanádi tér 1-2.</t>
  </si>
  <si>
    <t xml:space="preserve">Fogyasztóvédelmi Egyesület </t>
  </si>
  <si>
    <t>19.</t>
  </si>
  <si>
    <t>20.</t>
  </si>
  <si>
    <t>Köfém ltp. 1.</t>
  </si>
  <si>
    <t>21.</t>
  </si>
  <si>
    <t>Király sor 35.</t>
  </si>
  <si>
    <t xml:space="preserve">Krajczáros Alapítvány </t>
  </si>
  <si>
    <t>raktár 300</t>
  </si>
  <si>
    <t>22.</t>
  </si>
  <si>
    <t>23.</t>
  </si>
  <si>
    <t>Semmelweis u. 8.</t>
  </si>
  <si>
    <t>Lakásbérlők Érdekvédelmi Egyesülete</t>
  </si>
  <si>
    <t>24.</t>
  </si>
  <si>
    <t>25.</t>
  </si>
  <si>
    <t>26.</t>
  </si>
  <si>
    <t>Jancsár u.9. 1.j.</t>
  </si>
  <si>
    <t>Sclerosis Multiplex Társaság Magyar</t>
  </si>
  <si>
    <t>27.</t>
  </si>
  <si>
    <t>Tolnai u.34. 3.j.</t>
  </si>
  <si>
    <t xml:space="preserve">Sclerosis Multiplexesek Egyesülete Fm.-i </t>
  </si>
  <si>
    <t>28.</t>
  </si>
  <si>
    <t>Selyem u. 1.</t>
  </si>
  <si>
    <t>STOMA Alapítvány</t>
  </si>
  <si>
    <t>klub 1050</t>
  </si>
  <si>
    <t>29.</t>
  </si>
  <si>
    <t>Oskola u. 3. fsz.5.</t>
  </si>
  <si>
    <t>30.</t>
  </si>
  <si>
    <t>Tolnai u.10. 1.j.</t>
  </si>
  <si>
    <t>31.</t>
  </si>
  <si>
    <t>József A.u.8.</t>
  </si>
  <si>
    <t>Király sor 45.</t>
  </si>
  <si>
    <t>Szociál Klub Alapítvány a Rászorultakért</t>
  </si>
  <si>
    <t>Csanádi tér 2-3.</t>
  </si>
  <si>
    <t>Városi Polgárőrség</t>
  </si>
  <si>
    <t>Kossuth u. 14.</t>
  </si>
  <si>
    <t>Vörösmarty Társaság</t>
  </si>
  <si>
    <t>Sziget 21.</t>
  </si>
  <si>
    <t>Wichern Alapítvány</t>
  </si>
  <si>
    <t>Bátky Zs. u. 5.</t>
  </si>
  <si>
    <t>Smart Grant Közhasznú Alapítvány</t>
  </si>
  <si>
    <t>Jövő Családjaiért Kulturális Közhasznú Egyesület</t>
  </si>
  <si>
    <t>Civil szervezetek összesen:</t>
  </si>
  <si>
    <t>Egyéb szervezetek</t>
  </si>
  <si>
    <t>Fm-i Rendőrkapitányság</t>
  </si>
  <si>
    <t>Sarló u. 12.</t>
  </si>
  <si>
    <t>Sarló u. 16.</t>
  </si>
  <si>
    <t>Egyéb szervezetek összesen:</t>
  </si>
  <si>
    <r>
      <t>Alapterület ( m</t>
    </r>
    <r>
      <rPr>
        <b/>
        <vertAlign val="superscript"/>
        <sz val="12"/>
        <rFont val="Times New Roman"/>
        <family val="1"/>
        <charset val="238"/>
      </rPr>
      <t>2</t>
    </r>
    <r>
      <rPr>
        <b/>
        <sz val="12"/>
        <rFont val="Times New Roman"/>
        <family val="1"/>
        <charset val="238"/>
      </rPr>
      <t xml:space="preserve"> )</t>
    </r>
  </si>
  <si>
    <t>Európai uniós és hazai forrásból megvalósuló projektek</t>
  </si>
  <si>
    <t>Státusz</t>
  </si>
  <si>
    <t>Saját erő</t>
  </si>
  <si>
    <t>Támogatás</t>
  </si>
  <si>
    <t>Önk. forrás</t>
  </si>
  <si>
    <t>EU-s forrás</t>
  </si>
  <si>
    <t>Hazai forrás</t>
  </si>
  <si>
    <t>Végrehajtás alatt</t>
  </si>
  <si>
    <t>Mártírok útja csapadékcsatorna főgyűjtő átépítése (KDOP.4.1.1/E)</t>
  </si>
  <si>
    <t>Mártírok útja útfelújítása (KDOP.4.2.1/B)</t>
  </si>
  <si>
    <t>Székesfehérvár Megyei Jogú Város Önkormányzat</t>
  </si>
  <si>
    <t>Költségvetési szervek összesen</t>
  </si>
  <si>
    <t>Eredeti előirányzat</t>
  </si>
  <si>
    <t>~ ebből: Szent István Király Múzeum támogatása</t>
  </si>
  <si>
    <t xml:space="preserve">              Vörösmarty Mihály Megyei Könyvtár és a városi könyvtár támogatása</t>
  </si>
  <si>
    <t xml:space="preserve">              Vörösmarty Színház támogatása</t>
  </si>
  <si>
    <t>1, Személyi juttatás</t>
  </si>
  <si>
    <t>2, Munkaadókat terhelő járulékok és szociális hozzájárulási adó</t>
  </si>
  <si>
    <t>3, Dologi kiadás</t>
  </si>
  <si>
    <t>Napsugár Óvoda</t>
  </si>
  <si>
    <t>Ligetsori Óvoda</t>
  </si>
  <si>
    <t>Egyesített Szociális Intézmény</t>
  </si>
  <si>
    <t>Polgármesteri Hivatal</t>
  </si>
  <si>
    <t>Személyi juttatás</t>
  </si>
  <si>
    <t>Munkaadókat terhelő járulékok és szociális hozzájárulási adó</t>
  </si>
  <si>
    <t>Dologi kiadás</t>
  </si>
  <si>
    <t>Ellátottak pénzbeli juttatása</t>
  </si>
  <si>
    <t>g.=b. +…+ f.</t>
  </si>
  <si>
    <t>h.</t>
  </si>
  <si>
    <t>i.</t>
  </si>
  <si>
    <t>j.</t>
  </si>
  <si>
    <t>k.=h. +i.+ j.</t>
  </si>
  <si>
    <t>l.</t>
  </si>
  <si>
    <t>m.</t>
  </si>
  <si>
    <t>n.</t>
  </si>
  <si>
    <t>Igazgatási tevékenység</t>
  </si>
  <si>
    <t xml:space="preserve">III. </t>
  </si>
  <si>
    <t>Városfejlesztés</t>
  </si>
  <si>
    <t>Humán Szolgáltatás</t>
  </si>
  <si>
    <t>A.</t>
  </si>
  <si>
    <t>Kiadások összesen (I-VIII.)</t>
  </si>
  <si>
    <t>Céltartalék összesen</t>
  </si>
  <si>
    <t>Vízgazdálkodási Fejlesztési Alap</t>
  </si>
  <si>
    <t>IX.</t>
  </si>
  <si>
    <t>Tartalékok összesen</t>
  </si>
  <si>
    <t>C.</t>
  </si>
  <si>
    <t>KIADÁSOK MINDÖSSZESEN (I-IX.)</t>
  </si>
  <si>
    <t>Bevételek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</si>
  <si>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</si>
  <si>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</si>
  <si>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</si>
  <si>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</si>
  <si>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</si>
  <si>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</si>
  <si>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</si>
  <si>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</si>
  <si>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</si>
  <si>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</si>
  <si>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</si>
  <si>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</si>
  <si>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összesen</t>
  </si>
  <si>
    <t>Kiadások</t>
  </si>
  <si>
    <t>Igazgatási és egyéb központosított kiadások</t>
  </si>
  <si>
    <t>Intézményi felújítás</t>
  </si>
  <si>
    <t>Tartalék</t>
  </si>
  <si>
    <t>Bevétel-Kiadás különbözet havi bontásban</t>
  </si>
  <si>
    <t>Záró Pénzkészlet (Nyitó pénzkészlet+ Bevétel-Kiadás különbözete)</t>
  </si>
  <si>
    <t>Költségvetési szervek  kiadásai</t>
  </si>
  <si>
    <t>~ ebből: Alba Volán Sportclub - Ingatlan üzemeltetésével összefüggő költségekhez</t>
  </si>
  <si>
    <t xml:space="preserve">             Alba Regia Sport Club - Ingatlan üzemeltetésével összefüggő költségekhez</t>
  </si>
  <si>
    <t>Beruházások</t>
  </si>
  <si>
    <t>MEGNEVEZÉS</t>
  </si>
  <si>
    <t>Működési bevételek</t>
  </si>
  <si>
    <t>Személyi juttatások</t>
  </si>
  <si>
    <t>Közhatalmi bevételek</t>
  </si>
  <si>
    <t>Dologi kiadások</t>
  </si>
  <si>
    <t>Tartalékok</t>
  </si>
  <si>
    <t>Működési célú pénzeszköz átvétel</t>
  </si>
  <si>
    <t>Felhalmozási bevételek</t>
  </si>
  <si>
    <t>Felújítások</t>
  </si>
  <si>
    <t>Felhalmozási célú pénzeszköz átvétel</t>
  </si>
  <si>
    <t>Költségvetési bevételek-kiadások egyenlege</t>
  </si>
  <si>
    <t>Költségvetési kiadások összesen:</t>
  </si>
  <si>
    <t>Költségvetési bevételek összesen:</t>
  </si>
  <si>
    <t>VAGYONGAZDÁLKODÁS</t>
  </si>
  <si>
    <t>VÁROS- ÉS KÖZSÉGGAZDÁLKODÁS</t>
  </si>
  <si>
    <t>HUMÁN SZOLGÁLTATÁS</t>
  </si>
  <si>
    <t xml:space="preserve">              "Lánczos Kornél-Szekfű Gyula" Ösztöndíj Közalapítvány működési támogatása</t>
  </si>
  <si>
    <t xml:space="preserve">              Tóth István és Tóth Terézia Ösztöndíj Közalapítvány működési támogatása</t>
  </si>
  <si>
    <t xml:space="preserve">             Alba Regia Atlétikai Klub</t>
  </si>
  <si>
    <t>NEMZETISÉGI ÖNKORMÁNYZATOK</t>
  </si>
  <si>
    <t>~ ebből: Kulturális Alap</t>
  </si>
  <si>
    <t xml:space="preserve">              Egészségügyi Alap</t>
  </si>
  <si>
    <t xml:space="preserve">              Sport Alap</t>
  </si>
  <si>
    <t>Társadalmi Felelősségvállalási Alap</t>
  </si>
  <si>
    <t>Céltartalék</t>
  </si>
  <si>
    <t>Önkormányzat mindösszesen</t>
  </si>
  <si>
    <t xml:space="preserve">           Fehérvári Kézművesek Egyesülete</t>
  </si>
  <si>
    <t xml:space="preserve">           Hermann László Vonószenekari Egyesület</t>
  </si>
  <si>
    <t xml:space="preserve">           Székesfehérvári Művészek Társasága</t>
  </si>
  <si>
    <t xml:space="preserve">              Közbiztonsági feladatokra (Fejér Megyei Rendőr-Főkapitányság)</t>
  </si>
  <si>
    <t>Általános tartalék</t>
  </si>
  <si>
    <t>Kiadások összesen</t>
  </si>
  <si>
    <t>I.</t>
  </si>
  <si>
    <t>Pénzügyi igazgatási feladatok</t>
  </si>
  <si>
    <t>Különféle adók, díjak, pénzügyi kiadások</t>
  </si>
  <si>
    <t>Közösségi, társadalmi és információs tevékenység</t>
  </si>
  <si>
    <t>Társadalmi kapcsolatok kiadásai</t>
  </si>
  <si>
    <t>Személyügyi kiadások</t>
  </si>
  <si>
    <t>Informatikai terület</t>
  </si>
  <si>
    <t>Szociális ellátási és gyermekvédelmi feladatok</t>
  </si>
  <si>
    <t>Fejlesztési, felhalmozási ráfordítások</t>
  </si>
  <si>
    <t>IV.</t>
  </si>
  <si>
    <t>Lakás-, vagyongazdálkodási kiadások</t>
  </si>
  <si>
    <t>V.</t>
  </si>
  <si>
    <t>Székesfehérvár Városgondnoksága Kft.</t>
  </si>
  <si>
    <t>Főépítészi kiadások</t>
  </si>
  <si>
    <t>Környezetvédelmi kiadások</t>
  </si>
  <si>
    <t>VI.</t>
  </si>
  <si>
    <t>Közoktatási feladatok</t>
  </si>
  <si>
    <t>Szociális intézményi és egészségügyi feladatok</t>
  </si>
  <si>
    <t>Közművelődési kiadások</t>
  </si>
  <si>
    <t>Diáksport és szabadidős tevékenység</t>
  </si>
  <si>
    <t>VII.</t>
  </si>
  <si>
    <t>VIII.</t>
  </si>
  <si>
    <t>Humán Közszolgálati Szakbizottsági keret</t>
  </si>
  <si>
    <t>Polgármesteri keret</t>
  </si>
  <si>
    <t>Képviselői Alap</t>
  </si>
  <si>
    <t xml:space="preserve">             Egyéb sportszakosztályi támogatások</t>
  </si>
  <si>
    <t xml:space="preserve">              Kegyeleti rendelet végrehajtása</t>
  </si>
  <si>
    <t xml:space="preserve">              Rászorulókat segítő karácsonyi programok és támogatások</t>
  </si>
  <si>
    <t>Nemzetközi kapcsolatok és reprezentáció</t>
  </si>
  <si>
    <t>~ ebből: Önkormányzati Informatikai Központ Nonprofit Kft.</t>
  </si>
  <si>
    <t>Rendvédelmi, közbiztonsági feladatok, védelmi felkészítés</t>
  </si>
  <si>
    <t>II.</t>
  </si>
  <si>
    <t>HATÓSÁGI TEVÉKENYSÉG</t>
  </si>
  <si>
    <t>III.</t>
  </si>
  <si>
    <t>IGAZGATÁSI TEVÉKENYSÉG</t>
  </si>
  <si>
    <t>Közbeszerzési és egyéb jogi eljárásokkal kapcsolatos kiadások</t>
  </si>
  <si>
    <t xml:space="preserve">             Köfém Sport Club Női Kézilabda Szakosztály</t>
  </si>
  <si>
    <t xml:space="preserve">             Alba Volán Sportclub Jégkorong Szakosztály</t>
  </si>
  <si>
    <t xml:space="preserve">              Jubileumi jutalom, jogszabályból fakadó személyi jellegű többlet kifizetések kerete</t>
  </si>
  <si>
    <t xml:space="preserve">           KÖFÉM Oktatási és Közművelődési Központ Nonprofit Közhasznú Kft.</t>
  </si>
  <si>
    <t>Környezetvédelmi Alap</t>
  </si>
  <si>
    <t>~ ebből: Nemzetközi kapcsolatok</t>
  </si>
  <si>
    <t xml:space="preserve">              Reprezentáció</t>
  </si>
  <si>
    <t xml:space="preserve">              Határon túli magyar kapcsolatok</t>
  </si>
  <si>
    <t xml:space="preserve">              Székesfehérvári Csemete Alapítvány támogatása - bölcsődei ellátás</t>
  </si>
  <si>
    <t xml:space="preserve">           Székesfehérvári Egyházmegye</t>
  </si>
  <si>
    <t xml:space="preserve">           Bory-Vár Alapítvány - Bory-Vár karbantartás</t>
  </si>
  <si>
    <t xml:space="preserve">         Könyvkiadás</t>
  </si>
  <si>
    <t xml:space="preserve"> - Kulturális feladatok</t>
  </si>
  <si>
    <t xml:space="preserve">  - Közművelődési megállapodások, támogatások</t>
  </si>
  <si>
    <t xml:space="preserve">           Vörösmarty Társaság</t>
  </si>
  <si>
    <t>~ ebből: Diáksportkör kiadásai</t>
  </si>
  <si>
    <t xml:space="preserve">              Sportcélok és feladatok</t>
  </si>
  <si>
    <t>~ ebből: Nyugdíjazással kapcsolatos kifizetések</t>
  </si>
  <si>
    <t xml:space="preserve">           Vasutas Országos Közművelődési és Szabadidő Egyesület Vörösmarty Mihály Művelődési Ház</t>
  </si>
  <si>
    <t xml:space="preserve">              "Aranyeső" Alapítvány az egészséges emberért támogatása - Hétpettyes Óvoda</t>
  </si>
  <si>
    <t xml:space="preserve">              Székesfehérvári Református Egyházközség támogatása - Olajfa Református Óvoda</t>
  </si>
  <si>
    <t>Tagdíjak, testületek</t>
  </si>
  <si>
    <t xml:space="preserve">             A székesfehérvári oktatásszakmai munka önkormányzati támogatásának kerete</t>
  </si>
  <si>
    <t xml:space="preserve">              Földmérési alaptérkép</t>
  </si>
  <si>
    <t xml:space="preserve">              Magyar Urbanisztikai Társaság tagdíj</t>
  </si>
  <si>
    <t>~ ebből: Rendezési terv készítése, meglévő szabályozások módosítása, felülvizsgálata, integrálása, karbantartása</t>
  </si>
  <si>
    <t xml:space="preserve">              Székesfehérvári Fogyasztóvédelmi Egyesület</t>
  </si>
  <si>
    <t xml:space="preserve">              Alapítvány a Székesfehérvári Fogyasztóvédelemért</t>
  </si>
  <si>
    <t xml:space="preserve">           Alba Regia Vegyeskar Egyesület</t>
  </si>
  <si>
    <t xml:space="preserve">           Székesfehérvári "Bakony" Népzenei Együttes Egyesület</t>
  </si>
  <si>
    <t xml:space="preserve">           Székesfehérvári Ifjúsági Fúvószenekar Egyesület</t>
  </si>
  <si>
    <t xml:space="preserve">           "Aranybulla" Könyvtár Alapítvány</t>
  </si>
  <si>
    <t>Kötelező feladat</t>
  </si>
  <si>
    <t>Önként vállalt feladat</t>
  </si>
  <si>
    <t>X</t>
  </si>
  <si>
    <t>-</t>
  </si>
  <si>
    <t>Sportlétesítményekkel kapcsolatos kiadások</t>
  </si>
  <si>
    <t xml:space="preserve">             Handball Future Szolgáltató Kft.- Ingatlan üzemeltetésével összefüggő költségekhez</t>
  </si>
  <si>
    <t>Megnevezés</t>
  </si>
  <si>
    <t>2016. év</t>
  </si>
  <si>
    <t>További évek összesen</t>
  </si>
  <si>
    <t>Mindösszesen</t>
  </si>
  <si>
    <t>a.</t>
  </si>
  <si>
    <t>b.</t>
  </si>
  <si>
    <t>c.</t>
  </si>
  <si>
    <t>d.</t>
  </si>
  <si>
    <t>e.</t>
  </si>
  <si>
    <t>f.</t>
  </si>
  <si>
    <t>g.=b.+…+f.</t>
  </si>
  <si>
    <t>I. Beruházási, felhalmozási kiadások</t>
  </si>
  <si>
    <t>Alba Geotrade Zrt. EKN. vezetés, bemérések</t>
  </si>
  <si>
    <t>Szemünk Fénye Program</t>
  </si>
  <si>
    <t>I. Beruházási, felhalmozási kiadások összesen</t>
  </si>
  <si>
    <t>Összesen:</t>
  </si>
  <si>
    <t>Mindösszesen:</t>
  </si>
  <si>
    <t>Jogcím</t>
  </si>
  <si>
    <t>Kedvezmény összege</t>
  </si>
  <si>
    <t>Mentesség összege</t>
  </si>
  <si>
    <t>Elengedett összeg</t>
  </si>
  <si>
    <t>Összesen</t>
  </si>
  <si>
    <t>Helyi adók</t>
  </si>
  <si>
    <t>Iparűzési adó</t>
  </si>
  <si>
    <t>~ Foglalkoztatás növeléséhez kapcsolódó adóalap-mentesség</t>
  </si>
  <si>
    <t xml:space="preserve">1990. évi C. törvény 39/D.§ </t>
  </si>
  <si>
    <t>~ Vállalkozói szintű adóalap-mentesség</t>
  </si>
  <si>
    <t>57/2009. (XII.4.) Önkormányzati rendelet 2.§ (3)</t>
  </si>
  <si>
    <t>Iparűzési adó összesen:</t>
  </si>
  <si>
    <t>Építményadó</t>
  </si>
  <si>
    <t>~ Adóalany- feltételes- mentesség</t>
  </si>
  <si>
    <t xml:space="preserve">1990. évi C. törvény 3.§ (2) </t>
  </si>
  <si>
    <t>Építményadó összesen:</t>
  </si>
  <si>
    <t>Idegenforgalmi adó</t>
  </si>
  <si>
    <t>~ 18. életévét be nem töltött magánszemély mentessége</t>
  </si>
  <si>
    <t>1990. évi C. törvény 31.§ (1) a) pont</t>
  </si>
  <si>
    <t>~ Gyógyintézetben, szociális intézményben ellátott magánszemély mentessége</t>
  </si>
  <si>
    <t>1990. évi C. törvény 31.§ (1) b) pont</t>
  </si>
  <si>
    <t>~ Hallgatói jogviszonyhoz, szakképzéshez, munkavégzéshez kapcsolódó mentesség</t>
  </si>
  <si>
    <t>1990. évi C. törvény 31.§ (1) c) pont</t>
  </si>
  <si>
    <t>~ Üdülő tulajdonosi, bérlői jogviszonyhoz kapcsolódó mentesség</t>
  </si>
  <si>
    <t>1990. évi C. törvény 31.§ (1) d) pont</t>
  </si>
  <si>
    <t>~ 70. életévét betöltött magánszemély mentessége</t>
  </si>
  <si>
    <t>47/2010. (XII.14.) Önkormányzati rendelet 4.§ (1)</t>
  </si>
  <si>
    <t>Idegenforgalmi adó összesen:</t>
  </si>
  <si>
    <t>I.Helyi adók összesen</t>
  </si>
  <si>
    <t>Gépjármű adó</t>
  </si>
  <si>
    <t xml:space="preserve"> </t>
  </si>
  <si>
    <t>~ Költségvetési szerv, egyház, tűzoltóság tulajdonában lévő gépjármű után</t>
  </si>
  <si>
    <t>1991. évi LXXXII. törvény 5.§ a.), d.), e.)</t>
  </si>
  <si>
    <t>~ Társadalmi szerv, alapítvány tulajdonában lévő gépjármű után</t>
  </si>
  <si>
    <t>1991. évi LXXXII. törvény 5.§ b.)</t>
  </si>
  <si>
    <t>~ Helyi és helyközi tömegközlekedést bonyolító gépjármű után</t>
  </si>
  <si>
    <t>1991. évi LXXXII. törvény 5.§ c.)</t>
  </si>
  <si>
    <t>~ Súlyos mozgáskorlátozott személyek mentessége</t>
  </si>
  <si>
    <t>1991. évi LXXXII. törvény 5.§ f.)</t>
  </si>
  <si>
    <t>~ Környezetvédelmi besoroláshoz kapcsolódó kedvezmény</t>
  </si>
  <si>
    <t>1991. évi LXXXII. Törvény 8.§ (1), (2)</t>
  </si>
  <si>
    <t>II.Gépjármű adó összesen</t>
  </si>
  <si>
    <t>III.Elengedett bérleti díj</t>
  </si>
  <si>
    <t>IV.Egyéb nyújtott kedvezmény, elengedett kölcsön</t>
  </si>
  <si>
    <t>Ssz.</t>
  </si>
  <si>
    <t>Bérlemény helye</t>
  </si>
  <si>
    <t>Bérlő megnevezése</t>
  </si>
  <si>
    <t>Szerződés lejárata</t>
  </si>
  <si>
    <t>Bérleti díj                      (Ft/hó)</t>
  </si>
  <si>
    <t>Elengedett bérleti díj (Ft/hó)</t>
  </si>
  <si>
    <t>Elengedett bérleti díj (Ft-ban)</t>
  </si>
  <si>
    <t>Civil szervezetek</t>
  </si>
  <si>
    <t>1.</t>
  </si>
  <si>
    <t>2.</t>
  </si>
  <si>
    <t>Prohászka O. u. 26.</t>
  </si>
  <si>
    <t>Alba Regia Box Club</t>
  </si>
  <si>
    <t xml:space="preserve">sportklub1050 </t>
  </si>
  <si>
    <t>3.</t>
  </si>
  <si>
    <t>Tolnai u.12. 1.j.</t>
  </si>
  <si>
    <t>iroda1050</t>
  </si>
  <si>
    <t>4.</t>
  </si>
  <si>
    <t>Jancsár u.13. 2.j.</t>
  </si>
  <si>
    <t>Alba Regia Széchenyi Hunyadi Horgász Egyesületek</t>
  </si>
  <si>
    <t>iroda 1050</t>
  </si>
  <si>
    <t>5.</t>
  </si>
  <si>
    <t>Köfém ltp.1.</t>
  </si>
  <si>
    <t>Aranybulla Könyvtár Alapítvány</t>
  </si>
  <si>
    <t>könyvtár 1050</t>
  </si>
  <si>
    <t>6.</t>
  </si>
  <si>
    <t>Sütő u. 38. 2.j.</t>
  </si>
  <si>
    <t xml:space="preserve">Aranyeső Alapítvány </t>
  </si>
  <si>
    <t>helyiség1050</t>
  </si>
  <si>
    <t>7.</t>
  </si>
  <si>
    <t>Jancsár u.11. 2.j.</t>
  </si>
  <si>
    <t>Arév Baráti Kör Egyesület,Nyugdijas,Horg.</t>
  </si>
  <si>
    <t>8.</t>
  </si>
  <si>
    <t>Budai út 2.</t>
  </si>
  <si>
    <t>Egészség és Kultúra Egyesület</t>
  </si>
  <si>
    <t>9.</t>
  </si>
  <si>
    <t>Rovat száma</t>
  </si>
  <si>
    <t>K1</t>
  </si>
  <si>
    <t>K2</t>
  </si>
  <si>
    <t>K3</t>
  </si>
  <si>
    <t>K4</t>
  </si>
  <si>
    <t>K6</t>
  </si>
  <si>
    <t>K7</t>
  </si>
  <si>
    <t>K8</t>
  </si>
  <si>
    <t>7, Beruházások</t>
  </si>
  <si>
    <t>8, Felújítások</t>
  </si>
  <si>
    <t>(K1-K8)</t>
  </si>
  <si>
    <t>B1</t>
  </si>
  <si>
    <t>B2</t>
  </si>
  <si>
    <t>B3</t>
  </si>
  <si>
    <t>B4</t>
  </si>
  <si>
    <t>B5</t>
  </si>
  <si>
    <t>B6</t>
  </si>
  <si>
    <t>B7</t>
  </si>
  <si>
    <t>4. Előző évi felhalmozási célú költségvetési maradvány igénybevétele</t>
  </si>
  <si>
    <t>5. Maradvány igénybevétele (3+4)</t>
  </si>
  <si>
    <t xml:space="preserve">II. Hiány fedezete </t>
  </si>
  <si>
    <t>B8</t>
  </si>
  <si>
    <t>Szennyvízcsatorna építések</t>
  </si>
  <si>
    <t>Útszabályozás kártalanítás</t>
  </si>
  <si>
    <t>Székesfehérvár Vizi Társulat éves tagdíja</t>
  </si>
  <si>
    <t>Egyéb</t>
  </si>
  <si>
    <t>Tervezési munkák</t>
  </si>
  <si>
    <t>Hatósági és egyéb díjak</t>
  </si>
  <si>
    <t>Tervfelülvizsgálatok, közműegyeztetések</t>
  </si>
  <si>
    <t>Pályázat előkészítésére és önerő keret</t>
  </si>
  <si>
    <t>Belvárosi épületek rekonstrukcióját szolgáló fejlesztési alap (vissza nem térítendő támogatás)</t>
  </si>
  <si>
    <t>Meglévő erősáramú légvezetékes hálózat áthelyezése és átalakítása</t>
  </si>
  <si>
    <t>Fejlesztési, felhalmozási ráfordítások mindösszesen:</t>
  </si>
  <si>
    <t>(eFt-ban)</t>
  </si>
  <si>
    <t>Tervezett felújítási munka</t>
  </si>
  <si>
    <t>Tetőszigetelés</t>
  </si>
  <si>
    <t>Vörösmarty Mihály Könyvtár</t>
  </si>
  <si>
    <t>Polgármesteri Hivatal épületeit érintő felújítások</t>
  </si>
  <si>
    <t>Vis Maior</t>
  </si>
  <si>
    <t>4, Ellátottak pénzbeli juttatása</t>
  </si>
  <si>
    <t>5, Egyéb működési célú kiadások</t>
  </si>
  <si>
    <t>3. Előző évi működési célú költségvetési  maradvány igénybevétele</t>
  </si>
  <si>
    <t>Állami hozzájárulás jogcíme</t>
  </si>
  <si>
    <t>Támogatás mértéke (Ft)</t>
  </si>
  <si>
    <t>Jogosultság alapja (fő)</t>
  </si>
  <si>
    <t>Állami hozzájárulás összege (eFt)</t>
  </si>
  <si>
    <t>Nem közművel összegyűjtött háztartási szennyvíz ártalmatlanítása</t>
  </si>
  <si>
    <t>2. sz. melléklet II.1.</t>
  </si>
  <si>
    <t>Óvodapedagógusok, és az óvodapedagógusok nevelő munkáját közvetlenül segítők bértámogatása</t>
  </si>
  <si>
    <t>2. sz. melléklet II.2.</t>
  </si>
  <si>
    <t>Óvodaműködtetési támogatás</t>
  </si>
  <si>
    <t>Szociális étkeztetés</t>
  </si>
  <si>
    <t>2. sz. melléklet III.3.f)</t>
  </si>
  <si>
    <t>Időskorúak nappali intézményi ellátása</t>
  </si>
  <si>
    <t>2. sz. melléklet III.3.g)</t>
  </si>
  <si>
    <t>Fogyatékos és demens személyek nappali intézményi ellátása</t>
  </si>
  <si>
    <t>2. sz. melléklet III.3.i)</t>
  </si>
  <si>
    <t>Hajléktalanok nappali intézményi ellátása</t>
  </si>
  <si>
    <t>2. sz. melléklet III.3.j)</t>
  </si>
  <si>
    <t>Gyermekek napközbeni ellátása</t>
  </si>
  <si>
    <t>2. sz. melléklet III.3.k)</t>
  </si>
  <si>
    <t>Hajléktalanok átmeneti intézményei</t>
  </si>
  <si>
    <t>2. sz. melléklet III.4.a)</t>
  </si>
  <si>
    <t>2. sz. melléklet III.4.b)</t>
  </si>
  <si>
    <t>2. sz. melléklet III.5.a)</t>
  </si>
  <si>
    <t xml:space="preserve">2. sz. melléklet IV.1.a) </t>
  </si>
  <si>
    <t>Megyei hatókörű városi múzeumok feladatainak támogatása</t>
  </si>
  <si>
    <t xml:space="preserve">2. sz. melléklet IV.1.b) </t>
  </si>
  <si>
    <t>Megyei könyvtárak feladatainak támogatása</t>
  </si>
  <si>
    <t xml:space="preserve">2. sz. melléklet IV.1.c) </t>
  </si>
  <si>
    <t>A települési önkormányzatok által fenntartott, illetve támogatott előadó-művészeti szervezetek támogatása</t>
  </si>
  <si>
    <t>2. sz. melléklet összesen:</t>
  </si>
  <si>
    <t>Tájékoztató Székesfehérvár Megyei Jogú Város Önkormányzat és  Költségvetési szervei</t>
  </si>
  <si>
    <t>Költségvetési szervek</t>
  </si>
  <si>
    <t>b/1</t>
  </si>
  <si>
    <t>c/1</t>
  </si>
  <si>
    <t>d/1</t>
  </si>
  <si>
    <t>1, Helyi önkormányzatok működésének általános támogatása</t>
  </si>
  <si>
    <t xml:space="preserve">4, Települési önkormányzatok kulturális feladatainak támogatása </t>
  </si>
  <si>
    <t>5, Működési célú központosított előirányzatok</t>
  </si>
  <si>
    <t>6, Önkormányzatok működési támogatásai összesen (1+2+3+4+5):</t>
  </si>
  <si>
    <t>B111</t>
  </si>
  <si>
    <t>B112</t>
  </si>
  <si>
    <t>B113</t>
  </si>
  <si>
    <t>B114</t>
  </si>
  <si>
    <t>B115</t>
  </si>
  <si>
    <t>B11</t>
  </si>
  <si>
    <t>B21</t>
  </si>
  <si>
    <t>B31</t>
  </si>
  <si>
    <t>B311</t>
  </si>
  <si>
    <t>B34</t>
  </si>
  <si>
    <t>B351</t>
  </si>
  <si>
    <t>B354</t>
  </si>
  <si>
    <t>B355</t>
  </si>
  <si>
    <t>B35</t>
  </si>
  <si>
    <t>B36</t>
  </si>
  <si>
    <t>B404</t>
  </si>
  <si>
    <t>B408</t>
  </si>
  <si>
    <t>B52</t>
  </si>
  <si>
    <t>11, Általános tartalék</t>
  </si>
  <si>
    <t>12, Céltartalék</t>
  </si>
  <si>
    <t>13, Tartalékok összesen:</t>
  </si>
  <si>
    <t>14,Költségvetési kiadások összesen:</t>
  </si>
  <si>
    <t>K9</t>
  </si>
  <si>
    <t>~ ebből: Tulajdonosi bevételek</t>
  </si>
  <si>
    <t xml:space="preserve">              Kiszámlázott általános forgalmi adó, és általános forgalmi adó visszatérítése</t>
  </si>
  <si>
    <t>B406-B407</t>
  </si>
  <si>
    <t xml:space="preserve">              Kamatbevételek</t>
  </si>
  <si>
    <t>B813</t>
  </si>
  <si>
    <t>FORRÁSOK</t>
  </si>
  <si>
    <t>Épületek bérl. díj bevétele</t>
  </si>
  <si>
    <t>Ebből:</t>
  </si>
  <si>
    <t>Lakások</t>
  </si>
  <si>
    <t>Nem lakás célú helyiségek</t>
  </si>
  <si>
    <t>Nem lakáscélú helyiségek bérleti díj ÁFA bevétele</t>
  </si>
  <si>
    <t>Önkormányzati egyéb bevételből biztosított forrás</t>
  </si>
  <si>
    <t>ÖSSZES FORRÁS</t>
  </si>
  <si>
    <t>FELHASZNÁLÁSOK</t>
  </si>
  <si>
    <t>Önkormányzati ingatlankezelés üzemeltetési költsége</t>
  </si>
  <si>
    <t>Önkormányzati ingatlankezelés alapdíja</t>
  </si>
  <si>
    <t>Önkormányzati ingatlankezelés egyéb díja</t>
  </si>
  <si>
    <t>~ebből közös költség</t>
  </si>
  <si>
    <t>ÁFA befizetés</t>
  </si>
  <si>
    <t>ÖSSZES FELHASZNÁLÁS</t>
  </si>
  <si>
    <t>Összeg</t>
  </si>
  <si>
    <t>2. sz. melléklet IV.1.h)</t>
  </si>
  <si>
    <t>Megyei könyvtár kistelepülési könyvtári célú kiegészítő támogatása</t>
  </si>
  <si>
    <t>Kelemen B. utca 65.</t>
  </si>
  <si>
    <t>~ Méltányossági törlés</t>
  </si>
  <si>
    <t>2003. évi XCII. Törvény 134.§</t>
  </si>
  <si>
    <t>1. Költségvetési bevételek mindösszesen</t>
  </si>
  <si>
    <t>2. Költségvetési kiadások mindösszesen</t>
  </si>
  <si>
    <t>I. Költségvetési bevételek</t>
  </si>
  <si>
    <t>III. Költségvetési kiadások</t>
  </si>
  <si>
    <t>V. Költségvetési egyenleg I-III.</t>
  </si>
  <si>
    <t>VI. Finanszírozási egyenleg II-IV.</t>
  </si>
  <si>
    <t>VII. Egyenleg V-VI.</t>
  </si>
  <si>
    <t>Székesfehérvár Megyei Jogú Város Önkormányzat és  Költségvetési szervei</t>
  </si>
  <si>
    <t>(B1-B7)</t>
  </si>
  <si>
    <t>1. Maradvány igénybevétele</t>
  </si>
  <si>
    <t>Műszaki ellenőrzések kerete</t>
  </si>
  <si>
    <t>7, Egyéb működési célú támogatások bevételei államháztartáson belülről</t>
  </si>
  <si>
    <t>B16</t>
  </si>
  <si>
    <t>8, Működési célú támogatások államháztartáson belülről összesen (6+7):</t>
  </si>
  <si>
    <t>9, Felhalmozási célú önkormányzati támogatások</t>
  </si>
  <si>
    <t>B25</t>
  </si>
  <si>
    <t>10, Egyéb felhalmozási célú támogatások bevételei államháztartáson belülről</t>
  </si>
  <si>
    <t>11, Felhalmozási célú támogatások államháztartáson belülről összesen: (9+10)</t>
  </si>
  <si>
    <t>12, Termőföld bérbeadásából származó jövedelem utáni személyi jövedelemadó</t>
  </si>
  <si>
    <t>13, Jövedelemadó összesen:(12)</t>
  </si>
  <si>
    <t xml:space="preserve">              Közbiztonsági problémák társadalmi kezelése</t>
  </si>
  <si>
    <t>Anyakönyvi népesség-nyilvántartási és okmánykibocsátási tevékenység</t>
  </si>
  <si>
    <t xml:space="preserve">              Településrendezést, településkép védelmet, építészeti értékvédelmet megalapozó dokumentumok, tanulmánytervek, pályázati tervek, tervezési, kutatási szerződések, meghívásos tervpályázatok lebonyolítása, szakmai konferencia</t>
  </si>
  <si>
    <t xml:space="preserve">              Alba Volán Zrt. 504/2012.(VIII.17.) kgy.hat. .I. 1. b. pontja alapján történő finanszírozására</t>
  </si>
  <si>
    <t xml:space="preserve">             Tanévnyitó</t>
  </si>
  <si>
    <t xml:space="preserve">           Fehérvári Versünnep, a Költészet Napja - Fehérvár Médiacentrum Kft.</t>
  </si>
  <si>
    <t xml:space="preserve">           Székesfehérvári Turisztikai Közhasznú Nonprofit Kft. - működéshez</t>
  </si>
  <si>
    <t xml:space="preserve">           Fehérvári Zenei Napok - A Tehetséges Zenészekért Alapítvány</t>
  </si>
  <si>
    <t xml:space="preserve">           Fejér Megyei Diáknapok -  Fejér Megyei Művelődési Központ</t>
  </si>
  <si>
    <t xml:space="preserve"> - Kulturális feladatokhoz kapcsolódó egyéb rendezvények</t>
  </si>
  <si>
    <t xml:space="preserve">         Székesfehérvári művészektől vásárlás</t>
  </si>
  <si>
    <t xml:space="preserve">         Világháborús megemlékezések</t>
  </si>
  <si>
    <t>Sportszakosztályi és csarnoküzemeltetési támogatások</t>
  </si>
  <si>
    <t>Egyéb sportcélú támogatások</t>
  </si>
  <si>
    <t xml:space="preserve">             Magyar Labdarúgó Szövetség Fejér Megyei Igazgatósága - "Alba Liga" kispályás labdarúgó bajnokság támogatása</t>
  </si>
  <si>
    <t xml:space="preserve">              Intézményi kafetéria juttatás fedezetére</t>
  </si>
  <si>
    <t xml:space="preserve">              Közszolgáltatások biztonságának fenntartására elkülönített keret</t>
  </si>
  <si>
    <t xml:space="preserve">              Önkormányzati feladatellátást szolgáló támogatási keret</t>
  </si>
  <si>
    <t>~ ebből: Civil nap megrendezési költségei</t>
  </si>
  <si>
    <t xml:space="preserve">              Önkormányzati kitüntetések, címek</t>
  </si>
  <si>
    <t xml:space="preserve">              Lakásbérlők és Lakástulajdonosok Érdekvédelmi Egyesülete</t>
  </si>
  <si>
    <t xml:space="preserve">              Alba Regia Nyugdíjas Egyesület</t>
  </si>
  <si>
    <t xml:space="preserve">              Széna Egyesület a Családokért</t>
  </si>
  <si>
    <t xml:space="preserve">              Szegényeket Támogató Alapítvány</t>
  </si>
  <si>
    <t xml:space="preserve">              Ifjúság A Jövő Családjaiért Kulturális Közhasznú Egyesület</t>
  </si>
  <si>
    <t xml:space="preserve">              Egyházak, egyházi intézmények támogatása</t>
  </si>
  <si>
    <t xml:space="preserve">              Székesfehérvári Egyházmegye-Belvárosi templomok turisztikai célú támogatása</t>
  </si>
  <si>
    <t xml:space="preserve">              Székesfehérvári Városszépítő- és Védő Egyesület</t>
  </si>
  <si>
    <t xml:space="preserve">              Magyar Politikai Foglyok Szövetsége</t>
  </si>
  <si>
    <t xml:space="preserve">              Magyar Hadisírgondozó Szövetség</t>
  </si>
  <si>
    <t xml:space="preserve">              Fehérvári Tűzoltó Egyesület</t>
  </si>
  <si>
    <t>Lakáselidegenítés kiadásai</t>
  </si>
  <si>
    <t xml:space="preserve">           Primavera Vegyeskórus Egyesület</t>
  </si>
  <si>
    <t xml:space="preserve">           Székesfehérvár-Tác Önkormányzati Társulás működésével kapcsolatos költségekre</t>
  </si>
  <si>
    <t xml:space="preserve">           "Ars Musica" Zenebarátok Egyesülete</t>
  </si>
  <si>
    <t xml:space="preserve">              Új településrendezési eszközök készítése Székesfehérvár teljes közigazgatási területére-előkészítés és tervezés</t>
  </si>
  <si>
    <t>Cím</t>
  </si>
  <si>
    <t>Egyéb felhalmozási célú kiadások</t>
  </si>
  <si>
    <t>Költségvetési kiadások összesen</t>
  </si>
  <si>
    <t>Finanszírozási kiadások</t>
  </si>
  <si>
    <t>Kiadások  összesen</t>
  </si>
  <si>
    <t>K5</t>
  </si>
  <si>
    <t>g.</t>
  </si>
  <si>
    <t>k.</t>
  </si>
  <si>
    <t>l.=i.+j.+k.</t>
  </si>
  <si>
    <t>m.=h.+l.</t>
  </si>
  <si>
    <t>o.=m.+n.</t>
  </si>
  <si>
    <t>Humán Szolgáltató Intézet</t>
  </si>
  <si>
    <t>Frim Jakab Képességfejlesztő Szakosított Otthon</t>
  </si>
  <si>
    <t>Eü. Ellátás összesen</t>
  </si>
  <si>
    <t>Százszorszép Bölcsőde</t>
  </si>
  <si>
    <t>3.sz.Bölcsőde</t>
  </si>
  <si>
    <t>Napraforgó Bölcsőde</t>
  </si>
  <si>
    <t>Nyitnikék Bölcsőde</t>
  </si>
  <si>
    <t>7. sz. Bölcsőde</t>
  </si>
  <si>
    <t>8. sz. Bölcsőde</t>
  </si>
  <si>
    <t>Bölcsőde összesen</t>
  </si>
  <si>
    <t>Árpád Úti Óvoda</t>
  </si>
  <si>
    <t>Belvárosi Brunszvik T. Óvoda</t>
  </si>
  <si>
    <t>Gyöngyvirág Óvoda-Székesfehérvár-Kindergarten Maiglöckchen</t>
  </si>
  <si>
    <t>Felsővárosi Óvoda</t>
  </si>
  <si>
    <t>Hosszúsétatéri Óvoda</t>
  </si>
  <si>
    <t>Maroshegyi Óvoda</t>
  </si>
  <si>
    <t>Szárazréti Óvoda</t>
  </si>
  <si>
    <t>Tulipános Óvoda</t>
  </si>
  <si>
    <t>Szivárvány Óvoda</t>
  </si>
  <si>
    <t>Óvodák összesen</t>
  </si>
  <si>
    <t>Humán Szolg. összesen</t>
  </si>
  <si>
    <t>Kríziskezelő Központ</t>
  </si>
  <si>
    <t>Szociális ellátás összesen</t>
  </si>
  <si>
    <t xml:space="preserve">Székesfehérvári Intézményi Központ </t>
  </si>
  <si>
    <t>Városi Levéltár és Kutatóintézet</t>
  </si>
  <si>
    <t>Városi Képtár-Deák Gyűjtemény</t>
  </si>
  <si>
    <t>Szent István Király Múzeum</t>
  </si>
  <si>
    <t>Vörösmarty Színház</t>
  </si>
  <si>
    <t>A Szabadművelődés Háza</t>
  </si>
  <si>
    <t>Kulturális ellátás összesen</t>
  </si>
  <si>
    <t>Intézmények összesen:</t>
  </si>
  <si>
    <t xml:space="preserve">Polgármesteri Hivatal </t>
  </si>
  <si>
    <t>Működési célú támogatások államháztartáson belülről</t>
  </si>
  <si>
    <t>Felhalmozási célú támogatások államháztartáson belülről</t>
  </si>
  <si>
    <t xml:space="preserve"> Közhatalmi bevételek</t>
  </si>
  <si>
    <t>Működési célú átvett pénzeszközök</t>
  </si>
  <si>
    <t>Felhalmozási célú átvett pénzeszközök</t>
  </si>
  <si>
    <t>Költségvetési  bevételek összesen</t>
  </si>
  <si>
    <t>Önkormányzati támogatás</t>
  </si>
  <si>
    <t>Maradvány igénybevétele</t>
  </si>
  <si>
    <t>(B1+B3+B4+B6)</t>
  </si>
  <si>
    <t>(B2+B5+B7)</t>
  </si>
  <si>
    <t>j.=c.+e +f.+h.</t>
  </si>
  <si>
    <t>k.=d.+g.+i.</t>
  </si>
  <si>
    <t>l.=j.+k.</t>
  </si>
  <si>
    <t>n.=l.+m.</t>
  </si>
  <si>
    <t>Eü. ellátás összesen</t>
  </si>
  <si>
    <t xml:space="preserve">Humán Szolgáltató összesen </t>
  </si>
  <si>
    <t>Élelmezés</t>
  </si>
  <si>
    <t>Élelmezés  ÁFA</t>
  </si>
  <si>
    <t>3. sz. Bölcsőde</t>
  </si>
  <si>
    <t>Belvárosi Bunszvik T.Óvoda</t>
  </si>
  <si>
    <t>Humán Szolgáltató összesen</t>
  </si>
  <si>
    <t>Székesfehérvári Intézményi Központ</t>
  </si>
  <si>
    <t>Intézmények összesen</t>
  </si>
  <si>
    <t>~ Levéltári Konferencia</t>
  </si>
  <si>
    <t>~ Moskovszky Konferencia, Réber Konferencia</t>
  </si>
  <si>
    <t>~ Magyar Kultúra Napja</t>
  </si>
  <si>
    <t>~ Aranybulla Művészeti Napok</t>
  </si>
  <si>
    <t>~ Katalin Nap</t>
  </si>
  <si>
    <t>~ Fehérvári Filmes Hetek</t>
  </si>
  <si>
    <t xml:space="preserve">           Vox Mirabilis Közhasznú Kulturális Egyesület</t>
  </si>
  <si>
    <t>Egyéb működési célú kiadások</t>
  </si>
  <si>
    <t>Egyéb felhalmozási célú  kiadások</t>
  </si>
  <si>
    <t>9, Egyéb felhalmozási célú kiadások</t>
  </si>
  <si>
    <t>K5(k512)</t>
  </si>
  <si>
    <t>K1-8.</t>
  </si>
  <si>
    <t>K1-5.</t>
  </si>
  <si>
    <t>K6-8.</t>
  </si>
  <si>
    <t>(K1-8.)</t>
  </si>
  <si>
    <t>B1-7.</t>
  </si>
  <si>
    <t>o.=g.+k.+n.</t>
  </si>
  <si>
    <t xml:space="preserve">Ybl Miklós-program: Intézményfelújítások </t>
  </si>
  <si>
    <t>Ybl Miklós-program: Intézményfelújítások</t>
  </si>
  <si>
    <t>Közlekedési kiadások</t>
  </si>
  <si>
    <t>~ ebből: HEROSZ Egyesület</t>
  </si>
  <si>
    <t>2017. év</t>
  </si>
  <si>
    <t>II. Helyi közösségi közlekedéssel kapcsolatos kiadások</t>
  </si>
  <si>
    <t>Alba Volán Zrt. - 2006. január 1. napjától 2012. december 31. napjáig terjedő időszak veszteségének kiegyenlése</t>
  </si>
  <si>
    <t>II. Helyi közösségi közlekedéssel kapcsolatos kiadások összesen</t>
  </si>
  <si>
    <t>Költségvetési szervek összesen:</t>
  </si>
  <si>
    <t>~ Hivatal üzemeltetésével kapcsolatos kiadások</t>
  </si>
  <si>
    <t>~ Köztisztviselők rendszeres személyi juttatása és járulékai</t>
  </si>
  <si>
    <t>~ Jutalom és járulékai</t>
  </si>
  <si>
    <t>~ Kafetéria (kifizetői adóval)</t>
  </si>
  <si>
    <t xml:space="preserve">              Ingatlangazdálkodási Alap</t>
  </si>
  <si>
    <t xml:space="preserve"> belül a kiemelt dologi előirányzatok (eFt-ban)</t>
  </si>
  <si>
    <t>~ ebből: Székesfehérvári Városfejlesztési Közhasznú Nonprofit Kft.- Ingatlangazdálkodási kiadások lakás és nem lakás célú helyiségek felújítási kerettel</t>
  </si>
  <si>
    <t>Közüzemi díjak</t>
  </si>
  <si>
    <t>Közüzemi díjak ÁFA</t>
  </si>
  <si>
    <t>KÖLTSÉGVETÉSI SZERVEK</t>
  </si>
  <si>
    <t xml:space="preserve"> Eü. ellátás összesen</t>
  </si>
  <si>
    <t>Felhalmozási célú támogatások bevételei államháztartáson belülről</t>
  </si>
  <si>
    <t>Működési költségvetési kiadások összesen:</t>
  </si>
  <si>
    <t>Működési költségvetési bevételek összesen:</t>
  </si>
  <si>
    <t>Működési költségvetési kiadások</t>
  </si>
  <si>
    <t>Működési költségvetési bevételek</t>
  </si>
  <si>
    <t>Felhalmozási költségvetési kiadások</t>
  </si>
  <si>
    <t>Felhalmozási költségvetési bevételek</t>
  </si>
  <si>
    <t xml:space="preserve">Felhalmozási bevételek </t>
  </si>
  <si>
    <t>Működési költségvetési bevételek-kiadások egyenlege</t>
  </si>
  <si>
    <t>Felhalmozási költségvetési bevételek- kiadások egyenlege</t>
  </si>
  <si>
    <t>Felhalmozási költségvetési kiadások összesen:</t>
  </si>
  <si>
    <t>Felhalmozási költségvetési bevételek összesen:</t>
  </si>
  <si>
    <t>Működési finanszírozási kiadások</t>
  </si>
  <si>
    <t>Működési finanszírozási bevételek</t>
  </si>
  <si>
    <t>Működési finanszírozási bevételek-kiadások egyenlege</t>
  </si>
  <si>
    <t>Működési finanszírozási kiadások összesen:</t>
  </si>
  <si>
    <t>Működési finanszírozási bevételek összesen:</t>
  </si>
  <si>
    <t>Működési egyenleg</t>
  </si>
  <si>
    <t>Felhalmozási finanszírozási kiadások</t>
  </si>
  <si>
    <t>Felhalmozási finanszírozási kiadások összesen:</t>
  </si>
  <si>
    <t>Felhalmozási finanszírozási bevételek</t>
  </si>
  <si>
    <t>Felhalmozási finanszírozási bevételek összesen:</t>
  </si>
  <si>
    <t>Felhalmozási egyenleg</t>
  </si>
  <si>
    <t>Finanszírozási kiadások összesen:</t>
  </si>
  <si>
    <t>Finanszírozási bevételek összesen:</t>
  </si>
  <si>
    <t>Egyenleg</t>
  </si>
  <si>
    <t>Finanszírozási bevételek-kiadások egyenlege</t>
  </si>
  <si>
    <t>Felhalmozási finanszírozási bevételek-kiadások egyenlege</t>
  </si>
  <si>
    <t>Fejlesztési kiadások, Vízgazdálkodási Fejlesztési Alap</t>
  </si>
  <si>
    <t>Pályázat tervezett kiírása</t>
  </si>
  <si>
    <t>Pályázat célja</t>
  </si>
  <si>
    <t>Maximálisan felosztható összeg</t>
  </si>
  <si>
    <t>Támogatási keretek, alapok</t>
  </si>
  <si>
    <t>2. Irányító szervi támogatás</t>
  </si>
  <si>
    <t>1. Irányító szervi támogatás folyósítása</t>
  </si>
  <si>
    <t>Irányító szervi támogatás folyósítása</t>
  </si>
  <si>
    <t xml:space="preserve">Irányító szervi támogatás </t>
  </si>
  <si>
    <t>I. Költségvetési egyenleg (1-2) az Áht. szerint</t>
  </si>
  <si>
    <t>6. Irányító szervi támogatás</t>
  </si>
  <si>
    <t>B816</t>
  </si>
  <si>
    <t>B817</t>
  </si>
  <si>
    <t>9. Finanszírozási kiadások összesen:</t>
  </si>
  <si>
    <t>III. Finanszírozási egyenleg(8-9)</t>
  </si>
  <si>
    <t>Egyenleg (I-III.)</t>
  </si>
  <si>
    <t>3, Települési önkormányzatok szociális, gyermekjóléti és gyermekétkeztetési feladatainak támogatása</t>
  </si>
  <si>
    <t>16, Iparűzési adó</t>
  </si>
  <si>
    <t>17, Értékesítési és forgalmi adók (16)</t>
  </si>
  <si>
    <t>18, Gépjárműadó</t>
  </si>
  <si>
    <t>19, Talajterhelési díj</t>
  </si>
  <si>
    <t>20, Idegenforgalmi adó</t>
  </si>
  <si>
    <t>21, Egyéb áruhasználati és szolgáltatási adók (19+20)</t>
  </si>
  <si>
    <t>22, Termékek és szolgáltatások adói összesen (17+18+21):</t>
  </si>
  <si>
    <t>23, Igazgatási szolgáltatási díj</t>
  </si>
  <si>
    <t>24, Környezetvédelmi bírság</t>
  </si>
  <si>
    <t>25, Építésügyi bírság</t>
  </si>
  <si>
    <t>26, Adópótlék, adóbírság</t>
  </si>
  <si>
    <t>27, Szabálysértési pénz és helyszíni bírság és közigazgatási bírság</t>
  </si>
  <si>
    <t>28, Egyéb bírság</t>
  </si>
  <si>
    <t>30, Közhatalmi bevételek összesen (13+15+22+29):</t>
  </si>
  <si>
    <t>31, Működési bevételek</t>
  </si>
  <si>
    <t>32, Ingatlanok értékesítése</t>
  </si>
  <si>
    <t>K915</t>
  </si>
  <si>
    <t>K916</t>
  </si>
  <si>
    <t>15, Irányító szervi támogatás folyósítása</t>
  </si>
  <si>
    <t>17, Finanszírozási kiadások összesen:</t>
  </si>
  <si>
    <t>I. Költségvetési egyenleg (1-2) az Áht. Szerint</t>
  </si>
  <si>
    <t>Kiegészítő támogatás az óvodapedagógusok minősítéséből adódó többletkiadásokhoz</t>
  </si>
  <si>
    <t>2. sz. melléklet II.5.</t>
  </si>
  <si>
    <t>Házi segítségnyújtás- társulási feladatellátás</t>
  </si>
  <si>
    <t>2. sz. melléklet III.3.b)</t>
  </si>
  <si>
    <t>2. sz. melléklet III.3.c)</t>
  </si>
  <si>
    <t>A települési önkormnyzatok által biztosított egyes szociális szakosított ellátások, valamint a gyermekek átmeneti gondosásával kapcsolatos feladatok támogatása- A finanszírozás szempontjából elismert szakmai dolgozók bértámogatása</t>
  </si>
  <si>
    <t>Gyermekétkeztetés támogatása - A finanszírozás szempontjából elismert dolgozók bértámogatása</t>
  </si>
  <si>
    <t>A települési önkormnyzatok által biztosított egyes szociális szakosított ellátások, valamint a gyermekek átmeneti gondosásával kapcsolatos feladatok támogatása- Intézmény-üzemeltetési támogatás</t>
  </si>
  <si>
    <t>Gyermekétkeztetés üzemeltetési támogatása</t>
  </si>
  <si>
    <t>2. sz. melléklet III.5.b)</t>
  </si>
  <si>
    <t>2. sz. melléklet I.2.</t>
  </si>
  <si>
    <t>Megyeszékhely megyei jogú városok közművelődési feladatainak támogatása</t>
  </si>
  <si>
    <t xml:space="preserve">2. sz. melléklet IV.2. </t>
  </si>
  <si>
    <t>2. sz. melléklet III. d)</t>
  </si>
  <si>
    <t>Alba Regia Ifjúsági és Szabadidő Egyesület</t>
  </si>
  <si>
    <t>SZALON-Európai Civilek Kulturális Egyesület</t>
  </si>
  <si>
    <t>Székesfehérvári Munkások Egyesülete</t>
  </si>
  <si>
    <t>Székesfehérvári Álláskeresők Egyesülete</t>
  </si>
  <si>
    <t>Székesfehérvár környezeti, történelmi értékeit és hagyományait bemutató programok támogatása</t>
  </si>
  <si>
    <t>Székesfehérváron megvalósuló szociális és esélyegyenlőségi programok támogatása</t>
  </si>
  <si>
    <t>Székesfehérváron élő lakóközösségek számára közösségfejlesztő programok és szolgáltatások támogatása</t>
  </si>
  <si>
    <t>Székesfehérvári civil szervezetek működési költségeinek támogatása</t>
  </si>
  <si>
    <t>Faültetési terv megvalósítása</t>
  </si>
  <si>
    <t>Új Belváros - Várkörút rehabilitációja (KDOP-3.1.1/D1-14)</t>
  </si>
  <si>
    <t>Saára Gyula program 2015</t>
  </si>
  <si>
    <t>Mészöly Géza u. Orvosi rendelő</t>
  </si>
  <si>
    <t>Akadálymentesítéshez, lift kialakításához kapcsolódó munkák</t>
  </si>
  <si>
    <t>Tartalék keret</t>
  </si>
  <si>
    <t>Kiszolgáló helyiségek nyílászáró cseréje</t>
  </si>
  <si>
    <t>Tetőszigetelés javítás</t>
  </si>
  <si>
    <t>Tetőfelújítás</t>
  </si>
  <si>
    <t>K5 (K501-K512)</t>
  </si>
  <si>
    <t>K5 (K513)</t>
  </si>
  <si>
    <t>16, Pénzeszközök lekötött bankbetétként elhelyezése</t>
  </si>
  <si>
    <t>2. Pénzeszközök lekötött bankbetétként elhelyezése</t>
  </si>
  <si>
    <t>2, Települési önkormányzatok egyes köznevelési feladatainak támogatása</t>
  </si>
  <si>
    <t>5, Működési célú költségvetési támogatások és kiegészítő támogatások</t>
  </si>
  <si>
    <t>34, Működési célú átvett pénzeszközök</t>
  </si>
  <si>
    <t>35, Felhalmozási célú átvett pénzeszközök</t>
  </si>
  <si>
    <t>7. Lekötött bankbetétek megszüntetése</t>
  </si>
  <si>
    <t>3. Lekötött bankbetétek megszüntetése</t>
  </si>
  <si>
    <t>sorszám</t>
  </si>
  <si>
    <t>Létszámadatok</t>
  </si>
  <si>
    <t>Szakközépiskolai létszám</t>
  </si>
  <si>
    <t>Szakképzés létszáma</t>
  </si>
  <si>
    <t>3.=1.+2.</t>
  </si>
  <si>
    <t>Állami feladatelláttást érintő létszám összesen</t>
  </si>
  <si>
    <t>Intézménybe járó összes tanuló létszám</t>
  </si>
  <si>
    <t>5.=3./4.</t>
  </si>
  <si>
    <t>Állami feladatellátást érintő tanulói létszám arány</t>
  </si>
  <si>
    <t>Éves összesen</t>
  </si>
  <si>
    <t>6.=12.</t>
  </si>
  <si>
    <t>7.=33.</t>
  </si>
  <si>
    <t>8.=6.-7.</t>
  </si>
  <si>
    <t>Különbség (kiadás-bevétel) eFt</t>
  </si>
  <si>
    <t>9.=8.*5.</t>
  </si>
  <si>
    <t>,</t>
  </si>
  <si>
    <t>12.=13.+14.+15.+16.+17.+18.+19.+20.+21.+22.+23.+24.+25.+26.+27.+28.+29.+30.+31.+32.</t>
  </si>
  <si>
    <t xml:space="preserve"> 1  Hajtó- és kenőanyagok beszerzési kiadásai az üzemeltetési, működtetési feladatokhoz</t>
  </si>
  <si>
    <t xml:space="preserve"> 2  Kisértékű tárgyi eszközök, szellemi termékek, munka és tűzvédelmi berendezések beszerzési kiadásai az üzemeltetési, működtetési feladatokhoz</t>
  </si>
  <si>
    <t xml:space="preserve"> 3  A települési önkormányzat által a működtetéshez, üzemeltetéshez foglalkoztatottak (így különösen a portás, a fűtő, a takarító és karbantartó) munkaruha, védőruha, formaruha és egyenruha beszerzésének kiadásaihoz</t>
  </si>
  <si>
    <t xml:space="preserve"> 4  Egyéb anyagbeszerzés (így különösen tisztítószer, toalettpapír, szalvéta, kéztörlő) az üzemeltetéshez</t>
  </si>
  <si>
    <t xml:space="preserve"> 5  Nem adatátviteli célú távközlési szerződések alapdíjai (telefon, telefax, telex), a további díjak a részletes számla szerinti használat arányában, ha azok az üzemeltetéssel és működtetéssel kapcsolatban merülnek fel</t>
  </si>
  <si>
    <t xml:space="preserve"> 6  Bérleti és lízing díjak üzemeltetési, működtetési feladatokhoz</t>
  </si>
  <si>
    <t xml:space="preserve"> 7  Gázenergia-szolgáltatás díja</t>
  </si>
  <si>
    <t xml:space="preserve"> 8  Villamosenergia-szolgáltatás díja</t>
  </si>
  <si>
    <t xml:space="preserve"> 9  Távhő- és melegvíz-szolgáltatás díja</t>
  </si>
  <si>
    <t xml:space="preserve"> 10  Víz- és csatornadíjak</t>
  </si>
  <si>
    <t xml:space="preserve"> 11  Karbantartási, kisjavítási szolgáltatások kiadásai üzemeltetési, működtetési feladatokhoz (ideértve a beléptető rendszerek karbantartását is)</t>
  </si>
  <si>
    <t xml:space="preserve"> 12 Egyéb üzemeltetési, fenntartási szolgáltatási kiadások (így különösen az orvosi rendelő, a foglalkozás egészségügyi szolgálat takarítási és őrzési díjai, a szemétszállítás, a kéményseprés, a rovar- és rágcsálóirtás, a veszélyes hulladékkezelés, a technikai személyzet munka és tűzvédelemi oktatása)</t>
  </si>
  <si>
    <t xml:space="preserve"> 13 Egyéb üzemeltetési, fenntartási szolgáltatási kiadások (így különösen postai levél, csomag, távirat, egyéb küldemény) amelyek az üzemeltetés, működtetés érdekében merülnek fel</t>
  </si>
  <si>
    <t xml:space="preserve"> 14 Továbbszámlázott (közvetített) szolgáltatások kiadásai államháztartáson belülre és államháztartáson kívülre a vagyonműködtetéssel, üzemeltetéssel összefüggően</t>
  </si>
  <si>
    <t xml:space="preserve"> 15  Pénzügyi szolgáltatások kiadásai a vagyonműködtetéssel, üzemeltetéssel összefüggően megrendelt pénzügyi szolgáltatások körében</t>
  </si>
  <si>
    <t xml:space="preserve"> 16  Általános forgalmi adó befizetése a működtető önkormányzat felelősségi körébe tartozóan vásárolt, kiszámlázott, értékesített termékekés szolgáltatások után, beleértve a fordított adó miatti befizetési kötelezettségeket is</t>
  </si>
  <si>
    <t xml:space="preserve"> 17  Munkáltató által fizetett személyi jövedelemadó, ha az önkormányzat, vagy költségvetési szerve, vagy gazdasági társasága, vagy társulása a munkáltató</t>
  </si>
  <si>
    <t xml:space="preserve"> 18  Rehabilitációs hozzájárulás, ha az önkormányzat, vagy költségvetési szerve, vagy gazdasági társasága, vagy társulása a munkáltató</t>
  </si>
  <si>
    <t xml:space="preserve"> 19  Helyi adók, egyéb vám, illeték és adójellegű befizetések (így különösen a cégautó utáni befizetés, ha az autó üzembentartója a települési önkormányzat vagy annak költségvetési szerve, gazdasági társasága vagy társulása)</t>
  </si>
  <si>
    <t>32.</t>
  </si>
  <si>
    <t xml:space="preserve"> 20  Díjak, egyéb befizetések (így különösen vagyon- és épületbiztosítás)</t>
  </si>
  <si>
    <t>33.=34.+35.+36.+37.</t>
  </si>
  <si>
    <t>34.</t>
  </si>
  <si>
    <t xml:space="preserve"> 21  Egyéb saját bevétel (így különösen a tanulói, oktatói kártérítés, ha a tanuló, oktató, vagy a szakmai munkát kisegítő személyzet a működtető vagyonában okoz kárt, a fenntartó által szervezett programokhoz és képzésekhez kapcsolódó szállásdíjak, a járulékos üzemeltetési költségek megtérítésével összefüggő egyéb költségek)</t>
  </si>
  <si>
    <t>35.</t>
  </si>
  <si>
    <t xml:space="preserve"> 22  Az üzemeltetéssel, működtetéssel összefüggően továbbszámlázott (közvetített) szolgáltatások értéke</t>
  </si>
  <si>
    <t>36.</t>
  </si>
  <si>
    <t xml:space="preserve"> 23 Az üzemeltetett vagyonnal, eszközökkel összefüggésben felmerült bérleti díjbevétel (így különösen az eszközbérlet)</t>
  </si>
  <si>
    <t>37.</t>
  </si>
  <si>
    <t xml:space="preserve"> 24  Általános forgalmi adó visszatérülései, visszatérítései a működtető önkormányzat felelősségi körébe tartozóan vásárolt, kiszámlázott, értékesített termékek és szolgáltatások után, beleértve a fordított adó miatti visszatérüléseket is</t>
  </si>
  <si>
    <t>Intézmény megnevezése: Hermann László Zeneművészeti Szakközépiskola és Alapfokú Művészetoktatási Intézmény</t>
  </si>
  <si>
    <t>Különbség (kiadás-bevétel)</t>
  </si>
  <si>
    <t>Székesfehérvári Intézményi Központ (SZIK) telephely éves dologi kiadásai (229/2012.(VIII.28.) Korm. rendelet 8. sz. mellékletalapján)</t>
  </si>
  <si>
    <t>SZIK  telephely éves bevételei a (229/2012.(VIII.28.) Korm. rendelet 8. sz. melléklet alapján)</t>
  </si>
  <si>
    <t xml:space="preserve">SZIK  telephely éves dologi kiadásai (229/2012.
 (VIII.28.) Korm. rendelet  8. sz. melléklete alapján) </t>
  </si>
  <si>
    <t>Intézmény neve: Tóparti Gimnázium és Művészeti Szakközépiskola</t>
  </si>
  <si>
    <t>09-12. hó
 (Eredeti előirányzat*4/12)</t>
  </si>
  <si>
    <t>01-08. hó 
(Eredeti előirányzat*8/12)</t>
  </si>
  <si>
    <t>09-12. hó 
(Eredeti előirányzat*4/12)</t>
  </si>
  <si>
    <t>01-08. hó
 ( Eredeti előirányzat*8/12)</t>
  </si>
  <si>
    <t>SZIK telephely éves bevételei  (229/2012.
 (VIII.28.) Korm. rendelet 8. sz. melléklete alapján)</t>
  </si>
  <si>
    <t xml:space="preserve">SZIK telephely éves bevételei  (229/2012. (VIII.28.) Korm. rendelet 8. sz. melléklete alapján) </t>
  </si>
  <si>
    <t>Székesfehérvár Megyei Jogú Város Önkormányzata és a Klebersberg Intézményfenntartó Központ (KLIK) által kötött vagyonhasználati szerződés 30-33. pontja alapján a működési költségek és költségvetési bevételek elszámolása intézményenként (Ft-ban)</t>
  </si>
  <si>
    <t>Lekötött bankbetétek megszüntetése</t>
  </si>
  <si>
    <t>Nyítnikék Bölcsőde</t>
  </si>
  <si>
    <t>Rákóczi Utcai Óvoda</t>
  </si>
  <si>
    <t>Tolnai Utcai Óvoda</t>
  </si>
  <si>
    <t>Alba Regia Szimfonikus Zenekar</t>
  </si>
  <si>
    <t xml:space="preserve">Intézmények összesen </t>
  </si>
  <si>
    <t>~ Egészségfejlesztési terv</t>
  </si>
  <si>
    <t>~ Osszárium megnyítása</t>
  </si>
  <si>
    <t>~ Városházi történelmi órák</t>
  </si>
  <si>
    <t>~ Fehérvár köszönti katonáit</t>
  </si>
  <si>
    <t>~ Október 23-ai megemlékezés gálaműsora</t>
  </si>
  <si>
    <t>2018. év</t>
  </si>
  <si>
    <t>Előkészítés alatt</t>
  </si>
  <si>
    <t>Projektzárás alatt</t>
  </si>
  <si>
    <t xml:space="preserve">              Templom felújítási munkálatok támogatása -Székesfehérvári Egyházmegye</t>
  </si>
  <si>
    <t>~ ebből: Városrészi polgárőr feladatok támogatása</t>
  </si>
  <si>
    <t xml:space="preserve">VÁROSFEJLESZTÉS </t>
  </si>
  <si>
    <t xml:space="preserve">              Tervtanács működtetése és építészeti díj zsűrijére </t>
  </si>
  <si>
    <t xml:space="preserve">              Településrendezési eszközök módosítása </t>
  </si>
  <si>
    <t xml:space="preserve">             Székesfehérvár Egészségügyi Ellátásáért Közalapítvány működési támogatása</t>
  </si>
  <si>
    <t xml:space="preserve">              Egészségügyi feladatok, Fejér Megyei Szent György Egyetemi Oktató Kórház támogatása, fejlesztéshez való hozzájárulás</t>
  </si>
  <si>
    <t xml:space="preserve">              EGÉSZSÉGDOKK Közhasznú Alapítvány működési támogatása - a székesfehérvári addiktológia tevékenység végzése érdekében</t>
  </si>
  <si>
    <t xml:space="preserve">           Alba Regia Táncegyesület - közszolgáltatási szerződés</t>
  </si>
  <si>
    <t xml:space="preserve">           Alba Regia Táncegyesület - programok és működési támogatás</t>
  </si>
  <si>
    <t xml:space="preserve">           Gárdonyi Géza Művelődési Ház és Könyvtár Egyesület</t>
  </si>
  <si>
    <t xml:space="preserve">             Alba Regia SC Kft. Kosárlabda Szakosztály</t>
  </si>
  <si>
    <t xml:space="preserve">             Delfin Sportegyesület- működésre</t>
  </si>
  <si>
    <t xml:space="preserve">             Laroco Motorsport Klub Veszprém-Fehérvár rally megrendezése</t>
  </si>
  <si>
    <t xml:space="preserve">             Pro Rekreatione Közhasznú Nonprofit Kft.- Velence-tavi Vízi Sportiskola működési támogatás</t>
  </si>
  <si>
    <t xml:space="preserve">              Nemzetiségi Alap</t>
  </si>
  <si>
    <t xml:space="preserve">              Kistelepülési könyvtári és közművelődési kiegészítő támogatás (Vörösmarty Könyvtár)</t>
  </si>
  <si>
    <t xml:space="preserve">              Óvodapedagógusok bérnövekményének fedezete (szeptember-november hónapokra)</t>
  </si>
  <si>
    <t xml:space="preserve">              Költségvetési szervek működési költségeinek  fedezetére, valamint az új illetve átszervezéssel érintett intézmények megalakulásával és átszervezésével kapcsolatos eseti költségeinek fedezetére</t>
  </si>
  <si>
    <t xml:space="preserve">              Színes Diploma átadó ünnepség megrendezésére - Pedagógusok Szakszervezete Fejér Megyei Szervezete</t>
  </si>
  <si>
    <t xml:space="preserve">           Fehérvári Programszervező Kft.</t>
  </si>
  <si>
    <t>Pénzeszközök lekötött bankbetétként elhelyezése</t>
  </si>
  <si>
    <t xml:space="preserve">              Fehérvári Pályakezdő Orvosok Egyesülete</t>
  </si>
  <si>
    <t>ifj. Ocskay Gábor Jégcsarnok érintésvédelmi-, tűzvédelmi-, és villámvédelmi munkák elvégzésével kapcsolatos költségekre, valamint tüzivíz tározó kialakítása</t>
  </si>
  <si>
    <t>Projekt megnevezése</t>
  </si>
  <si>
    <t xml:space="preserve">              Térfigyelő kamerarendszer bővítése (közbiztonság növelését szolgáló fejlesztések megvalósítása)</t>
  </si>
  <si>
    <t>Bevétel összesen*</t>
  </si>
  <si>
    <t>Kiadás összesen*</t>
  </si>
  <si>
    <t>* Megjegyzés: Tartalmazza a finanszírozási célú bevételeket és kiadásokat, kivéve az irányító szervi támogatást a duplikáció elkerülése okán.</t>
  </si>
  <si>
    <t xml:space="preserve">              Székesfehérvár Fejlődéséért Alapítvány támogatása - a székesfehérvári lakcímmel rendelkező lakosok egészségmegőrzése, betegségmegelőzése, gyógyító, egészségügyi, rehabilitációs tevékenység a lakosság egészségügyi állapota színvonalának emelése céljából, életminőséget javító szolgáltatások megvalósítása érdekében</t>
  </si>
  <si>
    <t>~ ebből: Székesfehérvári Többcélú Kistérségi Társulás feladatellátásához való működési hozzájárulás</t>
  </si>
  <si>
    <t>Lakáselidegenítés tervezett előirányzatainak felhasználása (eFt-ban)</t>
  </si>
  <si>
    <t>BEVÉTELEK</t>
  </si>
  <si>
    <t>Önkormányzati bevételből</t>
  </si>
  <si>
    <t>Tárgyévi lakásértékesítések bevételei</t>
  </si>
  <si>
    <t>Előző években értékesített lakások tárgyévi törlesztő részlete</t>
  </si>
  <si>
    <t>KIADÁSOK</t>
  </si>
  <si>
    <t>Életjáradék lakásért</t>
  </si>
  <si>
    <t>Lakáselidegenítés kiadásai összesen:</t>
  </si>
  <si>
    <t>Egyéb lakáselidegenítési kiadások összesen:</t>
  </si>
  <si>
    <t>Nyitó pénzkészlet (költségvetési maradvány és lekötött bankbetét nélkül)</t>
  </si>
  <si>
    <t>KLIK Hozzájárulás  (különség* állami feladatellátást érintő tanulói létszámarány)</t>
  </si>
  <si>
    <t>Fehérvári Programszervező Kft. által szervezett önkormányzati rendezvények részbeni fedezetének biztosítására</t>
  </si>
  <si>
    <t>~ Koronázási Ünnepi Játékok Koronázási Szertartásjátéka</t>
  </si>
  <si>
    <t>összevont 2016. évi bevételeiről eFt-ban</t>
  </si>
  <si>
    <t>összevont 2016. évi kiadásairól eFt-ban</t>
  </si>
  <si>
    <t>összevont 2016. évi bevételi és kiadási  egyenlege eFt-ban</t>
  </si>
  <si>
    <t>2016. évi költségvetési törvény melléklete</t>
  </si>
  <si>
    <t>2016. évi előirányzat</t>
  </si>
  <si>
    <t>14, Építményadó</t>
  </si>
  <si>
    <t>2. sz. melléklet II.4.</t>
  </si>
  <si>
    <t>Köznevelési intézmények működtetéséhez kapcsolódó támogatás</t>
  </si>
  <si>
    <t>2. sz. melléklet III.3.a)</t>
  </si>
  <si>
    <t>Családsegítés - és gyermekjóléti szolgálat</t>
  </si>
  <si>
    <t>2. sz. melléklet III.5.c)</t>
  </si>
  <si>
    <t>Rászoruló gyermekek intézményen kívüli szünidei étkeztetésének támogatása</t>
  </si>
  <si>
    <t>700 m3</t>
  </si>
  <si>
    <t>2016. évi tervezett   előirányzat</t>
  </si>
  <si>
    <t>1991. évi LXXXII. törvény 5.§ g)</t>
  </si>
  <si>
    <t>~ Környzetkímélő gépkocsi után</t>
  </si>
  <si>
    <t>Intézmények 2016. évi felújítása eFt-ban</t>
  </si>
  <si>
    <t>I. számú Idősek Otthona tetőszerkezet és kémények felújítása</t>
  </si>
  <si>
    <t>I. számú Gondozási egység villamos hálózat rekonstrukciója</t>
  </si>
  <si>
    <t>I. számú Gondozási egység tetőtér beépítési munkái</t>
  </si>
  <si>
    <t xml:space="preserve">III. számú Gondozási központ lépcsőházi acél üvegportál cseréje </t>
  </si>
  <si>
    <t>Esze Tamás utcai Orvosi rendelő</t>
  </si>
  <si>
    <t xml:space="preserve">Hosszúsétatéri Óvoda </t>
  </si>
  <si>
    <t>Fűtési rendszer felújítása</t>
  </si>
  <si>
    <t xml:space="preserve">Ligetsori Óvoda </t>
  </si>
  <si>
    <t>Felsővárosi Óvoda Ybl Miklós Lakótelepi Tagóvodája</t>
  </si>
  <si>
    <t>Tetőfelújítási munkák</t>
  </si>
  <si>
    <t>Arany János Óvoda, Általános Iskola, Speciális Szakiskola és Egységes Gyógypedagógiai Módszertani Intézmény</t>
  </si>
  <si>
    <t>Általános Iskola felújításához kapcsolódó előkészítési feladatok</t>
  </si>
  <si>
    <t>Tóvárosi Általános Iskola</t>
  </si>
  <si>
    <t>Belső udvar, illetve a kézilabda pálya felújítása</t>
  </si>
  <si>
    <t>Homlokzat és nyílászáró felújítás</t>
  </si>
  <si>
    <t>Feladat megnevezése</t>
  </si>
  <si>
    <t>Szennyvízcsatorna összesen:</t>
  </si>
  <si>
    <t>Útfelújítások</t>
  </si>
  <si>
    <t>Mártírok útja útfelújítása (KDOP 4.2.1/B)</t>
  </si>
  <si>
    <t>Saára Gyula program 2014</t>
  </si>
  <si>
    <t>Képviselői javaslattal kialakításra kerülő fejlesztések kerete</t>
  </si>
  <si>
    <t>ebből: Királysor- Géza u. körforgalom</t>
  </si>
  <si>
    <t xml:space="preserve">          Budai u. - Donát u. buszöböl bővítés + forgalmi rend módosítás</t>
  </si>
  <si>
    <t xml:space="preserve">          Martinovics utca kiegészítő útfelújítási munkák</t>
  </si>
  <si>
    <t xml:space="preserve">          Várkapu utca átépítése</t>
  </si>
  <si>
    <t xml:space="preserve">          Beregszászi utca - Donát utcai csomópont útfelújítása</t>
  </si>
  <si>
    <t xml:space="preserve">          Alsóvárosi kerékpárút mellett közvilágítás tervezése</t>
  </si>
  <si>
    <t xml:space="preserve">          Hídfelújítások (Rózsaliget és kapcsolódó hidak)</t>
  </si>
  <si>
    <t xml:space="preserve">          Maroshegyi óvoda melletti parkolók</t>
  </si>
  <si>
    <t xml:space="preserve">          Gellért újsor - Schwabisch G. u. összekötő út, áteresz, közvilágítás kiépítésével</t>
  </si>
  <si>
    <t xml:space="preserve">          Gyalogos és kerékpáros biztonsági program</t>
  </si>
  <si>
    <t xml:space="preserve">          Jelzőlámpa-rendszer fejlesztése</t>
  </si>
  <si>
    <t>Saára Gyula program 2016</t>
  </si>
  <si>
    <t xml:space="preserve">          Akácfa utca felújítása</t>
  </si>
  <si>
    <t xml:space="preserve">          Közműoszlop-kiváltások</t>
  </si>
  <si>
    <t xml:space="preserve">          Lugosi utca felújítása</t>
  </si>
  <si>
    <t xml:space="preserve">         Attila utca felújítása</t>
  </si>
  <si>
    <t xml:space="preserve">         Holicsi utca felújítása</t>
  </si>
  <si>
    <t xml:space="preserve">         Mart aszfalt program</t>
  </si>
  <si>
    <t xml:space="preserve">         Arany János utca felújítása és kapcsolódó terek felújtása (előkészítési feladatok)</t>
  </si>
  <si>
    <t xml:space="preserve">         Korponai u. felújítása</t>
  </si>
  <si>
    <t xml:space="preserve">         Brassói u. járda és szegély helyreállítás költségeire</t>
  </si>
  <si>
    <t>Egyéb javaslat</t>
  </si>
  <si>
    <t>Országzászló tér tervezési feladatok</t>
  </si>
  <si>
    <t xml:space="preserve">Várkörúti szoborpark felújítása </t>
  </si>
  <si>
    <t>Útfelújítások összesen:</t>
  </si>
  <si>
    <t>Csapadékvíz elvezetés, árvíz-belvíz védekezés</t>
  </si>
  <si>
    <t>Mártírok útja csapadékcsatorna főgyűjtő átépítése (KDOP 4.1.1)</t>
  </si>
  <si>
    <t>Csapadékcsatorna üzemeltetés</t>
  </si>
  <si>
    <t>Szilva utca csapadékvíz elvezetése</t>
  </si>
  <si>
    <t>Jancsár csatorna - ARMCO áteresz átépítése</t>
  </si>
  <si>
    <t>Brassói utca - csapadékcsatorna rekonstrukció</t>
  </si>
  <si>
    <t>Vereckei utca alsó szakasz - csapadékcsatorna építés</t>
  </si>
  <si>
    <t>Csapadékvíz elvezetés, árvíz-belvíz védekezés összesen:</t>
  </si>
  <si>
    <t>Korlátozási kártalanítás</t>
  </si>
  <si>
    <t>Alba Geotrade Zrt. EKN. Vezetés, bemérések</t>
  </si>
  <si>
    <t>Szemünk Fénye program</t>
  </si>
  <si>
    <t>Székesfehérvári Sóstó Természetvédelmi Terület és Vidámparki Csónakázótó rehabilitációjára, figyelemmel a 1285/2015.(IV.30.) Korm. Határozatra, valamint a megvalósítás ütemezésére</t>
  </si>
  <si>
    <t>Belvárosi épületek rekonstrukcióját szolgáló fejlesztési alap (visszatérítendő támogatás)</t>
  </si>
  <si>
    <t>544/2015. (VII.23.) kgy.határozathoz kapcsolódó fejlesztési keret</t>
  </si>
  <si>
    <t>"ART" mozihálózat digitális fejlesztése</t>
  </si>
  <si>
    <t>Zöld Város-Fehérvár Tüdeje Program- Alsóvárosi rét megvásárlása (826/2015.(XI.30.) kgy.hat.alapján)</t>
  </si>
  <si>
    <t>Egyéb összesen:</t>
  </si>
  <si>
    <t>Fő és gyűjtőutak felújítása - Ligetsor (Ligetsor felújítás és parkolómező, körforgalom, iskola-óvoda előtti tér, sétány)</t>
  </si>
  <si>
    <t xml:space="preserve">Balatoni út Úrhidai úti körforgalomtól kivezető szakasza az elkerülő út csomóponti ágáig </t>
  </si>
  <si>
    <t>1973/2015.(XII.23.) Korm.határozat megvalósítására</t>
  </si>
  <si>
    <t>2016.évi tervezett  előirányzat összesen</t>
  </si>
  <si>
    <t>2016.évi tervezett előirányzat összesen</t>
  </si>
  <si>
    <t>Multifunkcionális csarnok  megvalósításához szükséges tervezési, előkészítési feladatok, kapcsolódó ingatlanvásárlás</t>
  </si>
  <si>
    <t>Árpádház programhoz kapcsolódó tervezési, előkészítési feladatok</t>
  </si>
  <si>
    <t>Székesfehérvár-Csala 22 kV-os vezeték kiváltása</t>
  </si>
  <si>
    <t>2016. január 1.</t>
  </si>
  <si>
    <t>2016. február 15.</t>
  </si>
  <si>
    <t>Székesfehérvári Család- és Gyermekjóléti Központ</t>
  </si>
  <si>
    <t>Zöld Város-Fehérvár Tüdeje Programhoz kapcsolódó tervezési, előkészítési feladatok</t>
  </si>
  <si>
    <t>Közvilágítás korszerűsítése</t>
  </si>
  <si>
    <t xml:space="preserve">         Budai út Rendőrség felöli oldalán a megsüllyedt térkőburkolat cseréje</t>
  </si>
  <si>
    <t>Székesfehérvári Munkácsy Mihály Általános Iskola előtti tér felújítása</t>
  </si>
  <si>
    <t>Integrált Területi Program (ITP) keretében megvalósítani tervezett fejlesztések</t>
  </si>
  <si>
    <t>ITP keretében megvalósítani tervezett fejlesztések összesen:</t>
  </si>
  <si>
    <t>Integrált Területi Program (ITP) keretében megvalósítani tervezett felújítások</t>
  </si>
  <si>
    <t>ITP keretében megvalósítani tervezett felújítások összesen:</t>
  </si>
  <si>
    <t>Óvodai, iskolai udvarokon játszóterek telepítési költségeinek kerete</t>
  </si>
  <si>
    <t>Udvar részek balesetveszélyes elemeinek cseréje és felújítása, játszóeszközök felújítása, akadálymentesítés, terasz árnyékoló rendszer felújítása</t>
  </si>
  <si>
    <t>Autóbusz-hálózat átalakításával összefüggő feladatok</t>
  </si>
  <si>
    <t>Költségvetési szervek 2016. évi kiadási előirányzatán</t>
  </si>
  <si>
    <t>Államigazgatási feladat</t>
  </si>
  <si>
    <t>Államigaz-gatási feladat</t>
  </si>
  <si>
    <t>álláshely</t>
  </si>
  <si>
    <t>3. számú Bölcsőde</t>
  </si>
  <si>
    <t>2016. évi terv</t>
  </si>
  <si>
    <t>Önkormányzati intézmény udvarok zöldfelület felmérésének és fenntartási munkáinak elvégzése</t>
  </si>
  <si>
    <t>Fakataszter felmérése</t>
  </si>
  <si>
    <t>Természetvédelmi területek kezelése</t>
  </si>
  <si>
    <t>Környezetvédelmi Programban vállalt feladatok megvalósítása</t>
  </si>
  <si>
    <t>ebből: ~ Környezetvédelmi Nevelési Alap  létrehozása és működtetése</t>
  </si>
  <si>
    <r>
      <t xml:space="preserve">* </t>
    </r>
    <r>
      <rPr>
        <u/>
        <sz val="12"/>
        <rFont val="Times New Roman"/>
        <family val="1"/>
        <charset val="238"/>
      </rPr>
      <t>Megjegyzés:</t>
    </r>
    <r>
      <rPr>
        <sz val="12"/>
        <rFont val="Times New Roman"/>
        <family val="1"/>
        <charset val="238"/>
      </rPr>
      <t xml:space="preserve"> az 524/2009. (VIII.19.) közgyűlési határozat, valamint a 2016. évi működési támogatás részbeni fedezetének biztosítására.</t>
    </r>
  </si>
  <si>
    <t>Székesfehérvári Turisztikai Közhasznú Nonprofit Kft. 2016. évi működésére *</t>
  </si>
  <si>
    <t>Székesfehérvári Városfejlesztési Közhasznú Nonprofit Kft. 2016. évi üzleti tervében jóváhagyott önkormányzati tulajdonú lakások felújítására</t>
  </si>
  <si>
    <t>Épület energiahatékonysági rekonstrukciója, akadálymentesítése, külső terek felújítása, eszközök beszerzése a TOP 6.2. intézkedés kiírására figyelemmel</t>
  </si>
  <si>
    <t>Székesfehérvári Mikrovállalkozások Kamattámogatási Programja</t>
  </si>
  <si>
    <t>Közműellátási és egyéb városüzemeltetési feladatok</t>
  </si>
  <si>
    <t>~ I.Világháborús kültéri tablókiállítás és emlékülés</t>
  </si>
  <si>
    <t>~ Székesfehérvár Művészete Projekt</t>
  </si>
  <si>
    <t xml:space="preserve">~ Bazilikatörténeti konferencia </t>
  </si>
  <si>
    <t>~ Pénztörténeti konferencia megrendezéséhez</t>
  </si>
  <si>
    <t xml:space="preserve">~ Ünnepi Könyvhét intézményi programjai </t>
  </si>
  <si>
    <t>~ Múzeumi nagykiállítások</t>
  </si>
  <si>
    <t>~ Kralovánszky Alán emléktáblájának állításához</t>
  </si>
  <si>
    <t>~ Gorsium Florália rendezvény megvalósításához kapcsolódó önkormányzati önerőre és a rendezvény előfinanszírozására</t>
  </si>
  <si>
    <t>forrásösszetételének bemutatása 2016.-2018. évekre (eFt-ban)</t>
  </si>
  <si>
    <t>Duális képzés feltételrendszerieinek kialakítása (TÁMOP-4.1.1)</t>
  </si>
  <si>
    <t>Közbiztonság fejlesztése Székesfehérváron a településbiztonság és az ifjúságvédelem előtérbe helyezésével</t>
  </si>
  <si>
    <t>3. számú Bölcsőde - az épület energiahatékonysági rekonstrukciója, akadálymentesítése, külső terek felújítása, eszközök beszerzése a TOP 6.2 intézkedés kiírására figyelemmel</t>
  </si>
  <si>
    <t>Tulipános Óvoda - az épület energiahatékonysági rekonstrukciója, akadálymentesítése, külső terek felújítása, eszközök beszerzése a TOP 6.2 intézkedés kiírására figyelemmel</t>
  </si>
  <si>
    <t>2019. év</t>
  </si>
  <si>
    <t xml:space="preserve">              Fejér Megyei Katasztrófavédelmi Igazgatóság - Polgári Védelmi Kirendeltségének 2016. évi támogatására</t>
  </si>
  <si>
    <t xml:space="preserve">              Közbiztonság fejlesztése Székesfehérváron a településbiztonság és az ifjúságvédelem előtérbe helyezésével</t>
  </si>
  <si>
    <t>Salétrom utcában közösségi tér kialakítása -  I. ütem Civil központ mögötti parktól a Salétrom utca 9. melletti sportpályáig</t>
  </si>
  <si>
    <t>~ ebből: Helyi közösségi közlekedés finanszírozásának kerete</t>
  </si>
  <si>
    <t>~ ebből: Erdőtelepítés ültetési és fenntartási feladatai</t>
  </si>
  <si>
    <t xml:space="preserve">              Mozgássérültek Fejér Megyei Egyesülete által fenntartott Viktória Rehabilitációs Központ egészségügyi és szociális ellátással kapcsolatos működési támogatása</t>
  </si>
  <si>
    <t xml:space="preserve">              Alba Civitan Rehabilitációs Nonprofit Kft.  működési támogatása</t>
  </si>
  <si>
    <t xml:space="preserve">              Székesfehérvár Megyei Jogú Város Önkormányzat Egészségtervének felülvizsgálata</t>
  </si>
  <si>
    <t xml:space="preserve">           "Szín-Tér"/Színjátszó-Versmondó/ Egyesület</t>
  </si>
  <si>
    <t xml:space="preserve">         XIV. Alba Regia Nemzetközi Gyermekkórusfesztivál - „Kodály Zoltán Általános Iskola és Művészeti Központ” Alapítvány</t>
  </si>
  <si>
    <t xml:space="preserve">         Kákics Kulturális Egyesület</t>
  </si>
  <si>
    <t xml:space="preserve">         XIII. Országos Alba Regia Kamarazenei Verseny - Klebelsberg Intézményfenntartó Központ Székesfehérvári Tankerülete</t>
  </si>
  <si>
    <t xml:space="preserve">         "Quartettissimo Fesztivál- Károlyi József Alapítvány"</t>
  </si>
  <si>
    <t xml:space="preserve">          Zenetörténeti konferencia- Károlyi József Alapítvány </t>
  </si>
  <si>
    <t xml:space="preserve">         Kulturális célú kiadások év közben jelentkező többletfeladatok</t>
  </si>
  <si>
    <t xml:space="preserve">         Nemzeti Emlékhely Napja</t>
  </si>
  <si>
    <t xml:space="preserve">         Megemlékezések az '56-os forradalom 60.évfordulója alkalmából</t>
  </si>
  <si>
    <t xml:space="preserve">         Szent Márton-év programjainak támogatása</t>
  </si>
  <si>
    <t xml:space="preserve">         Nemzetközi Bonsai Kiállítás és Vásár - Európai Bonsai Szövetség Kongresszusa</t>
  </si>
  <si>
    <t xml:space="preserve">         Bella István Emlékévhez hozzájárulás</t>
  </si>
  <si>
    <t xml:space="preserve">         Megemlékezés a Szentlélek katonatemető kialakításának 25. évfordulója alkalmából</t>
  </si>
  <si>
    <t xml:space="preserve">         Székelyföldi Verstábor - Fortis Hungarorum Kulturális Egyesület</t>
  </si>
  <si>
    <t xml:space="preserve">         Jazz Fesztivál megrendezése- M.A.P.! Workshop Kft.</t>
  </si>
  <si>
    <t xml:space="preserve">         Tapintható térkép</t>
  </si>
  <si>
    <t xml:space="preserve">         Városrészi rendezvények</t>
  </si>
  <si>
    <t xml:space="preserve">         Száz éves a repülés Fehérváron</t>
  </si>
  <si>
    <t xml:space="preserve">         Farkas Ferenc emléktábla </t>
  </si>
  <si>
    <t>~ ebből: Fehérvár FC Kft.- I. félév</t>
  </si>
  <si>
    <t xml:space="preserve">             Alba Volán Sportclub Öttusa Szakosztály - Olimpiai kvótát szerzett sportolók felkészítésére is</t>
  </si>
  <si>
    <t xml:space="preserve">             Hullám 91. Úszó és Vízilabda Egyesület-Olimpiai kvótát szerzett sportolók felkészítésére</t>
  </si>
  <si>
    <t xml:space="preserve">             Track&amp;Race Sportügynökség Kft.- "Gyulai István Memorial-Atlétikai Magyar Nagydíj"</t>
  </si>
  <si>
    <t xml:space="preserve">             Alba Regia Atlétikai Klub-2016. évi Atlétikai Magyar Bajnokság</t>
  </si>
  <si>
    <t xml:space="preserve">             Alba Regia Atlétikai Klub- 2016. évi Magyar Csapatbajnokság Döntő és Országos Serdülő Csapatbajnokság</t>
  </si>
  <si>
    <t xml:space="preserve">             Kodolányi Főiskola Röplabda Klub Egyesület- III. Alba Regia Röplabda Gála megrendezésének támogatása</t>
  </si>
  <si>
    <t xml:space="preserve">            Országos Mini-futball Szövetség - miniEuro 2016 kispályás labdarúgó EB megrendezése</t>
  </si>
  <si>
    <t xml:space="preserve">            MÁV Előre Sport Club </t>
  </si>
  <si>
    <t xml:space="preserve">            Zichy-ligeti műjégpálya - üzemeltetés</t>
  </si>
  <si>
    <t xml:space="preserve">              Ifjúsági Alap</t>
  </si>
  <si>
    <t xml:space="preserve">            Rászoruló gyermekek intézményen kívüli szünidei étkeztetésének támogatása</t>
  </si>
  <si>
    <t xml:space="preserve">             Gazdasági területen dolgozó közalkalmazottak illetményrendezése 2016. július 1. napjától</t>
  </si>
  <si>
    <t xml:space="preserve">              Székesfehérvári felsőoktatás támogatási, fejlesztési tartalékkerete</t>
  </si>
  <si>
    <t xml:space="preserve">TÁMOGATÁSI KERETEK, ALAPOK </t>
  </si>
  <si>
    <t>2016. február 15-ét követően</t>
  </si>
  <si>
    <t>Székesfehérvári gyermekek nyári táboroztatásának és programjainak támogatása</t>
  </si>
  <si>
    <t>2016. március 15-ét követően</t>
  </si>
  <si>
    <t>2016. április 1-jét követően</t>
  </si>
  <si>
    <t>2016. április 15-ét követően</t>
  </si>
  <si>
    <t>2016. május 1-jét követően</t>
  </si>
  <si>
    <t>Székesfehérvári civil szervezetek eszköz és infrastruktúrafejlesztéssel kapcsolatos költségeinek támogatása</t>
  </si>
  <si>
    <t>2016. augusztus 15-ét követően</t>
  </si>
  <si>
    <t>Szociális és esélyegyenlőségi programok és feladatok támogatása</t>
  </si>
  <si>
    <t>2016. október 1-jét követően</t>
  </si>
  <si>
    <t>500
 és az 1-6. sorszámú pályázatokon fel nem osztott összeg</t>
  </si>
  <si>
    <t>Önkormányzati tulajdonú lakás- és nem lakáscélú helyiségek üzemeltetési költségei és azok forrásai
2016. évben
(eFt-ban)</t>
  </si>
  <si>
    <t>Fizetendő 2016.01-02 hónapban, az előző évi 1/12-e:</t>
  </si>
  <si>
    <t>Fizetendő 2016. márciustól havonta (Éves hozzájárulás-január, és február havi befizetés)/10</t>
  </si>
  <si>
    <t xml:space="preserve">          Balatoni úti járda töltésmegerősítés tervezése</t>
  </si>
  <si>
    <t xml:space="preserve">          Balatoni úti járda töltésmegerősítés kiviteli terv készítés</t>
  </si>
  <si>
    <t>ebből: Kégl György és Távírda utca felújítása közvilágítással</t>
  </si>
  <si>
    <t xml:space="preserve">          Zrínyi utca felújítása Mártírok útja és Erzsébet út között</t>
  </si>
  <si>
    <t xml:space="preserve">         Pozsonyi út kiviteli tervek (Zsolnai út és Nagyszombati út között)</t>
  </si>
  <si>
    <t xml:space="preserve">         Budai út Királysori és Hadiárva utcai buszöblök bővítése, valamint a közöttük lévő útszakasz teljes szélességű felújítása</t>
  </si>
  <si>
    <t xml:space="preserve">         Déli tehermentesítő Bakony utca - Elkerülő út közötti és Szalontai utcai bekötés talajmechanika, szakági tervezések (kiviteli szinten)</t>
  </si>
  <si>
    <t>Fekete Sas Szálló udvarának ideiglenes megnyitása, 17 közforgalmú parkoló kialakítása</t>
  </si>
  <si>
    <t>Fürdősor - Malom támfal helyreállítás</t>
  </si>
  <si>
    <t>Aszalvölgyi árok kotrása a Balatoni út és a Lugosi utcai árok közötti szakaszon</t>
  </si>
  <si>
    <t>Tornacsarnok építéséhez önkormányzati önrész (192/2014. (IV.17.) kgy.hat. és 240/2015. (IV.17.) kgy.hat. alapján)</t>
  </si>
  <si>
    <t>Általános Iskolák tornatermeinek felújítási munkáira (238/2015. (IV.17.) kgy.hat. alapján)</t>
  </si>
  <si>
    <t>Székesfehérvári Stadionrekonstrukciós program megvalósítására, figyelemmel a 1285/2015.(IV.30.) Korm. határozatra, valamint a megvalósítás ütemezésére</t>
  </si>
  <si>
    <t>Hulladéktömörítő és -szállító gépjárművek beszerzésére</t>
  </si>
  <si>
    <t>Székesfehérvári Sóstó Természetvédelmi Terület és Vidámparki csónakázótó rehabilitációjára, figyelemmel a 1285/2015.(IV.30.) Korm. határozatra, valamint a megvalósítás ütemezésére</t>
  </si>
  <si>
    <t>Álláshely</t>
  </si>
  <si>
    <t>2016. február 1.</t>
  </si>
  <si>
    <t>Nyílászáró csere, homlokzat felújítás, belső felújítás burkolással és tisztasági festéssel, vizesblokkok felújítása</t>
  </si>
  <si>
    <t>Fejlesztési kiadások 2016. évi feladatonkénti megbontása</t>
  </si>
  <si>
    <t>36, Működési költségvetési bevételek összesen (8+30+31+34):</t>
  </si>
  <si>
    <t>37, Felhalmozási költségvetési bevételek összesen (11+33+35):</t>
  </si>
  <si>
    <t>38, Költségvetési bevételek összesen (36+37):</t>
  </si>
  <si>
    <t>6, Működési költségvetési kiadások összesen</t>
  </si>
  <si>
    <t>10, Felhalmozási költségvetési kiadások összesen</t>
  </si>
  <si>
    <t>6, Működési költségvetési kiadások  összesen:</t>
  </si>
  <si>
    <t>10, Felhalmozási költségvetési kiadások összesen:</t>
  </si>
  <si>
    <t>Működési költségvetési bevételek összesen</t>
  </si>
  <si>
    <t>Működési költségvetési kiadások összesen</t>
  </si>
  <si>
    <t>7. számú Bölcsőde</t>
  </si>
  <si>
    <t>Hosszúsétatéri Óvoda Tóvárosi Tagóvodája</t>
  </si>
  <si>
    <t>Tolnai Utcai Óvoda Sziget utcai Tagóvodája</t>
  </si>
  <si>
    <t>Székesfehérvári István Király Általános Iskola</t>
  </si>
  <si>
    <t>Székesfehérvári Németh László Általános Iskola</t>
  </si>
  <si>
    <t>Székesfehérvári Bory Jenő Általános Iskola</t>
  </si>
  <si>
    <t xml:space="preserve">Székesfehérvári II. Rákóczi Ferenc Magyar-Angol Két Tanítási Nyelvű Általános Iskola </t>
  </si>
  <si>
    <t xml:space="preserve">Székesfehérvári Vasvári Pál Általános Iskola </t>
  </si>
  <si>
    <t xml:space="preserve">Székesfehérvári Teleki Blanka Gimnázium és Általános Iskola Sziget utcai Tagintézménye </t>
  </si>
  <si>
    <t>Székesfehérvári Teleki Blanka Gimnázium és Általános Iskola</t>
  </si>
  <si>
    <t xml:space="preserve">Rákóczi Utcai Óvoda </t>
  </si>
  <si>
    <t>Székesfehérvári Stadionrekonstrukciós program megvalósítására, figyelemmel a 1285/2015.(IV.30.) Korm. Határozatra, valamint a megvalósítás ütemezésére *</t>
  </si>
  <si>
    <t>* megjegyzés: a támogatás összege Áfá-t nem tartalmaz.</t>
  </si>
  <si>
    <t>Előző évi felhalmozási célú költségvetési maradvány igénybevétele</t>
  </si>
  <si>
    <t>Előző évi működési célú költségvetési maradvány igénybevétele</t>
  </si>
  <si>
    <t>Közterületi ingatlanok megosztása, művelési ág rendezés</t>
  </si>
  <si>
    <t>Rákóczi Utcai Óvoda  - az épület energiahatékonysági rekonstrukciója, akadálymentesítése, külső terek felújítása, eszközök beszerzése a TOP 6.2 intézkedés kiírására figyelemmel</t>
  </si>
  <si>
    <t xml:space="preserve">              Vadásztölténygyári Vasas Ifjúsági és Sport Egyesület- Futballfesztivál megrendezésének támogatása</t>
  </si>
  <si>
    <t xml:space="preserve">             Maroshegyi Ifjúsági Egyesület</t>
  </si>
  <si>
    <t xml:space="preserve">             Honvédség és Társadalom Baráti Kör Székesfehérvári Szervezete</t>
  </si>
  <si>
    <t xml:space="preserve">             Egészség és Kultúra Egyesület - Fehérvár Feszt megrendezésének támogatása </t>
  </si>
  <si>
    <t xml:space="preserve">             Egészség és Kultúra Egyesület - Skate Park és Underground Zenei Központ fejlesztése és működtetése</t>
  </si>
  <si>
    <t xml:space="preserve">            Katonai Emlékpark Közhasznú Nonprofit Kft.- A Katonai Emlékpark kiemelt- elsősorban pedagógiai-programjainak támogatása</t>
  </si>
  <si>
    <t xml:space="preserve">             Székesfehérvári Városszépítő- és Védő Egyesület - Székesfehérvár Hosszútemető műemlék jellegű sírjainak karbantartására, felújítására</t>
  </si>
  <si>
    <t xml:space="preserve">           "Színes Fehérvár" Projekt</t>
  </si>
  <si>
    <t xml:space="preserve">            Fehérvári életpályamodell kidolgozása</t>
  </si>
  <si>
    <t xml:space="preserve">            Ifjúsági koncepcióval kapcsolatos kutatás</t>
  </si>
  <si>
    <t xml:space="preserve">            Székesfehérvári Diáktanács ifjúsági pályázatának megvalósítására</t>
  </si>
  <si>
    <t xml:space="preserve">            Ifjúsági feladatok és a Székesfehérvári Diáktanács működése</t>
  </si>
  <si>
    <t xml:space="preserve">           Gazdaságfejlesztés és azt elősegítő marketing tevékenység</t>
  </si>
  <si>
    <t xml:space="preserve">           Fehérvár kártya</t>
  </si>
  <si>
    <t xml:space="preserve">             Székesfehérvár Ifjúságáért díj megrendezése</t>
  </si>
  <si>
    <t xml:space="preserve">             "Székesfehérvári felsőoktatási intézmények támogatása"</t>
  </si>
  <si>
    <t xml:space="preserve">             Felsőoktatási ösztöndíj rendszer</t>
  </si>
  <si>
    <t xml:space="preserve">             Alba Regia Felsőoktatási Expo megrendezéséhez</t>
  </si>
  <si>
    <t xml:space="preserve">             Klebersberg Intézményfenntartó Központ Székesfehérvári Tankerülete- oktatásszakmai munkájának önkormányzati támogatása</t>
  </si>
  <si>
    <t xml:space="preserve">             Székesfehérvári Szakképzési Centrum - oktatásszakmai munkájának önkormányzati támogatása</t>
  </si>
  <si>
    <t xml:space="preserve">             Székesfehérvári Szakképzési Centrummal való együttműködés</t>
  </si>
  <si>
    <t xml:space="preserve">             Önálló Főiskolai Közalapítvány működési támogatása</t>
  </si>
  <si>
    <t xml:space="preserve">            Városi rendezvények</t>
  </si>
  <si>
    <t xml:space="preserve">           Barátság Mozi működtetése, üzemeltetése - Fejér Megyei Művelődési Központ</t>
  </si>
  <si>
    <t xml:space="preserve">            I. világháborúhoz kapcsolódó filmalkotás elkészítése </t>
  </si>
  <si>
    <t xml:space="preserve">            Köztéri szobor, szökőkút létrehozása</t>
  </si>
  <si>
    <t xml:space="preserve">             HT HAJÓ Innovációs Zrt. - Spirit of Hungary óceáni vitorlázó projekt támogatása</t>
  </si>
  <si>
    <t xml:space="preserve">             Székesfehérvári Szakképzési Centrum Széchenyi István Műszaki Szakközépiskolája - Iskolai Teremlabdarúgó Világbajnokságon történő részvétel támogatása</t>
  </si>
  <si>
    <t>Gyermekjóléti központ</t>
  </si>
  <si>
    <t>Székesfehérvár Megyei Jogú Város Önkormányzat és Költségvetési szervei</t>
  </si>
  <si>
    <t>2016. évi bevételei eFt-ban</t>
  </si>
  <si>
    <t>Javasolt módosítás</t>
  </si>
  <si>
    <t>Módosított előirányzat</t>
  </si>
  <si>
    <t>b/1.</t>
  </si>
  <si>
    <t>b/2.</t>
  </si>
  <si>
    <t>b/3.</t>
  </si>
  <si>
    <t>c/1.</t>
  </si>
  <si>
    <t>c/2.</t>
  </si>
  <si>
    <t>c/3.</t>
  </si>
  <si>
    <t>d/1.=b/1.+c/1.</t>
  </si>
  <si>
    <t>d/2.=b/2.+c/2.</t>
  </si>
  <si>
    <t>d/3.=b/3.+c/3.</t>
  </si>
  <si>
    <t>7/a, Forgatási célú belföldi értékpapírok beváltása, értékesítése</t>
  </si>
  <si>
    <t>B8121</t>
  </si>
  <si>
    <t>2016. évi kiadásai eFt-ban</t>
  </si>
  <si>
    <t>16/a, Forgatási célú belföldi értékpapírok vásárlása</t>
  </si>
  <si>
    <t>K9121</t>
  </si>
  <si>
    <t>b/2</t>
  </si>
  <si>
    <t>b/3</t>
  </si>
  <si>
    <t>c/2</t>
  </si>
  <si>
    <t>c/3</t>
  </si>
  <si>
    <t>d/1=b/1+c/1</t>
  </si>
  <si>
    <t>d/2=b/2+c/2</t>
  </si>
  <si>
    <t>d/3=b/3+c/3</t>
  </si>
  <si>
    <t>d/2</t>
  </si>
  <si>
    <t>d/3</t>
  </si>
  <si>
    <t>cím</t>
  </si>
  <si>
    <t>Felhalmozási költségvetési bevételek összesen</t>
  </si>
  <si>
    <t>Finanszírozási bevételek</t>
  </si>
  <si>
    <t>Bevételek  összesen</t>
  </si>
  <si>
    <t>(B1-7.)</t>
  </si>
  <si>
    <t>(B1-8.)</t>
  </si>
  <si>
    <t>~ ebből:Kötelező feladate.i.</t>
  </si>
  <si>
    <t xml:space="preserve">            Önként vállalt feladat e.i.</t>
  </si>
  <si>
    <t>összesen:</t>
  </si>
  <si>
    <t>Ebből: Kötelező feladat összesen</t>
  </si>
  <si>
    <t xml:space="preserve">           Önként vállalt feladat összesen</t>
  </si>
  <si>
    <t>~ ebből:Önként vállalt feladat e.i.</t>
  </si>
  <si>
    <t>Ebből: Önként vállalt feladat összesen</t>
  </si>
  <si>
    <t>Kulturális ellátás összesen:</t>
  </si>
  <si>
    <t xml:space="preserve">            Államigazgatási feladat e.i.</t>
  </si>
  <si>
    <t xml:space="preserve">           Államigazgatási feladat
           összesen</t>
  </si>
  <si>
    <t>Költségvetési szervek 2016.évi kiadási előirányzata (eFt-ban)</t>
  </si>
  <si>
    <t xml:space="preserve"> INTÉZMÉNYEK</t>
  </si>
  <si>
    <t>Ellátottak pénzbeli juttatásai</t>
  </si>
  <si>
    <t>Egyéb működési célú  kiadások</t>
  </si>
  <si>
    <t>Felhalmozási költségvetési kiadások  összesen</t>
  </si>
  <si>
    <t>(K1-5.)</t>
  </si>
  <si>
    <t>(K6-8.)</t>
  </si>
  <si>
    <t>(K1-9.)</t>
  </si>
  <si>
    <t>h.=c.+d.+e.+f.+g.</t>
  </si>
  <si>
    <t>Rákóczi Úti Óvoda</t>
  </si>
  <si>
    <t>Tolnai Úti Óvoda</t>
  </si>
  <si>
    <t>Önkormányzat 2016. évi költségvetési kiadásai (eFt-ban)</t>
  </si>
  <si>
    <t>Működési költségvetés összesen</t>
  </si>
  <si>
    <t>Felhalmozási költségvetés összesen</t>
  </si>
  <si>
    <t>Önkormányzat eredeti előirányzata</t>
  </si>
  <si>
    <t xml:space="preserve">I. </t>
  </si>
  <si>
    <t>~ Intézményhez lebontva</t>
  </si>
  <si>
    <t>~ Igazgatási tevékenységet érintő átcsoportosítás általános tartalékról</t>
  </si>
  <si>
    <t>~ Igazgatási tevékenységet érintő átcsoportosítás</t>
  </si>
  <si>
    <t>~ Bevétel miatti növekedés</t>
  </si>
  <si>
    <t xml:space="preserve">   Költségvetési szerveknél foglalkoztatottak bérkompenzációja</t>
  </si>
  <si>
    <t>~ Intézményekhez lebontva</t>
  </si>
  <si>
    <t>Az Önkormányzat költségvetési kiadásai feladatonkénti bontásban</t>
  </si>
  <si>
    <t>Javasolt módosítás      (2)</t>
  </si>
  <si>
    <t>2016. évre áthúzódó         (4)</t>
  </si>
  <si>
    <t>2016. évi előirányzat     (5)</t>
  </si>
  <si>
    <t>Költségvetési szerveknek lebontás (6)</t>
  </si>
  <si>
    <t xml:space="preserve">           Székesfehérvári Turisztikai Közhasznú Nonprofit Kft. - törzstőke emeléséhez kapcsolódó pénzbeli hozzájárulás (70/2016.(II.12.) kgy.hat.alapján)</t>
  </si>
  <si>
    <t xml:space="preserve">         Cecei Csók István emlékház fejlesztéséhez hozzájárulás</t>
  </si>
  <si>
    <t xml:space="preserve">              Költségvetési szerveknél foglalkoztatottak bérkompenzációja</t>
  </si>
  <si>
    <t xml:space="preserve">              Kiegészítő támogatás a bölcsödében foglalkoztatott felsőfokú végzettségű kisgyermeknevelők béréhez</t>
  </si>
  <si>
    <t>Tác-Gorsium szabadtéri nézőtér, színpadtér felújítása és a megközelítést szolgáló út kavics réteggel történő felújítása</t>
  </si>
  <si>
    <t>Közegészségügyi hiányosságok megszüntetése</t>
  </si>
  <si>
    <t xml:space="preserve">Költségvetési és finanszírozási egyenleg működési és felhalmozási cél szerinti bontásban (eFt-ban)  </t>
  </si>
  <si>
    <t>Forgatási célú belföldi értékpapírok vásárlása</t>
  </si>
  <si>
    <t>Forgatási célú belföldi értékpapírok beváltása, értékesítése</t>
  </si>
  <si>
    <t xml:space="preserve">2016. évi előirányzat-felhasználási terv </t>
  </si>
  <si>
    <t>Új Módosított előirányzat</t>
  </si>
  <si>
    <t>16/b, Államháztartáson belüli megelőlegezések visszafizetése</t>
  </si>
  <si>
    <t>K914</t>
  </si>
  <si>
    <t>4. Forgatási célú belföldi értékpapírok beváltása, értékesítése</t>
  </si>
  <si>
    <t>3. Forgatási célú belföldi értékpapírok vásárlása</t>
  </si>
  <si>
    <t>4. Államháztartáson belüli megelőlegezések visszafizetése</t>
  </si>
  <si>
    <t>IV. Finanszírozási kiadások összesen (1+2+3+4)</t>
  </si>
  <si>
    <t>~ Jogszabályból fakadó személyi jellegű többletkifizetések</t>
  </si>
  <si>
    <t>Költségvetési szervek konkrét célra, 
feladatra jóváhagyott kiadási előirányzatai (eFt-ban)</t>
  </si>
  <si>
    <t>~ 2015. november 1. és 2016. június 30 között megvalósításra kerülő programokhoz és tárgyi eszköz beszerzéshez kapcsolódó személyi és dologi költségekhez valamint eszközbeszerzéseihez (Képviselői Alap)</t>
  </si>
  <si>
    <t>~2016. évi programajinak megvalósításához kapcsolódó személyi és dologi költségekhez, valamint eszközbeszerzés költségeihez (Képviselői Alap)</t>
  </si>
  <si>
    <t>~Az óvoda udvarának rendbetételéhez, valamint udvari játékok vásárlásához kapcsolódó, 2016. évben felmerüló személyi, dologi és eszköz költségekhez rendbetétele (Képviselői Alap)</t>
  </si>
  <si>
    <t>~Adventi ünnepséghez és egyéb programokhoz kapcsolódó, 2016. évben felmerülő személyi és dologi költségekhez, valamint eszközbeszerzés költségekhez (Képviselői Alap)</t>
  </si>
  <si>
    <t>Székesfehérvári Család és GYEJÓ Központ</t>
  </si>
  <si>
    <t>~Tolnai utcai Tagkönyvtára által 2016. évben megvalósításra kerülő programokhoz kapcsolódó személyi és dologi költségekhez, valamint eszközbeszerzés költségeihez (Képviselői Alap)</t>
  </si>
  <si>
    <t>~A Széna Téri Tagkönyvtár 2016. évben megvalósuló programjaihoz kapcsolódó személyi és dologi költségekhez, valamint eszközbeszerzés költségeihez (Képviselői Alap)</t>
  </si>
  <si>
    <t>~A Zsolt Utcai Tagkönyvtár 2016. évben megvalósuló programjaihoz kapcsolódó személyi és dologi költségekhez, valamint eszközbeszerzés költségeihez (Képviselői Alap)</t>
  </si>
  <si>
    <t>~ 2016.évi működéséhez és programjaihoz kapcsolódó templomi bérleti díj költségeihez (Képviselői Alap)</t>
  </si>
  <si>
    <t>~Öreghegyi Nyugdíjas Klub 2016. évi programjaihoz kapcsolódó személyi és dologi költségekhez (Polg. Keret)</t>
  </si>
  <si>
    <t>~2016. évben történő tárgyi eszköz beszerzésekhez kapcsolódó költségekhez (Képviselői Alap)</t>
  </si>
  <si>
    <t>~ Szent Sebestyén-nap elnevezésű városrészi rendezvény megvalósításának dologi költségeihez (Közművelődési kiadások)</t>
  </si>
  <si>
    <t>~2016. évben megvalósításra kerülő programokhoz kapcsolódó személyi és dologi költségekhez (Képviselői Alap)</t>
  </si>
  <si>
    <t>~Öreghegyi Nyugdíjas Klub által megvalósításra kerülő programokhoz (Képviselői Alap)</t>
  </si>
  <si>
    <t>~Katolikus Legényegylet működéshez és programjaihoz kapcsolódó személyi és dologi költségekhez (Képviselői Alap)</t>
  </si>
  <si>
    <t>~Felsővárosi NyugdíjasKlub működéséhez és programjaihoz kapcsolódó személyi és dologi költségeihez (Képviselői Alap)</t>
  </si>
  <si>
    <t>~A nyugdíjas torna foglalkozásokhoz kapcsolódó személyi költségeókhez (Képviselői Alap)</t>
  </si>
  <si>
    <t>~A "Nem csak a 20 éveseké a volág" nyugdíjas klub kulturális programjaihoz kapcsolódó személyi és dologi költségekhez (Képviselői Alap)</t>
  </si>
  <si>
    <t>Költségvetési szervek 2016.évi álláshelyeinek meghatározása</t>
  </si>
  <si>
    <t>2016.április 1.</t>
  </si>
  <si>
    <t>Önkormányzat I. módosított előirányzat</t>
  </si>
  <si>
    <t>Vagyongazdálkodás</t>
  </si>
  <si>
    <t>Város-és községgazdálkodás</t>
  </si>
  <si>
    <t>~ Polgármesteri Hivatalhoz lebontva</t>
  </si>
  <si>
    <t xml:space="preserve">   Szociális, gyermekjóléti és gyermekvédelmi ágazati pótlék kiegészítő támogatása</t>
  </si>
  <si>
    <t xml:space="preserve">   Jubileumi jutalom, jogszabályból fakadó személyi jellegű többlet kifizetések kerete</t>
  </si>
  <si>
    <t xml:space="preserve">   Intézményi kafetéria juttatás fedezetére</t>
  </si>
  <si>
    <t xml:space="preserve">   Kistelepülési könyvtári és közművelődési kiegészítő támogatás (Vörösmarty Könyvtár)</t>
  </si>
  <si>
    <t>Módosított előirányzat       (1)</t>
  </si>
  <si>
    <t>Új Módosított előirányzat (3)=(1)+(2)</t>
  </si>
  <si>
    <t xml:space="preserve">              Székesfehérvári Szerb Nemzetiségi Önkormányzat- Szerb templom karbantartásához, felújításához</t>
  </si>
  <si>
    <t xml:space="preserve">              7674. hrsz.-ú Ingatlan bontásával kapcsolatos kiadásokra</t>
  </si>
  <si>
    <t xml:space="preserve">             Országos Mentőszolgálat Alapítvány támogatása- a Székesfehérvári Mentőállomás részére mellkasi kompressziós rendszer beszerzéséhez</t>
  </si>
  <si>
    <t xml:space="preserve">           2017. évi Fehérvári Zenei Napok - A Tehetséges Zenészekért Alapítvány</t>
  </si>
  <si>
    <t xml:space="preserve">         Székesfehérvár Művészete Projekt</t>
  </si>
  <si>
    <t xml:space="preserve">            HSB Team Kft.- II. CEP Fehérvár Félmaraton verseny megrendezésére</t>
  </si>
  <si>
    <t xml:space="preserve">           Alba Triatlon és Szabadidő Sportegyesület - Olimpiai kvótaszerzéshez sportolók felkészítésére is</t>
  </si>
  <si>
    <t xml:space="preserve">            Főnix-Gold FC. Utánpótlásnevelő Sportegyesület</t>
  </si>
  <si>
    <t xml:space="preserve">            Fehérvári Öregfiúk Futball Club (vízilabda)</t>
  </si>
  <si>
    <t xml:space="preserve">              Közalkalmazottak illetményrendezése 2016. július 1. napjától</t>
  </si>
  <si>
    <t xml:space="preserve">              Szociális, gyermekjóléti és gyermekvédelmi ágazati pótlék</t>
  </si>
  <si>
    <t xml:space="preserve">              Szociális, gyermekjóléti és gyermekvédelmi ágazati pótlék kiegészítő támogatása</t>
  </si>
  <si>
    <t>Jávor Ottó téri felszíni parkolók kialakítása, terület és parkrendezés</t>
  </si>
  <si>
    <t>Pince, falak, padló utólagos vízszigetelése és kapcsolódó felújítási munkák</t>
  </si>
  <si>
    <t>Államháztartáson belüli megelőlegezések visszafizetése</t>
  </si>
  <si>
    <t>Környezetvédelmi Alap felosztása (eFt-ban)</t>
  </si>
  <si>
    <t>ALCOA faültetés megvalósítása</t>
  </si>
  <si>
    <t>Önkormányzat II. módosított előirányzat</t>
  </si>
  <si>
    <t>~ 3/2016.(II.12.) önkormányzati rendelet 6.§(10) bekezdése szerinti átcsoportosítás</t>
  </si>
  <si>
    <t>Módosított  előirányzat</t>
  </si>
  <si>
    <t>Módostott előirányzat</t>
  </si>
  <si>
    <t>~ Főösszeget érintő saját hatáskörű átcsoportosítás</t>
  </si>
  <si>
    <t>~ ebből:Kötelező feladat e.i.</t>
  </si>
  <si>
    <t>Frim Jakab Kép.fejlesztő Szak.O.</t>
  </si>
  <si>
    <t>~Tavaszköszöntő ünnepségekhez kapcsolódó dologi költségekhez (Polgármesteri keret)</t>
  </si>
  <si>
    <t>~Püspök-kertvárosi Tagóvodájának 2016. évben megvalósuló programjaihoz és tárgyi eszköz beszerzéseihez kapcsolódó személyi és dologi költségekhez (Képviselői Alap)</t>
  </si>
  <si>
    <t>~Székesfehérvár és az I. világháború" elnevezésű középiskolai vetélkedő nyereményeinek dologi költségeihez (Közművelődési keret)</t>
  </si>
  <si>
    <t>~Budai Úti Tagkönyvtára által 2016. évben megvalósításra kerülő programokhoz kapcsolódó szmélyi és dologi költségekhez (Képviselői Alap)</t>
  </si>
  <si>
    <t>~"Nemzeti Emlékhely fejlesztése"</t>
  </si>
  <si>
    <t>~Nagyváradi Majális programon bemutatkozó székesfehérvári királyi bábok szállításának dologi és személyi költségeihez (Nemzetközi kapcsolatok)</t>
  </si>
  <si>
    <t>~"Fehérvár köszönti katonáit" rendezvény programokra (Fehérvár köszönti katonáit)</t>
  </si>
  <si>
    <t>~"Nem  csak a 20 éveseké a világ" Nyugdíjas klub 2016. évi jubileumi rendezvényeinek megvalósításához kapcsolódó dologi költségekhez (Polgármesteri keret)</t>
  </si>
  <si>
    <t>~A Kisfaludi Újság megjelentetéséhez (Képviselői Alap)</t>
  </si>
  <si>
    <t>~Az Öreghegyi Nyugdíjas Klub által megvalósításra kerülő programokhoz (Képviselői Alap)</t>
  </si>
  <si>
    <t>~Az Öreghegyi Vígasságok című program megrendezéséhez (Képviselői Alap)</t>
  </si>
  <si>
    <t>~"Nem csak a 20 éveseké a világ" nyugdíjas klub által 2016. évben megvalósításra kerülő programokhoz kapcsolódó személyi és dologi költségekhez (Kéviselői Alap)</t>
  </si>
  <si>
    <t>~"Székesfehérvári Nóta Klub" által 2016. évben megvalósításra kerülő programokhoz kapcsolódó személyi és dologi költségekhez (Képviselői Alap)</t>
  </si>
  <si>
    <t>~A Csalai Majális dologi kiadásaihoz és a Feketehegy-Szárazréti Majális dologi kiadásaihoz (Városrészi rendezvények)</t>
  </si>
  <si>
    <t>58/2016.(II.12.) Közgyűlési Határozat</t>
  </si>
  <si>
    <t>23/2016.(V.30.) Önkormányzati rendelet</t>
  </si>
  <si>
    <t>2016.június 1.</t>
  </si>
  <si>
    <t xml:space="preserve">              Székesfehérvári Egyházmegye vagy az Egyházmegye által megjelölt, önálló jogi személyiséggel bíró szervezeti egysége- a Prohászka templom fűtés korszerűsítéséhez támogatás</t>
  </si>
  <si>
    <t xml:space="preserve">              Székesfehérvári Egyházmegye vagy az Egyházmegye által megjelölt, önálló jogi személyiséggel bíró szervezeti egysége - Székesfehérvár-Belváros Római Katolikus Plébánia felújításának támogatása</t>
  </si>
  <si>
    <t xml:space="preserve">           Börgöndpusztáért Érdekvédelmi Egyesület - műfüves focipálya telepítése</t>
  </si>
  <si>
    <t xml:space="preserve">           Önkormányzati Közalapítványok támogatása- a működésük során felmerülő jogi és pénzügyi feladatainak elvégzésével kapcsolatos kiadásokra (379/2016.(V.27.) kgy.hat.alapján)</t>
  </si>
  <si>
    <t xml:space="preserve">            Helyi foglalkoztatási együttműködések Székesfehérvár és járása területén</t>
  </si>
  <si>
    <t xml:space="preserve">              Irányi Dániel utca 4. szám alatti ingatlan megvásárlása (437/2016.(VI.9.) kgy.hat.alapján)</t>
  </si>
  <si>
    <t xml:space="preserve">         Emléktábla elhelyezéséhez támogatás</t>
  </si>
  <si>
    <t xml:space="preserve">             Alba Volán Sportclub Öttusa Szakosztály - Olimpiai kiutazás költségeire</t>
  </si>
  <si>
    <t xml:space="preserve">             Alba Regia Kézilabda Sportegyesület</t>
  </si>
  <si>
    <t xml:space="preserve">           Csákvár Futball Club (székesfehérvári teniszoktatásra)</t>
  </si>
  <si>
    <t xml:space="preserve">           Fehérvár Enthroners Sportegyesület</t>
  </si>
  <si>
    <t xml:space="preserve">            Fehérvári Frizbi Sportegyesület</t>
  </si>
  <si>
    <t>ÚJ Módosított előirányzat</t>
  </si>
  <si>
    <t>Kosárlabdapálya megépítéséhez önkormányzati önrész (468/2014.(VI.27.) kgy.hat. Alapján)</t>
  </si>
  <si>
    <t>Szabadságharcos út 59. szám alatti ingatlan átalakítása - Alba Regia Szimfonikus Zenekar részére próbaterem, raktár és irodahelyiségek kialakítása</t>
  </si>
  <si>
    <t>Aranybulla Könyvtár bővítéséhez kapcsolódó beruházási költségek (257/2016.(IV.29.) kgy.hat.alapján)</t>
  </si>
  <si>
    <t>Kodolányi János Főiskola "A" épületének felújítása- a Fejér Megyei Pedagógiai Szakszolgálat Nevelési Tanácsadója elhelyezése érdekében (317/2016.(V.13.) kgy.hat.alapján)</t>
  </si>
  <si>
    <t>Watthay Ferenc utcai parkoló beléptető rendszer és egykaros sorompó kialakítására</t>
  </si>
  <si>
    <t>Fő és gyűjtőutak felújítása- Berényi u. II. ütem</t>
  </si>
  <si>
    <t>Felsőváros vízrendezése I. ütem (A-0-0-I/5 csapadékcsatorna kivitelezése, valamint az A-3-0 csapadékcsatorna rekonstrukciója)</t>
  </si>
  <si>
    <t>Varga csatorna mederrendezése</t>
  </si>
  <si>
    <t>Túrózsáki út melletti szabadidőpark létrehozása és sétány kialakítása (Túrózsáki út-Bártfai út)</t>
  </si>
  <si>
    <t>dr. Koch László utcai parkolóház építése és kapcsolódó egyéb létesítmények</t>
  </si>
  <si>
    <t xml:space="preserve">B szárnyban 4 osztályterem kialakítása </t>
  </si>
  <si>
    <t xml:space="preserve">Vizivárosi Általános Iskola </t>
  </si>
  <si>
    <t>Arany János Óvoda, Általános Iskola, Speciális Szakiskola és EGYMI-hez tartozó szegregált autista általános iskolai osztályok elhelyezése érdekében történő felújítási munkák</t>
  </si>
  <si>
    <t xml:space="preserve">Vörösmarty Mihály Általános Iskola </t>
  </si>
  <si>
    <t>Arany János Óvoda, Általános Iskola, Speciális Szakiskola és EGYMI-hez tartozó szegregált autista óvodai csoportok elhelyezése érdekében történő felújítási munkák</t>
  </si>
  <si>
    <t xml:space="preserve">Zentai Úti Általános Iskola </t>
  </si>
  <si>
    <t>Tornaszoba kialakítása</t>
  </si>
  <si>
    <t>Helyi foglalkoztatási együttműködések Székesfehérvár és járása területén</t>
  </si>
  <si>
    <t xml:space="preserve">Fő és gyűjtőutak felújítása- Berényi u. II. ütem </t>
  </si>
  <si>
    <t>~ "Kistelepülési könyvtári és közművelődési kiegészítő támogatás" (központi)</t>
  </si>
  <si>
    <t>~ Főösszeget nem érintő saját hatáskörű átcsoportosítás</t>
  </si>
  <si>
    <t>~ 2016. évben megvalósításra kerülő programokhoz és tárgyi eszköz beszerzésekhez (Képviselői Alap)</t>
  </si>
  <si>
    <t>~2016. évi programjaihoz és tárgyi eszköz beszerzéseihez kapcsolódó személyi és dologi költségekhez, valamint eszközbeszerzés költségeihez (Képviselői Alap)</t>
  </si>
  <si>
    <t>~2016. évben megvalósításra kerülő sportrendezvényhez kapcsolódó eszközbeszerzés költségeihez (Képviselői Alap)</t>
  </si>
  <si>
    <t>~ Családok Átmeneti Otthona számára a krízishelyzetben lévő anyák megsegítéséhez kapcsolódó, 2016. évben megvalósításra kerülő programokhoz és tárgyi eszköz beszerzésekhez (Képviselői Alap)</t>
  </si>
  <si>
    <t>~"Kodolányi Szabadegyetem és a Harmadik Kor Egyetem" előadássorozat megvalósításának személyi költségeihezˇ(Közművelődési keret)</t>
  </si>
  <si>
    <t>~Képviselői Alap III. Béla király téri Tagkönyvtára által 2016. december 31. napjáig megvalósításra kerülő, a kultúrát, olvasást és a könyvtárakat népszerűsítő rendezvényekhez kapcsolódó személyi és dologi költségekhez (Képviselői Alap)</t>
  </si>
  <si>
    <t>~Kortárs Művészeti Fesztivál-fílmvetítések</t>
  </si>
  <si>
    <t>~2016. évi stúdiófelvétel készítéséhez kapcsolódó személyi és dologiköltségekhez (Képviselői Alap)</t>
  </si>
  <si>
    <t>~2016. évben megvalósításra kerülő fotókiállításhoz kapcsolódó költségekhez (Képviselői Alap)</t>
  </si>
  <si>
    <t>~"Nem csak a 20 éveseké a világ" nyugdíjas klub által 2016. évben megvalósításra kerülőSzép korúak Anna bálja elnevezésű program megrendezéséhez  kapcsolódó dologi költségekhez (Polgármesteri keret)</t>
  </si>
  <si>
    <t>~ Fehérvári Nóta Klub 2016. évben megvalósításra kerülő programjaihoz (Képviselői Alap)</t>
  </si>
  <si>
    <t>~ Kisfalud Noszvaj-pusztai Vígasság költségeihez (Városrészi rendezvények)</t>
  </si>
  <si>
    <t>~Öreghegyi Nyugdíjas Klub által 2016. évben megvalósításra kerülő programokhoz (Képviselői Alap)</t>
  </si>
  <si>
    <t>~Feketehegy Szárazréti Közösségi Központ színpadán 2016. augusztus 3-án fellépő 100 tagú cigányzenekar dologiköltségeihez (Polgármesteri keret)</t>
  </si>
  <si>
    <t>Önkormányzati rendelet</t>
  </si>
  <si>
    <t>2016. október 1.</t>
  </si>
  <si>
    <t xml:space="preserve">   Áfa befizetés</t>
  </si>
  <si>
    <t xml:space="preserve">   Protokoll költség</t>
  </si>
  <si>
    <t xml:space="preserve">   Árpádház programhoz kapcsolódó tervezési, előkészítési feladatok</t>
  </si>
  <si>
    <t xml:space="preserve">   Önkormányzati bérlakások bérlőinek önkormányzat által nyújtott lakbértámogatás</t>
  </si>
  <si>
    <t xml:space="preserve">   Városi rendezvények</t>
  </si>
  <si>
    <t xml:space="preserve">              Székesfehérvári Egyházmegye vagy az Egyházmegye által megjelölt, önálló jogi személyiséggel bíró szervezeti egysége- a Víziváros-Jézus Szíve plébánia sekrestyéjének és hittantermének felújítása</t>
  </si>
  <si>
    <t xml:space="preserve">              Székesfehérvári Egyházmegye vagy az Egyházmegye által megjelölt, önálló jogi személyiséggel bíró szervezeti egysége- a Felsővárosi Szent Sebestyén templom felújításához kapcsolódó munkák</t>
  </si>
  <si>
    <t xml:space="preserve">             1956-os Magyar Szabadságharcosok Világszövetsége Egyesület</t>
  </si>
  <si>
    <t xml:space="preserve">           Vállalkozók és Munkáltatók Országos Szövetsége Fejér megyei szervezete- "PRIMA Fejér Megyei Díj 2016." rendezvény támogatása</t>
  </si>
  <si>
    <t xml:space="preserve">           MOBILKONZOL Építőipari, Kereskedelmi és Szolgáltató Korlátolt Felelősségű Társaság- vasútmodell kiállítás működési költségeihez támogatás</t>
  </si>
  <si>
    <t xml:space="preserve">             Önálló Főiskolai Közalapítvány - Ingatlanok fenntartásához, működtetéséhez támogatás (480/2016.(VI.24.) kgy.hat.alapján)</t>
  </si>
  <si>
    <t xml:space="preserve">          Fehérvár Médiacentrum Kft.- Szent István kultusz Rómában jelenleg is fellelhető és látható értékeit bemutató film és az ahhoz kapcsolódó kiállítás költségeihez (632/2016.(IX.9.) kgy.hat.alapján)</t>
  </si>
  <si>
    <t xml:space="preserve">          Fejér Megyei Művelődési Központ-működési támogatás</t>
  </si>
  <si>
    <t xml:space="preserve">        "Magyar advent" (638/2016.(IX.9.) kgy.hat.alapján)</t>
  </si>
  <si>
    <t xml:space="preserve">              Fehérvár FC Kft.- II. félév</t>
  </si>
  <si>
    <t xml:space="preserve">            Alba Volán Sportclub Jégkorong Szakosztály- 2016/2017. évi TAO pályázat önrészének támogatása</t>
  </si>
  <si>
    <t xml:space="preserve">             Alba-Fehérvár Kosárlabda Kft.- kamatmentes visszatérítendő támogatás</t>
  </si>
  <si>
    <t>Tác-Gorsium védőépülethez korlátelemek legyártása, elhelyezése, valamint épületek körüli csapadédvíz elvezető rendszer kiépítése</t>
  </si>
  <si>
    <t>Budapesti Corvinus Egyetem Székesfehérvári Campusa elhelyezésével és működtetésével kapcsolatos beruházások elvégzésére (479/2016.(VI.24.) kgy.hat.alapján)</t>
  </si>
  <si>
    <t>Székesfehérvár déli összekötőút megvalósítása, előkészítése</t>
  </si>
  <si>
    <t>Felsővárosi Közösségi Ház melléképület vizesblokká alakítás munkái</t>
  </si>
  <si>
    <t>~ Városrészi rendezvények</t>
  </si>
  <si>
    <t>~2016. évben megvalósításra kerülő programokhoz és tárgyi eszköz beszerzésekhez kapcsolódó személyi és dologi költségekhez (Képviselői Alap)</t>
  </si>
  <si>
    <t>~Tulipános Tagóvodája számára 2016. évben megvalósításra kerülő programokhoz és tárgyi eszköz beszerzéshez kapcsolódó személyi és dologi költségekhez (Képviselői Alap)</t>
  </si>
  <si>
    <t>~Az óvoda 40. évdordulója alkalmából megrendezésre kerülő programokhoz, valamint a karácsonyi ünnepségekhez kapcsolódó, 2016. évben felmerülő személyi és dologi költségekhez (Képviselői alap)</t>
  </si>
  <si>
    <t>~2016. évben megvalósításra kerülő programokhoz és tárgyi eszköz beszerzéshez kapcsolódó személyi és dologi költségekhez (Képviselői Alap)</t>
  </si>
  <si>
    <t>~"Repüléstörténeti kültéri tablókiállítás és jubileumi kiállítás"</t>
  </si>
  <si>
    <t>~"25 éves Alba Regia Nyugdíjas Egyesület" című kiadvány kiadásának személyi és dologi költségeihez (Kult. Feladatokhoz kapcsolódó egyéb rendezvények)</t>
  </si>
  <si>
    <t>~Garzon Házi Tagkönyvtára kultúrát, irodalmat lakosság felé közvetítő, valamint az olvasást népszerűsítő programjaihoz, rendezvényeihez kapcsolódó, 2016. évben felmerülő személyi és dologi költségekhez (Képviselői alap)</t>
  </si>
  <si>
    <t>~Az intézmény programjaihoz és tárgyi eszköz beszerzéséeihez kapcsolódó 2016. október 1. és 2017. március 31. napja között felmerülő személyi és dologi költségekhez (Képviselői Alap)</t>
  </si>
  <si>
    <t>~2016. évben megjelenő Lukács László Objekte, Lebensformen, Volksbrauche című, 30 német nyelvű tanulmányt tartalmazó 576 oldal terjedelmű könyv megjelenéséhez szükséges szerzői jogdíjak és nyomdaköltségek kifizetéséhez (Kulturális feladatokhoz kapcsolódó egyéb rendezvények)</t>
  </si>
  <si>
    <t>~"Öreghegyi Mulatság" elnevezésű rendezvény megvalósításának dologi költségeihez (Városrészi rendezvények)</t>
  </si>
  <si>
    <t>~Szedreskerti Mulatság elnevezésű városrészi rendezvény megvalósításának dologi költségeihez (Városrészi rendezvények)</t>
  </si>
  <si>
    <t>~Az intézmény 2016. október 1. és 2016. december 31. napja között megvalósuló rendezvényeihez (Képviselői Alap)</t>
  </si>
  <si>
    <t>~Az intézmény által a Székesfehérvári Vörösmarty Mihály Általános Iskola Farkasvermi Úti Tagiskolája számára 2016. szeptember 1. és december 31. napja között megvalósításra kerülő programokhoz (Képviselői Alap)</t>
  </si>
  <si>
    <t>~Fehérvári Nóta Klub tagjainak 2016. november hónapban Nagyatádra történő utazásával kapcsolatosan felmerülő dologi költségekhez (Polgármesteri Keret)</t>
  </si>
  <si>
    <t>368/2016.(V.27.) Közgyűlési határozat</t>
  </si>
  <si>
    <t>Álláshely összesen</t>
  </si>
  <si>
    <t>2016. augusztus 31.</t>
  </si>
  <si>
    <t>Frim Jakab Képességfejlesztő 
Szakosított Otthon</t>
  </si>
  <si>
    <t>Önkormányzat III. módosított előirányzat</t>
  </si>
  <si>
    <t>Önkormányzat IV. módosított előirányzat</t>
  </si>
  <si>
    <t xml:space="preserve">   Bankköltség</t>
  </si>
  <si>
    <t xml:space="preserve">   Rászorulókat segítő karácsonyi programok és támogatások</t>
  </si>
  <si>
    <t xml:space="preserve">   Megbízási díjak</t>
  </si>
  <si>
    <t>Arany János utca 22. szám alatti, 359 hrsz-ú ingatlanon meglévő épület (volt Petőfi mozi) felújítása (664/2016.(IX.9.) kgy.hat.alapján)</t>
  </si>
  <si>
    <t xml:space="preserve">   Felsőváros vízrendezése I. ütem (A-0-0-I/5 csapadékcsatorna kivitelezése, valamint az A-3-0 csapadékcsatorna rekonstrukciója)</t>
  </si>
  <si>
    <t xml:space="preserve">  Településrendezést, településkép védelmet, építészeti értékvédelmet megalapozó dokumentumok, tanulmánytervek, pályázati tervek, tervezési, kutatási szerződések, meghívásos tervpályázatok lebonyolítása, szakmai konferencia</t>
  </si>
  <si>
    <t xml:space="preserve">  "Alba Regia" tanulmányi ösztöndíj</t>
  </si>
  <si>
    <t xml:space="preserve">   Megemlékezések az '56-os forradalom 60.évfordulója alkalmából</t>
  </si>
  <si>
    <t xml:space="preserve">             Szentlélek temető II. világháborús magyar parcella karbantartási munkáira</t>
  </si>
  <si>
    <t xml:space="preserve">         "MARKÓ S. MÁRIA EMLÉKALAPÍTVÁNY AZ ESÉLYEGYENLŐSÉGÉRT Alapítvány"</t>
  </si>
  <si>
    <t xml:space="preserve">           Maroshegyi Ifjúsági Egyesület</t>
  </si>
  <si>
    <t xml:space="preserve">            Óbudai Egyetem - Alba Regia Műszaki Kar székesfehérvári kollégiuma 2016/2017. tanévi működésére</t>
  </si>
  <si>
    <t xml:space="preserve">            "Alba Regia" tanulmányi ösztöndíj</t>
  </si>
  <si>
    <t xml:space="preserve">           Vörösmarty Társaság- működési támogatás</t>
  </si>
  <si>
    <t xml:space="preserve">           "Aranybulla" Könyvtár Alapítvány- működési támogatás</t>
  </si>
  <si>
    <t xml:space="preserve">           Magyar Ring Nemzetközi Profi Ökölvívó Gála (716/2016.(X.14.) kgy.hat.alapján)</t>
  </si>
  <si>
    <t>Székesfehérvár Város és Térsége Szennyvízcsatorna Hálózat Bővítési Önkormányzati Társulás 2016. évi önkormányzati önrésze</t>
  </si>
  <si>
    <t>VI. módosítás</t>
  </si>
  <si>
    <t>14/a, Telekadó</t>
  </si>
  <si>
    <t>15, Vagyoni típusú adók összesen: (14+14/a)</t>
  </si>
  <si>
    <t>27/a, Egyéb települési adó</t>
  </si>
  <si>
    <t>27/b, Egyéb helyi közhatalmi bevételek</t>
  </si>
  <si>
    <t>29, Egyéb közhatalmi bevételek összesen (23+24+25+26+27+27/a+27/b+28):</t>
  </si>
  <si>
    <t>32/a, Egyéb tárgyi eszköz értékesítése</t>
  </si>
  <si>
    <t>B53</t>
  </si>
  <si>
    <t>32/b, Részesedések megszűnéséhez kapcsolódó bevételek</t>
  </si>
  <si>
    <t>B55</t>
  </si>
  <si>
    <t>33, Felhalmozási bevételek összesen (32+32/a+32/b):</t>
  </si>
  <si>
    <t>5/a, Államháztartáson belüli megelőlegezések</t>
  </si>
  <si>
    <t>B814</t>
  </si>
  <si>
    <t>8. Finanszírozási bevételek összesen (5+5/a+6+7+7/a):</t>
  </si>
  <si>
    <t>5. Államháztartáson belüli megelőlegezések</t>
  </si>
  <si>
    <t>II. Finanszírozási bevételek összesen (1+2+3+4+5)</t>
  </si>
  <si>
    <t>~ Bérkompenzáció (XI. havi)</t>
  </si>
  <si>
    <t>~ Cafetéria (XI. XII. havi)</t>
  </si>
  <si>
    <t>~ Szociális ágazatban dologzók részére nyújtott kiegészítő pótlék (XII. havi)</t>
  </si>
  <si>
    <t>~ Szociális ágazati pótlék (2016. IV. negyedévi elszámolás)</t>
  </si>
  <si>
    <t>~ 416/2015. (XII.23.) Korm.rendelet alapján a bölcsődében foglalkoztatott felsőfokú végzettségű kisgyermeknevelők béréhez kapcsolódó támogatás (11 hóra, a májusi rendeletmódosítást figyelembe véve).</t>
  </si>
  <si>
    <t>~ 754/2016. (XI.11.) Közgyűlési határozat szerinti illetményrendezés 2016.07.01 -2016.12.31. közötti időszakra. (dietetikus élelmezésvezető)</t>
  </si>
  <si>
    <t>~ III. számú Idősek Otthona programjaihoz, karácsonyi ünnepségéhez, valamint az ellátottak és a dologzók ajándék vásárlásához kapcsolódó 2016. december 1. és 2017. január 31. napja között felmerülő személyi és dologi költségekhez. (Képviselői Alap)</t>
  </si>
  <si>
    <t>~ Krízishelyzetben lévő személyek megsegítése céljából a 2016. október 1. és 2017. április 30. napja közötti időszakban ruhaneműk, élelmiszer és tisztálkodó szerek beszerzéséhez. (Polgármesteri Keret)</t>
  </si>
  <si>
    <t>~ "Csala helytörténete" című könyv kiadásának személyi és dologi költségeihez (Kulturális feladatokhoz kapcsolódó egyéb rendezvények - könyvkiadás)</t>
  </si>
  <si>
    <t>~ "Kistelepülési könyvtári és közművelődési kiegészítő támogatás " (központi)</t>
  </si>
  <si>
    <t>~ "Könyvtári célú érdekeltségnövelő támogatás (központi)</t>
  </si>
  <si>
    <t>~ Vörösmarty Mihály Könyvtár gondozásában 500 példányban megjelenő 1956-os események bibliográfiájának kiadási költségeihez (Kulturális feladatokhoz kapcsolódó egyéb rendezvények - könyvkiadás)</t>
  </si>
  <si>
    <t>~ 2016. november 18. és 2016. november 20. napja között megrendezésre kerülő "Krisztus Király Napok" elnevezésű városrészi rendezvény megvalósításának dologi költségeihez (Városrészi rendezvények)</t>
  </si>
  <si>
    <t>~ Képviselői Keretek</t>
  </si>
  <si>
    <t>~ Polgármesteri Keretek</t>
  </si>
  <si>
    <t>~ Kulturális feladatokhoz kapcsolódó egyéb rendezvények - könyvkiadás</t>
  </si>
  <si>
    <t>kötelező</t>
  </si>
  <si>
    <t>önként</t>
  </si>
  <si>
    <t>állami</t>
  </si>
  <si>
    <t>~ Bérkompenzáció ( XI. havi)</t>
  </si>
  <si>
    <t>~ Cafetéria ( XI. XII. havi)</t>
  </si>
  <si>
    <t>~ Szociális ágazatban dolgozók részére nyújtott kiegészítő pótlék (XII. havi)</t>
  </si>
  <si>
    <t>~ Szociális ágazati pótlék (2016. IV. negyedév elszámolása)</t>
  </si>
  <si>
    <t>~ 416/2015. (XII.23.) Korm.rendelet alapján a bölcsődében foglalkoztatott felsőfokú végzettségű kisgyermeknevelők béréhez kapcsolódó támogatás ( 11 hóra, a májusi rendeletmódosítást figyelembe véve)</t>
  </si>
  <si>
    <t>~ 754/2016. (XI.11.) Közgyűlési határozat szerinti illetményrendezés 2016.07.01-2016.12.31. közötti időszakra. (dietetikus élelmezésvezető)</t>
  </si>
  <si>
    <t>~ III. számú Idősek Otthona programjaihoz, karácsonyi ünnepségéhez, valamint az ellátottak és a dolgozók ajándék vásárlásához kapcsolódó 2016. december 1. és 2017. január 31. napja között felmerülő személyi és dologi költségekhez (Képviselői Alap)</t>
  </si>
  <si>
    <t>~ Krízishelyzetben lévő személyek megsegítése céljából 2016. október 1. és 2017. április 30. közötti időszakban ruhaneműk, élelmiszer és tisztálkodó szerek beszerzéséhez. (Polgármesteri Keret)</t>
  </si>
  <si>
    <t>~ Kulturális feladatokhoz kapcsolódó egyéb rendezvények (könyvkiadás)</t>
  </si>
  <si>
    <t>~Egészségügyi feladatok támogatása (3, 6 és 21. háziorv. körzet)</t>
  </si>
  <si>
    <t>~ Székesfehérvár Szárazrét területén található III. számú Idősek Otthona programjaihoz, karácsonyi ünnepségéhez, valamint az ellátottak és a dolgozók ajándék vásárlásához és készítéséhez kapcsolódó 2016. december 1. és 2017. január 31. napja között felmerülő személyi és dologi költségekhez (Képviselői Alap)</t>
  </si>
  <si>
    <t>~Krízishelyzetben lévő személyek megsegítése céljából a 2016. október 1. és 2017. április 30. napja közötti időszakban ruhaneműk, élelmiszer, tisztálkodó szerek beszerzéséhez kapcsolódó dologi költségekhez (Polgármesteri keret)</t>
  </si>
  <si>
    <t>"Csala helytörténete" című köny kiadásának személyi és dologi költségeihez (Kulturális feladatokhoz kapcsolódó egyéb rendezvények - Könyvkiadás sor)</t>
  </si>
  <si>
    <t>~Széna Téri Tagkönyvtár által 2015. december 31. napjáig megvalósításra kerülő, kultúrát, olvasást és a könyvtárakat népszerűsítő rendezvényekhez kapcsolódó személyi és dologi költségek (Képviselői Alap)</t>
  </si>
  <si>
    <t>~Vörösmarty Mihály Könyvtár gondozásában 500 példányban megjelenő 1956-os események bibliográfiájának kiadási költségeihez (Könyvkiadás)</t>
  </si>
  <si>
    <t>~2016. november 18. és 2016. november 20. napja között megrendezésre kerülő "Krisztus Király Napok" elnevezésű városrészi rendezvény megvalósításának dologi költségeihez (Városrészi rendezvények)</t>
  </si>
  <si>
    <t>Önkormányzat V. módosított előirányzat</t>
  </si>
  <si>
    <t xml:space="preserve">   Központi támogatások és szerződéses kötelmek elszámolása</t>
  </si>
  <si>
    <t>~ Főösszeget nem érintő belső átcsoportosítás</t>
  </si>
  <si>
    <t>~ Bevételi oldal rendezése (projekt megvalósítás miatt)</t>
  </si>
  <si>
    <t xml:space="preserve">   Helyi foglalkoztatási együttműködések Székesfehérvár és járása területén</t>
  </si>
  <si>
    <t xml:space="preserve">   Civil nap megrendezési költségei</t>
  </si>
  <si>
    <t xml:space="preserve">  Választott tisztségviselők juttatásai</t>
  </si>
  <si>
    <t xml:space="preserve">   3. számú Bölcsőde - Épület energiahatékonysági rekonstrukciója, akadálymentesítése, külső terek felújítása, eszközök beszerzése a TOP 6.2. intézkedés kiírására figyelemmel</t>
  </si>
  <si>
    <t xml:space="preserve">   Tulipános Óvoda - Épület energiahatékonysági rekonstrukciója, akadálymentesítése, külső terek felújítása, eszközök beszerzése a TOP 6.2. intézkedés kiírására figyelemmel</t>
  </si>
  <si>
    <t xml:space="preserve">   Rákóczi Utcai Óvoda - Épület energiahatékonysági rekonstrukciója, akadálymentesítése, külső terek felújítása, eszközök beszerzése a TOP 6.2. intézkedés kiírására figyelemmel</t>
  </si>
  <si>
    <t xml:space="preserve">   Multifunkcionális csarnok  megvalósításához szükséges tervezési, előkészítési feladatok, kapcsolódó ingatlanvásárlás</t>
  </si>
  <si>
    <t xml:space="preserve">   Székesfehérvári Stadionrekonstrukciós program megvalósítására, figyelemmel a 1285/2015.(IV.30.) Korm. határozatra, valamint a megvalósítás ütemezésére</t>
  </si>
  <si>
    <t xml:space="preserve">   Székesfehérvári Sóstó Természetvédelmi Terület és Vidámparki csónakázótó rehabilitációjára, figyelemmel a 1285/2015.(IV.30.) Korm. határozatra, valamint a megvalósítás ütemezésére</t>
  </si>
  <si>
    <t xml:space="preserve">   dr. Koch László utcai parkolóház építése és kapcsolódó egyéb létesítmények</t>
  </si>
  <si>
    <t xml:space="preserve">   Fő és gyűjtőutak felújítása - Ligetsor (Ligetsor felújítás és parkolómező, körforgalom, iskola-óvoda előtti tér, sétány)</t>
  </si>
  <si>
    <t xml:space="preserve">   Fő és gyűjtőutak felújítása- Berényi u. II. ütem</t>
  </si>
  <si>
    <t xml:space="preserve">   Varga csatorna mederrendezése</t>
  </si>
  <si>
    <t xml:space="preserve">   Túrózsáki út melletti szabadidőpark létrehozása és sétány kialakítása (Túrózsáki út-Bártfai út)</t>
  </si>
  <si>
    <t xml:space="preserve">   Kisléptékű közlekedési célú fejlesztés a munkaerő mobilitás és a gazdaságfejlesztés érdekében</t>
  </si>
  <si>
    <t xml:space="preserve">   Vásárhelyi út felújítása Batthyányi utcai csomópontjától az ipari és logisztikai területek eléréséig</t>
  </si>
  <si>
    <t xml:space="preserve">   Palotavárosi tavak sport és rekreációs célú hasznosítása</t>
  </si>
  <si>
    <t xml:space="preserve">   Felsőváros vízrendezése II. ütem </t>
  </si>
  <si>
    <t xml:space="preserve">   Középiskolai Campus</t>
  </si>
  <si>
    <t>~ Igazgatási tevékenységet érintő átcsoportosítás céltartalékról (projekt megvalósítás miatt)</t>
  </si>
  <si>
    <t xml:space="preserve">   Pályázat előkészítésére és önerő keret</t>
  </si>
  <si>
    <t xml:space="preserve">   Balatoni út Úrhidai úti körforgalomtól kivezető szakasza az elkerülő út csomóponti ágáig </t>
  </si>
  <si>
    <t xml:space="preserve">   Garázs bérleti díjakkal kapcsolatos kiadások</t>
  </si>
  <si>
    <t xml:space="preserve">  Alba Regia Felsőoktatási Expo megrendezéséhez</t>
  </si>
  <si>
    <t xml:space="preserve">   Könyvkiadás- 1956-os események bibliográfiájának kiadási költségeihez hozzájárulás (Vörösmarty Mihály Könyvtár)</t>
  </si>
  <si>
    <t xml:space="preserve">   Könyvkiadás-"Csala helytörténete" című könyv kiadásának költségeihez hozzájárulás (Városi Levéltár és Kutatóintézet)</t>
  </si>
  <si>
    <t xml:space="preserve">   Városrészi rendezvények- "Krisztus Király Napok" elnevezésű városrészi rendezvény megvalósításának költségeihez hozzájárulás (A Szabadművelődés Háza)</t>
  </si>
  <si>
    <t xml:space="preserve">   Handball Future Szolgáltató Kft.-tárgyi eszköz beruházáshoz vissza nem térítendő támogatás (860/2016.(XII.16.) kgy.hat.alapján)</t>
  </si>
  <si>
    <t xml:space="preserve">   Alba Kölyök Egyesület- Budai út 45. sz. alatti ingatlanon műfüves borítású pálya kialakításához vissza nem térítendő támogatás (861/2016.(XII.16.) kgy.hat.alapján)</t>
  </si>
  <si>
    <t xml:space="preserve">   Krízishelyzetben lévő személyek megsegítéséhez hozzájárulás (Kríziskezelő Központ)</t>
  </si>
  <si>
    <t xml:space="preserve">   III. számú Idősek Otthona programjaihoz, karácsonyi ünnepségéhez, valamint az ellátottak és a dolgozók számára ajándékok vásárlásához és készítéséhez kapcsolódó költségekhez hozzájárulás (Egyesített Szociális Intézmény)</t>
  </si>
  <si>
    <t xml:space="preserve">   Szociális, gyermekjóléti és gyermekvédelmi ágazati pótlék (Intézménytől elvonás)</t>
  </si>
  <si>
    <t xml:space="preserve">   Kiegészítő támogatás a bölcsödében foglalkoztatott felsőfokú végzettségű kisgyermeknevelők béréhez</t>
  </si>
  <si>
    <t xml:space="preserve">   Költségvetési szervek működési költségeinek fedezetére, valamint az új illetve átszervezéssel érintett intézmények megalakulásával és átszervezésével kapcsolatos eseti költségeinek fedezetére</t>
  </si>
  <si>
    <t xml:space="preserve">    Önkormányzati feladatellátást szolgáló támogatási keret</t>
  </si>
  <si>
    <t>~ Bevétel miatti csökkenés</t>
  </si>
  <si>
    <t xml:space="preserve">   Rászoruló gyermekek intézményen kívüli szünidei étkeztetésének támogatása</t>
  </si>
  <si>
    <t xml:space="preserve">    Önkormányzati feladatellátást szolgáló támogatási keret- Árpádház programhoz kapcsolódó tervezési, előkészítési feladatok</t>
  </si>
  <si>
    <t xml:space="preserve">    Önkormányzati feladatellátást szolgáló támogatási keret- Multifunkcionális csarnok  megvalósításához szükséges tervezési, előkészítési feladatok, kapcsolódó ingatlanvásárlás</t>
  </si>
  <si>
    <t xml:space="preserve">    Önkormányzati feladatellátást szolgáló támogatási keret- Székesfehérvári Sóstó Természetvédelmi Terület és Vidámparki csónakázótó rehabilitációjára, figyelemmel a 1285/2015.(IV.30.) Korm. határozatra, valamint a megvalósítás ütemezésére</t>
  </si>
  <si>
    <t xml:space="preserve">    Önkormányzati feladatellátást szolgáló támogatási keret- dr. Koch László utcai parkolóház építése és kapcsolódó egyéb létesítmények</t>
  </si>
  <si>
    <t xml:space="preserve">   Önkormányzati feladatellátást szolgáló támogatási keret-Varga csatorna mederrendezése</t>
  </si>
  <si>
    <t xml:space="preserve">  Közalkalmazottak illetményrendezése 2016. július 1. napjától (8. számú bölcsőde)</t>
  </si>
  <si>
    <t xml:space="preserve">  Költségvetési szervek működési költségeinek fedezetére, valamint az új illetve átszervezéssel érintett intézmények megalakulásával és átszervezésével kapcsolatos eseti költségeinek fedezetére - Intézményi feladatellátáshoz kapcsolódó előirányzat rendezés </t>
  </si>
  <si>
    <t xml:space="preserve">           Handball Future Szolgáltató Kft.-tárgyi eszköz beruházáshoz vissza nem térítendő támogatás (860/2016.(XII.16.) kgy.hat.alapján)</t>
  </si>
  <si>
    <t xml:space="preserve">           Alba Kölyök Egyesület- Budai út 45. sz. alatti ingatlanon műfüves borítású pálya kialakításához vissza nem térítendő támogatás (861/2016.(XII.16.) kgy.hat.alapján)</t>
  </si>
  <si>
    <t>Nemzeti Szabadidős-Egészség Sportpark Programhoz kapcsolódó önkormányzati önrész (552/2016.(VII.7.) kgy.hat.alapján)</t>
  </si>
  <si>
    <t>Középiskolai Campus</t>
  </si>
  <si>
    <t xml:space="preserve">Felsőváros vízrendezése II. ütem </t>
  </si>
  <si>
    <t>Kisléptékű közlekedési célú fejlesztés a munkaerő mobilitás és a gazdaságfejlesztés érdekében</t>
  </si>
  <si>
    <t>Vásárhelyi út felújítása Batthyányi utcai csomópontjától az ipari és logisztikai területek eléréséig</t>
  </si>
  <si>
    <t>Palotavárosi tavak sport és rekreációs célú hasznosítása</t>
  </si>
  <si>
    <t>Módosított előirányzat összesen</t>
  </si>
  <si>
    <t>Államháztartáson belüli megelőlegezések</t>
  </si>
  <si>
    <t>Fel nem osztott keret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</si>
</sst>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F_t_-;\-* #,##0.00\ _F_t_-;_-* &quot;-&quot;??\ _F_t_-;_-@_-"/>
    <numFmt numFmtId="165" formatCode="#,##0.000"/>
    <numFmt numFmtId="166" formatCode="0.000"/>
  </numFmts>
  <fonts count="81" x14ac:knownFonts="1">
    <font>
      <sz val="12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sz val="12"/>
      <name val="Times New Roman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 CE"/>
      <charset val="238"/>
    </font>
    <font>
      <sz val="12"/>
      <color indexed="8"/>
      <name val="Times New Roman"/>
      <family val="2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name val="Times New Roman"/>
      <family val="2"/>
      <charset val="238"/>
    </font>
    <font>
      <b/>
      <i/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b/>
      <i/>
      <sz val="12"/>
      <name val="Times New Roman CE"/>
      <charset val="238"/>
    </font>
    <font>
      <i/>
      <sz val="10"/>
      <name val="Arial CE"/>
      <charset val="238"/>
    </font>
    <font>
      <b/>
      <i/>
      <sz val="10"/>
      <name val="Arial CE"/>
      <charset val="238"/>
    </font>
    <font>
      <b/>
      <sz val="10"/>
      <name val="Arial CE"/>
      <charset val="238"/>
    </font>
    <font>
      <sz val="11"/>
      <name val="Arial CE"/>
      <charset val="238"/>
    </font>
    <font>
      <sz val="12"/>
      <name val="Times New Roman CE"/>
    </font>
    <font>
      <b/>
      <sz val="10"/>
      <name val="Times New Roman CE"/>
      <charset val="238"/>
    </font>
    <font>
      <i/>
      <sz val="12"/>
      <name val="Times New Roman CE"/>
      <family val="1"/>
      <charset val="238"/>
    </font>
    <font>
      <b/>
      <sz val="14"/>
      <name val="Times New Roman CE"/>
      <charset val="238"/>
    </font>
    <font>
      <u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</font>
    <font>
      <b/>
      <sz val="10"/>
      <name val="Times New Roman CE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b/>
      <sz val="11"/>
      <name val="Times New Roman CE"/>
      <charset val="238"/>
    </font>
    <font>
      <b/>
      <sz val="10"/>
      <name val="Times New Roman CE"/>
    </font>
    <font>
      <i/>
      <sz val="12"/>
      <name val="Times New Roman CE"/>
    </font>
    <font>
      <sz val="10"/>
      <name val="Times New Roman CE"/>
      <family val="1"/>
      <charset val="238"/>
    </font>
    <font>
      <b/>
      <sz val="8"/>
      <name val="Times New Roman CE"/>
    </font>
    <font>
      <sz val="10"/>
      <color indexed="8"/>
      <name val="Calibri"/>
      <family val="2"/>
      <charset val="238"/>
    </font>
    <font>
      <b/>
      <sz val="14"/>
      <color indexed="8"/>
      <name val="Times New Roman"/>
      <family val="1"/>
      <charset val="238"/>
    </font>
    <font>
      <sz val="11"/>
      <name val="Times New Roman CE"/>
      <charset val="238"/>
    </font>
    <font>
      <i/>
      <sz val="11"/>
      <name val="Times New Roman CE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</borders>
  <cellStyleXfs count="232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5" fillId="3" borderId="0" applyNumberFormat="0" applyBorder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27" fillId="20" borderId="1" applyNumberFormat="0" applyAlignment="0" applyProtection="0"/>
    <xf numFmtId="0" fontId="18" fillId="21" borderId="2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1" borderId="2" applyNumberFormat="0" applyAlignment="0" applyProtection="0"/>
    <xf numFmtId="0" fontId="18" fillId="21" borderId="2" applyNumberFormat="0" applyAlignment="0" applyProtection="0"/>
    <xf numFmtId="0" fontId="18" fillId="21" borderId="2" applyNumberFormat="0" applyAlignment="0" applyProtection="0"/>
    <xf numFmtId="0" fontId="23" fillId="0" borderId="0" applyNumberFormat="0" applyFill="0" applyBorder="0" applyAlignment="0" applyProtection="0"/>
    <xf numFmtId="164" fontId="10" fillId="0" borderId="0" applyFont="0" applyFill="0" applyBorder="0" applyAlignment="0" applyProtection="0"/>
    <xf numFmtId="164" fontId="64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13" fillId="7" borderId="1" applyNumberFormat="0" applyAlignment="0" applyProtection="0"/>
    <xf numFmtId="0" fontId="7" fillId="22" borderId="7" applyNumberFormat="0" applyFont="0" applyAlignment="0" applyProtection="0"/>
    <xf numFmtId="0" fontId="29" fillId="22" borderId="7" applyNumberFormat="0" applyFont="0" applyAlignment="0" applyProtection="0"/>
    <xf numFmtId="0" fontId="29" fillId="22" borderId="7" applyNumberFormat="0" applyFont="0" applyAlignment="0" applyProtection="0"/>
    <xf numFmtId="0" fontId="10" fillId="22" borderId="7" applyNumberFormat="0" applyFont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2" fillId="20" borderId="8" applyNumberFormat="0" applyAlignment="0" applyProtection="0"/>
    <xf numFmtId="0" fontId="20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23" borderId="0" applyNumberFormat="0" applyBorder="0" applyAlignment="0" applyProtection="0"/>
    <xf numFmtId="0" fontId="65" fillId="0" borderId="0"/>
    <xf numFmtId="0" fontId="10" fillId="0" borderId="0"/>
    <xf numFmtId="0" fontId="29" fillId="0" borderId="0"/>
    <xf numFmtId="0" fontId="29" fillId="0" borderId="0"/>
    <xf numFmtId="0" fontId="10" fillId="0" borderId="0"/>
    <xf numFmtId="0" fontId="7" fillId="0" borderId="0"/>
    <xf numFmtId="0" fontId="29" fillId="0" borderId="0"/>
    <xf numFmtId="0" fontId="64" fillId="0" borderId="0"/>
    <xf numFmtId="0" fontId="11" fillId="0" borderId="0"/>
    <xf numFmtId="0" fontId="29" fillId="0" borderId="0"/>
    <xf numFmtId="0" fontId="6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5" fillId="0" borderId="0"/>
    <xf numFmtId="0" fontId="31" fillId="0" borderId="0"/>
    <xf numFmtId="0" fontId="10" fillId="0" borderId="0"/>
    <xf numFmtId="0" fontId="65" fillId="0" borderId="0"/>
    <xf numFmtId="0" fontId="65" fillId="0" borderId="0"/>
    <xf numFmtId="0" fontId="32" fillId="0" borderId="0"/>
    <xf numFmtId="0" fontId="29" fillId="0" borderId="0"/>
    <xf numFmtId="0" fontId="50" fillId="0" borderId="0"/>
    <xf numFmtId="0" fontId="32" fillId="0" borderId="0"/>
    <xf numFmtId="0" fontId="32" fillId="0" borderId="0"/>
    <xf numFmtId="0" fontId="32" fillId="0" borderId="0"/>
    <xf numFmtId="0" fontId="29" fillId="0" borderId="0"/>
    <xf numFmtId="0" fontId="29" fillId="0" borderId="0"/>
    <xf numFmtId="0" fontId="7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0" fontId="51" fillId="0" borderId="0"/>
    <xf numFmtId="0" fontId="31" fillId="0" borderId="0"/>
    <xf numFmtId="0" fontId="29" fillId="0" borderId="0"/>
    <xf numFmtId="0" fontId="51" fillId="0" borderId="0"/>
    <xf numFmtId="0" fontId="29" fillId="0" borderId="0"/>
    <xf numFmtId="0" fontId="11" fillId="22" borderId="7" applyNumberFormat="0" applyFont="0" applyAlignment="0" applyProtection="0"/>
    <xf numFmtId="0" fontId="22" fillId="20" borderId="8" applyNumberForma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7" fillId="20" borderId="1" applyNumberFormat="0" applyAlignment="0" applyProtection="0"/>
    <xf numFmtId="0" fontId="27" fillId="20" borderId="1" applyNumberFormat="0" applyAlignment="0" applyProtection="0"/>
    <xf numFmtId="0" fontId="27" fillId="20" borderId="1" applyNumberFormat="0" applyAlignment="0" applyProtection="0"/>
    <xf numFmtId="0" fontId="14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7" fillId="0" borderId="0"/>
    <xf numFmtId="0" fontId="1" fillId="0" borderId="0"/>
  </cellStyleXfs>
  <cellXfs count="1329">
    <xf numFmtId="0" fontId="0" fillId="0" borderId="0" xfId="0"/>
    <xf numFmtId="0" fontId="29" fillId="0" borderId="0" xfId="157"/>
    <xf numFmtId="0" fontId="33" fillId="0" borderId="10" xfId="176" applyFont="1" applyFill="1" applyBorder="1" applyAlignment="1">
      <alignment horizontal="center" wrapText="1"/>
    </xf>
    <xf numFmtId="3" fontId="33" fillId="0" borderId="10" xfId="188" applyNumberFormat="1" applyFont="1" applyFill="1" applyBorder="1" applyAlignment="1">
      <alignment horizontal="center" wrapText="1"/>
    </xf>
    <xf numFmtId="0" fontId="34" fillId="0" borderId="0" xfId="188" applyFont="1" applyFill="1"/>
    <xf numFmtId="0" fontId="33" fillId="0" borderId="10" xfId="181" applyFont="1" applyFill="1" applyBorder="1" applyAlignment="1">
      <alignment horizontal="center" wrapText="1"/>
    </xf>
    <xf numFmtId="3" fontId="33" fillId="0" borderId="10" xfId="181" applyNumberFormat="1" applyFont="1" applyFill="1" applyBorder="1" applyAlignment="1">
      <alignment horizontal="center"/>
    </xf>
    <xf numFmtId="3" fontId="33" fillId="0" borderId="11" xfId="175" applyNumberFormat="1" applyFont="1" applyFill="1" applyBorder="1" applyAlignment="1">
      <alignment wrapText="1"/>
    </xf>
    <xf numFmtId="0" fontId="34" fillId="0" borderId="11" xfId="175" applyFont="1" applyFill="1" applyBorder="1"/>
    <xf numFmtId="3" fontId="34" fillId="0" borderId="11" xfId="188" applyNumberFormat="1" applyFont="1" applyFill="1" applyBorder="1"/>
    <xf numFmtId="3" fontId="33" fillId="0" borderId="11" xfId="188" applyNumberFormat="1" applyFont="1" applyFill="1" applyBorder="1"/>
    <xf numFmtId="3" fontId="33" fillId="0" borderId="13" xfId="175" applyNumberFormat="1" applyFont="1" applyFill="1" applyBorder="1" applyAlignment="1">
      <alignment wrapText="1"/>
    </xf>
    <xf numFmtId="3" fontId="33" fillId="0" borderId="14" xfId="188" applyNumberFormat="1" applyFont="1" applyFill="1" applyBorder="1"/>
    <xf numFmtId="3" fontId="33" fillId="0" borderId="15" xfId="188" applyNumberFormat="1" applyFont="1" applyFill="1" applyBorder="1"/>
    <xf numFmtId="0" fontId="34" fillId="0" borderId="0" xfId="188" applyFont="1" applyFill="1" applyBorder="1"/>
    <xf numFmtId="3" fontId="33" fillId="0" borderId="0" xfId="188" applyNumberFormat="1" applyFont="1" applyFill="1"/>
    <xf numFmtId="0" fontId="33" fillId="0" borderId="16" xfId="180" applyFont="1" applyBorder="1" applyAlignment="1">
      <alignment horizontal="center"/>
    </xf>
    <xf numFmtId="0" fontId="33" fillId="0" borderId="17" xfId="180" applyFont="1" applyBorder="1" applyAlignment="1">
      <alignment horizontal="center"/>
    </xf>
    <xf numFmtId="3" fontId="33" fillId="0" borderId="17" xfId="180" applyNumberFormat="1" applyFont="1" applyBorder="1" applyAlignment="1">
      <alignment horizontal="center"/>
    </xf>
    <xf numFmtId="3" fontId="33" fillId="0" borderId="17" xfId="180" applyNumberFormat="1" applyFont="1" applyBorder="1" applyAlignment="1">
      <alignment horizontal="center" wrapText="1"/>
    </xf>
    <xf numFmtId="3" fontId="33" fillId="0" borderId="18" xfId="180" applyNumberFormat="1" applyFont="1" applyBorder="1" applyAlignment="1">
      <alignment horizontal="center"/>
    </xf>
    <xf numFmtId="0" fontId="33" fillId="0" borderId="0" xfId="180" applyFont="1" applyAlignment="1">
      <alignment horizontal="center"/>
    </xf>
    <xf numFmtId="0" fontId="34" fillId="0" borderId="12" xfId="180" applyFont="1" applyBorder="1" applyAlignment="1">
      <alignment wrapText="1"/>
    </xf>
    <xf numFmtId="0" fontId="34" fillId="0" borderId="19" xfId="180" applyFont="1" applyBorder="1"/>
    <xf numFmtId="3" fontId="34" fillId="0" borderId="19" xfId="180" applyNumberFormat="1" applyFont="1" applyBorder="1"/>
    <xf numFmtId="3" fontId="34" fillId="0" borderId="20" xfId="180" applyNumberFormat="1" applyFont="1" applyBorder="1"/>
    <xf numFmtId="3" fontId="34" fillId="0" borderId="21" xfId="180" applyNumberFormat="1" applyFont="1" applyBorder="1"/>
    <xf numFmtId="0" fontId="34" fillId="0" borderId="0" xfId="180" applyFont="1"/>
    <xf numFmtId="0" fontId="28" fillId="0" borderId="22" xfId="180" applyFont="1" applyBorder="1" applyAlignment="1">
      <alignment wrapText="1"/>
    </xf>
    <xf numFmtId="0" fontId="28" fillId="0" borderId="23" xfId="180" applyFont="1" applyBorder="1"/>
    <xf numFmtId="3" fontId="28" fillId="0" borderId="23" xfId="180" applyNumberFormat="1" applyFont="1" applyBorder="1"/>
    <xf numFmtId="3" fontId="28" fillId="0" borderId="24" xfId="180" applyNumberFormat="1" applyFont="1" applyBorder="1"/>
    <xf numFmtId="3" fontId="28" fillId="0" borderId="25" xfId="180" applyNumberFormat="1" applyFont="1" applyBorder="1"/>
    <xf numFmtId="0" fontId="28" fillId="0" borderId="0" xfId="180" applyFont="1" applyBorder="1"/>
    <xf numFmtId="0" fontId="28" fillId="0" borderId="26" xfId="180" applyFont="1" applyBorder="1"/>
    <xf numFmtId="0" fontId="28" fillId="0" borderId="27" xfId="180" applyFont="1" applyBorder="1"/>
    <xf numFmtId="0" fontId="34" fillId="0" borderId="22" xfId="180" applyFont="1" applyBorder="1" applyAlignment="1">
      <alignment wrapText="1"/>
    </xf>
    <xf numFmtId="0" fontId="34" fillId="0" borderId="23" xfId="180" applyFont="1" applyBorder="1"/>
    <xf numFmtId="3" fontId="34" fillId="0" borderId="23" xfId="180" applyNumberFormat="1" applyFont="1" applyBorder="1"/>
    <xf numFmtId="3" fontId="34" fillId="0" borderId="24" xfId="180" applyNumberFormat="1" applyFont="1" applyBorder="1"/>
    <xf numFmtId="3" fontId="34" fillId="0" borderId="25" xfId="180" applyNumberFormat="1" applyFont="1" applyBorder="1"/>
    <xf numFmtId="0" fontId="34" fillId="0" borderId="0" xfId="180" applyFont="1" applyBorder="1"/>
    <xf numFmtId="0" fontId="34" fillId="0" borderId="26" xfId="180" applyFont="1" applyBorder="1"/>
    <xf numFmtId="0" fontId="34" fillId="0" borderId="27" xfId="180" applyFont="1" applyBorder="1"/>
    <xf numFmtId="0" fontId="34" fillId="0" borderId="23" xfId="180" applyFont="1" applyBorder="1" applyAlignment="1">
      <alignment wrapText="1"/>
    </xf>
    <xf numFmtId="3" fontId="28" fillId="0" borderId="28" xfId="180" applyNumberFormat="1" applyFont="1" applyBorder="1"/>
    <xf numFmtId="0" fontId="33" fillId="0" borderId="12" xfId="180" applyFont="1" applyBorder="1" applyAlignment="1">
      <alignment horizontal="center" wrapText="1"/>
    </xf>
    <xf numFmtId="0" fontId="33" fillId="0" borderId="24" xfId="180" applyFont="1" applyBorder="1"/>
    <xf numFmtId="3" fontId="33" fillId="0" borderId="24" xfId="180" applyNumberFormat="1" applyFont="1" applyBorder="1"/>
    <xf numFmtId="3" fontId="33" fillId="0" borderId="25" xfId="180" applyNumberFormat="1" applyFont="1" applyBorder="1"/>
    <xf numFmtId="0" fontId="34" fillId="0" borderId="12" xfId="180" applyFont="1" applyBorder="1"/>
    <xf numFmtId="0" fontId="34" fillId="0" borderId="20" xfId="180" applyFont="1" applyBorder="1"/>
    <xf numFmtId="0" fontId="34" fillId="0" borderId="24" xfId="180" applyFont="1" applyBorder="1" applyAlignment="1">
      <alignment wrapText="1"/>
    </xf>
    <xf numFmtId="0" fontId="33" fillId="0" borderId="22" xfId="180" applyFont="1" applyBorder="1" applyAlignment="1">
      <alignment horizontal="center"/>
    </xf>
    <xf numFmtId="0" fontId="34" fillId="0" borderId="24" xfId="180" applyFont="1" applyBorder="1"/>
    <xf numFmtId="3" fontId="37" fillId="0" borderId="24" xfId="180" applyNumberFormat="1" applyFont="1" applyBorder="1"/>
    <xf numFmtId="0" fontId="33" fillId="0" borderId="12" xfId="180" applyFont="1" applyBorder="1" applyAlignment="1">
      <alignment horizontal="center"/>
    </xf>
    <xf numFmtId="3" fontId="33" fillId="0" borderId="24" xfId="180" applyNumberFormat="1" applyFont="1" applyFill="1" applyBorder="1"/>
    <xf numFmtId="3" fontId="33" fillId="0" borderId="21" xfId="180" applyNumberFormat="1" applyFont="1" applyBorder="1"/>
    <xf numFmtId="0" fontId="33" fillId="0" borderId="22" xfId="180" applyFont="1" applyBorder="1" applyAlignment="1">
      <alignment horizontal="center" wrapText="1"/>
    </xf>
    <xf numFmtId="0" fontId="33" fillId="0" borderId="29" xfId="180" applyFont="1" applyBorder="1" applyAlignment="1">
      <alignment horizontal="center"/>
    </xf>
    <xf numFmtId="0" fontId="34" fillId="0" borderId="30" xfId="180" applyFont="1" applyBorder="1"/>
    <xf numFmtId="3" fontId="33" fillId="0" borderId="30" xfId="180" applyNumberFormat="1" applyFont="1" applyBorder="1"/>
    <xf numFmtId="3" fontId="33" fillId="0" borderId="31" xfId="180" applyNumberFormat="1" applyFont="1" applyBorder="1"/>
    <xf numFmtId="3" fontId="34" fillId="0" borderId="0" xfId="180" applyNumberFormat="1" applyFont="1"/>
    <xf numFmtId="0" fontId="33" fillId="0" borderId="32" xfId="180" applyFont="1" applyBorder="1" applyAlignment="1">
      <alignment horizontal="center" vertical="center"/>
    </xf>
    <xf numFmtId="0" fontId="33" fillId="0" borderId="33" xfId="180" applyFont="1" applyBorder="1" applyAlignment="1">
      <alignment horizontal="center" vertical="center"/>
    </xf>
    <xf numFmtId="3" fontId="33" fillId="0" borderId="33" xfId="180" applyNumberFormat="1" applyFont="1" applyBorder="1" applyAlignment="1">
      <alignment horizontal="center" vertical="center" wrapText="1"/>
    </xf>
    <xf numFmtId="3" fontId="33" fillId="0" borderId="34" xfId="180" applyNumberFormat="1" applyFont="1" applyBorder="1" applyAlignment="1">
      <alignment horizontal="center" vertical="center" wrapText="1"/>
    </xf>
    <xf numFmtId="0" fontId="33" fillId="0" borderId="24" xfId="180" applyFont="1" applyBorder="1" applyAlignment="1">
      <alignment horizontal="center"/>
    </xf>
    <xf numFmtId="3" fontId="33" fillId="0" borderId="24" xfId="180" applyNumberFormat="1" applyFont="1" applyBorder="1" applyAlignment="1">
      <alignment horizontal="center"/>
    </xf>
    <xf numFmtId="3" fontId="33" fillId="0" borderId="24" xfId="180" applyNumberFormat="1" applyFont="1" applyBorder="1" applyAlignment="1">
      <alignment horizontal="center" wrapText="1"/>
    </xf>
    <xf numFmtId="3" fontId="33" fillId="0" borderId="35" xfId="180" applyNumberFormat="1" applyFont="1" applyBorder="1" applyAlignment="1">
      <alignment horizontal="center" wrapText="1"/>
    </xf>
    <xf numFmtId="0" fontId="34" fillId="0" borderId="36" xfId="180" applyFont="1" applyBorder="1" applyAlignment="1">
      <alignment horizontal="center"/>
    </xf>
    <xf numFmtId="0" fontId="38" fillId="0" borderId="24" xfId="184" applyFont="1" applyBorder="1"/>
    <xf numFmtId="3" fontId="38" fillId="0" borderId="24" xfId="184" applyNumberFormat="1" applyFont="1" applyBorder="1" applyAlignment="1">
      <alignment horizontal="center"/>
    </xf>
    <xf numFmtId="14" fontId="38" fillId="0" borderId="24" xfId="184" applyNumberFormat="1" applyFont="1" applyBorder="1" applyAlignment="1">
      <alignment horizontal="center"/>
    </xf>
    <xf numFmtId="3" fontId="34" fillId="0" borderId="24" xfId="184" applyNumberFormat="1" applyFont="1" applyBorder="1"/>
    <xf numFmtId="3" fontId="34" fillId="0" borderId="35" xfId="180" applyNumberFormat="1" applyFont="1" applyBorder="1"/>
    <xf numFmtId="3" fontId="34" fillId="0" borderId="24" xfId="184" applyNumberFormat="1" applyFont="1" applyBorder="1" applyAlignment="1">
      <alignment horizontal="right"/>
    </xf>
    <xf numFmtId="0" fontId="38" fillId="0" borderId="24" xfId="184" applyFont="1" applyBorder="1" applyAlignment="1">
      <alignment horizontal="center"/>
    </xf>
    <xf numFmtId="0" fontId="34" fillId="0" borderId="24" xfId="184" applyNumberFormat="1" applyFont="1" applyBorder="1"/>
    <xf numFmtId="0" fontId="34" fillId="0" borderId="24" xfId="184" applyNumberFormat="1" applyFont="1" applyBorder="1" applyAlignment="1">
      <alignment horizontal="right"/>
    </xf>
    <xf numFmtId="0" fontId="33" fillId="0" borderId="0" xfId="180" applyFont="1"/>
    <xf numFmtId="3" fontId="33" fillId="0" borderId="35" xfId="180" applyNumberFormat="1" applyFont="1" applyBorder="1"/>
    <xf numFmtId="0" fontId="34" fillId="0" borderId="37" xfId="180" applyFont="1" applyBorder="1" applyAlignment="1">
      <alignment horizontal="center"/>
    </xf>
    <xf numFmtId="0" fontId="34" fillId="0" borderId="38" xfId="180" applyFont="1" applyBorder="1"/>
    <xf numFmtId="0" fontId="33" fillId="0" borderId="38" xfId="180" applyFont="1" applyBorder="1"/>
    <xf numFmtId="3" fontId="33" fillId="0" borderId="38" xfId="180" applyNumberFormat="1" applyFont="1" applyBorder="1"/>
    <xf numFmtId="3" fontId="33" fillId="0" borderId="39" xfId="180" applyNumberFormat="1" applyFont="1" applyBorder="1"/>
    <xf numFmtId="0" fontId="34" fillId="0" borderId="0" xfId="180" applyFont="1" applyAlignment="1">
      <alignment horizontal="center"/>
    </xf>
    <xf numFmtId="0" fontId="40" fillId="0" borderId="0" xfId="177" applyFont="1"/>
    <xf numFmtId="0" fontId="40" fillId="0" borderId="0" xfId="177" applyFont="1" applyAlignment="1">
      <alignment wrapText="1"/>
    </xf>
    <xf numFmtId="0" fontId="41" fillId="0" borderId="0" xfId="177" applyFont="1"/>
    <xf numFmtId="0" fontId="41" fillId="0" borderId="0" xfId="177" applyFont="1" applyAlignment="1">
      <alignment wrapText="1"/>
    </xf>
    <xf numFmtId="0" fontId="40" fillId="0" borderId="24" xfId="177" applyFont="1" applyFill="1" applyBorder="1" applyAlignment="1">
      <alignment wrapText="1"/>
    </xf>
    <xf numFmtId="3" fontId="40" fillId="0" borderId="41" xfId="177" applyNumberFormat="1" applyFont="1" applyBorder="1"/>
    <xf numFmtId="3" fontId="40" fillId="0" borderId="24" xfId="177" applyNumberFormat="1" applyFont="1" applyBorder="1"/>
    <xf numFmtId="3" fontId="40" fillId="0" borderId="35" xfId="177" applyNumberFormat="1" applyFont="1" applyBorder="1"/>
    <xf numFmtId="0" fontId="42" fillId="0" borderId="0" xfId="177" applyFont="1" applyAlignment="1">
      <alignment wrapText="1"/>
    </xf>
    <xf numFmtId="0" fontId="40" fillId="0" borderId="0" xfId="177" applyFont="1" applyAlignment="1"/>
    <xf numFmtId="0" fontId="43" fillId="0" borderId="10" xfId="182" applyFont="1" applyBorder="1" applyAlignment="1">
      <alignment horizontal="center" wrapText="1"/>
    </xf>
    <xf numFmtId="0" fontId="32" fillId="0" borderId="0" xfId="174"/>
    <xf numFmtId="3" fontId="7" fillId="0" borderId="20" xfId="182" applyNumberFormat="1" applyFont="1" applyFill="1" applyBorder="1"/>
    <xf numFmtId="3" fontId="7" fillId="0" borderId="21" xfId="182" applyNumberFormat="1" applyFont="1" applyFill="1" applyBorder="1"/>
    <xf numFmtId="3" fontId="7" fillId="0" borderId="11" xfId="182" applyNumberFormat="1" applyFont="1" applyFill="1" applyBorder="1"/>
    <xf numFmtId="3" fontId="8" fillId="0" borderId="11" xfId="182" applyNumberFormat="1" applyFont="1" applyFill="1" applyBorder="1"/>
    <xf numFmtId="0" fontId="43" fillId="0" borderId="11" xfId="182" applyFont="1" applyBorder="1" applyAlignment="1">
      <alignment wrapText="1"/>
    </xf>
    <xf numFmtId="3" fontId="43" fillId="0" borderId="11" xfId="182" applyNumberFormat="1" applyFont="1" applyFill="1" applyBorder="1"/>
    <xf numFmtId="0" fontId="32" fillId="0" borderId="0" xfId="174" applyFont="1"/>
    <xf numFmtId="0" fontId="44" fillId="0" borderId="11" xfId="182" applyFont="1" applyBorder="1" applyAlignment="1">
      <alignment wrapText="1"/>
    </xf>
    <xf numFmtId="3" fontId="44" fillId="0" borderId="20" xfId="182" applyNumberFormat="1" applyFont="1" applyFill="1" applyBorder="1"/>
    <xf numFmtId="3" fontId="44" fillId="0" borderId="11" xfId="182" applyNumberFormat="1" applyFont="1" applyFill="1" applyBorder="1"/>
    <xf numFmtId="3" fontId="44" fillId="0" borderId="21" xfId="182" applyNumberFormat="1" applyFont="1" applyFill="1" applyBorder="1"/>
    <xf numFmtId="3" fontId="7" fillId="0" borderId="20" xfId="182" applyNumberFormat="1" applyFill="1" applyBorder="1"/>
    <xf numFmtId="3" fontId="7" fillId="0" borderId="11" xfId="182" applyNumberFormat="1" applyFill="1" applyBorder="1"/>
    <xf numFmtId="0" fontId="45" fillId="0" borderId="11" xfId="182" applyFont="1" applyBorder="1" applyAlignment="1">
      <alignment wrapText="1"/>
    </xf>
    <xf numFmtId="3" fontId="46" fillId="0" borderId="11" xfId="182" applyNumberFormat="1" applyFont="1" applyFill="1" applyBorder="1"/>
    <xf numFmtId="3" fontId="46" fillId="0" borderId="20" xfId="182" applyNumberFormat="1" applyFont="1" applyFill="1" applyBorder="1"/>
    <xf numFmtId="0" fontId="47" fillId="0" borderId="0" xfId="174" applyFont="1"/>
    <xf numFmtId="3" fontId="9" fillId="0" borderId="20" xfId="182" applyNumberFormat="1" applyFont="1" applyFill="1" applyBorder="1"/>
    <xf numFmtId="3" fontId="9" fillId="0" borderId="11" xfId="182" applyNumberFormat="1" applyFont="1" applyFill="1" applyBorder="1"/>
    <xf numFmtId="3" fontId="9" fillId="0" borderId="21" xfId="182" applyNumberFormat="1" applyFont="1" applyFill="1" applyBorder="1"/>
    <xf numFmtId="3" fontId="46" fillId="0" borderId="21" xfId="182" applyNumberFormat="1" applyFont="1" applyFill="1" applyBorder="1"/>
    <xf numFmtId="3" fontId="45" fillId="0" borderId="11" xfId="182" applyNumberFormat="1" applyFont="1" applyFill="1" applyBorder="1"/>
    <xf numFmtId="0" fontId="44" fillId="0" borderId="11" xfId="182" applyFont="1" applyFill="1" applyBorder="1" applyAlignment="1">
      <alignment wrapText="1"/>
    </xf>
    <xf numFmtId="0" fontId="32" fillId="0" borderId="0" xfId="174" applyFill="1"/>
    <xf numFmtId="0" fontId="32" fillId="0" borderId="0" xfId="174" applyFont="1" applyFill="1"/>
    <xf numFmtId="0" fontId="43" fillId="0" borderId="43" xfId="182" applyFont="1" applyBorder="1" applyAlignment="1">
      <alignment wrapText="1"/>
    </xf>
    <xf numFmtId="3" fontId="8" fillId="0" borderId="19" xfId="182" applyNumberFormat="1" applyFont="1" applyFill="1" applyBorder="1"/>
    <xf numFmtId="3" fontId="8" fillId="0" borderId="43" xfId="182" applyNumberFormat="1" applyFont="1" applyFill="1" applyBorder="1"/>
    <xf numFmtId="3" fontId="8" fillId="0" borderId="44" xfId="182" applyNumberFormat="1" applyFont="1" applyFill="1" applyBorder="1"/>
    <xf numFmtId="3" fontId="8" fillId="0" borderId="10" xfId="182" applyNumberFormat="1" applyFont="1" applyFill="1" applyBorder="1"/>
    <xf numFmtId="0" fontId="44" fillId="0" borderId="43" xfId="182" applyFont="1" applyBorder="1" applyAlignment="1">
      <alignment wrapText="1"/>
    </xf>
    <xf numFmtId="3" fontId="7" fillId="0" borderId="43" xfId="182" applyNumberFormat="1" applyFill="1" applyBorder="1"/>
    <xf numFmtId="3" fontId="7" fillId="0" borderId="44" xfId="182" applyNumberFormat="1" applyFill="1" applyBorder="1"/>
    <xf numFmtId="0" fontId="48" fillId="0" borderId="0" xfId="174" applyFont="1"/>
    <xf numFmtId="3" fontId="7" fillId="0" borderId="45" xfId="182" applyNumberFormat="1" applyFont="1" applyFill="1" applyBorder="1"/>
    <xf numFmtId="3" fontId="7" fillId="0" borderId="46" xfId="182" applyNumberFormat="1" applyFont="1" applyFill="1" applyBorder="1"/>
    <xf numFmtId="0" fontId="49" fillId="0" borderId="0" xfId="174" applyFont="1"/>
    <xf numFmtId="3" fontId="8" fillId="0" borderId="45" xfId="182" applyNumberFormat="1" applyFont="1" applyFill="1" applyBorder="1"/>
    <xf numFmtId="0" fontId="43" fillId="0" borderId="45" xfId="182" applyFont="1" applyBorder="1" applyAlignment="1">
      <alignment wrapText="1"/>
    </xf>
    <xf numFmtId="0" fontId="43" fillId="0" borderId="10" xfId="182" applyFont="1" applyBorder="1" applyAlignment="1">
      <alignment wrapText="1"/>
    </xf>
    <xf numFmtId="3" fontId="43" fillId="0" borderId="47" xfId="182" applyNumberFormat="1" applyFont="1" applyFill="1" applyBorder="1"/>
    <xf numFmtId="3" fontId="43" fillId="0" borderId="48" xfId="182" applyNumberFormat="1" applyFont="1" applyFill="1" applyBorder="1"/>
    <xf numFmtId="3" fontId="43" fillId="0" borderId="10" xfId="182" applyNumberFormat="1" applyFont="1" applyFill="1" applyBorder="1"/>
    <xf numFmtId="3" fontId="46" fillId="0" borderId="10" xfId="182" applyNumberFormat="1" applyFont="1" applyFill="1" applyBorder="1"/>
    <xf numFmtId="0" fontId="43" fillId="0" borderId="49" xfId="182" applyFont="1" applyBorder="1" applyAlignment="1">
      <alignment wrapText="1"/>
    </xf>
    <xf numFmtId="3" fontId="43" fillId="0" borderId="0" xfId="182" applyNumberFormat="1" applyFont="1" applyFill="1" applyBorder="1"/>
    <xf numFmtId="3" fontId="33" fillId="0" borderId="0" xfId="174" applyNumberFormat="1" applyFont="1" applyFill="1" applyBorder="1"/>
    <xf numFmtId="0" fontId="33" fillId="0" borderId="50" xfId="174" applyFont="1" applyBorder="1" applyAlignment="1">
      <alignment wrapText="1"/>
    </xf>
    <xf numFmtId="3" fontId="34" fillId="0" borderId="11" xfId="174" applyNumberFormat="1" applyFont="1" applyBorder="1" applyAlignment="1">
      <alignment wrapText="1"/>
    </xf>
    <xf numFmtId="3" fontId="34" fillId="0" borderId="24" xfId="174" applyNumberFormat="1" applyFont="1" applyFill="1" applyBorder="1" applyAlignment="1">
      <alignment wrapText="1"/>
    </xf>
    <xf numFmtId="3" fontId="34" fillId="0" borderId="22" xfId="174" applyNumberFormat="1" applyFont="1" applyFill="1" applyBorder="1"/>
    <xf numFmtId="0" fontId="33" fillId="0" borderId="11" xfId="174" applyFont="1" applyBorder="1" applyAlignment="1">
      <alignment wrapText="1"/>
    </xf>
    <xf numFmtId="3" fontId="34" fillId="0" borderId="11" xfId="174" applyNumberFormat="1" applyFont="1" applyFill="1" applyBorder="1" applyAlignment="1">
      <alignment wrapText="1"/>
    </xf>
    <xf numFmtId="3" fontId="33" fillId="0" borderId="11" xfId="174" applyNumberFormat="1" applyFont="1" applyBorder="1" applyAlignment="1">
      <alignment wrapText="1"/>
    </xf>
    <xf numFmtId="3" fontId="34" fillId="0" borderId="0" xfId="174" applyNumberFormat="1" applyFont="1"/>
    <xf numFmtId="3" fontId="33" fillId="0" borderId="15" xfId="174" applyNumberFormat="1" applyFont="1" applyBorder="1"/>
    <xf numFmtId="3" fontId="34" fillId="0" borderId="0" xfId="174" applyNumberFormat="1" applyFont="1" applyAlignment="1"/>
    <xf numFmtId="3" fontId="34" fillId="0" borderId="0" xfId="174" applyNumberFormat="1" applyFont="1" applyBorder="1"/>
    <xf numFmtId="3" fontId="33" fillId="0" borderId="0" xfId="174" applyNumberFormat="1" applyFont="1" applyBorder="1"/>
    <xf numFmtId="0" fontId="34" fillId="0" borderId="0" xfId="174" applyFont="1"/>
    <xf numFmtId="3" fontId="34" fillId="0" borderId="0" xfId="182" applyNumberFormat="1" applyFont="1" applyBorder="1" applyAlignment="1">
      <alignment wrapText="1"/>
    </xf>
    <xf numFmtId="0" fontId="28" fillId="0" borderId="0" xfId="174" applyFont="1" applyBorder="1"/>
    <xf numFmtId="0" fontId="34" fillId="0" borderId="0" xfId="174" applyFont="1" applyBorder="1"/>
    <xf numFmtId="0" fontId="37" fillId="0" borderId="0" xfId="174" applyFont="1" applyBorder="1"/>
    <xf numFmtId="0" fontId="44" fillId="0" borderId="0" xfId="174" applyFont="1" applyBorder="1"/>
    <xf numFmtId="0" fontId="44" fillId="0" borderId="0" xfId="174" applyFont="1"/>
    <xf numFmtId="0" fontId="43" fillId="0" borderId="10" xfId="173" applyFont="1" applyBorder="1" applyAlignment="1">
      <alignment horizontal="centerContinuous"/>
    </xf>
    <xf numFmtId="3" fontId="43" fillId="0" borderId="10" xfId="173" applyNumberFormat="1" applyFont="1" applyBorder="1" applyAlignment="1">
      <alignment horizontal="centerContinuous" wrapText="1"/>
    </xf>
    <xf numFmtId="0" fontId="44" fillId="0" borderId="0" xfId="173" applyFont="1" applyAlignment="1">
      <alignment horizontal="centerContinuous"/>
    </xf>
    <xf numFmtId="3" fontId="43" fillId="0" borderId="51" xfId="173" applyNumberFormat="1" applyFont="1" applyBorder="1" applyAlignment="1">
      <alignment horizontal="centerContinuous" wrapText="1"/>
    </xf>
    <xf numFmtId="0" fontId="44" fillId="0" borderId="0" xfId="173" applyFont="1" applyAlignment="1">
      <alignment horizontal="centerContinuous" wrapText="1"/>
    </xf>
    <xf numFmtId="0" fontId="43" fillId="0" borderId="53" xfId="173" applyFont="1" applyBorder="1" applyAlignment="1">
      <alignment horizontal="centerContinuous" wrapText="1"/>
    </xf>
    <xf numFmtId="3" fontId="43" fillId="0" borderId="54" xfId="173" applyNumberFormat="1" applyFont="1" applyBorder="1" applyAlignment="1">
      <alignment horizontal="centerContinuous" wrapText="1"/>
    </xf>
    <xf numFmtId="3" fontId="43" fillId="0" borderId="55" xfId="173" applyNumberFormat="1" applyFont="1" applyBorder="1" applyAlignment="1">
      <alignment horizontal="centerContinuous" wrapText="1"/>
    </xf>
    <xf numFmtId="0" fontId="44" fillId="0" borderId="56" xfId="173" applyFont="1" applyBorder="1"/>
    <xf numFmtId="3" fontId="44" fillId="0" borderId="56" xfId="173" applyNumberFormat="1" applyFont="1" applyBorder="1"/>
    <xf numFmtId="3" fontId="44" fillId="0" borderId="57" xfId="173" applyNumberFormat="1" applyFont="1" applyBorder="1"/>
    <xf numFmtId="3" fontId="44" fillId="0" borderId="58" xfId="173" applyNumberFormat="1" applyFont="1" applyBorder="1"/>
    <xf numFmtId="3" fontId="44" fillId="0" borderId="59" xfId="173" applyNumberFormat="1" applyFont="1" applyBorder="1"/>
    <xf numFmtId="3" fontId="8" fillId="0" borderId="60" xfId="173" applyNumberFormat="1" applyFont="1" applyBorder="1"/>
    <xf numFmtId="3" fontId="8" fillId="0" borderId="61" xfId="173" applyNumberFormat="1" applyFont="1" applyBorder="1"/>
    <xf numFmtId="3" fontId="8" fillId="0" borderId="62" xfId="173" applyNumberFormat="1" applyFont="1" applyBorder="1"/>
    <xf numFmtId="3" fontId="8" fillId="0" borderId="52" xfId="173" applyNumberFormat="1" applyFont="1" applyBorder="1"/>
    <xf numFmtId="0" fontId="44" fillId="0" borderId="0" xfId="173" applyFont="1"/>
    <xf numFmtId="0" fontId="44" fillId="0" borderId="11" xfId="173" applyFont="1" applyBorder="1" applyAlignment="1">
      <alignment wrapText="1"/>
    </xf>
    <xf numFmtId="3" fontId="44" fillId="0" borderId="11" xfId="173" applyNumberFormat="1" applyFont="1" applyBorder="1"/>
    <xf numFmtId="3" fontId="44" fillId="0" borderId="12" xfId="173" applyNumberFormat="1" applyFont="1" applyBorder="1"/>
    <xf numFmtId="3" fontId="8" fillId="0" borderId="12" xfId="173" applyNumberFormat="1" applyFont="1" applyBorder="1"/>
    <xf numFmtId="3" fontId="8" fillId="0" borderId="63" xfId="173" applyNumberFormat="1" applyFont="1" applyBorder="1"/>
    <xf numFmtId="3" fontId="8" fillId="0" borderId="64" xfId="173" applyNumberFormat="1" applyFont="1" applyBorder="1"/>
    <xf numFmtId="3" fontId="8" fillId="0" borderId="11" xfId="173" applyNumberFormat="1" applyFont="1" applyBorder="1"/>
    <xf numFmtId="0" fontId="44" fillId="0" borderId="11" xfId="173" applyFont="1" applyBorder="1"/>
    <xf numFmtId="3" fontId="44" fillId="0" borderId="65" xfId="173" applyNumberFormat="1" applyFont="1" applyBorder="1"/>
    <xf numFmtId="3" fontId="8" fillId="0" borderId="65" xfId="173" applyNumberFormat="1" applyFont="1" applyBorder="1"/>
    <xf numFmtId="3" fontId="8" fillId="0" borderId="66" xfId="173" applyNumberFormat="1" applyFont="1" applyBorder="1"/>
    <xf numFmtId="3" fontId="8" fillId="0" borderId="55" xfId="173" applyNumberFormat="1" applyFont="1" applyBorder="1"/>
    <xf numFmtId="0" fontId="8" fillId="0" borderId="11" xfId="173" applyFont="1" applyBorder="1"/>
    <xf numFmtId="3" fontId="45" fillId="0" borderId="11" xfId="173" applyNumberFormat="1" applyFont="1" applyBorder="1"/>
    <xf numFmtId="3" fontId="45" fillId="0" borderId="12" xfId="173" applyNumberFormat="1" applyFont="1" applyBorder="1"/>
    <xf numFmtId="3" fontId="45" fillId="0" borderId="63" xfId="173" applyNumberFormat="1" applyFont="1" applyBorder="1"/>
    <xf numFmtId="3" fontId="45" fillId="0" borderId="21" xfId="173" applyNumberFormat="1" applyFont="1" applyBorder="1"/>
    <xf numFmtId="0" fontId="43" fillId="0" borderId="13" xfId="173" applyFont="1" applyBorder="1"/>
    <xf numFmtId="3" fontId="46" fillId="0" borderId="10" xfId="173" applyNumberFormat="1" applyFont="1" applyBorder="1"/>
    <xf numFmtId="0" fontId="8" fillId="0" borderId="13" xfId="173" applyFont="1" applyBorder="1"/>
    <xf numFmtId="0" fontId="8" fillId="0" borderId="0" xfId="173" applyFont="1"/>
    <xf numFmtId="3" fontId="44" fillId="0" borderId="0" xfId="173" applyNumberFormat="1" applyFont="1"/>
    <xf numFmtId="3" fontId="0" fillId="0" borderId="0" xfId="0" applyNumberFormat="1"/>
    <xf numFmtId="3" fontId="7" fillId="0" borderId="40" xfId="0" applyNumberFormat="1" applyFont="1" applyBorder="1" applyAlignment="1">
      <alignment wrapText="1"/>
    </xf>
    <xf numFmtId="3" fontId="52" fillId="0" borderId="40" xfId="0" applyNumberFormat="1" applyFont="1" applyFill="1" applyBorder="1" applyAlignment="1">
      <alignment horizontal="center" vertical="center" wrapText="1"/>
    </xf>
    <xf numFmtId="3" fontId="52" fillId="0" borderId="40" xfId="0" applyNumberFormat="1" applyFont="1" applyBorder="1" applyAlignment="1">
      <alignment horizontal="center" vertical="center" wrapText="1"/>
    </xf>
    <xf numFmtId="3" fontId="52" fillId="0" borderId="67" xfId="0" applyNumberFormat="1" applyFont="1" applyBorder="1" applyAlignment="1">
      <alignment horizontal="center" vertical="center" wrapText="1"/>
    </xf>
    <xf numFmtId="3" fontId="52" fillId="0" borderId="68" xfId="0" applyNumberFormat="1" applyFont="1" applyBorder="1" applyAlignment="1">
      <alignment horizontal="center" vertical="center" wrapText="1"/>
    </xf>
    <xf numFmtId="3" fontId="7" fillId="0" borderId="0" xfId="0" applyNumberFormat="1" applyFont="1" applyAlignment="1">
      <alignment wrapText="1"/>
    </xf>
    <xf numFmtId="3" fontId="8" fillId="0" borderId="40" xfId="0" applyNumberFormat="1" applyFont="1" applyBorder="1" applyAlignment="1">
      <alignment horizontal="center" vertical="center"/>
    </xf>
    <xf numFmtId="3" fontId="8" fillId="0" borderId="67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" fontId="8" fillId="0" borderId="69" xfId="0" applyNumberFormat="1" applyFont="1" applyBorder="1"/>
    <xf numFmtId="3" fontId="8" fillId="0" borderId="34" xfId="0" applyNumberFormat="1" applyFont="1" applyBorder="1" applyAlignment="1">
      <alignment wrapText="1"/>
    </xf>
    <xf numFmtId="3" fontId="8" fillId="0" borderId="70" xfId="0" applyNumberFormat="1" applyFont="1" applyBorder="1"/>
    <xf numFmtId="3" fontId="8" fillId="0" borderId="0" xfId="0" applyNumberFormat="1" applyFont="1"/>
    <xf numFmtId="3" fontId="8" fillId="0" borderId="35" xfId="0" applyNumberFormat="1" applyFont="1" applyBorder="1" applyAlignment="1">
      <alignment wrapText="1"/>
    </xf>
    <xf numFmtId="3" fontId="8" fillId="0" borderId="66" xfId="0" applyNumberFormat="1" applyFont="1" applyBorder="1"/>
    <xf numFmtId="3" fontId="8" fillId="0" borderId="19" xfId="0" applyNumberFormat="1" applyFont="1" applyBorder="1"/>
    <xf numFmtId="3" fontId="0" fillId="0" borderId="70" xfId="0" applyNumberFormat="1" applyBorder="1"/>
    <xf numFmtId="3" fontId="0" fillId="0" borderId="23" xfId="0" applyNumberFormat="1" applyBorder="1"/>
    <xf numFmtId="3" fontId="0" fillId="0" borderId="71" xfId="0" applyNumberFormat="1" applyBorder="1"/>
    <xf numFmtId="3" fontId="8" fillId="0" borderId="63" xfId="0" applyNumberFormat="1" applyFont="1" applyBorder="1"/>
    <xf numFmtId="3" fontId="0" fillId="0" borderId="36" xfId="0" applyNumberFormat="1" applyBorder="1"/>
    <xf numFmtId="3" fontId="0" fillId="0" borderId="41" xfId="0" applyNumberFormat="1" applyBorder="1"/>
    <xf numFmtId="3" fontId="0" fillId="0" borderId="24" xfId="0" applyNumberFormat="1" applyBorder="1"/>
    <xf numFmtId="3" fontId="0" fillId="0" borderId="72" xfId="0" applyNumberFormat="1" applyBorder="1"/>
    <xf numFmtId="3" fontId="8" fillId="0" borderId="36" xfId="0" applyNumberFormat="1" applyFont="1" applyBorder="1"/>
    <xf numFmtId="3" fontId="8" fillId="0" borderId="41" xfId="0" applyNumberFormat="1" applyFont="1" applyBorder="1"/>
    <xf numFmtId="3" fontId="8" fillId="0" borderId="72" xfId="0" applyNumberFormat="1" applyFont="1" applyBorder="1"/>
    <xf numFmtId="3" fontId="8" fillId="0" borderId="20" xfId="0" applyNumberFormat="1" applyFont="1" applyBorder="1"/>
    <xf numFmtId="0" fontId="8" fillId="0" borderId="35" xfId="0" applyFont="1" applyBorder="1" applyAlignment="1">
      <alignment wrapText="1"/>
    </xf>
    <xf numFmtId="0" fontId="0" fillId="0" borderId="35" xfId="0" applyBorder="1" applyAlignment="1">
      <alignment wrapText="1"/>
    </xf>
    <xf numFmtId="0" fontId="0" fillId="0" borderId="35" xfId="0" applyFont="1" applyBorder="1" applyAlignment="1">
      <alignment wrapText="1"/>
    </xf>
    <xf numFmtId="3" fontId="8" fillId="0" borderId="36" xfId="0" applyNumberFormat="1" applyFont="1" applyFill="1" applyBorder="1"/>
    <xf numFmtId="3" fontId="0" fillId="0" borderId="41" xfId="0" applyNumberFormat="1" applyFill="1" applyBorder="1"/>
    <xf numFmtId="3" fontId="0" fillId="0" borderId="24" xfId="0" applyNumberFormat="1" applyFill="1" applyBorder="1"/>
    <xf numFmtId="3" fontId="0" fillId="0" borderId="72" xfId="0" applyNumberFormat="1" applyFill="1" applyBorder="1"/>
    <xf numFmtId="3" fontId="8" fillId="0" borderId="66" xfId="0" applyNumberFormat="1" applyFont="1" applyFill="1" applyBorder="1"/>
    <xf numFmtId="3" fontId="8" fillId="0" borderId="63" xfId="0" applyNumberFormat="1" applyFont="1" applyFill="1" applyBorder="1"/>
    <xf numFmtId="3" fontId="0" fillId="0" borderId="0" xfId="0" applyNumberFormat="1" applyFill="1"/>
    <xf numFmtId="3" fontId="0" fillId="0" borderId="20" xfId="0" applyNumberFormat="1" applyBorder="1"/>
    <xf numFmtId="3" fontId="0" fillId="0" borderId="24" xfId="0" applyNumberFormat="1" applyFont="1" applyBorder="1"/>
    <xf numFmtId="3" fontId="8" fillId="0" borderId="73" xfId="0" applyNumberFormat="1" applyFont="1" applyBorder="1"/>
    <xf numFmtId="3" fontId="8" fillId="0" borderId="74" xfId="0" applyNumberFormat="1" applyFont="1" applyBorder="1" applyAlignment="1">
      <alignment wrapText="1"/>
    </xf>
    <xf numFmtId="3" fontId="8" fillId="0" borderId="40" xfId="0" applyNumberFormat="1" applyFont="1" applyBorder="1"/>
    <xf numFmtId="3" fontId="0" fillId="0" borderId="69" xfId="0" applyNumberFormat="1" applyBorder="1"/>
    <xf numFmtId="3" fontId="8" fillId="0" borderId="76" xfId="0" applyNumberFormat="1" applyFont="1" applyBorder="1" applyAlignment="1">
      <alignment wrapText="1"/>
    </xf>
    <xf numFmtId="3" fontId="8" fillId="0" borderId="77" xfId="0" applyNumberFormat="1" applyFont="1" applyBorder="1"/>
    <xf numFmtId="3" fontId="8" fillId="0" borderId="78" xfId="0" applyNumberFormat="1" applyFont="1" applyBorder="1" applyAlignment="1">
      <alignment wrapText="1"/>
    </xf>
    <xf numFmtId="3" fontId="0" fillId="0" borderId="79" xfId="0" applyNumberFormat="1" applyBorder="1"/>
    <xf numFmtId="3" fontId="0" fillId="0" borderId="80" xfId="0" applyNumberFormat="1" applyBorder="1"/>
    <xf numFmtId="3" fontId="0" fillId="0" borderId="81" xfId="0" applyNumberFormat="1" applyBorder="1"/>
    <xf numFmtId="3" fontId="8" fillId="0" borderId="82" xfId="0" applyNumberFormat="1" applyFont="1" applyBorder="1"/>
    <xf numFmtId="3" fontId="8" fillId="0" borderId="79" xfId="0" applyNumberFormat="1" applyFont="1" applyBorder="1"/>
    <xf numFmtId="3" fontId="8" fillId="0" borderId="81" xfId="0" applyNumberFormat="1" applyFont="1" applyBorder="1"/>
    <xf numFmtId="3" fontId="8" fillId="0" borderId="83" xfId="0" applyNumberFormat="1" applyFont="1" applyBorder="1"/>
    <xf numFmtId="3" fontId="0" fillId="0" borderId="0" xfId="0" applyNumberFormat="1" applyAlignment="1">
      <alignment wrapText="1"/>
    </xf>
    <xf numFmtId="0" fontId="43" fillId="0" borderId="10" xfId="179" applyFont="1" applyFill="1" applyBorder="1" applyAlignment="1">
      <alignment horizontal="center"/>
    </xf>
    <xf numFmtId="3" fontId="43" fillId="0" borderId="10" xfId="179" applyNumberFormat="1" applyFont="1" applyFill="1" applyBorder="1" applyAlignment="1">
      <alignment horizontal="center" wrapText="1"/>
    </xf>
    <xf numFmtId="0" fontId="7" fillId="0" borderId="0" xfId="179" applyFill="1"/>
    <xf numFmtId="3" fontId="43" fillId="0" borderId="22" xfId="179" applyNumberFormat="1" applyFont="1" applyFill="1" applyBorder="1" applyAlignment="1">
      <alignment wrapText="1"/>
    </xf>
    <xf numFmtId="3" fontId="7" fillId="0" borderId="25" xfId="179" applyNumberFormat="1" applyFill="1" applyBorder="1"/>
    <xf numFmtId="0" fontId="43" fillId="0" borderId="0" xfId="179" applyFont="1" applyFill="1"/>
    <xf numFmtId="3" fontId="43" fillId="0" borderId="16" xfId="179" applyNumberFormat="1" applyFont="1" applyFill="1" applyBorder="1" applyAlignment="1">
      <alignment wrapText="1"/>
    </xf>
    <xf numFmtId="3" fontId="43" fillId="0" borderId="18" xfId="179" applyNumberFormat="1" applyFont="1" applyFill="1" applyBorder="1"/>
    <xf numFmtId="3" fontId="53" fillId="0" borderId="22" xfId="179" applyNumberFormat="1" applyFont="1" applyFill="1" applyBorder="1" applyAlignment="1">
      <alignment wrapText="1"/>
    </xf>
    <xf numFmtId="3" fontId="53" fillId="0" borderId="25" xfId="179" applyNumberFormat="1" applyFont="1" applyFill="1" applyBorder="1"/>
    <xf numFmtId="0" fontId="53" fillId="0" borderId="0" xfId="179" applyFont="1" applyFill="1"/>
    <xf numFmtId="3" fontId="44" fillId="0" borderId="25" xfId="179" applyNumberFormat="1" applyFont="1" applyFill="1" applyBorder="1"/>
    <xf numFmtId="3" fontId="53" fillId="0" borderId="85" xfId="179" applyNumberFormat="1" applyFont="1" applyFill="1" applyBorder="1" applyAlignment="1">
      <alignment wrapText="1"/>
    </xf>
    <xf numFmtId="3" fontId="53" fillId="0" borderId="86" xfId="179" applyNumberFormat="1" applyFont="1" applyFill="1" applyBorder="1"/>
    <xf numFmtId="0" fontId="7" fillId="0" borderId="85" xfId="179" applyFont="1" applyFill="1" applyBorder="1"/>
    <xf numFmtId="3" fontId="7" fillId="0" borderId="28" xfId="179" applyNumberFormat="1" applyFont="1" applyFill="1" applyBorder="1"/>
    <xf numFmtId="3" fontId="9" fillId="0" borderId="22" xfId="179" applyNumberFormat="1" applyFont="1" applyFill="1" applyBorder="1" applyAlignment="1">
      <alignment wrapText="1"/>
    </xf>
    <xf numFmtId="0" fontId="9" fillId="0" borderId="22" xfId="183" applyFont="1" applyFill="1" applyBorder="1" applyAlignment="1">
      <alignment wrapText="1"/>
    </xf>
    <xf numFmtId="3" fontId="9" fillId="0" borderId="25" xfId="179" applyNumberFormat="1" applyFont="1" applyFill="1" applyBorder="1"/>
    <xf numFmtId="3" fontId="45" fillId="0" borderId="10" xfId="179" applyNumberFormat="1" applyFont="1" applyFill="1" applyBorder="1" applyAlignment="1">
      <alignment wrapText="1"/>
    </xf>
    <xf numFmtId="3" fontId="45" fillId="0" borderId="10" xfId="179" applyNumberFormat="1" applyFont="1" applyFill="1" applyBorder="1"/>
    <xf numFmtId="0" fontId="45" fillId="0" borderId="0" xfId="179" applyFont="1" applyFill="1"/>
    <xf numFmtId="3" fontId="7" fillId="0" borderId="0" xfId="179" applyNumberFormat="1" applyFill="1" applyAlignment="1">
      <alignment wrapText="1"/>
    </xf>
    <xf numFmtId="3" fontId="7" fillId="0" borderId="0" xfId="179" applyNumberFormat="1" applyFill="1"/>
    <xf numFmtId="3" fontId="7" fillId="0" borderId="18" xfId="179" applyNumberFormat="1" applyFill="1" applyBorder="1"/>
    <xf numFmtId="0" fontId="7" fillId="0" borderId="0" xfId="179" applyFont="1" applyFill="1"/>
    <xf numFmtId="0" fontId="8" fillId="0" borderId="10" xfId="179" applyFont="1" applyFill="1" applyBorder="1" applyAlignment="1">
      <alignment horizontal="center" wrapText="1"/>
    </xf>
    <xf numFmtId="3" fontId="43" fillId="0" borderId="10" xfId="179" applyNumberFormat="1" applyFont="1" applyFill="1" applyBorder="1" applyAlignment="1">
      <alignment wrapText="1"/>
    </xf>
    <xf numFmtId="3" fontId="43" fillId="0" borderId="10" xfId="179" applyNumberFormat="1" applyFont="1" applyFill="1" applyBorder="1"/>
    <xf numFmtId="3" fontId="8" fillId="0" borderId="42" xfId="179" applyNumberFormat="1" applyFont="1" applyFill="1" applyBorder="1"/>
    <xf numFmtId="3" fontId="8" fillId="0" borderId="10" xfId="179" applyNumberFormat="1" applyFont="1" applyFill="1" applyBorder="1"/>
    <xf numFmtId="3" fontId="7" fillId="0" borderId="0" xfId="179" applyNumberFormat="1" applyFont="1" applyFill="1" applyAlignment="1">
      <alignment wrapText="1"/>
    </xf>
    <xf numFmtId="3" fontId="7" fillId="0" borderId="0" xfId="179" applyNumberFormat="1" applyFont="1" applyFill="1"/>
    <xf numFmtId="3" fontId="8" fillId="0" borderId="0" xfId="179" applyNumberFormat="1" applyFont="1" applyFill="1"/>
    <xf numFmtId="0" fontId="33" fillId="0" borderId="0" xfId="185" applyFont="1" applyFill="1" applyBorder="1" applyAlignment="1">
      <alignment wrapText="1"/>
    </xf>
    <xf numFmtId="3" fontId="34" fillId="0" borderId="0" xfId="185" applyNumberFormat="1" applyFont="1" applyFill="1" applyBorder="1"/>
    <xf numFmtId="3" fontId="34" fillId="0" borderId="0" xfId="185" applyNumberFormat="1" applyFont="1" applyFill="1"/>
    <xf numFmtId="0" fontId="34" fillId="0" borderId="0" xfId="185" applyFont="1" applyFill="1"/>
    <xf numFmtId="0" fontId="33" fillId="0" borderId="32" xfId="185" applyFont="1" applyFill="1" applyBorder="1" applyAlignment="1">
      <alignment horizontal="center"/>
    </xf>
    <xf numFmtId="3" fontId="33" fillId="0" borderId="33" xfId="185" applyNumberFormat="1" applyFont="1" applyFill="1" applyBorder="1" applyAlignment="1">
      <alignment horizontal="center"/>
    </xf>
    <xf numFmtId="3" fontId="33" fillId="0" borderId="34" xfId="185" applyNumberFormat="1" applyFont="1" applyFill="1" applyBorder="1" applyAlignment="1">
      <alignment horizontal="center"/>
    </xf>
    <xf numFmtId="0" fontId="34" fillId="0" borderId="36" xfId="185" applyFont="1" applyFill="1" applyBorder="1" applyAlignment="1">
      <alignment wrapText="1"/>
    </xf>
    <xf numFmtId="3" fontId="34" fillId="0" borderId="24" xfId="185" applyNumberFormat="1" applyFont="1" applyFill="1" applyBorder="1"/>
    <xf numFmtId="3" fontId="34" fillId="0" borderId="35" xfId="185" applyNumberFormat="1" applyFont="1" applyFill="1" applyBorder="1"/>
    <xf numFmtId="0" fontId="33" fillId="0" borderId="37" xfId="185" applyFont="1" applyFill="1" applyBorder="1" applyAlignment="1">
      <alignment wrapText="1"/>
    </xf>
    <xf numFmtId="3" fontId="33" fillId="0" borderId="38" xfId="185" applyNumberFormat="1" applyFont="1" applyFill="1" applyBorder="1"/>
    <xf numFmtId="3" fontId="33" fillId="0" borderId="0" xfId="185" applyNumberFormat="1" applyFont="1" applyFill="1"/>
    <xf numFmtId="0" fontId="33" fillId="0" borderId="0" xfId="185" applyFont="1" applyFill="1"/>
    <xf numFmtId="3" fontId="33" fillId="0" borderId="0" xfId="185" applyNumberFormat="1" applyFont="1" applyFill="1" applyBorder="1"/>
    <xf numFmtId="0" fontId="33" fillId="0" borderId="0" xfId="185" applyFont="1" applyFill="1" applyBorder="1" applyAlignment="1">
      <alignment horizontal="left" wrapText="1"/>
    </xf>
    <xf numFmtId="0" fontId="34" fillId="0" borderId="32" xfId="185" applyFont="1" applyFill="1" applyBorder="1" applyAlignment="1">
      <alignment horizontal="left" wrapText="1"/>
    </xf>
    <xf numFmtId="3" fontId="34" fillId="0" borderId="33" xfId="185" applyNumberFormat="1" applyFont="1" applyFill="1" applyBorder="1"/>
    <xf numFmtId="3" fontId="34" fillId="0" borderId="34" xfId="185" applyNumberFormat="1" applyFont="1" applyFill="1" applyBorder="1"/>
    <xf numFmtId="0" fontId="43" fillId="0" borderId="42" xfId="173" applyFont="1" applyBorder="1" applyAlignment="1">
      <alignment horizontal="centerContinuous"/>
    </xf>
    <xf numFmtId="0" fontId="43" fillId="0" borderId="51" xfId="173" applyFont="1" applyBorder="1" applyAlignment="1">
      <alignment horizontal="centerContinuous" wrapText="1"/>
    </xf>
    <xf numFmtId="0" fontId="43" fillId="0" borderId="42" xfId="182" applyFont="1" applyBorder="1" applyAlignment="1">
      <alignment horizontal="center" wrapText="1"/>
    </xf>
    <xf numFmtId="0" fontId="43" fillId="0" borderId="54" xfId="173" applyFont="1" applyBorder="1" applyAlignment="1">
      <alignment horizontal="centerContinuous" wrapText="1"/>
    </xf>
    <xf numFmtId="0" fontId="8" fillId="0" borderId="12" xfId="173" applyFont="1" applyBorder="1"/>
    <xf numFmtId="0" fontId="8" fillId="0" borderId="47" xfId="173" applyFont="1" applyBorder="1"/>
    <xf numFmtId="0" fontId="43" fillId="0" borderId="87" xfId="173" applyFont="1" applyBorder="1" applyAlignment="1">
      <alignment horizontal="center" wrapText="1"/>
    </xf>
    <xf numFmtId="0" fontId="43" fillId="0" borderId="10" xfId="173" applyFont="1" applyBorder="1"/>
    <xf numFmtId="0" fontId="43" fillId="0" borderId="0" xfId="182" applyFont="1" applyBorder="1" applyAlignment="1">
      <alignment wrapText="1"/>
    </xf>
    <xf numFmtId="3" fontId="44" fillId="0" borderId="43" xfId="182" applyNumberFormat="1" applyFont="1" applyFill="1" applyBorder="1"/>
    <xf numFmtId="0" fontId="0" fillId="0" borderId="11" xfId="182" applyFont="1" applyBorder="1" applyAlignment="1">
      <alignment wrapText="1"/>
    </xf>
    <xf numFmtId="0" fontId="0" fillId="0" borderId="11" xfId="182" applyFont="1" applyFill="1" applyBorder="1" applyAlignment="1">
      <alignment wrapText="1"/>
    </xf>
    <xf numFmtId="3" fontId="7" fillId="0" borderId="19" xfId="182" applyNumberFormat="1" applyFill="1" applyBorder="1"/>
    <xf numFmtId="0" fontId="43" fillId="0" borderId="11" xfId="182" applyFont="1" applyBorder="1" applyAlignment="1">
      <alignment horizontal="left" wrapText="1"/>
    </xf>
    <xf numFmtId="3" fontId="34" fillId="0" borderId="0" xfId="188" applyNumberFormat="1" applyFont="1" applyFill="1" applyBorder="1"/>
    <xf numFmtId="3" fontId="33" fillId="0" borderId="0" xfId="175" applyNumberFormat="1" applyFont="1" applyFill="1" applyBorder="1" applyAlignment="1">
      <alignment wrapText="1"/>
    </xf>
    <xf numFmtId="0" fontId="34" fillId="0" borderId="0" xfId="178" applyFont="1" applyFill="1" applyBorder="1" applyAlignment="1">
      <alignment wrapText="1"/>
    </xf>
    <xf numFmtId="0" fontId="34" fillId="0" borderId="0" xfId="178" applyFont="1" applyFill="1" applyAlignment="1">
      <alignment wrapText="1"/>
    </xf>
    <xf numFmtId="3" fontId="34" fillId="0" borderId="0" xfId="178" applyNumberFormat="1" applyFont="1" applyFill="1" applyAlignment="1">
      <alignment horizontal="right" wrapText="1"/>
    </xf>
    <xf numFmtId="3" fontId="34" fillId="0" borderId="0" xfId="178" applyNumberFormat="1" applyFont="1" applyFill="1"/>
    <xf numFmtId="0" fontId="34" fillId="0" borderId="0" xfId="178" applyFont="1" applyFill="1"/>
    <xf numFmtId="0" fontId="43" fillId="0" borderId="10" xfId="173" applyFont="1" applyBorder="1" applyAlignment="1">
      <alignment horizontal="centerContinuous" wrapText="1"/>
    </xf>
    <xf numFmtId="0" fontId="43" fillId="0" borderId="90" xfId="173" applyFont="1" applyBorder="1" applyAlignment="1">
      <alignment horizontal="centerContinuous" wrapText="1"/>
    </xf>
    <xf numFmtId="3" fontId="7" fillId="0" borderId="91" xfId="182" applyNumberFormat="1" applyFont="1" applyFill="1" applyBorder="1"/>
    <xf numFmtId="3" fontId="43" fillId="0" borderId="92" xfId="182" applyNumberFormat="1" applyFont="1" applyFill="1" applyBorder="1"/>
    <xf numFmtId="0" fontId="44" fillId="0" borderId="50" xfId="182" applyFont="1" applyFill="1" applyBorder="1" applyAlignment="1">
      <alignment wrapText="1"/>
    </xf>
    <xf numFmtId="3" fontId="44" fillId="0" borderId="50" xfId="182" applyNumberFormat="1" applyFont="1" applyFill="1" applyBorder="1"/>
    <xf numFmtId="0" fontId="44" fillId="0" borderId="45" xfId="182" applyFont="1" applyBorder="1" applyAlignment="1">
      <alignment wrapText="1"/>
    </xf>
    <xf numFmtId="0" fontId="43" fillId="0" borderId="47" xfId="182" applyFont="1" applyBorder="1" applyAlignment="1">
      <alignment wrapText="1"/>
    </xf>
    <xf numFmtId="3" fontId="33" fillId="0" borderId="22" xfId="174" applyNumberFormat="1" applyFont="1" applyFill="1" applyBorder="1"/>
    <xf numFmtId="0" fontId="41" fillId="0" borderId="0" xfId="177" applyFont="1" applyAlignment="1">
      <alignment horizontal="center"/>
    </xf>
    <xf numFmtId="0" fontId="44" fillId="0" borderId="11" xfId="173" applyFont="1" applyFill="1" applyBorder="1"/>
    <xf numFmtId="3" fontId="44" fillId="0" borderId="12" xfId="173" applyNumberFormat="1" applyFont="1" applyFill="1" applyBorder="1"/>
    <xf numFmtId="0" fontId="8" fillId="0" borderId="11" xfId="173" applyNumberFormat="1" applyFont="1" applyFill="1" applyBorder="1"/>
    <xf numFmtId="0" fontId="44" fillId="0" borderId="0" xfId="173" applyFont="1" applyFill="1"/>
    <xf numFmtId="0" fontId="0" fillId="0" borderId="0" xfId="0" applyFill="1"/>
    <xf numFmtId="0" fontId="9" fillId="0" borderId="93" xfId="173" applyFont="1" applyFill="1" applyBorder="1"/>
    <xf numFmtId="3" fontId="9" fillId="0" borderId="59" xfId="173" applyNumberFormat="1" applyFont="1" applyFill="1" applyBorder="1"/>
    <xf numFmtId="0" fontId="9" fillId="0" borderId="0" xfId="173" applyFont="1" applyFill="1"/>
    <xf numFmtId="0" fontId="9" fillId="0" borderId="0" xfId="0" applyFont="1" applyFill="1"/>
    <xf numFmtId="0" fontId="44" fillId="0" borderId="11" xfId="173" applyNumberFormat="1" applyFont="1" applyFill="1" applyBorder="1"/>
    <xf numFmtId="0" fontId="9" fillId="0" borderId="15" xfId="173" applyNumberFormat="1" applyFont="1" applyFill="1" applyBorder="1"/>
    <xf numFmtId="0" fontId="9" fillId="0" borderId="0" xfId="173" applyFont="1"/>
    <xf numFmtId="0" fontId="9" fillId="0" borderId="15" xfId="173" applyFont="1" applyBorder="1"/>
    <xf numFmtId="3" fontId="9" fillId="0" borderId="15" xfId="173" applyNumberFormat="1" applyFont="1" applyBorder="1"/>
    <xf numFmtId="3" fontId="43" fillId="0" borderId="45" xfId="182" applyNumberFormat="1" applyFont="1" applyFill="1" applyBorder="1"/>
    <xf numFmtId="3" fontId="33" fillId="0" borderId="20" xfId="174" applyNumberFormat="1" applyFont="1" applyFill="1" applyBorder="1" applyAlignment="1">
      <alignment wrapText="1"/>
    </xf>
    <xf numFmtId="3" fontId="43" fillId="0" borderId="91" xfId="182" applyNumberFormat="1" applyFont="1" applyFill="1" applyBorder="1"/>
    <xf numFmtId="3" fontId="43" fillId="0" borderId="46" xfId="182" applyNumberFormat="1" applyFont="1" applyFill="1" applyBorder="1"/>
    <xf numFmtId="0" fontId="44" fillId="0" borderId="0" xfId="171" applyFont="1"/>
    <xf numFmtId="3" fontId="43" fillId="0" borderId="94" xfId="171" applyNumberFormat="1" applyFont="1" applyBorder="1" applyAlignment="1">
      <alignment horizontal="centerContinuous" vertical="center"/>
    </xf>
    <xf numFmtId="3" fontId="43" fillId="0" borderId="95" xfId="171" applyNumberFormat="1" applyFont="1" applyBorder="1" applyAlignment="1">
      <alignment horizontal="centerContinuous" vertical="center"/>
    </xf>
    <xf numFmtId="0" fontId="43" fillId="0" borderId="34" xfId="171" applyFont="1" applyBorder="1" applyAlignment="1">
      <alignment horizontal="center" vertical="center" wrapText="1"/>
    </xf>
    <xf numFmtId="3" fontId="44" fillId="0" borderId="0" xfId="171" applyNumberFormat="1" applyFont="1"/>
    <xf numFmtId="3" fontId="43" fillId="0" borderId="0" xfId="171" applyNumberFormat="1" applyFont="1" applyBorder="1"/>
    <xf numFmtId="0" fontId="44" fillId="0" borderId="0" xfId="171" applyFont="1" applyAlignment="1">
      <alignment horizontal="right"/>
    </xf>
    <xf numFmtId="0" fontId="44" fillId="0" borderId="0" xfId="171" applyFont="1" applyAlignment="1">
      <alignment horizontal="left"/>
    </xf>
    <xf numFmtId="0" fontId="41" fillId="0" borderId="40" xfId="177" applyFont="1" applyBorder="1" applyAlignment="1">
      <alignment horizontal="center" vertical="center"/>
    </xf>
    <xf numFmtId="0" fontId="34" fillId="0" borderId="0" xfId="190" applyFont="1"/>
    <xf numFmtId="3" fontId="34" fillId="0" borderId="0" xfId="190" applyNumberFormat="1" applyFont="1"/>
    <xf numFmtId="0" fontId="29" fillId="0" borderId="0" xfId="190"/>
    <xf numFmtId="0" fontId="33" fillId="0" borderId="40" xfId="190" applyFont="1" applyBorder="1" applyAlignment="1">
      <alignment horizontal="center"/>
    </xf>
    <xf numFmtId="3" fontId="33" fillId="0" borderId="40" xfId="190" applyNumberFormat="1" applyFont="1" applyBorder="1" applyAlignment="1">
      <alignment horizontal="center"/>
    </xf>
    <xf numFmtId="0" fontId="34" fillId="0" borderId="69" xfId="190" applyFont="1" applyBorder="1" applyAlignment="1">
      <alignment wrapText="1"/>
    </xf>
    <xf numFmtId="3" fontId="34" fillId="0" borderId="76" xfId="190" applyNumberFormat="1" applyFont="1" applyBorder="1"/>
    <xf numFmtId="0" fontId="34" fillId="0" borderId="36" xfId="190" applyFont="1" applyBorder="1" applyAlignment="1">
      <alignment wrapText="1"/>
    </xf>
    <xf numFmtId="3" fontId="34" fillId="0" borderId="35" xfId="190" applyNumberFormat="1" applyFont="1" applyBorder="1"/>
    <xf numFmtId="0" fontId="33" fillId="0" borderId="40" xfId="190" applyFont="1" applyBorder="1"/>
    <xf numFmtId="3" fontId="33" fillId="0" borderId="40" xfId="190" applyNumberFormat="1" applyFont="1" applyBorder="1"/>
    <xf numFmtId="0" fontId="35" fillId="0" borderId="40" xfId="187" applyFont="1" applyBorder="1" applyAlignment="1">
      <alignment horizontal="center" wrapText="1"/>
    </xf>
    <xf numFmtId="3" fontId="35" fillId="0" borderId="40" xfId="187" applyNumberFormat="1" applyFont="1" applyBorder="1" applyAlignment="1">
      <alignment horizontal="center" wrapText="1"/>
    </xf>
    <xf numFmtId="0" fontId="31" fillId="0" borderId="0" xfId="187"/>
    <xf numFmtId="0" fontId="35" fillId="0" borderId="40" xfId="187" applyFont="1" applyBorder="1" applyAlignment="1">
      <alignment wrapText="1"/>
    </xf>
    <xf numFmtId="3" fontId="35" fillId="0" borderId="40" xfId="187" applyNumberFormat="1" applyFont="1" applyBorder="1"/>
    <xf numFmtId="0" fontId="31" fillId="0" borderId="0" xfId="187" applyAlignment="1"/>
    <xf numFmtId="3" fontId="31" fillId="0" borderId="0" xfId="187" applyNumberFormat="1"/>
    <xf numFmtId="0" fontId="31" fillId="0" borderId="0" xfId="187" applyAlignment="1">
      <alignment wrapText="1"/>
    </xf>
    <xf numFmtId="0" fontId="40" fillId="0" borderId="0" xfId="177" applyFont="1" applyFill="1" applyAlignment="1">
      <alignment wrapText="1"/>
    </xf>
    <xf numFmtId="0" fontId="40" fillId="0" borderId="41" xfId="177" applyFont="1" applyFill="1" applyBorder="1" applyAlignment="1">
      <alignment wrapText="1"/>
    </xf>
    <xf numFmtId="0" fontId="42" fillId="0" borderId="0" xfId="177" applyFont="1" applyFill="1" applyAlignment="1">
      <alignment wrapText="1"/>
    </xf>
    <xf numFmtId="3" fontId="33" fillId="0" borderId="24" xfId="174" applyNumberFormat="1" applyFont="1" applyFill="1" applyBorder="1"/>
    <xf numFmtId="3" fontId="34" fillId="0" borderId="20" xfId="174" applyNumberFormat="1" applyFont="1" applyFill="1" applyBorder="1" applyAlignment="1">
      <alignment wrapText="1"/>
    </xf>
    <xf numFmtId="3" fontId="33" fillId="0" borderId="20" xfId="174" applyNumberFormat="1" applyFont="1" applyFill="1" applyBorder="1"/>
    <xf numFmtId="3" fontId="33" fillId="0" borderId="16" xfId="174" applyNumberFormat="1" applyFont="1" applyBorder="1"/>
    <xf numFmtId="3" fontId="33" fillId="0" borderId="17" xfId="174" applyNumberFormat="1" applyFont="1" applyBorder="1"/>
    <xf numFmtId="3" fontId="34" fillId="0" borderId="22" xfId="174" applyNumberFormat="1" applyFont="1" applyBorder="1"/>
    <xf numFmtId="3" fontId="34" fillId="0" borderId="24" xfId="174" applyNumberFormat="1" applyFont="1" applyBorder="1"/>
    <xf numFmtId="3" fontId="34" fillId="0" borderId="24" xfId="174" applyNumberFormat="1" applyFont="1" applyFill="1" applyBorder="1"/>
    <xf numFmtId="3" fontId="34" fillId="0" borderId="22" xfId="174" applyNumberFormat="1" applyFont="1" applyFill="1" applyBorder="1" applyAlignment="1">
      <alignment wrapText="1"/>
    </xf>
    <xf numFmtId="3" fontId="33" fillId="0" borderId="29" xfId="174" applyNumberFormat="1" applyFont="1" applyBorder="1"/>
    <xf numFmtId="3" fontId="33" fillId="0" borderId="30" xfId="174" applyNumberFormat="1" applyFont="1" applyBorder="1"/>
    <xf numFmtId="3" fontId="34" fillId="0" borderId="20" xfId="174" applyNumberFormat="1" applyFont="1" applyFill="1" applyBorder="1"/>
    <xf numFmtId="0" fontId="36" fillId="0" borderId="63" xfId="187" applyFont="1" applyFill="1" applyBorder="1" applyAlignment="1">
      <alignment wrapText="1"/>
    </xf>
    <xf numFmtId="3" fontId="31" fillId="0" borderId="63" xfId="187" applyNumberFormat="1" applyFill="1" applyBorder="1"/>
    <xf numFmtId="0" fontId="8" fillId="0" borderId="0" xfId="0" applyFont="1"/>
    <xf numFmtId="3" fontId="8" fillId="0" borderId="15" xfId="173" applyNumberFormat="1" applyFont="1" applyBorder="1"/>
    <xf numFmtId="0" fontId="8" fillId="0" borderId="11" xfId="173" applyFont="1" applyBorder="1" applyAlignment="1">
      <alignment horizontal="left"/>
    </xf>
    <xf numFmtId="0" fontId="8" fillId="0" borderId="11" xfId="173" applyFont="1" applyBorder="1" applyAlignment="1">
      <alignment horizontal="left" wrapText="1"/>
    </xf>
    <xf numFmtId="0" fontId="8" fillId="0" borderId="45" xfId="173" applyNumberFormat="1" applyFont="1" applyFill="1" applyBorder="1"/>
    <xf numFmtId="3" fontId="8" fillId="0" borderId="45" xfId="173" applyNumberFormat="1" applyFont="1" applyBorder="1"/>
    <xf numFmtId="0" fontId="8" fillId="0" borderId="15" xfId="173" applyFont="1" applyBorder="1"/>
    <xf numFmtId="0" fontId="44" fillId="0" borderId="43" xfId="173" applyFont="1" applyBorder="1"/>
    <xf numFmtId="0" fontId="8" fillId="0" borderId="43" xfId="173" applyFont="1" applyBorder="1" applyAlignment="1">
      <alignment horizontal="left"/>
    </xf>
    <xf numFmtId="0" fontId="8" fillId="0" borderId="50" xfId="173" applyFont="1" applyBorder="1" applyAlignment="1">
      <alignment horizontal="left" wrapText="1"/>
    </xf>
    <xf numFmtId="0" fontId="8" fillId="0" borderId="97" xfId="173" applyFont="1" applyBorder="1" applyAlignment="1">
      <alignment horizontal="left" wrapText="1"/>
    </xf>
    <xf numFmtId="3" fontId="8" fillId="0" borderId="43" xfId="173" applyNumberFormat="1" applyFont="1" applyBorder="1"/>
    <xf numFmtId="3" fontId="8" fillId="0" borderId="11" xfId="173" applyNumberFormat="1" applyFont="1" applyFill="1" applyBorder="1"/>
    <xf numFmtId="0" fontId="43" fillId="0" borderId="98" xfId="173" applyFont="1" applyBorder="1" applyAlignment="1">
      <alignment wrapText="1"/>
    </xf>
    <xf numFmtId="0" fontId="8" fillId="0" borderId="98" xfId="173" applyFont="1" applyBorder="1" applyAlignment="1">
      <alignment horizontal="center"/>
    </xf>
    <xf numFmtId="3" fontId="46" fillId="0" borderId="45" xfId="182" applyNumberFormat="1" applyFont="1" applyFill="1" applyBorder="1"/>
    <xf numFmtId="0" fontId="9" fillId="0" borderId="63" xfId="157" applyFont="1" applyFill="1" applyBorder="1" applyAlignment="1">
      <alignment wrapText="1"/>
    </xf>
    <xf numFmtId="16" fontId="29" fillId="0" borderId="0" xfId="157" applyNumberFormat="1" applyAlignment="1">
      <alignment horizontal="right"/>
    </xf>
    <xf numFmtId="0" fontId="29" fillId="0" borderId="0" xfId="157" applyAlignment="1">
      <alignment horizontal="right"/>
    </xf>
    <xf numFmtId="0" fontId="56" fillId="0" borderId="0" xfId="157" applyFont="1"/>
    <xf numFmtId="0" fontId="29" fillId="0" borderId="0" xfId="157" applyFill="1" applyAlignment="1">
      <alignment horizontal="center"/>
    </xf>
    <xf numFmtId="3" fontId="46" fillId="0" borderId="93" xfId="173" applyNumberFormat="1" applyFont="1" applyFill="1" applyBorder="1"/>
    <xf numFmtId="3" fontId="8" fillId="0" borderId="10" xfId="173" applyNumberFormat="1" applyFont="1" applyBorder="1"/>
    <xf numFmtId="0" fontId="57" fillId="0" borderId="14" xfId="186" applyFont="1" applyBorder="1" applyAlignment="1">
      <alignment horizontal="center" vertical="center" wrapText="1"/>
    </xf>
    <xf numFmtId="3" fontId="57" fillId="0" borderId="10" xfId="189" applyNumberFormat="1" applyFont="1" applyBorder="1" applyAlignment="1">
      <alignment horizontal="center" vertical="center" wrapText="1"/>
    </xf>
    <xf numFmtId="0" fontId="57" fillId="0" borderId="10" xfId="189" applyFont="1" applyBorder="1" applyAlignment="1">
      <alignment horizontal="center" vertical="center" wrapText="1"/>
    </xf>
    <xf numFmtId="0" fontId="51" fillId="0" borderId="21" xfId="186" applyFont="1" applyBorder="1" applyAlignment="1">
      <alignment wrapText="1"/>
    </xf>
    <xf numFmtId="3" fontId="51" fillId="0" borderId="41" xfId="189" applyNumberFormat="1" applyFont="1" applyBorder="1"/>
    <xf numFmtId="3" fontId="51" fillId="0" borderId="24" xfId="189" applyNumberFormat="1" applyFont="1" applyBorder="1"/>
    <xf numFmtId="3" fontId="51" fillId="0" borderId="72" xfId="189" applyNumberFormat="1" applyFont="1" applyBorder="1"/>
    <xf numFmtId="0" fontId="51" fillId="0" borderId="46" xfId="186" applyFont="1" applyBorder="1" applyAlignment="1">
      <alignment wrapText="1"/>
    </xf>
    <xf numFmtId="3" fontId="51" fillId="0" borderId="81" xfId="189" applyNumberFormat="1" applyFont="1" applyBorder="1"/>
    <xf numFmtId="0" fontId="59" fillId="0" borderId="14" xfId="186" applyFont="1" applyBorder="1" applyAlignment="1">
      <alignment wrapText="1"/>
    </xf>
    <xf numFmtId="3" fontId="59" fillId="0" borderId="10" xfId="189" applyNumberFormat="1" applyFont="1" applyBorder="1"/>
    <xf numFmtId="0" fontId="51" fillId="0" borderId="44" xfId="186" applyFont="1" applyBorder="1" applyAlignment="1">
      <alignment wrapText="1"/>
    </xf>
    <xf numFmtId="3" fontId="51" fillId="0" borderId="70" xfId="189" applyNumberFormat="1" applyFont="1" applyBorder="1"/>
    <xf numFmtId="3" fontId="51" fillId="0" borderId="23" xfId="189" applyNumberFormat="1" applyFont="1" applyBorder="1"/>
    <xf numFmtId="3" fontId="51" fillId="0" borderId="71" xfId="189" applyNumberFormat="1" applyFont="1" applyBorder="1"/>
    <xf numFmtId="3" fontId="59" fillId="0" borderId="14" xfId="189" applyNumberFormat="1" applyFont="1" applyBorder="1"/>
    <xf numFmtId="3" fontId="60" fillId="0" borderId="48" xfId="189" applyNumberFormat="1" applyFont="1" applyBorder="1" applyAlignment="1">
      <alignment horizontal="center" vertical="center" wrapText="1"/>
    </xf>
    <xf numFmtId="3" fontId="58" fillId="0" borderId="48" xfId="189" applyNumberFormat="1" applyFont="1" applyBorder="1" applyAlignment="1">
      <alignment horizontal="center" vertical="center" wrapText="1"/>
    </xf>
    <xf numFmtId="3" fontId="60" fillId="0" borderId="48" xfId="189" applyNumberFormat="1" applyFont="1" applyBorder="1" applyAlignment="1">
      <alignment horizontal="center"/>
    </xf>
    <xf numFmtId="3" fontId="60" fillId="0" borderId="10" xfId="189" applyNumberFormat="1" applyFont="1" applyBorder="1" applyAlignment="1">
      <alignment horizontal="center"/>
    </xf>
    <xf numFmtId="3" fontId="33" fillId="0" borderId="40" xfId="172" applyNumberFormat="1" applyFont="1" applyBorder="1" applyAlignment="1">
      <alignment horizontal="left" vertical="center" wrapText="1"/>
    </xf>
    <xf numFmtId="3" fontId="33" fillId="0" borderId="40" xfId="172" applyNumberFormat="1" applyFont="1" applyBorder="1" applyAlignment="1">
      <alignment horizontal="center" vertical="center" wrapText="1"/>
    </xf>
    <xf numFmtId="3" fontId="34" fillId="0" borderId="43" xfId="172" applyNumberFormat="1" applyFont="1" applyBorder="1" applyAlignment="1">
      <alignment horizontal="left"/>
    </xf>
    <xf numFmtId="3" fontId="34" fillId="0" borderId="11" xfId="172" applyNumberFormat="1" applyFont="1" applyBorder="1" applyAlignment="1">
      <alignment horizontal="left"/>
    </xf>
    <xf numFmtId="3" fontId="33" fillId="0" borderId="10" xfId="172" applyNumberFormat="1" applyFont="1" applyBorder="1" applyAlignment="1">
      <alignment horizontal="left"/>
    </xf>
    <xf numFmtId="3" fontId="34" fillId="0" borderId="11" xfId="172" applyNumberFormat="1" applyFont="1" applyBorder="1" applyAlignment="1">
      <alignment horizontal="left" wrapText="1"/>
    </xf>
    <xf numFmtId="3" fontId="34" fillId="0" borderId="11" xfId="172" applyNumberFormat="1" applyFont="1" applyBorder="1" applyAlignment="1"/>
    <xf numFmtId="3" fontId="33" fillId="0" borderId="10" xfId="172" applyNumberFormat="1" applyFont="1" applyBorder="1" applyAlignment="1">
      <alignment horizontal="right"/>
    </xf>
    <xf numFmtId="3" fontId="34" fillId="0" borderId="0" xfId="172" applyNumberFormat="1" applyFont="1" applyBorder="1" applyAlignment="1">
      <alignment horizontal="left"/>
    </xf>
    <xf numFmtId="3" fontId="34" fillId="0" borderId="0" xfId="172" applyNumberFormat="1" applyFont="1" applyBorder="1" applyAlignment="1">
      <alignment horizontal="right"/>
    </xf>
    <xf numFmtId="3" fontId="34" fillId="0" borderId="11" xfId="172" applyNumberFormat="1" applyFont="1" applyBorder="1" applyAlignment="1">
      <alignment horizontal="right"/>
    </xf>
    <xf numFmtId="4" fontId="33" fillId="0" borderId="10" xfId="172" applyNumberFormat="1" applyFont="1" applyBorder="1" applyAlignment="1">
      <alignment horizontal="center"/>
    </xf>
    <xf numFmtId="2" fontId="34" fillId="25" borderId="11" xfId="172" applyNumberFormat="1" applyFont="1" applyFill="1" applyBorder="1" applyAlignment="1">
      <alignment horizontal="center"/>
    </xf>
    <xf numFmtId="3" fontId="33" fillId="0" borderId="10" xfId="172" applyNumberFormat="1" applyFont="1" applyBorder="1" applyAlignment="1">
      <alignment horizontal="center" wrapText="1"/>
    </xf>
    <xf numFmtId="3" fontId="33" fillId="0" borderId="11" xfId="172" applyNumberFormat="1" applyFont="1" applyBorder="1" applyAlignment="1">
      <alignment horizontal="left"/>
    </xf>
    <xf numFmtId="3" fontId="33" fillId="0" borderId="11" xfId="172" applyNumberFormat="1" applyFont="1" applyBorder="1" applyAlignment="1">
      <alignment horizontal="left" wrapText="1"/>
    </xf>
    <xf numFmtId="3" fontId="34" fillId="0" borderId="11" xfId="172" applyNumberFormat="1" applyFont="1" applyBorder="1" applyAlignment="1">
      <alignment horizontal="right" wrapText="1"/>
    </xf>
    <xf numFmtId="3" fontId="33" fillId="0" borderId="11" xfId="172" applyNumberFormat="1" applyFont="1" applyBorder="1" applyAlignment="1"/>
    <xf numFmtId="3" fontId="33" fillId="0" borderId="11" xfId="172" applyNumberFormat="1" applyFont="1" applyBorder="1" applyAlignment="1">
      <alignment horizontal="right"/>
    </xf>
    <xf numFmtId="3" fontId="34" fillId="0" borderId="22" xfId="172" applyNumberFormat="1" applyFont="1" applyBorder="1" applyAlignment="1">
      <alignment horizontal="left"/>
    </xf>
    <xf numFmtId="3" fontId="52" fillId="0" borderId="75" xfId="0" applyNumberFormat="1" applyFont="1" applyBorder="1" applyAlignment="1">
      <alignment horizontal="center" vertical="center" wrapText="1"/>
    </xf>
    <xf numFmtId="3" fontId="8" fillId="0" borderId="102" xfId="0" applyNumberFormat="1" applyFont="1" applyBorder="1"/>
    <xf numFmtId="3" fontId="0" fillId="0" borderId="66" xfId="0" applyNumberFormat="1" applyBorder="1"/>
    <xf numFmtId="3" fontId="0" fillId="0" borderId="63" xfId="0" applyNumberFormat="1" applyBorder="1"/>
    <xf numFmtId="3" fontId="0" fillId="0" borderId="63" xfId="0" applyNumberFormat="1" applyFill="1" applyBorder="1"/>
    <xf numFmtId="0" fontId="33" fillId="0" borderId="0" xfId="178" applyFont="1" applyFill="1" applyBorder="1" applyAlignment="1">
      <alignment wrapText="1"/>
    </xf>
    <xf numFmtId="3" fontId="0" fillId="0" borderId="20" xfId="0" applyNumberFormat="1" applyFill="1" applyBorder="1"/>
    <xf numFmtId="3" fontId="7" fillId="0" borderId="20" xfId="0" applyNumberFormat="1" applyFont="1" applyBorder="1"/>
    <xf numFmtId="3" fontId="8" fillId="0" borderId="68" xfId="0" applyNumberFormat="1" applyFont="1" applyBorder="1" applyAlignment="1">
      <alignment horizontal="center" vertical="center"/>
    </xf>
    <xf numFmtId="3" fontId="8" fillId="0" borderId="75" xfId="0" applyNumberFormat="1" applyFont="1" applyBorder="1" applyAlignment="1">
      <alignment horizontal="center" vertical="center"/>
    </xf>
    <xf numFmtId="0" fontId="43" fillId="0" borderId="13" xfId="173" applyFont="1" applyFill="1" applyBorder="1"/>
    <xf numFmtId="0" fontId="43" fillId="0" borderId="47" xfId="173" applyFont="1" applyFill="1" applyBorder="1"/>
    <xf numFmtId="3" fontId="46" fillId="0" borderId="10" xfId="173" applyNumberFormat="1" applyFont="1" applyFill="1" applyBorder="1"/>
    <xf numFmtId="0" fontId="34" fillId="0" borderId="11" xfId="152" applyNumberFormat="1" applyFont="1" applyFill="1" applyBorder="1" applyAlignment="1">
      <alignment wrapText="1"/>
    </xf>
    <xf numFmtId="0" fontId="34" fillId="0" borderId="11" xfId="152" applyNumberFormat="1" applyFont="1" applyBorder="1"/>
    <xf numFmtId="0" fontId="34" fillId="0" borderId="11" xfId="152" applyFont="1" applyBorder="1"/>
    <xf numFmtId="0" fontId="33" fillId="0" borderId="11" xfId="152" applyFont="1" applyFill="1" applyBorder="1"/>
    <xf numFmtId="0" fontId="34" fillId="0" borderId="93" xfId="152" applyFont="1" applyFill="1" applyBorder="1" applyAlignment="1">
      <alignment wrapText="1"/>
    </xf>
    <xf numFmtId="3" fontId="34" fillId="0" borderId="55" xfId="188" applyNumberFormat="1" applyFont="1" applyFill="1" applyBorder="1"/>
    <xf numFmtId="0" fontId="33" fillId="0" borderId="15" xfId="152" applyFont="1" applyFill="1" applyBorder="1"/>
    <xf numFmtId="4" fontId="33" fillId="0" borderId="10" xfId="172" applyNumberFormat="1" applyFont="1" applyBorder="1" applyAlignment="1">
      <alignment horizontal="left"/>
    </xf>
    <xf numFmtId="0" fontId="9" fillId="0" borderId="63" xfId="157" applyFont="1" applyBorder="1" applyAlignment="1">
      <alignment wrapText="1"/>
    </xf>
    <xf numFmtId="3" fontId="34" fillId="0" borderId="107" xfId="172" applyNumberFormat="1" applyFont="1" applyBorder="1" applyAlignment="1">
      <alignment horizontal="left"/>
    </xf>
    <xf numFmtId="3" fontId="34" fillId="0" borderId="107" xfId="172" applyNumberFormat="1" applyFont="1" applyBorder="1" applyAlignment="1">
      <alignment horizontal="right"/>
    </xf>
    <xf numFmtId="3" fontId="34" fillId="0" borderId="43" xfId="172" applyNumberFormat="1" applyFont="1" applyFill="1" applyBorder="1" applyAlignment="1">
      <alignment horizontal="right"/>
    </xf>
    <xf numFmtId="3" fontId="33" fillId="0" borderId="11" xfId="172" applyNumberFormat="1" applyFont="1" applyFill="1" applyBorder="1" applyAlignment="1">
      <alignment horizontal="right"/>
    </xf>
    <xf numFmtId="3" fontId="34" fillId="0" borderId="11" xfId="172" applyNumberFormat="1" applyFont="1" applyFill="1" applyBorder="1" applyAlignment="1">
      <alignment horizontal="right"/>
    </xf>
    <xf numFmtId="3" fontId="45" fillId="0" borderId="0" xfId="179" applyNumberFormat="1" applyFont="1" applyFill="1" applyBorder="1" applyAlignment="1">
      <alignment wrapText="1"/>
    </xf>
    <xf numFmtId="3" fontId="45" fillId="0" borderId="0" xfId="179" applyNumberFormat="1" applyFont="1" applyFill="1" applyBorder="1"/>
    <xf numFmtId="3" fontId="43" fillId="0" borderId="0" xfId="179" applyNumberFormat="1" applyFont="1" applyFill="1" applyBorder="1" applyAlignment="1">
      <alignment wrapText="1"/>
    </xf>
    <xf numFmtId="3" fontId="43" fillId="0" borderId="0" xfId="179" applyNumberFormat="1" applyFont="1" applyFill="1" applyBorder="1"/>
    <xf numFmtId="3" fontId="44" fillId="0" borderId="55" xfId="179" applyNumberFormat="1" applyFont="1" applyFill="1" applyBorder="1"/>
    <xf numFmtId="3" fontId="9" fillId="0" borderId="29" xfId="179" applyNumberFormat="1" applyFont="1" applyFill="1" applyBorder="1" applyAlignment="1">
      <alignment wrapText="1"/>
    </xf>
    <xf numFmtId="3" fontId="53" fillId="0" borderId="31" xfId="179" applyNumberFormat="1" applyFont="1" applyFill="1" applyBorder="1"/>
    <xf numFmtId="3" fontId="8" fillId="0" borderId="0" xfId="179" applyNumberFormat="1" applyFont="1" applyFill="1" applyBorder="1"/>
    <xf numFmtId="3" fontId="8" fillId="26" borderId="10" xfId="179" applyNumberFormat="1" applyFont="1" applyFill="1" applyBorder="1"/>
    <xf numFmtId="3" fontId="45" fillId="26" borderId="10" xfId="179" applyNumberFormat="1" applyFont="1" applyFill="1" applyBorder="1"/>
    <xf numFmtId="0" fontId="37" fillId="0" borderId="0" xfId="185" applyFont="1" applyFill="1"/>
    <xf numFmtId="3" fontId="37" fillId="0" borderId="0" xfId="185" applyNumberFormat="1" applyFont="1" applyFill="1"/>
    <xf numFmtId="0" fontId="34" fillId="0" borderId="108" xfId="0" applyFont="1" applyBorder="1" applyAlignment="1">
      <alignment vertical="center" wrapText="1"/>
    </xf>
    <xf numFmtId="0" fontId="34" fillId="0" borderId="109" xfId="0" applyFont="1" applyBorder="1" applyAlignment="1">
      <alignment vertical="center" wrapText="1"/>
    </xf>
    <xf numFmtId="3" fontId="34" fillId="0" borderId="109" xfId="0" applyNumberFormat="1" applyFont="1" applyBorder="1" applyAlignment="1">
      <alignment horizontal="center" vertical="center" wrapText="1"/>
    </xf>
    <xf numFmtId="3" fontId="40" fillId="0" borderId="63" xfId="177" applyNumberFormat="1" applyFont="1" applyBorder="1"/>
    <xf numFmtId="0" fontId="57" fillId="0" borderId="10" xfId="186" applyFont="1" applyBorder="1" applyAlignment="1">
      <alignment horizontal="center" vertical="center" wrapText="1"/>
    </xf>
    <xf numFmtId="3" fontId="33" fillId="0" borderId="110" xfId="174" applyNumberFormat="1" applyFont="1" applyBorder="1"/>
    <xf numFmtId="3" fontId="34" fillId="0" borderId="72" xfId="174" applyNumberFormat="1" applyFont="1" applyBorder="1"/>
    <xf numFmtId="3" fontId="34" fillId="0" borderId="72" xfId="174" applyNumberFormat="1" applyFont="1" applyFill="1" applyBorder="1"/>
    <xf numFmtId="3" fontId="33" fillId="0" borderId="72" xfId="174" applyNumberFormat="1" applyFont="1" applyFill="1" applyBorder="1"/>
    <xf numFmtId="3" fontId="33" fillId="0" borderId="18" xfId="174" applyNumberFormat="1" applyFont="1" applyBorder="1"/>
    <xf numFmtId="3" fontId="34" fillId="0" borderId="25" xfId="174" applyNumberFormat="1" applyFont="1" applyBorder="1"/>
    <xf numFmtId="3" fontId="34" fillId="0" borderId="25" xfId="174" applyNumberFormat="1" applyFont="1" applyFill="1" applyBorder="1"/>
    <xf numFmtId="3" fontId="33" fillId="0" borderId="25" xfId="174" applyNumberFormat="1" applyFont="1" applyFill="1" applyBorder="1"/>
    <xf numFmtId="3" fontId="33" fillId="0" borderId="31" xfId="174" applyNumberFormat="1" applyFont="1" applyBorder="1"/>
    <xf numFmtId="3" fontId="43" fillId="0" borderId="24" xfId="171" applyNumberFormat="1" applyFont="1" applyBorder="1"/>
    <xf numFmtId="3" fontId="33" fillId="0" borderId="97" xfId="174" applyNumberFormat="1" applyFont="1" applyBorder="1"/>
    <xf numFmtId="3" fontId="28" fillId="0" borderId="11" xfId="174" applyNumberFormat="1" applyFont="1" applyBorder="1" applyAlignment="1">
      <alignment wrapText="1"/>
    </xf>
    <xf numFmtId="3" fontId="34" fillId="0" borderId="20" xfId="174" applyNumberFormat="1" applyFont="1" applyBorder="1"/>
    <xf numFmtId="3" fontId="34" fillId="0" borderId="21" xfId="174" applyNumberFormat="1" applyFont="1" applyFill="1" applyBorder="1"/>
    <xf numFmtId="3" fontId="34" fillId="0" borderId="25" xfId="174" applyNumberFormat="1" applyFont="1" applyFill="1" applyBorder="1" applyAlignment="1">
      <alignment wrapText="1"/>
    </xf>
    <xf numFmtId="3" fontId="34" fillId="0" borderId="21" xfId="174" applyNumberFormat="1" applyFont="1" applyFill="1" applyBorder="1" applyAlignment="1">
      <alignment wrapText="1"/>
    </xf>
    <xf numFmtId="3" fontId="34" fillId="0" borderId="45" xfId="174" applyNumberFormat="1" applyFont="1" applyBorder="1" applyAlignment="1">
      <alignment wrapText="1"/>
    </xf>
    <xf numFmtId="3" fontId="34" fillId="0" borderId="85" xfId="174" applyNumberFormat="1" applyFont="1" applyFill="1" applyBorder="1"/>
    <xf numFmtId="3" fontId="34" fillId="0" borderId="80" xfId="174" applyNumberFormat="1" applyFont="1" applyFill="1" applyBorder="1"/>
    <xf numFmtId="3" fontId="34" fillId="0" borderId="46" xfId="174" applyNumberFormat="1" applyFont="1" applyFill="1" applyBorder="1"/>
    <xf numFmtId="3" fontId="34" fillId="0" borderId="91" xfId="174" applyNumberFormat="1" applyFont="1" applyFill="1" applyBorder="1"/>
    <xf numFmtId="3" fontId="34" fillId="0" borderId="86" xfId="174" applyNumberFormat="1" applyFont="1" applyFill="1" applyBorder="1"/>
    <xf numFmtId="3" fontId="28" fillId="0" borderId="45" xfId="174" applyNumberFormat="1" applyFont="1" applyBorder="1" applyAlignment="1">
      <alignment wrapText="1"/>
    </xf>
    <xf numFmtId="3" fontId="28" fillId="0" borderId="85" xfId="174" applyNumberFormat="1" applyFont="1" applyFill="1" applyBorder="1"/>
    <xf numFmtId="3" fontId="28" fillId="0" borderId="80" xfId="174" applyNumberFormat="1" applyFont="1" applyFill="1" applyBorder="1"/>
    <xf numFmtId="3" fontId="28" fillId="0" borderId="46" xfId="174" applyNumberFormat="1" applyFont="1" applyFill="1" applyBorder="1"/>
    <xf numFmtId="3" fontId="28" fillId="0" borderId="91" xfId="174" applyNumberFormat="1" applyFont="1" applyFill="1" applyBorder="1"/>
    <xf numFmtId="3" fontId="28" fillId="0" borderId="86" xfId="174" applyNumberFormat="1" applyFont="1" applyFill="1" applyBorder="1"/>
    <xf numFmtId="3" fontId="33" fillId="0" borderId="85" xfId="174" applyNumberFormat="1" applyFont="1" applyFill="1" applyBorder="1"/>
    <xf numFmtId="3" fontId="33" fillId="0" borderId="80" xfId="174" applyNumberFormat="1" applyFont="1" applyFill="1" applyBorder="1"/>
    <xf numFmtId="3" fontId="33" fillId="0" borderId="46" xfId="174" applyNumberFormat="1" applyFont="1" applyFill="1" applyBorder="1"/>
    <xf numFmtId="3" fontId="33" fillId="0" borderId="91" xfId="174" applyNumberFormat="1" applyFont="1" applyFill="1" applyBorder="1"/>
    <xf numFmtId="3" fontId="33" fillId="0" borderId="86" xfId="174" applyNumberFormat="1" applyFont="1" applyFill="1" applyBorder="1"/>
    <xf numFmtId="3" fontId="33" fillId="0" borderId="111" xfId="174" applyNumberFormat="1" applyFont="1" applyBorder="1"/>
    <xf numFmtId="3" fontId="33" fillId="0" borderId="112" xfId="174" applyNumberFormat="1" applyFont="1" applyBorder="1"/>
    <xf numFmtId="0" fontId="0" fillId="0" borderId="93" xfId="173" applyFont="1" applyBorder="1" applyAlignment="1">
      <alignment wrapText="1"/>
    </xf>
    <xf numFmtId="0" fontId="0" fillId="0" borderId="93" xfId="173" applyFont="1" applyBorder="1"/>
    <xf numFmtId="3" fontId="33" fillId="0" borderId="97" xfId="174" applyNumberFormat="1" applyFont="1" applyFill="1" applyBorder="1" applyAlignment="1">
      <alignment wrapText="1"/>
    </xf>
    <xf numFmtId="3" fontId="33" fillId="0" borderId="17" xfId="174" applyNumberFormat="1" applyFont="1" applyFill="1" applyBorder="1" applyAlignment="1">
      <alignment wrapText="1"/>
    </xf>
    <xf numFmtId="3" fontId="28" fillId="0" borderId="20" xfId="174" applyNumberFormat="1" applyFont="1" applyFill="1" applyBorder="1" applyAlignment="1">
      <alignment wrapText="1"/>
    </xf>
    <xf numFmtId="3" fontId="28" fillId="0" borderId="24" xfId="174" applyNumberFormat="1" applyFont="1" applyFill="1" applyBorder="1" applyAlignment="1">
      <alignment wrapText="1"/>
    </xf>
    <xf numFmtId="3" fontId="28" fillId="0" borderId="12" xfId="174" applyNumberFormat="1" applyFont="1" applyFill="1" applyBorder="1"/>
    <xf numFmtId="3" fontId="28" fillId="0" borderId="24" xfId="174" applyNumberFormat="1" applyFont="1" applyFill="1" applyBorder="1"/>
    <xf numFmtId="3" fontId="33" fillId="0" borderId="24" xfId="174" applyNumberFormat="1" applyFont="1" applyFill="1" applyBorder="1" applyAlignment="1">
      <alignment wrapText="1"/>
    </xf>
    <xf numFmtId="3" fontId="34" fillId="0" borderId="91" xfId="174" applyNumberFormat="1" applyFont="1" applyFill="1" applyBorder="1" applyAlignment="1">
      <alignment wrapText="1"/>
    </xf>
    <xf numFmtId="3" fontId="34" fillId="0" borderId="80" xfId="174" applyNumberFormat="1" applyFont="1" applyFill="1" applyBorder="1" applyAlignment="1">
      <alignment wrapText="1"/>
    </xf>
    <xf numFmtId="3" fontId="28" fillId="0" borderId="91" xfId="174" applyNumberFormat="1" applyFont="1" applyFill="1" applyBorder="1" applyAlignment="1">
      <alignment wrapText="1"/>
    </xf>
    <xf numFmtId="3" fontId="28" fillId="0" borderId="80" xfId="174" applyNumberFormat="1" applyFont="1" applyFill="1" applyBorder="1" applyAlignment="1">
      <alignment wrapText="1"/>
    </xf>
    <xf numFmtId="3" fontId="33" fillId="0" borderId="92" xfId="174" applyNumberFormat="1" applyFont="1" applyBorder="1"/>
    <xf numFmtId="3" fontId="33" fillId="0" borderId="18" xfId="174" applyNumberFormat="1" applyFont="1" applyFill="1" applyBorder="1" applyAlignment="1">
      <alignment wrapText="1"/>
    </xf>
    <xf numFmtId="3" fontId="28" fillId="0" borderId="25" xfId="174" applyNumberFormat="1" applyFont="1" applyFill="1" applyBorder="1" applyAlignment="1">
      <alignment wrapText="1"/>
    </xf>
    <xf numFmtId="3" fontId="28" fillId="0" borderId="25" xfId="174" applyNumberFormat="1" applyFont="1" applyFill="1" applyBorder="1"/>
    <xf numFmtId="3" fontId="33" fillId="0" borderId="25" xfId="174" applyNumberFormat="1" applyFont="1" applyFill="1" applyBorder="1" applyAlignment="1">
      <alignment wrapText="1"/>
    </xf>
    <xf numFmtId="3" fontId="34" fillId="0" borderId="86" xfId="174" applyNumberFormat="1" applyFont="1" applyFill="1" applyBorder="1" applyAlignment="1">
      <alignment wrapText="1"/>
    </xf>
    <xf numFmtId="3" fontId="28" fillId="0" borderId="86" xfId="174" applyNumberFormat="1" applyFont="1" applyFill="1" applyBorder="1" applyAlignment="1">
      <alignment wrapText="1"/>
    </xf>
    <xf numFmtId="0" fontId="0" fillId="0" borderId="11" xfId="173" applyFont="1" applyBorder="1" applyAlignment="1">
      <alignment wrapText="1"/>
    </xf>
    <xf numFmtId="0" fontId="0" fillId="0" borderId="11" xfId="173" applyFont="1" applyBorder="1"/>
    <xf numFmtId="0" fontId="0" fillId="0" borderId="0" xfId="0" applyFont="1"/>
    <xf numFmtId="0" fontId="8" fillId="0" borderId="0" xfId="173" applyFont="1" applyFill="1"/>
    <xf numFmtId="0" fontId="44" fillId="0" borderId="45" xfId="173" applyFont="1" applyBorder="1" applyAlignment="1">
      <alignment wrapText="1"/>
    </xf>
    <xf numFmtId="3" fontId="8" fillId="0" borderId="45" xfId="173" applyNumberFormat="1" applyFont="1" applyFill="1" applyBorder="1"/>
    <xf numFmtId="0" fontId="33" fillId="0" borderId="68" xfId="0" applyFont="1" applyBorder="1" applyAlignment="1">
      <alignment horizontal="center" vertical="center" wrapText="1"/>
    </xf>
    <xf numFmtId="0" fontId="33" fillId="0" borderId="40" xfId="0" applyFont="1" applyBorder="1" applyAlignment="1">
      <alignment horizontal="center" vertical="center" wrapText="1"/>
    </xf>
    <xf numFmtId="0" fontId="0" fillId="0" borderId="15" xfId="173" applyFont="1" applyBorder="1" applyAlignment="1">
      <alignment wrapText="1"/>
    </xf>
    <xf numFmtId="3" fontId="0" fillId="0" borderId="0" xfId="0" applyNumberFormat="1" applyAlignment="1">
      <alignment horizontal="right"/>
    </xf>
    <xf numFmtId="3" fontId="68" fillId="0" borderId="0" xfId="0" applyNumberFormat="1" applyFont="1" applyAlignment="1">
      <alignment horizontal="right"/>
    </xf>
    <xf numFmtId="0" fontId="0" fillId="0" borderId="24" xfId="0" applyBorder="1"/>
    <xf numFmtId="14" fontId="0" fillId="0" borderId="24" xfId="0" applyNumberFormat="1" applyBorder="1"/>
    <xf numFmtId="165" fontId="0" fillId="0" borderId="24" xfId="0" applyNumberFormat="1" applyBorder="1"/>
    <xf numFmtId="0" fontId="0" fillId="0" borderId="24" xfId="0" applyBorder="1" applyAlignment="1">
      <alignment wrapText="1"/>
    </xf>
    <xf numFmtId="0" fontId="0" fillId="0" borderId="24" xfId="0" applyFill="1" applyBorder="1"/>
    <xf numFmtId="3" fontId="68" fillId="0" borderId="24" xfId="0" applyNumberFormat="1" applyFont="1" applyBorder="1"/>
    <xf numFmtId="0" fontId="68" fillId="0" borderId="0" xfId="0" applyFont="1"/>
    <xf numFmtId="0" fontId="69" fillId="0" borderId="0" xfId="0" applyFont="1"/>
    <xf numFmtId="3" fontId="68" fillId="25" borderId="24" xfId="0" applyNumberFormat="1" applyFont="1" applyFill="1" applyBorder="1"/>
    <xf numFmtId="0" fontId="0" fillId="0" borderId="0" xfId="0" applyBorder="1"/>
    <xf numFmtId="0" fontId="68" fillId="0" borderId="0" xfId="0" applyFont="1" applyBorder="1"/>
    <xf numFmtId="0" fontId="68" fillId="0" borderId="24" xfId="0" applyFont="1" applyBorder="1" applyAlignment="1">
      <alignment wrapText="1"/>
    </xf>
    <xf numFmtId="0" fontId="68" fillId="0" borderId="24" xfId="0" applyFont="1" applyBorder="1" applyAlignment="1">
      <alignment horizontal="left" vertical="center" wrapText="1"/>
    </xf>
    <xf numFmtId="3" fontId="68" fillId="0" borderId="24" xfId="0" applyNumberFormat="1" applyFont="1" applyBorder="1" applyAlignment="1">
      <alignment horizontal="right" vertical="center"/>
    </xf>
    <xf numFmtId="0" fontId="68" fillId="25" borderId="24" xfId="0" applyFont="1" applyFill="1" applyBorder="1" applyAlignment="1">
      <alignment vertical="center" wrapText="1"/>
    </xf>
    <xf numFmtId="0" fontId="69" fillId="25" borderId="24" xfId="0" applyFont="1" applyFill="1" applyBorder="1" applyAlignment="1">
      <alignment vertical="center" wrapText="1"/>
    </xf>
    <xf numFmtId="3" fontId="69" fillId="25" borderId="24" xfId="0" applyNumberFormat="1" applyFont="1" applyFill="1" applyBorder="1" applyAlignment="1">
      <alignment vertical="center"/>
    </xf>
    <xf numFmtId="0" fontId="69" fillId="0" borderId="0" xfId="0" applyFont="1" applyAlignment="1">
      <alignment vertical="center"/>
    </xf>
    <xf numFmtId="0" fontId="69" fillId="0" borderId="24" xfId="0" applyFont="1" applyBorder="1" applyAlignment="1">
      <alignment wrapText="1"/>
    </xf>
    <xf numFmtId="3" fontId="69" fillId="0" borderId="24" xfId="0" applyNumberFormat="1" applyFont="1" applyBorder="1"/>
    <xf numFmtId="0" fontId="69" fillId="25" borderId="0" xfId="0" applyFont="1" applyFill="1"/>
    <xf numFmtId="0" fontId="68" fillId="0" borderId="24" xfId="0" applyFont="1" applyBorder="1" applyAlignment="1">
      <alignment vertical="center" wrapText="1"/>
    </xf>
    <xf numFmtId="0" fontId="69" fillId="0" borderId="24" xfId="0" applyFont="1" applyBorder="1" applyAlignment="1">
      <alignment vertical="center" wrapText="1"/>
    </xf>
    <xf numFmtId="0" fontId="69" fillId="25" borderId="0" xfId="0" applyFont="1" applyFill="1" applyAlignment="1">
      <alignment vertical="center"/>
    </xf>
    <xf numFmtId="0" fontId="68" fillId="25" borderId="24" xfId="0" applyFont="1" applyFill="1" applyBorder="1" applyAlignment="1">
      <alignment wrapText="1"/>
    </xf>
    <xf numFmtId="0" fontId="69" fillId="25" borderId="24" xfId="0" applyFont="1" applyFill="1" applyBorder="1" applyAlignment="1">
      <alignment wrapText="1"/>
    </xf>
    <xf numFmtId="3" fontId="69" fillId="25" borderId="24" xfId="0" applyNumberFormat="1" applyFont="1" applyFill="1" applyBorder="1"/>
    <xf numFmtId="0" fontId="68" fillId="25" borderId="0" xfId="0" applyFont="1" applyFill="1"/>
    <xf numFmtId="0" fontId="69" fillId="0" borderId="0" xfId="0" applyFont="1" applyFill="1" applyBorder="1" applyAlignment="1">
      <alignment wrapText="1"/>
    </xf>
    <xf numFmtId="0" fontId="69" fillId="0" borderId="0" xfId="0" applyFont="1" applyAlignment="1">
      <alignment horizontal="center"/>
    </xf>
    <xf numFmtId="3" fontId="69" fillId="0" borderId="0" xfId="0" applyNumberFormat="1" applyFont="1" applyAlignment="1">
      <alignment horizontal="right"/>
    </xf>
    <xf numFmtId="0" fontId="68" fillId="0" borderId="19" xfId="0" applyFont="1" applyBorder="1" applyAlignment="1"/>
    <xf numFmtId="166" fontId="0" fillId="0" borderId="24" xfId="0" applyNumberFormat="1" applyBorder="1"/>
    <xf numFmtId="0" fontId="0" fillId="0" borderId="24" xfId="0" applyBorder="1" applyAlignment="1">
      <alignment vertical="center"/>
    </xf>
    <xf numFmtId="0" fontId="0" fillId="0" borderId="24" xfId="0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 wrapText="1"/>
    </xf>
    <xf numFmtId="0" fontId="0" fillId="0" borderId="24" xfId="0" applyBorder="1" applyAlignment="1">
      <alignment horizontal="left" vertical="center" wrapText="1"/>
    </xf>
    <xf numFmtId="3" fontId="0" fillId="0" borderId="24" xfId="0" applyNumberFormat="1" applyBorder="1" applyAlignment="1">
      <alignment horizontal="right" vertical="center"/>
    </xf>
    <xf numFmtId="0" fontId="0" fillId="0" borderId="24" xfId="0" applyBorder="1" applyAlignment="1">
      <alignment horizontal="left" wrapText="1"/>
    </xf>
    <xf numFmtId="0" fontId="0" fillId="0" borderId="24" xfId="0" applyBorder="1" applyAlignment="1">
      <alignment horizontal="left"/>
    </xf>
    <xf numFmtId="0" fontId="0" fillId="25" borderId="24" xfId="0" applyFill="1" applyBorder="1" applyAlignment="1">
      <alignment wrapText="1"/>
    </xf>
    <xf numFmtId="3" fontId="68" fillId="25" borderId="24" xfId="0" applyNumberFormat="1" applyFont="1" applyFill="1" applyBorder="1" applyAlignment="1">
      <alignment vertical="center"/>
    </xf>
    <xf numFmtId="0" fontId="68" fillId="0" borderId="24" xfId="0" applyFont="1" applyFill="1" applyBorder="1" applyAlignment="1">
      <alignment wrapText="1"/>
    </xf>
    <xf numFmtId="0" fontId="69" fillId="0" borderId="24" xfId="0" applyFont="1" applyFill="1" applyBorder="1" applyAlignment="1">
      <alignment wrapText="1"/>
    </xf>
    <xf numFmtId="3" fontId="69" fillId="0" borderId="24" xfId="0" applyNumberFormat="1" applyFont="1" applyFill="1" applyBorder="1" applyAlignment="1">
      <alignment vertical="center"/>
    </xf>
    <xf numFmtId="3" fontId="69" fillId="0" borderId="24" xfId="0" applyNumberFormat="1" applyFont="1" applyFill="1" applyBorder="1" applyAlignment="1">
      <alignment horizontal="right" vertical="center"/>
    </xf>
    <xf numFmtId="0" fontId="69" fillId="0" borderId="24" xfId="0" applyFont="1" applyBorder="1" applyAlignment="1">
      <alignment horizontal="right" vertical="center" wrapText="1"/>
    </xf>
    <xf numFmtId="3" fontId="69" fillId="25" borderId="24" xfId="0" applyNumberFormat="1" applyFont="1" applyFill="1" applyBorder="1" applyAlignment="1">
      <alignment horizontal="right" vertical="center"/>
    </xf>
    <xf numFmtId="0" fontId="68" fillId="0" borderId="24" xfId="0" applyFont="1" applyFill="1" applyBorder="1" applyAlignment="1">
      <alignment vertical="center" wrapText="1"/>
    </xf>
    <xf numFmtId="0" fontId="69" fillId="0" borderId="24" xfId="0" applyFont="1" applyFill="1" applyBorder="1" applyAlignment="1">
      <alignment vertical="center" wrapText="1"/>
    </xf>
    <xf numFmtId="0" fontId="68" fillId="0" borderId="24" xfId="0" applyFont="1" applyFill="1" applyBorder="1" applyAlignment="1">
      <alignment horizontal="left" vertical="center" wrapText="1"/>
    </xf>
    <xf numFmtId="0" fontId="69" fillId="0" borderId="24" xfId="0" applyFont="1" applyFill="1" applyBorder="1" applyAlignment="1">
      <alignment horizontal="right" vertical="center" wrapText="1"/>
    </xf>
    <xf numFmtId="3" fontId="69" fillId="0" borderId="24" xfId="0" applyNumberFormat="1" applyFont="1" applyFill="1" applyBorder="1"/>
    <xf numFmtId="3" fontId="68" fillId="0" borderId="24" xfId="0" applyNumberFormat="1" applyFont="1" applyFill="1" applyBorder="1"/>
    <xf numFmtId="0" fontId="0" fillId="0" borderId="24" xfId="0" applyBorder="1" applyAlignment="1">
      <alignment horizontal="center" wrapText="1"/>
    </xf>
    <xf numFmtId="3" fontId="9" fillId="0" borderId="59" xfId="179" applyNumberFormat="1" applyFont="1" applyFill="1" applyBorder="1" applyAlignment="1">
      <alignment wrapText="1"/>
    </xf>
    <xf numFmtId="3" fontId="9" fillId="0" borderId="12" xfId="179" applyNumberFormat="1" applyFont="1" applyFill="1" applyBorder="1" applyAlignment="1">
      <alignment wrapText="1"/>
    </xf>
    <xf numFmtId="3" fontId="44" fillId="0" borderId="31" xfId="179" applyNumberFormat="1" applyFont="1" applyFill="1" applyBorder="1"/>
    <xf numFmtId="0" fontId="34" fillId="0" borderId="64" xfId="186" applyFont="1" applyBorder="1" applyAlignment="1">
      <alignment wrapText="1"/>
    </xf>
    <xf numFmtId="3" fontId="34" fillId="0" borderId="43" xfId="172" applyNumberFormat="1" applyFont="1" applyBorder="1" applyAlignment="1">
      <alignment horizontal="right"/>
    </xf>
    <xf numFmtId="3" fontId="34" fillId="0" borderId="113" xfId="172" applyNumberFormat="1" applyFont="1" applyBorder="1" applyAlignment="1">
      <alignment horizontal="right"/>
    </xf>
    <xf numFmtId="0" fontId="33" fillId="0" borderId="114" xfId="186" applyFont="1" applyBorder="1" applyAlignment="1">
      <alignment wrapText="1"/>
    </xf>
    <xf numFmtId="3" fontId="33" fillId="0" borderId="115" xfId="172" applyNumberFormat="1" applyFont="1" applyBorder="1" applyAlignment="1">
      <alignment horizontal="right"/>
    </xf>
    <xf numFmtId="0" fontId="34" fillId="0" borderId="116" xfId="186" applyFont="1" applyBorder="1" applyAlignment="1">
      <alignment wrapText="1"/>
    </xf>
    <xf numFmtId="3" fontId="34" fillId="0" borderId="113" xfId="172" applyNumberFormat="1" applyFont="1" applyFill="1" applyBorder="1" applyAlignment="1">
      <alignment horizontal="right"/>
    </xf>
    <xf numFmtId="3" fontId="33" fillId="0" borderId="114" xfId="172" applyNumberFormat="1" applyFont="1" applyBorder="1" applyAlignment="1">
      <alignment horizontal="left"/>
    </xf>
    <xf numFmtId="3" fontId="33" fillId="0" borderId="117" xfId="172" applyNumberFormat="1" applyFont="1" applyBorder="1" applyAlignment="1">
      <alignment horizontal="left"/>
    </xf>
    <xf numFmtId="3" fontId="33" fillId="0" borderId="87" xfId="172" applyNumberFormat="1" applyFont="1" applyBorder="1" applyAlignment="1">
      <alignment horizontal="right"/>
    </xf>
    <xf numFmtId="3" fontId="33" fillId="0" borderId="118" xfId="172" applyNumberFormat="1" applyFont="1" applyBorder="1" applyAlignment="1">
      <alignment horizontal="right"/>
    </xf>
    <xf numFmtId="0" fontId="34" fillId="0" borderId="119" xfId="186" applyFont="1" applyBorder="1" applyAlignment="1"/>
    <xf numFmtId="3" fontId="61" fillId="0" borderId="43" xfId="186" applyNumberFormat="1" applyFont="1" applyFill="1" applyBorder="1" applyAlignment="1">
      <alignment wrapText="1"/>
    </xf>
    <xf numFmtId="3" fontId="62" fillId="0" borderId="11" xfId="186" applyNumberFormat="1" applyFont="1" applyFill="1" applyBorder="1" applyAlignment="1">
      <alignment wrapText="1"/>
    </xf>
    <xf numFmtId="0" fontId="40" fillId="0" borderId="80" xfId="177" applyFont="1" applyFill="1" applyBorder="1" applyAlignment="1">
      <alignment wrapText="1"/>
    </xf>
    <xf numFmtId="0" fontId="40" fillId="0" borderId="79" xfId="177" applyFont="1" applyFill="1" applyBorder="1" applyAlignment="1">
      <alignment wrapText="1"/>
    </xf>
    <xf numFmtId="3" fontId="40" fillId="0" borderId="79" xfId="177" applyNumberFormat="1" applyFont="1" applyBorder="1"/>
    <xf numFmtId="0" fontId="41" fillId="0" borderId="40" xfId="177" applyFont="1" applyBorder="1"/>
    <xf numFmtId="0" fontId="41" fillId="0" borderId="40" xfId="177" applyFont="1" applyBorder="1" applyAlignment="1">
      <alignment wrapText="1"/>
    </xf>
    <xf numFmtId="0" fontId="41" fillId="0" borderId="40" xfId="177" applyFont="1" applyFill="1" applyBorder="1" applyAlignment="1">
      <alignment wrapText="1"/>
    </xf>
    <xf numFmtId="3" fontId="41" fillId="0" borderId="40" xfId="177" applyNumberFormat="1" applyFont="1" applyBorder="1"/>
    <xf numFmtId="0" fontId="0" fillId="0" borderId="35" xfId="0" applyFont="1" applyFill="1" applyBorder="1" applyAlignment="1">
      <alignment wrapText="1"/>
    </xf>
    <xf numFmtId="4" fontId="46" fillId="0" borderId="10" xfId="173" applyNumberFormat="1" applyFont="1" applyFill="1" applyBorder="1"/>
    <xf numFmtId="3" fontId="53" fillId="0" borderId="59" xfId="179" applyNumberFormat="1" applyFont="1" applyFill="1" applyBorder="1" applyAlignment="1">
      <alignment wrapText="1"/>
    </xf>
    <xf numFmtId="3" fontId="53" fillId="0" borderId="55" xfId="179" applyNumberFormat="1" applyFont="1" applyFill="1" applyBorder="1"/>
    <xf numFmtId="0" fontId="46" fillId="0" borderId="120" xfId="179" applyFont="1" applyFill="1" applyBorder="1" applyAlignment="1">
      <alignment wrapText="1"/>
    </xf>
    <xf numFmtId="0" fontId="0" fillId="0" borderId="63" xfId="157" applyFont="1" applyBorder="1" applyAlignment="1">
      <alignment wrapText="1"/>
    </xf>
    <xf numFmtId="0" fontId="9" fillId="0" borderId="63" xfId="157" applyFont="1" applyBorder="1" applyAlignment="1">
      <alignment horizontal="left" wrapText="1"/>
    </xf>
    <xf numFmtId="0" fontId="9" fillId="0" borderId="63" xfId="157" applyFont="1" applyFill="1" applyBorder="1" applyAlignment="1">
      <alignment horizontal="left" wrapText="1"/>
    </xf>
    <xf numFmtId="3" fontId="33" fillId="0" borderId="40" xfId="188" applyNumberFormat="1" applyFont="1" applyFill="1" applyBorder="1" applyAlignment="1">
      <alignment horizontal="center" wrapText="1"/>
    </xf>
    <xf numFmtId="0" fontId="34" fillId="0" borderId="77" xfId="185" applyFont="1" applyFill="1" applyBorder="1" applyAlignment="1">
      <alignment wrapText="1"/>
    </xf>
    <xf numFmtId="3" fontId="34" fillId="0" borderId="80" xfId="185" applyNumberFormat="1" applyFont="1" applyFill="1" applyBorder="1"/>
    <xf numFmtId="0" fontId="33" fillId="0" borderId="24" xfId="185" applyFont="1" applyFill="1" applyBorder="1" applyAlignment="1">
      <alignment wrapText="1"/>
    </xf>
    <xf numFmtId="3" fontId="33" fillId="0" borderId="24" xfId="185" applyNumberFormat="1" applyFont="1" applyFill="1" applyBorder="1"/>
    <xf numFmtId="3" fontId="33" fillId="0" borderId="24" xfId="185" applyNumberFormat="1" applyFont="1" applyFill="1" applyBorder="1" applyAlignment="1"/>
    <xf numFmtId="0" fontId="70" fillId="0" borderId="40" xfId="0" applyFont="1" applyBorder="1" applyAlignment="1">
      <alignment horizontal="center" wrapText="1"/>
    </xf>
    <xf numFmtId="0" fontId="70" fillId="0" borderId="40" xfId="0" applyFont="1" applyBorder="1" applyAlignment="1">
      <alignment horizontal="center"/>
    </xf>
    <xf numFmtId="3" fontId="34" fillId="0" borderId="11" xfId="157" applyNumberFormat="1" applyFont="1" applyFill="1" applyBorder="1"/>
    <xf numFmtId="0" fontId="28" fillId="0" borderId="63" xfId="187" applyFont="1" applyFill="1" applyBorder="1" applyAlignment="1">
      <alignment wrapText="1"/>
    </xf>
    <xf numFmtId="3" fontId="71" fillId="0" borderId="63" xfId="187" applyNumberFormat="1" applyFont="1" applyFill="1" applyBorder="1"/>
    <xf numFmtId="0" fontId="71" fillId="0" borderId="0" xfId="187" applyFont="1"/>
    <xf numFmtId="3" fontId="33" fillId="0" borderId="87" xfId="172" applyNumberFormat="1" applyFont="1" applyFill="1" applyBorder="1" applyAlignment="1">
      <alignment horizontal="right"/>
    </xf>
    <xf numFmtId="0" fontId="8" fillId="0" borderId="11" xfId="173" applyFont="1" applyBorder="1" applyAlignment="1">
      <alignment wrapText="1"/>
    </xf>
    <xf numFmtId="3" fontId="57" fillId="0" borderId="42" xfId="189" applyNumberFormat="1" applyFont="1" applyBorder="1" applyAlignment="1">
      <alignment horizontal="center" vertical="center" wrapText="1"/>
    </xf>
    <xf numFmtId="3" fontId="57" fillId="0" borderId="14" xfId="189" applyNumberFormat="1" applyFont="1" applyBorder="1" applyAlignment="1">
      <alignment horizontal="center" vertical="center" wrapText="1"/>
    </xf>
    <xf numFmtId="0" fontId="44" fillId="0" borderId="11" xfId="208" applyFont="1" applyFill="1" applyBorder="1" applyAlignment="1">
      <alignment wrapText="1"/>
    </xf>
    <xf numFmtId="3" fontId="8" fillId="0" borderId="93" xfId="182" applyNumberFormat="1" applyFont="1" applyFill="1" applyBorder="1"/>
    <xf numFmtId="3" fontId="33" fillId="0" borderId="126" xfId="174" applyNumberFormat="1" applyFont="1" applyBorder="1"/>
    <xf numFmtId="3" fontId="33" fillId="0" borderId="127" xfId="174" applyNumberFormat="1" applyFont="1" applyBorder="1"/>
    <xf numFmtId="3" fontId="33" fillId="0" borderId="128" xfId="174" applyNumberFormat="1" applyFont="1" applyBorder="1"/>
    <xf numFmtId="3" fontId="34" fillId="0" borderId="12" xfId="174" applyNumberFormat="1" applyFont="1" applyBorder="1"/>
    <xf numFmtId="3" fontId="34" fillId="0" borderId="41" xfId="174" applyNumberFormat="1" applyFont="1" applyBorder="1"/>
    <xf numFmtId="3" fontId="34" fillId="0" borderId="21" xfId="174" applyNumberFormat="1" applyFont="1" applyBorder="1"/>
    <xf numFmtId="3" fontId="34" fillId="0" borderId="12" xfId="174" applyNumberFormat="1" applyFont="1" applyFill="1" applyBorder="1"/>
    <xf numFmtId="3" fontId="34" fillId="0" borderId="41" xfId="174" applyNumberFormat="1" applyFont="1" applyFill="1" applyBorder="1"/>
    <xf numFmtId="3" fontId="33" fillId="0" borderId="12" xfId="174" applyNumberFormat="1" applyFont="1" applyFill="1" applyBorder="1"/>
    <xf numFmtId="3" fontId="33" fillId="0" borderId="41" xfId="174" applyNumberFormat="1" applyFont="1" applyFill="1" applyBorder="1"/>
    <xf numFmtId="3" fontId="33" fillId="0" borderId="21" xfId="174" applyNumberFormat="1" applyFont="1" applyFill="1" applyBorder="1"/>
    <xf numFmtId="3" fontId="34" fillId="0" borderId="12" xfId="174" applyNumberFormat="1" applyFont="1" applyFill="1" applyBorder="1" applyAlignment="1">
      <alignment wrapText="1"/>
    </xf>
    <xf numFmtId="3" fontId="34" fillId="0" borderId="41" xfId="174" applyNumberFormat="1" applyFont="1" applyFill="1" applyBorder="1" applyAlignment="1">
      <alignment wrapText="1"/>
    </xf>
    <xf numFmtId="3" fontId="34" fillId="0" borderId="129" xfId="174" applyNumberFormat="1" applyFont="1" applyFill="1" applyBorder="1"/>
    <xf numFmtId="3" fontId="28" fillId="0" borderId="129" xfId="174" applyNumberFormat="1" applyFont="1" applyFill="1" applyBorder="1"/>
    <xf numFmtId="3" fontId="28" fillId="0" borderId="81" xfId="174" applyNumberFormat="1" applyFont="1" applyFill="1" applyBorder="1"/>
    <xf numFmtId="3" fontId="28" fillId="0" borderId="79" xfId="174" applyNumberFormat="1" applyFont="1" applyFill="1" applyBorder="1"/>
    <xf numFmtId="3" fontId="33" fillId="0" borderId="129" xfId="174" applyNumberFormat="1" applyFont="1" applyFill="1" applyBorder="1"/>
    <xf numFmtId="3" fontId="33" fillId="0" borderId="79" xfId="174" applyNumberFormat="1" applyFont="1" applyFill="1" applyBorder="1"/>
    <xf numFmtId="3" fontId="33" fillId="0" borderId="130" xfId="174" applyNumberFormat="1" applyFont="1" applyBorder="1"/>
    <xf numFmtId="3" fontId="33" fillId="0" borderId="131" xfId="174" applyNumberFormat="1" applyFont="1" applyBorder="1"/>
    <xf numFmtId="0" fontId="8" fillId="0" borderId="0" xfId="173" applyFont="1" applyAlignment="1"/>
    <xf numFmtId="3" fontId="43" fillId="0" borderId="87" xfId="173" applyNumberFormat="1" applyFont="1" applyBorder="1" applyAlignment="1">
      <alignment horizontal="centerContinuous" wrapText="1"/>
    </xf>
    <xf numFmtId="3" fontId="43" fillId="0" borderId="98" xfId="173" applyNumberFormat="1" applyFont="1" applyBorder="1" applyAlignment="1">
      <alignment horizontal="centerContinuous" wrapText="1"/>
    </xf>
    <xf numFmtId="3" fontId="43" fillId="0" borderId="132" xfId="173" applyNumberFormat="1" applyFont="1" applyBorder="1" applyAlignment="1">
      <alignment horizontal="centerContinuous" wrapText="1"/>
    </xf>
    <xf numFmtId="3" fontId="43" fillId="0" borderId="84" xfId="173" applyNumberFormat="1" applyFont="1" applyBorder="1" applyAlignment="1">
      <alignment horizontal="centerContinuous" wrapText="1"/>
    </xf>
    <xf numFmtId="3" fontId="44" fillId="0" borderId="133" xfId="173" applyNumberFormat="1" applyFont="1" applyBorder="1"/>
    <xf numFmtId="3" fontId="44" fillId="0" borderId="98" xfId="173" applyNumberFormat="1" applyFont="1" applyBorder="1"/>
    <xf numFmtId="3" fontId="7" fillId="0" borderId="43" xfId="173" applyNumberFormat="1" applyFont="1" applyBorder="1"/>
    <xf numFmtId="0" fontId="0" fillId="0" borderId="45" xfId="173" applyFont="1" applyBorder="1" applyAlignment="1">
      <alignment wrapText="1"/>
    </xf>
    <xf numFmtId="0" fontId="7" fillId="0" borderId="45" xfId="173" applyFont="1" applyBorder="1"/>
    <xf numFmtId="3" fontId="7" fillId="0" borderId="45" xfId="173" applyNumberFormat="1" applyFont="1" applyBorder="1"/>
    <xf numFmtId="0" fontId="0" fillId="0" borderId="15" xfId="173" applyFont="1" applyBorder="1"/>
    <xf numFmtId="3" fontId="7" fillId="0" borderId="15" xfId="173" applyNumberFormat="1" applyFont="1" applyBorder="1"/>
    <xf numFmtId="3" fontId="44" fillId="0" borderId="11" xfId="182" applyNumberFormat="1" applyFont="1" applyFill="1" applyBorder="1" applyAlignment="1">
      <alignment horizontal="right"/>
    </xf>
    <xf numFmtId="3" fontId="44" fillId="0" borderId="21" xfId="182" applyNumberFormat="1" applyFont="1" applyFill="1" applyBorder="1" applyAlignment="1">
      <alignment horizontal="right"/>
    </xf>
    <xf numFmtId="3" fontId="33" fillId="0" borderId="16" xfId="174" applyNumberFormat="1" applyFont="1" applyFill="1" applyBorder="1" applyAlignment="1">
      <alignment wrapText="1"/>
    </xf>
    <xf numFmtId="3" fontId="33" fillId="0" borderId="128" xfId="174" applyNumberFormat="1" applyFont="1" applyFill="1" applyBorder="1" applyAlignment="1">
      <alignment wrapText="1"/>
    </xf>
    <xf numFmtId="3" fontId="28" fillId="0" borderId="21" xfId="174" applyNumberFormat="1" applyFont="1" applyFill="1" applyBorder="1" applyAlignment="1">
      <alignment wrapText="1"/>
    </xf>
    <xf numFmtId="3" fontId="28" fillId="0" borderId="20" xfId="174" applyNumberFormat="1" applyFont="1" applyFill="1" applyBorder="1"/>
    <xf numFmtId="3" fontId="28" fillId="0" borderId="21" xfId="174" applyNumberFormat="1" applyFont="1" applyFill="1" applyBorder="1"/>
    <xf numFmtId="3" fontId="33" fillId="0" borderId="41" xfId="174" applyNumberFormat="1" applyFont="1" applyFill="1" applyBorder="1" applyAlignment="1">
      <alignment wrapText="1"/>
    </xf>
    <xf numFmtId="3" fontId="33" fillId="0" borderId="72" xfId="174" applyNumberFormat="1" applyFont="1" applyFill="1" applyBorder="1" applyAlignment="1">
      <alignment wrapText="1"/>
    </xf>
    <xf numFmtId="3" fontId="33" fillId="0" borderId="21" xfId="174" applyNumberFormat="1" applyFont="1" applyFill="1" applyBorder="1" applyAlignment="1">
      <alignment wrapText="1"/>
    </xf>
    <xf numFmtId="3" fontId="34" fillId="0" borderId="72" xfId="174" applyNumberFormat="1" applyFont="1" applyFill="1" applyBorder="1" applyAlignment="1">
      <alignment wrapText="1"/>
    </xf>
    <xf numFmtId="3" fontId="34" fillId="0" borderId="79" xfId="174" applyNumberFormat="1" applyFont="1" applyFill="1" applyBorder="1" applyAlignment="1">
      <alignment wrapText="1"/>
    </xf>
    <xf numFmtId="3" fontId="34" fillId="0" borderId="81" xfId="174" applyNumberFormat="1" applyFont="1" applyFill="1" applyBorder="1" applyAlignment="1">
      <alignment wrapText="1"/>
    </xf>
    <xf numFmtId="3" fontId="34" fillId="0" borderId="46" xfId="174" applyNumberFormat="1" applyFont="1" applyFill="1" applyBorder="1" applyAlignment="1">
      <alignment wrapText="1"/>
    </xf>
    <xf numFmtId="3" fontId="28" fillId="0" borderId="41" xfId="174" applyNumberFormat="1" applyFont="1" applyFill="1" applyBorder="1" applyAlignment="1">
      <alignment wrapText="1"/>
    </xf>
    <xf numFmtId="3" fontId="28" fillId="0" borderId="81" xfId="174" applyNumberFormat="1" applyFont="1" applyFill="1" applyBorder="1" applyAlignment="1">
      <alignment wrapText="1"/>
    </xf>
    <xf numFmtId="3" fontId="28" fillId="0" borderId="46" xfId="174" applyNumberFormat="1" applyFont="1" applyFill="1" applyBorder="1" applyAlignment="1">
      <alignment wrapText="1"/>
    </xf>
    <xf numFmtId="3" fontId="33" fillId="0" borderId="134" xfId="174" applyNumberFormat="1" applyFont="1" applyBorder="1"/>
    <xf numFmtId="3" fontId="33" fillId="0" borderId="135" xfId="174" applyNumberFormat="1" applyFont="1" applyBorder="1"/>
    <xf numFmtId="3" fontId="7" fillId="0" borderId="11" xfId="173" applyNumberFormat="1" applyFont="1" applyBorder="1"/>
    <xf numFmtId="0" fontId="0" fillId="0" borderId="45" xfId="173" applyFont="1" applyBorder="1"/>
    <xf numFmtId="0" fontId="7" fillId="0" borderId="0" xfId="173" applyFont="1"/>
    <xf numFmtId="3" fontId="8" fillId="0" borderId="50" xfId="208" applyNumberFormat="1" applyFont="1" applyBorder="1" applyAlignment="1">
      <alignment horizontal="right" wrapText="1"/>
    </xf>
    <xf numFmtId="3" fontId="57" fillId="0" borderId="67" xfId="189" applyNumberFormat="1" applyFont="1" applyBorder="1" applyAlignment="1">
      <alignment horizontal="center" vertical="center" wrapText="1"/>
    </xf>
    <xf numFmtId="3" fontId="57" fillId="0" borderId="136" xfId="189" applyNumberFormat="1" applyFont="1" applyBorder="1" applyAlignment="1">
      <alignment horizontal="center" vertical="center" wrapText="1"/>
    </xf>
    <xf numFmtId="3" fontId="57" fillId="0" borderId="47" xfId="189" applyNumberFormat="1" applyFont="1" applyBorder="1" applyAlignment="1">
      <alignment horizontal="center" vertical="center" wrapText="1"/>
    </xf>
    <xf numFmtId="3" fontId="44" fillId="0" borderId="10" xfId="189" applyNumberFormat="1" applyFont="1" applyBorder="1" applyAlignment="1">
      <alignment horizontal="right"/>
    </xf>
    <xf numFmtId="3" fontId="73" fillId="0" borderId="14" xfId="186" applyNumberFormat="1" applyFont="1" applyBorder="1" applyAlignment="1">
      <alignment horizontal="center" wrapText="1"/>
    </xf>
    <xf numFmtId="3" fontId="44" fillId="0" borderId="43" xfId="189" applyNumberFormat="1" applyFont="1" applyBorder="1" applyAlignment="1">
      <alignment horizontal="right"/>
    </xf>
    <xf numFmtId="3" fontId="51" fillId="0" borderId="21" xfId="186" applyNumberFormat="1" applyFont="1" applyBorder="1" applyAlignment="1">
      <alignment wrapText="1"/>
    </xf>
    <xf numFmtId="3" fontId="51" fillId="0" borderId="46" xfId="186" applyNumberFormat="1" applyFont="1" applyBorder="1" applyAlignment="1">
      <alignment wrapText="1"/>
    </xf>
    <xf numFmtId="3" fontId="53" fillId="0" borderId="43" xfId="189" applyNumberFormat="1" applyFont="1" applyBorder="1" applyAlignment="1">
      <alignment horizontal="right"/>
    </xf>
    <xf numFmtId="3" fontId="9" fillId="0" borderId="46" xfId="186" applyNumberFormat="1" applyFont="1" applyBorder="1" applyAlignment="1">
      <alignment wrapText="1"/>
    </xf>
    <xf numFmtId="3" fontId="74" fillId="0" borderId="46" xfId="186" applyNumberFormat="1" applyFont="1" applyBorder="1" applyAlignment="1">
      <alignment wrapText="1"/>
    </xf>
    <xf numFmtId="3" fontId="59" fillId="0" borderId="14" xfId="186" applyNumberFormat="1" applyFont="1" applyBorder="1" applyAlignment="1">
      <alignment wrapText="1"/>
    </xf>
    <xf numFmtId="3" fontId="51" fillId="0" borderId="44" xfId="186" applyNumberFormat="1" applyFont="1" applyBorder="1" applyAlignment="1">
      <alignment wrapText="1"/>
    </xf>
    <xf numFmtId="3" fontId="53" fillId="0" borderId="11" xfId="189" applyNumberFormat="1" applyFont="1" applyBorder="1" applyAlignment="1">
      <alignment horizontal="right"/>
    </xf>
    <xf numFmtId="3" fontId="9" fillId="0" borderId="21" xfId="186" applyNumberFormat="1" applyFont="1" applyBorder="1" applyAlignment="1">
      <alignment wrapText="1"/>
    </xf>
    <xf numFmtId="3" fontId="74" fillId="0" borderId="21" xfId="186" applyNumberFormat="1" applyFont="1" applyBorder="1" applyAlignment="1">
      <alignment wrapText="1"/>
    </xf>
    <xf numFmtId="3" fontId="44" fillId="0" borderId="11" xfId="189" applyNumberFormat="1" applyFont="1" applyBorder="1" applyAlignment="1">
      <alignment horizontal="right"/>
    </xf>
    <xf numFmtId="3" fontId="51" fillId="0" borderId="50" xfId="186" applyNumberFormat="1" applyFont="1" applyBorder="1" applyAlignment="1">
      <alignment wrapText="1"/>
    </xf>
    <xf numFmtId="3" fontId="51" fillId="0" borderId="45" xfId="186" applyNumberFormat="1" applyFont="1" applyBorder="1" applyAlignment="1">
      <alignment wrapText="1"/>
    </xf>
    <xf numFmtId="3" fontId="74" fillId="0" borderId="45" xfId="186" applyNumberFormat="1" applyFont="1" applyBorder="1" applyAlignment="1">
      <alignment wrapText="1"/>
    </xf>
    <xf numFmtId="3" fontId="53" fillId="0" borderId="15" xfId="189" applyNumberFormat="1" applyFont="1" applyBorder="1" applyAlignment="1">
      <alignment horizontal="right"/>
    </xf>
    <xf numFmtId="3" fontId="9" fillId="0" borderId="111" xfId="186" applyNumberFormat="1" applyFont="1" applyBorder="1" applyAlignment="1">
      <alignment wrapText="1"/>
    </xf>
    <xf numFmtId="3" fontId="9" fillId="0" borderId="45" xfId="186" applyNumberFormat="1" applyFont="1" applyBorder="1" applyAlignment="1">
      <alignment wrapText="1"/>
    </xf>
    <xf numFmtId="3" fontId="51" fillId="0" borderId="128" xfId="186" applyNumberFormat="1" applyFont="1" applyBorder="1" applyAlignment="1">
      <alignment wrapText="1"/>
    </xf>
    <xf numFmtId="3" fontId="9" fillId="0" borderId="11" xfId="186" applyNumberFormat="1" applyFont="1" applyBorder="1" applyAlignment="1">
      <alignment wrapText="1"/>
    </xf>
    <xf numFmtId="3" fontId="74" fillId="0" borderId="11" xfId="186" applyNumberFormat="1" applyFont="1" applyBorder="1" applyAlignment="1">
      <alignment wrapText="1"/>
    </xf>
    <xf numFmtId="3" fontId="44" fillId="0" borderId="50" xfId="189" applyNumberFormat="1" applyFont="1" applyBorder="1" applyAlignment="1">
      <alignment horizontal="right"/>
    </xf>
    <xf numFmtId="3" fontId="59" fillId="0" borderId="128" xfId="186" applyNumberFormat="1" applyFont="1" applyBorder="1" applyAlignment="1">
      <alignment wrapText="1"/>
    </xf>
    <xf numFmtId="3" fontId="51" fillId="0" borderId="55" xfId="186" applyNumberFormat="1" applyFont="1" applyBorder="1" applyAlignment="1">
      <alignment wrapText="1"/>
    </xf>
    <xf numFmtId="3" fontId="8" fillId="0" borderId="46" xfId="186" applyNumberFormat="1" applyFont="1" applyBorder="1" applyAlignment="1">
      <alignment wrapText="1"/>
    </xf>
    <xf numFmtId="3" fontId="8" fillId="0" borderId="21" xfId="186" applyNumberFormat="1" applyFont="1" applyBorder="1" applyAlignment="1">
      <alignment wrapText="1"/>
    </xf>
    <xf numFmtId="3" fontId="46" fillId="0" borderId="46" xfId="186" applyNumberFormat="1" applyFont="1" applyBorder="1" applyAlignment="1">
      <alignment wrapText="1"/>
    </xf>
    <xf numFmtId="3" fontId="7" fillId="0" borderId="0" xfId="212" applyNumberFormat="1"/>
    <xf numFmtId="0" fontId="7" fillId="0" borderId="0" xfId="212"/>
    <xf numFmtId="0" fontId="30" fillId="0" borderId="10" xfId="189" applyFont="1" applyBorder="1" applyAlignment="1">
      <alignment horizontal="center"/>
    </xf>
    <xf numFmtId="3" fontId="57" fillId="0" borderId="90" xfId="189" applyNumberFormat="1" applyFont="1" applyBorder="1" applyAlignment="1">
      <alignment horizontal="center" vertical="center" wrapText="1"/>
    </xf>
    <xf numFmtId="0" fontId="75" fillId="0" borderId="10" xfId="189" applyFont="1" applyBorder="1" applyAlignment="1">
      <alignment horizontal="center"/>
    </xf>
    <xf numFmtId="0" fontId="73" fillId="0" borderId="14" xfId="186" applyFont="1" applyBorder="1" applyAlignment="1">
      <alignment horizontal="center" wrapText="1"/>
    </xf>
    <xf numFmtId="3" fontId="73" fillId="0" borderId="10" xfId="189" applyNumberFormat="1" applyFont="1" applyBorder="1" applyAlignment="1">
      <alignment horizontal="center"/>
    </xf>
    <xf numFmtId="3" fontId="73" fillId="0" borderId="42" xfId="189" applyNumberFormat="1" applyFont="1" applyBorder="1" applyAlignment="1">
      <alignment horizontal="center"/>
    </xf>
    <xf numFmtId="3" fontId="76" fillId="0" borderId="10" xfId="189" applyNumberFormat="1" applyFont="1" applyBorder="1" applyAlignment="1">
      <alignment horizontal="center"/>
    </xf>
    <xf numFmtId="3" fontId="73" fillId="0" borderId="14" xfId="189" applyNumberFormat="1" applyFont="1" applyBorder="1" applyAlignment="1">
      <alignment horizontal="center"/>
    </xf>
    <xf numFmtId="0" fontId="77" fillId="0" borderId="0" xfId="212" applyFont="1" applyAlignment="1">
      <alignment horizontal="center"/>
    </xf>
    <xf numFmtId="0" fontId="44" fillId="0" borderId="43" xfId="189" applyFont="1" applyBorder="1"/>
    <xf numFmtId="3" fontId="51" fillId="0" borderId="11" xfId="189" applyNumberFormat="1" applyFont="1" applyBorder="1"/>
    <xf numFmtId="3" fontId="51" fillId="0" borderId="20" xfId="189" applyNumberFormat="1" applyFont="1" applyBorder="1"/>
    <xf numFmtId="3" fontId="51" fillId="0" borderId="45" xfId="189" applyNumberFormat="1" applyFont="1" applyBorder="1"/>
    <xf numFmtId="0" fontId="9" fillId="0" borderId="43" xfId="189" applyFont="1" applyBorder="1"/>
    <xf numFmtId="0" fontId="9" fillId="0" borderId="46" xfId="186" applyFont="1" applyBorder="1" applyAlignment="1">
      <alignment wrapText="1"/>
    </xf>
    <xf numFmtId="3" fontId="9" fillId="0" borderId="41" xfId="189" applyNumberFormat="1" applyFont="1" applyBorder="1"/>
    <xf numFmtId="3" fontId="9" fillId="0" borderId="24" xfId="189" applyNumberFormat="1" applyFont="1" applyBorder="1"/>
    <xf numFmtId="3" fontId="9" fillId="0" borderId="72" xfId="189" applyNumberFormat="1" applyFont="1" applyBorder="1"/>
    <xf numFmtId="3" fontId="9" fillId="0" borderId="11" xfId="189" applyNumberFormat="1" applyFont="1" applyBorder="1"/>
    <xf numFmtId="3" fontId="9" fillId="0" borderId="91" xfId="189" applyNumberFormat="1" applyFont="1" applyBorder="1"/>
    <xf numFmtId="3" fontId="9" fillId="0" borderId="81" xfId="189" applyNumberFormat="1" applyFont="1" applyBorder="1"/>
    <xf numFmtId="3" fontId="9" fillId="0" borderId="45" xfId="189" applyNumberFormat="1" applyFont="1" applyBorder="1"/>
    <xf numFmtId="0" fontId="9" fillId="0" borderId="0" xfId="212" applyFont="1"/>
    <xf numFmtId="3" fontId="9" fillId="0" borderId="79" xfId="189" applyNumberFormat="1" applyFont="1" applyBorder="1"/>
    <xf numFmtId="3" fontId="9" fillId="0" borderId="80" xfId="189" applyNumberFormat="1" applyFont="1" applyBorder="1"/>
    <xf numFmtId="0" fontId="44" fillId="0" borderId="10" xfId="189" applyFont="1" applyBorder="1"/>
    <xf numFmtId="3" fontId="9" fillId="0" borderId="20" xfId="189" applyNumberFormat="1" applyFont="1" applyBorder="1"/>
    <xf numFmtId="3" fontId="51" fillId="0" borderId="19" xfId="189" applyNumberFormat="1" applyFont="1" applyBorder="1"/>
    <xf numFmtId="3" fontId="51" fillId="0" borderId="43" xfId="189" applyNumberFormat="1" applyFont="1" applyBorder="1"/>
    <xf numFmtId="3" fontId="51" fillId="0" borderId="91" xfId="189" applyNumberFormat="1" applyFont="1" applyBorder="1"/>
    <xf numFmtId="0" fontId="7" fillId="0" borderId="43" xfId="189" applyFont="1" applyBorder="1"/>
    <xf numFmtId="0" fontId="7" fillId="0" borderId="46" xfId="186" applyFont="1" applyBorder="1" applyAlignment="1">
      <alignment wrapText="1"/>
    </xf>
    <xf numFmtId="3" fontId="7" fillId="0" borderId="41" xfId="189" applyNumberFormat="1" applyFont="1" applyBorder="1"/>
    <xf numFmtId="3" fontId="7" fillId="0" borderId="24" xfId="189" applyNumberFormat="1" applyFont="1" applyBorder="1"/>
    <xf numFmtId="3" fontId="7" fillId="0" borderId="72" xfId="189" applyNumberFormat="1" applyFont="1" applyBorder="1"/>
    <xf numFmtId="3" fontId="7" fillId="0" borderId="11" xfId="189" applyNumberFormat="1" applyFont="1" applyBorder="1"/>
    <xf numFmtId="3" fontId="7" fillId="0" borderId="91" xfId="189" applyNumberFormat="1" applyFont="1" applyBorder="1"/>
    <xf numFmtId="3" fontId="7" fillId="0" borderId="81" xfId="189" applyNumberFormat="1" applyFont="1" applyBorder="1"/>
    <xf numFmtId="3" fontId="7" fillId="0" borderId="45" xfId="189" applyNumberFormat="1" applyFont="1" applyBorder="1"/>
    <xf numFmtId="0" fontId="7" fillId="0" borderId="0" xfId="212" applyFont="1"/>
    <xf numFmtId="0" fontId="44" fillId="0" borderId="50" xfId="189" applyFont="1" applyBorder="1"/>
    <xf numFmtId="0" fontId="51" fillId="0" borderId="128" xfId="186" applyFont="1" applyBorder="1" applyAlignment="1">
      <alignment wrapText="1"/>
    </xf>
    <xf numFmtId="3" fontId="51" fillId="0" borderId="127" xfId="189" applyNumberFormat="1" applyFont="1" applyBorder="1"/>
    <xf numFmtId="3" fontId="51" fillId="0" borderId="17" xfId="189" applyNumberFormat="1" applyFont="1" applyBorder="1"/>
    <xf numFmtId="3" fontId="51" fillId="0" borderId="110" xfId="189" applyNumberFormat="1" applyFont="1" applyBorder="1"/>
    <xf numFmtId="3" fontId="51" fillId="0" borderId="50" xfId="189" applyNumberFormat="1" applyFont="1" applyBorder="1"/>
    <xf numFmtId="3" fontId="51" fillId="0" borderId="97" xfId="189" applyNumberFormat="1" applyFont="1" applyBorder="1"/>
    <xf numFmtId="0" fontId="44" fillId="0" borderId="11" xfId="189" applyFont="1" applyBorder="1"/>
    <xf numFmtId="0" fontId="9" fillId="0" borderId="11" xfId="189" applyFont="1" applyBorder="1"/>
    <xf numFmtId="0" fontId="9" fillId="0" borderId="21" xfId="186" applyFont="1" applyBorder="1" applyAlignment="1">
      <alignment wrapText="1"/>
    </xf>
    <xf numFmtId="0" fontId="59" fillId="0" borderId="128" xfId="186" applyFont="1" applyBorder="1" applyAlignment="1">
      <alignment wrapText="1"/>
    </xf>
    <xf numFmtId="3" fontId="59" fillId="0" borderId="97" xfId="189" applyNumberFormat="1" applyFont="1" applyBorder="1"/>
    <xf numFmtId="3" fontId="59" fillId="0" borderId="17" xfId="189" applyNumberFormat="1" applyFont="1" applyBorder="1"/>
    <xf numFmtId="3" fontId="59" fillId="0" borderId="110" xfId="189" applyNumberFormat="1" applyFont="1" applyBorder="1"/>
    <xf numFmtId="3" fontId="59" fillId="0" borderId="50" xfId="189" applyNumberFormat="1" applyFont="1" applyBorder="1"/>
    <xf numFmtId="3" fontId="59" fillId="0" borderId="127" xfId="189" applyNumberFormat="1" applyFont="1" applyBorder="1"/>
    <xf numFmtId="0" fontId="51" fillId="0" borderId="55" xfId="186" applyFont="1" applyBorder="1" applyAlignment="1">
      <alignment wrapText="1"/>
    </xf>
    <xf numFmtId="3" fontId="9" fillId="0" borderId="70" xfId="189" applyNumberFormat="1" applyFont="1" applyBorder="1"/>
    <xf numFmtId="3" fontId="9" fillId="0" borderId="23" xfId="189" applyNumberFormat="1" applyFont="1" applyBorder="1"/>
    <xf numFmtId="3" fontId="9" fillId="0" borderId="137" xfId="189" applyNumberFormat="1" applyFont="1" applyBorder="1"/>
    <xf numFmtId="3" fontId="9" fillId="0" borderId="71" xfId="189" applyNumberFormat="1" applyFont="1" applyBorder="1"/>
    <xf numFmtId="0" fontId="59" fillId="0" borderId="10" xfId="186" applyFont="1" applyBorder="1" applyAlignment="1">
      <alignment wrapText="1"/>
    </xf>
    <xf numFmtId="3" fontId="9" fillId="0" borderId="25" xfId="189" applyNumberFormat="1" applyFont="1" applyBorder="1"/>
    <xf numFmtId="3" fontId="51" fillId="0" borderId="25" xfId="189" applyNumberFormat="1" applyFont="1" applyBorder="1"/>
    <xf numFmtId="3" fontId="9" fillId="0" borderId="21" xfId="189" applyNumberFormat="1" applyFont="1" applyBorder="1"/>
    <xf numFmtId="3" fontId="9" fillId="0" borderId="28" xfId="189" applyNumberFormat="1" applyFont="1" applyBorder="1"/>
    <xf numFmtId="0" fontId="9" fillId="0" borderId="93" xfId="189" applyFont="1" applyBorder="1"/>
    <xf numFmtId="3" fontId="9" fillId="0" borderId="26" xfId="189" applyNumberFormat="1" applyFont="1" applyBorder="1"/>
    <xf numFmtId="3" fontId="9" fillId="0" borderId="27" xfId="189" applyNumberFormat="1" applyFont="1" applyBorder="1"/>
    <xf numFmtId="0" fontId="7" fillId="0" borderId="11" xfId="189" applyFont="1" applyBorder="1"/>
    <xf numFmtId="0" fontId="7" fillId="0" borderId="21" xfId="186" applyFont="1" applyBorder="1" applyAlignment="1">
      <alignment wrapText="1"/>
    </xf>
    <xf numFmtId="3" fontId="7" fillId="0" borderId="20" xfId="189" applyNumberFormat="1" applyFont="1" applyBorder="1"/>
    <xf numFmtId="3" fontId="51" fillId="24" borderId="70" xfId="189" applyNumberFormat="1" applyFont="1" applyFill="1" applyBorder="1"/>
    <xf numFmtId="3" fontId="9" fillId="24" borderId="70" xfId="189" applyNumberFormat="1" applyFont="1" applyFill="1" applyBorder="1"/>
    <xf numFmtId="3" fontId="59" fillId="24" borderId="11" xfId="189" applyNumberFormat="1" applyFont="1" applyFill="1" applyBorder="1"/>
    <xf numFmtId="0" fontId="43" fillId="0" borderId="11" xfId="189" applyFont="1" applyBorder="1"/>
    <xf numFmtId="3" fontId="59" fillId="24" borderId="41" xfId="189" applyNumberFormat="1" applyFont="1" applyFill="1" applyBorder="1"/>
    <xf numFmtId="3" fontId="59" fillId="24" borderId="20" xfId="189" applyNumberFormat="1" applyFont="1" applyFill="1" applyBorder="1"/>
    <xf numFmtId="3" fontId="46" fillId="0" borderId="21" xfId="186" applyNumberFormat="1" applyFont="1" applyBorder="1" applyAlignment="1">
      <alignment wrapText="1"/>
    </xf>
    <xf numFmtId="3" fontId="59" fillId="24" borderId="72" xfId="189" applyNumberFormat="1" applyFont="1" applyFill="1" applyBorder="1"/>
    <xf numFmtId="3" fontId="46" fillId="0" borderId="69" xfId="0" applyNumberFormat="1" applyFont="1" applyBorder="1"/>
    <xf numFmtId="3" fontId="46" fillId="0" borderId="35" xfId="0" applyNumberFormat="1" applyFont="1" applyBorder="1" applyAlignment="1">
      <alignment wrapText="1"/>
    </xf>
    <xf numFmtId="3" fontId="46" fillId="0" borderId="70" xfId="0" applyNumberFormat="1" applyFont="1" applyBorder="1"/>
    <xf numFmtId="3" fontId="46" fillId="0" borderId="24" xfId="0" applyNumberFormat="1" applyFont="1" applyBorder="1"/>
    <xf numFmtId="3" fontId="46" fillId="0" borderId="19" xfId="0" applyNumberFormat="1" applyFont="1" applyBorder="1"/>
    <xf numFmtId="3" fontId="46" fillId="0" borderId="66" xfId="0" applyNumberFormat="1" applyFont="1" applyBorder="1"/>
    <xf numFmtId="3" fontId="46" fillId="0" borderId="0" xfId="0" applyNumberFormat="1" applyFont="1"/>
    <xf numFmtId="3" fontId="0" fillId="0" borderId="19" xfId="0" applyNumberFormat="1" applyBorder="1"/>
    <xf numFmtId="3" fontId="46" fillId="0" borderId="76" xfId="0" applyNumberFormat="1" applyFont="1" applyBorder="1" applyAlignment="1">
      <alignment wrapText="1"/>
    </xf>
    <xf numFmtId="3" fontId="9" fillId="0" borderId="76" xfId="0" applyNumberFormat="1" applyFont="1" applyBorder="1" applyAlignment="1">
      <alignment wrapText="1"/>
    </xf>
    <xf numFmtId="3" fontId="0" fillId="0" borderId="76" xfId="0" applyNumberFormat="1" applyFont="1" applyBorder="1" applyAlignment="1">
      <alignment wrapText="1"/>
    </xf>
    <xf numFmtId="3" fontId="0" fillId="0" borderId="41" xfId="0" applyNumberFormat="1" applyFont="1" applyBorder="1"/>
    <xf numFmtId="3" fontId="0" fillId="0" borderId="72" xfId="0" applyNumberFormat="1" applyFont="1" applyBorder="1"/>
    <xf numFmtId="3" fontId="0" fillId="0" borderId="63" xfId="0" applyNumberFormat="1" applyFont="1" applyBorder="1"/>
    <xf numFmtId="0" fontId="9" fillId="0" borderId="35" xfId="0" applyFont="1" applyBorder="1" applyAlignment="1">
      <alignment wrapText="1"/>
    </xf>
    <xf numFmtId="0" fontId="0" fillId="0" borderId="35" xfId="214" applyFont="1" applyBorder="1" applyAlignment="1">
      <alignment wrapText="1"/>
    </xf>
    <xf numFmtId="3" fontId="0" fillId="0" borderId="41" xfId="0" applyNumberFormat="1" applyFont="1" applyFill="1" applyBorder="1"/>
    <xf numFmtId="3" fontId="0" fillId="0" borderId="72" xfId="0" applyNumberFormat="1" applyFont="1" applyFill="1" applyBorder="1"/>
    <xf numFmtId="3" fontId="0" fillId="0" borderId="63" xfId="0" applyNumberFormat="1" applyFont="1" applyFill="1" applyBorder="1"/>
    <xf numFmtId="3" fontId="0" fillId="0" borderId="69" xfId="0" applyNumberFormat="1" applyFont="1" applyBorder="1"/>
    <xf numFmtId="3" fontId="0" fillId="0" borderId="70" xfId="0" applyNumberFormat="1" applyFont="1" applyBorder="1"/>
    <xf numFmtId="3" fontId="0" fillId="0" borderId="23" xfId="0" applyNumberFormat="1" applyFont="1" applyBorder="1"/>
    <xf numFmtId="3" fontId="0" fillId="0" borderId="71" xfId="0" applyNumberFormat="1" applyFont="1" applyBorder="1"/>
    <xf numFmtId="3" fontId="0" fillId="0" borderId="66" xfId="0" applyNumberFormat="1" applyFont="1" applyBorder="1"/>
    <xf numFmtId="3" fontId="0" fillId="0" borderId="0" xfId="0" applyNumberFormat="1" applyFont="1"/>
    <xf numFmtId="0" fontId="8" fillId="0" borderId="35" xfId="214" applyFont="1" applyBorder="1" applyAlignment="1">
      <alignment wrapText="1"/>
    </xf>
    <xf numFmtId="0" fontId="9" fillId="0" borderId="35" xfId="214" applyFont="1" applyBorder="1" applyAlignment="1">
      <alignment wrapText="1"/>
    </xf>
    <xf numFmtId="3" fontId="0" fillId="0" borderId="76" xfId="0" applyNumberFormat="1" applyFont="1" applyFill="1" applyBorder="1" applyAlignment="1">
      <alignment wrapText="1"/>
    </xf>
    <xf numFmtId="3" fontId="0" fillId="0" borderId="36" xfId="0" applyNumberFormat="1" applyFont="1" applyBorder="1"/>
    <xf numFmtId="3" fontId="9" fillId="0" borderId="35" xfId="0" applyNumberFormat="1" applyFont="1" applyBorder="1" applyAlignment="1">
      <alignment wrapText="1"/>
    </xf>
    <xf numFmtId="3" fontId="0" fillId="0" borderId="35" xfId="0" applyNumberFormat="1" applyFont="1" applyBorder="1" applyAlignment="1">
      <alignment wrapText="1"/>
    </xf>
    <xf numFmtId="3" fontId="0" fillId="0" borderId="35" xfId="0" applyNumberFormat="1" applyFont="1" applyFill="1" applyBorder="1" applyAlignment="1">
      <alignment wrapText="1"/>
    </xf>
    <xf numFmtId="3" fontId="0" fillId="0" borderId="77" xfId="0" applyNumberFormat="1" applyBorder="1"/>
    <xf numFmtId="3" fontId="9" fillId="0" borderId="88" xfId="0" applyNumberFormat="1" applyFont="1" applyFill="1" applyBorder="1" applyAlignment="1">
      <alignment wrapText="1"/>
    </xf>
    <xf numFmtId="3" fontId="0" fillId="0" borderId="88" xfId="0" applyNumberFormat="1" applyFont="1" applyFill="1" applyBorder="1" applyAlignment="1">
      <alignment wrapText="1"/>
    </xf>
    <xf numFmtId="3" fontId="8" fillId="0" borderId="138" xfId="0" applyNumberFormat="1" applyFont="1" applyBorder="1"/>
    <xf numFmtId="3" fontId="8" fillId="0" borderId="83" xfId="0" applyNumberFormat="1" applyFont="1" applyBorder="1" applyAlignment="1">
      <alignment wrapText="1"/>
    </xf>
    <xf numFmtId="0" fontId="7" fillId="0" borderId="63" xfId="157" applyFont="1" applyBorder="1" applyAlignment="1">
      <alignment wrapText="1"/>
    </xf>
    <xf numFmtId="0" fontId="33" fillId="0" borderId="10" xfId="212" applyFont="1" applyFill="1" applyBorder="1" applyAlignment="1">
      <alignment horizontal="center" vertical="center" wrapText="1"/>
    </xf>
    <xf numFmtId="3" fontId="33" fillId="0" borderId="10" xfId="212" applyNumberFormat="1" applyFont="1" applyFill="1" applyBorder="1" applyAlignment="1">
      <alignment horizontal="center" vertical="center" wrapText="1"/>
    </xf>
    <xf numFmtId="0" fontId="34" fillId="0" borderId="11" xfId="212" applyFont="1" applyFill="1" applyBorder="1" applyAlignment="1">
      <alignment wrapText="1"/>
    </xf>
    <xf numFmtId="3" fontId="34" fillId="0" borderId="11" xfId="212" applyNumberFormat="1" applyFont="1" applyFill="1" applyBorder="1" applyAlignment="1">
      <alignment wrapText="1"/>
    </xf>
    <xf numFmtId="3" fontId="34" fillId="0" borderId="11" xfId="212" applyNumberFormat="1" applyFont="1" applyFill="1" applyBorder="1"/>
    <xf numFmtId="0" fontId="34" fillId="0" borderId="43" xfId="212" applyFont="1" applyFill="1" applyBorder="1" applyAlignment="1">
      <alignment wrapText="1"/>
    </xf>
    <xf numFmtId="3" fontId="34" fillId="0" borderId="43" xfId="212" applyNumberFormat="1" applyFont="1" applyFill="1" applyBorder="1" applyAlignment="1">
      <alignment wrapText="1"/>
    </xf>
    <xf numFmtId="0" fontId="33" fillId="0" borderId="43" xfId="212" applyFont="1" applyFill="1" applyBorder="1" applyAlignment="1">
      <alignment wrapText="1"/>
    </xf>
    <xf numFmtId="3" fontId="33" fillId="0" borderId="11" xfId="212" applyNumberFormat="1" applyFont="1" applyFill="1" applyBorder="1"/>
    <xf numFmtId="0" fontId="33" fillId="0" borderId="11" xfId="212" applyFont="1" applyFill="1" applyBorder="1" applyAlignment="1"/>
    <xf numFmtId="3" fontId="37" fillId="0" borderId="11" xfId="212" applyNumberFormat="1" applyFont="1" applyFill="1" applyBorder="1" applyAlignment="1"/>
    <xf numFmtId="0" fontId="34" fillId="0" borderId="11" xfId="212" applyFont="1" applyFill="1" applyBorder="1" applyAlignment="1"/>
    <xf numFmtId="3" fontId="34" fillId="0" borderId="11" xfId="212" applyNumberFormat="1" applyFont="1" applyFill="1" applyBorder="1" applyAlignment="1"/>
    <xf numFmtId="0" fontId="33" fillId="0" borderId="11" xfId="212" applyFont="1" applyFill="1" applyBorder="1" applyAlignment="1">
      <alignment wrapText="1"/>
    </xf>
    <xf numFmtId="3" fontId="33" fillId="0" borderId="11" xfId="212" applyNumberFormat="1" applyFont="1" applyFill="1" applyBorder="1" applyAlignment="1">
      <alignment wrapText="1"/>
    </xf>
    <xf numFmtId="3" fontId="34" fillId="0" borderId="11" xfId="212" applyNumberFormat="1" applyFont="1" applyFill="1" applyBorder="1" applyAlignment="1">
      <alignment horizontal="right"/>
    </xf>
    <xf numFmtId="0" fontId="37" fillId="0" borderId="11" xfId="212" applyFont="1" applyFill="1" applyBorder="1" applyAlignment="1"/>
    <xf numFmtId="3" fontId="37" fillId="0" borderId="11" xfId="212" applyNumberFormat="1" applyFont="1" applyFill="1" applyBorder="1"/>
    <xf numFmtId="3" fontId="33" fillId="0" borderId="11" xfId="212" applyNumberFormat="1" applyFont="1" applyFill="1" applyBorder="1" applyAlignment="1"/>
    <xf numFmtId="3" fontId="28" fillId="0" borderId="11" xfId="212" applyNumberFormat="1" applyFont="1" applyFill="1" applyBorder="1"/>
    <xf numFmtId="3" fontId="34" fillId="0" borderId="45" xfId="212" applyNumberFormat="1" applyFont="1" applyFill="1" applyBorder="1" applyAlignment="1">
      <alignment wrapText="1"/>
    </xf>
    <xf numFmtId="3" fontId="34" fillId="0" borderId="45" xfId="212" applyNumberFormat="1" applyFont="1" applyFill="1" applyBorder="1"/>
    <xf numFmtId="3" fontId="33" fillId="0" borderId="45" xfId="212" applyNumberFormat="1" applyFont="1" applyFill="1" applyBorder="1"/>
    <xf numFmtId="3" fontId="33" fillId="0" borderId="45" xfId="212" applyNumberFormat="1" applyFont="1" applyFill="1" applyBorder="1" applyAlignment="1">
      <alignment wrapText="1"/>
    </xf>
    <xf numFmtId="0" fontId="34" fillId="0" borderId="43" xfId="212" applyFont="1" applyFill="1" applyBorder="1"/>
    <xf numFmtId="3" fontId="34" fillId="0" borderId="43" xfId="212" applyNumberFormat="1" applyFont="1" applyFill="1" applyBorder="1"/>
    <xf numFmtId="3" fontId="33" fillId="0" borderId="43" xfId="212" applyNumberFormat="1" applyFont="1" applyFill="1" applyBorder="1" applyAlignment="1">
      <alignment wrapText="1"/>
    </xf>
    <xf numFmtId="0" fontId="34" fillId="0" borderId="11" xfId="212" applyFont="1" applyFill="1" applyBorder="1" applyAlignment="1">
      <alignment horizontal="left" wrapText="1"/>
    </xf>
    <xf numFmtId="3" fontId="34" fillId="0" borderId="11" xfId="212" applyNumberFormat="1" applyFont="1" applyFill="1" applyBorder="1" applyAlignment="1">
      <alignment horizontal="right" wrapText="1"/>
    </xf>
    <xf numFmtId="0" fontId="34" fillId="0" borderId="45" xfId="212" applyFont="1" applyFill="1" applyBorder="1" applyAlignment="1">
      <alignment wrapText="1"/>
    </xf>
    <xf numFmtId="3" fontId="33" fillId="0" borderId="15" xfId="212" applyNumberFormat="1" applyFont="1" applyFill="1" applyBorder="1"/>
    <xf numFmtId="3" fontId="33" fillId="0" borderId="40" xfId="213" applyNumberFormat="1" applyFont="1" applyFill="1" applyBorder="1" applyAlignment="1">
      <alignment horizontal="center" wrapText="1"/>
    </xf>
    <xf numFmtId="0" fontId="33" fillId="0" borderId="63" xfId="212" applyFont="1" applyFill="1" applyBorder="1" applyAlignment="1">
      <alignment wrapText="1"/>
    </xf>
    <xf numFmtId="0" fontId="34" fillId="0" borderId="63" xfId="212" applyFont="1" applyFill="1" applyBorder="1" applyAlignment="1">
      <alignment wrapText="1"/>
    </xf>
    <xf numFmtId="3" fontId="34" fillId="0" borderId="63" xfId="212" applyNumberFormat="1" applyFont="1" applyFill="1" applyBorder="1" applyAlignment="1">
      <alignment wrapText="1"/>
    </xf>
    <xf numFmtId="3" fontId="34" fillId="0" borderId="63" xfId="209" applyNumberFormat="1" applyFont="1" applyFill="1" applyBorder="1"/>
    <xf numFmtId="3" fontId="33" fillId="0" borderId="63" xfId="212" applyNumberFormat="1" applyFont="1" applyFill="1" applyBorder="1" applyAlignment="1">
      <alignment wrapText="1"/>
    </xf>
    <xf numFmtId="3" fontId="33" fillId="0" borderId="63" xfId="209" applyNumberFormat="1" applyFont="1" applyFill="1" applyBorder="1"/>
    <xf numFmtId="3" fontId="33" fillId="0" borderId="63" xfId="212" applyNumberFormat="1" applyFont="1" applyFill="1" applyBorder="1"/>
    <xf numFmtId="0" fontId="28" fillId="0" borderId="63" xfId="212" applyFont="1" applyFill="1" applyBorder="1" applyAlignment="1">
      <alignment wrapText="1"/>
    </xf>
    <xf numFmtId="3" fontId="28" fillId="0" borderId="63" xfId="212" applyNumberFormat="1" applyFont="1" applyFill="1" applyBorder="1" applyAlignment="1">
      <alignment wrapText="1"/>
    </xf>
    <xf numFmtId="3" fontId="28" fillId="0" borderId="63" xfId="209" applyNumberFormat="1" applyFont="1" applyFill="1" applyBorder="1" applyAlignment="1"/>
    <xf numFmtId="0" fontId="34" fillId="0" borderId="82" xfId="212" applyFont="1" applyFill="1" applyBorder="1" applyAlignment="1">
      <alignment wrapText="1"/>
    </xf>
    <xf numFmtId="0" fontId="33" fillId="0" borderId="82" xfId="212" applyFont="1" applyFill="1" applyBorder="1" applyAlignment="1">
      <alignment wrapText="1"/>
    </xf>
    <xf numFmtId="3" fontId="33" fillId="0" borderId="82" xfId="212" applyNumberFormat="1" applyFont="1" applyFill="1" applyBorder="1" applyAlignment="1">
      <alignment wrapText="1"/>
    </xf>
    <xf numFmtId="0" fontId="33" fillId="0" borderId="82" xfId="212" applyFont="1" applyFill="1" applyBorder="1" applyAlignment="1"/>
    <xf numFmtId="3" fontId="33" fillId="0" borderId="40" xfId="212" applyNumberFormat="1" applyFont="1" applyFill="1" applyBorder="1" applyAlignment="1">
      <alignment wrapText="1"/>
    </xf>
    <xf numFmtId="3" fontId="9" fillId="0" borderId="85" xfId="179" applyNumberFormat="1" applyFont="1" applyFill="1" applyBorder="1" applyAlignment="1">
      <alignment wrapText="1"/>
    </xf>
    <xf numFmtId="3" fontId="44" fillId="0" borderId="86" xfId="179" applyNumberFormat="1" applyFont="1" applyFill="1" applyBorder="1"/>
    <xf numFmtId="3" fontId="68" fillId="0" borderId="24" xfId="0" applyNumberFormat="1" applyFont="1" applyFill="1" applyBorder="1" applyAlignment="1">
      <alignment horizontal="right" vertical="center"/>
    </xf>
    <xf numFmtId="3" fontId="68" fillId="0" borderId="24" xfId="0" applyNumberFormat="1" applyFont="1" applyFill="1" applyBorder="1" applyAlignment="1">
      <alignment vertical="center"/>
    </xf>
    <xf numFmtId="3" fontId="7" fillId="0" borderId="15" xfId="173" applyNumberFormat="1" applyFont="1" applyFill="1" applyBorder="1"/>
    <xf numFmtId="3" fontId="45" fillId="0" borderId="10" xfId="173" applyNumberFormat="1" applyFont="1" applyFill="1" applyBorder="1"/>
    <xf numFmtId="4" fontId="45" fillId="0" borderId="10" xfId="173" applyNumberFormat="1" applyFont="1" applyFill="1" applyBorder="1"/>
    <xf numFmtId="3" fontId="7" fillId="0" borderId="46" xfId="186" applyNumberFormat="1" applyFont="1" applyBorder="1" applyAlignment="1">
      <alignment wrapText="1"/>
    </xf>
    <xf numFmtId="3" fontId="7" fillId="0" borderId="21" xfId="186" applyNumberFormat="1" applyFont="1" applyBorder="1" applyAlignment="1">
      <alignment wrapText="1"/>
    </xf>
    <xf numFmtId="3" fontId="7" fillId="0" borderId="45" xfId="186" applyNumberFormat="1" applyFont="1" applyBorder="1" applyAlignment="1">
      <alignment wrapText="1"/>
    </xf>
    <xf numFmtId="3" fontId="7" fillId="0" borderId="11" xfId="186" applyNumberFormat="1" applyFont="1" applyBorder="1" applyAlignment="1">
      <alignment wrapText="1"/>
    </xf>
    <xf numFmtId="3" fontId="7" fillId="0" borderId="111" xfId="186" applyNumberFormat="1" applyFont="1" applyBorder="1" applyAlignment="1">
      <alignment wrapText="1"/>
    </xf>
    <xf numFmtId="0" fontId="7" fillId="0" borderId="111" xfId="186" applyFont="1" applyBorder="1" applyAlignment="1">
      <alignment wrapText="1"/>
    </xf>
    <xf numFmtId="3" fontId="7" fillId="0" borderId="79" xfId="189" applyNumberFormat="1" applyFont="1" applyBorder="1"/>
    <xf numFmtId="3" fontId="7" fillId="0" borderId="80" xfId="189" applyNumberFormat="1" applyFont="1" applyBorder="1"/>
    <xf numFmtId="3" fontId="7" fillId="0" borderId="70" xfId="189" applyNumberFormat="1" applyFont="1" applyBorder="1"/>
    <xf numFmtId="3" fontId="7" fillId="0" borderId="23" xfId="189" applyNumberFormat="1" applyFont="1" applyBorder="1"/>
    <xf numFmtId="3" fontId="7" fillId="0" borderId="71" xfId="189" applyNumberFormat="1" applyFont="1" applyBorder="1"/>
    <xf numFmtId="3" fontId="7" fillId="0" borderId="25" xfId="189" applyNumberFormat="1" applyFont="1" applyBorder="1"/>
    <xf numFmtId="3" fontId="7" fillId="0" borderId="21" xfId="189" applyNumberFormat="1" applyFont="1" applyBorder="1"/>
    <xf numFmtId="0" fontId="9" fillId="0" borderId="15" xfId="189" applyFont="1" applyBorder="1"/>
    <xf numFmtId="3" fontId="9" fillId="0" borderId="30" xfId="189" applyNumberFormat="1" applyFont="1" applyBorder="1"/>
    <xf numFmtId="3" fontId="7" fillId="0" borderId="30" xfId="189" applyNumberFormat="1" applyFont="1" applyBorder="1"/>
    <xf numFmtId="3" fontId="9" fillId="0" borderId="139" xfId="189" applyNumberFormat="1" applyFont="1" applyBorder="1"/>
    <xf numFmtId="3" fontId="7" fillId="0" borderId="15" xfId="189" applyNumberFormat="1" applyFont="1" applyBorder="1"/>
    <xf numFmtId="3" fontId="7" fillId="0" borderId="112" xfId="189" applyNumberFormat="1" applyFont="1" applyBorder="1"/>
    <xf numFmtId="3" fontId="7" fillId="0" borderId="139" xfId="189" applyNumberFormat="1" applyFont="1" applyBorder="1"/>
    <xf numFmtId="3" fontId="7" fillId="24" borderId="70" xfId="189" applyNumberFormat="1" applyFont="1" applyFill="1" applyBorder="1"/>
    <xf numFmtId="3" fontId="9" fillId="24" borderId="41" xfId="189" applyNumberFormat="1" applyFont="1" applyFill="1" applyBorder="1"/>
    <xf numFmtId="3" fontId="7" fillId="0" borderId="131" xfId="189" applyNumberFormat="1" applyFont="1" applyBorder="1"/>
    <xf numFmtId="3" fontId="28" fillId="0" borderId="11" xfId="172" applyNumberFormat="1" applyFont="1" applyBorder="1" applyAlignment="1">
      <alignment horizontal="left" wrapText="1"/>
    </xf>
    <xf numFmtId="3" fontId="28" fillId="0" borderId="11" xfId="172" applyNumberFormat="1" applyFont="1" applyBorder="1" applyAlignment="1">
      <alignment horizontal="right"/>
    </xf>
    <xf numFmtId="3" fontId="28" fillId="0" borderId="93" xfId="172" applyNumberFormat="1" applyFont="1" applyBorder="1" applyAlignment="1">
      <alignment horizontal="right"/>
    </xf>
    <xf numFmtId="3" fontId="34" fillId="0" borderId="92" xfId="172" applyNumberFormat="1" applyFont="1" applyBorder="1" applyAlignment="1">
      <alignment horizontal="left"/>
    </xf>
    <xf numFmtId="2" fontId="61" fillId="0" borderId="14" xfId="172" applyNumberFormat="1" applyFont="1" applyBorder="1" applyAlignment="1">
      <alignment horizontal="center" wrapText="1"/>
    </xf>
    <xf numFmtId="2" fontId="61" fillId="0" borderId="10" xfId="172" applyNumberFormat="1" applyFont="1" applyBorder="1" applyAlignment="1">
      <alignment horizontal="center"/>
    </xf>
    <xf numFmtId="3" fontId="61" fillId="0" borderId="10" xfId="172" applyNumberFormat="1" applyFont="1" applyBorder="1" applyAlignment="1">
      <alignment horizontal="left"/>
    </xf>
    <xf numFmtId="3" fontId="46" fillId="0" borderId="23" xfId="0" applyNumberFormat="1" applyFont="1" applyBorder="1"/>
    <xf numFmtId="3" fontId="46" fillId="0" borderId="71" xfId="0" applyNumberFormat="1" applyFont="1" applyBorder="1"/>
    <xf numFmtId="3" fontId="0" fillId="0" borderId="19" xfId="0" applyNumberFormat="1" applyFont="1" applyBorder="1"/>
    <xf numFmtId="3" fontId="0" fillId="0" borderId="19" xfId="0" applyNumberFormat="1" applyFill="1" applyBorder="1"/>
    <xf numFmtId="3" fontId="0" fillId="0" borderId="20" xfId="0" applyNumberFormat="1" applyFont="1" applyBorder="1"/>
    <xf numFmtId="0" fontId="0" fillId="0" borderId="35" xfId="214" applyFont="1" applyFill="1" applyBorder="1" applyAlignment="1">
      <alignment wrapText="1"/>
    </xf>
    <xf numFmtId="3" fontId="0" fillId="0" borderId="35" xfId="0" applyNumberFormat="1" applyBorder="1"/>
    <xf numFmtId="3" fontId="0" fillId="0" borderId="35" xfId="0" applyNumberFormat="1" applyFill="1" applyBorder="1" applyAlignment="1">
      <alignment wrapText="1"/>
    </xf>
    <xf numFmtId="0" fontId="7" fillId="0" borderId="0" xfId="217" applyFont="1"/>
    <xf numFmtId="0" fontId="8" fillId="0" borderId="99" xfId="217" applyFont="1" applyBorder="1" applyAlignment="1">
      <alignment horizontal="center"/>
    </xf>
    <xf numFmtId="0" fontId="8" fillId="0" borderId="99" xfId="217" applyFont="1" applyFill="1" applyBorder="1" applyAlignment="1">
      <alignment horizontal="center" wrapText="1"/>
    </xf>
    <xf numFmtId="3" fontId="8" fillId="0" borderId="103" xfId="217" applyNumberFormat="1" applyFont="1" applyBorder="1" applyAlignment="1">
      <alignment horizontal="center" wrapText="1"/>
    </xf>
    <xf numFmtId="3" fontId="8" fillId="0" borderId="100" xfId="217" applyNumberFormat="1" applyFont="1" applyBorder="1" applyAlignment="1">
      <alignment horizontal="center" wrapText="1"/>
    </xf>
    <xf numFmtId="0" fontId="8" fillId="0" borderId="94" xfId="217" applyFont="1" applyBorder="1" applyAlignment="1">
      <alignment horizontal="right"/>
    </xf>
    <xf numFmtId="3" fontId="8" fillId="0" borderId="102" xfId="217" applyNumberFormat="1" applyFont="1" applyBorder="1" applyAlignment="1">
      <alignment wrapText="1"/>
    </xf>
    <xf numFmtId="3" fontId="8" fillId="0" borderId="104" xfId="217" applyNumberFormat="1" applyFont="1" applyBorder="1" applyAlignment="1"/>
    <xf numFmtId="3" fontId="8" fillId="0" borderId="104" xfId="217" applyNumberFormat="1" applyFont="1" applyBorder="1" applyAlignment="1">
      <alignment horizontal="center"/>
    </xf>
    <xf numFmtId="0" fontId="8" fillId="0" borderId="96" xfId="217" applyFont="1" applyBorder="1" applyAlignment="1">
      <alignment horizontal="right"/>
    </xf>
    <xf numFmtId="3" fontId="8" fillId="0" borderId="63" xfId="217" applyNumberFormat="1" applyFont="1" applyBorder="1" applyAlignment="1">
      <alignment wrapText="1"/>
    </xf>
    <xf numFmtId="3" fontId="8" fillId="0" borderId="35" xfId="217" applyNumberFormat="1" applyFont="1" applyFill="1" applyBorder="1" applyAlignment="1"/>
    <xf numFmtId="3" fontId="8" fillId="0" borderId="35" xfId="217" applyNumberFormat="1" applyFont="1" applyFill="1" applyBorder="1" applyAlignment="1">
      <alignment horizontal="center"/>
    </xf>
    <xf numFmtId="0" fontId="7" fillId="0" borderId="63" xfId="217" applyFont="1" applyFill="1" applyBorder="1" applyAlignment="1">
      <alignment wrapText="1"/>
    </xf>
    <xf numFmtId="3" fontId="7" fillId="0" borderId="35" xfId="217" applyNumberFormat="1" applyFont="1" applyBorder="1" applyAlignment="1"/>
    <xf numFmtId="3" fontId="0" fillId="0" borderId="35" xfId="217" applyNumberFormat="1" applyFont="1" applyBorder="1" applyAlignment="1">
      <alignment horizontal="center"/>
    </xf>
    <xf numFmtId="0" fontId="8" fillId="0" borderId="63" xfId="217" applyFont="1" applyBorder="1" applyAlignment="1">
      <alignment wrapText="1"/>
    </xf>
    <xf numFmtId="3" fontId="8" fillId="0" borderId="35" xfId="217" applyNumberFormat="1" applyFont="1" applyFill="1" applyBorder="1"/>
    <xf numFmtId="3" fontId="7" fillId="0" borderId="35" xfId="217" applyNumberFormat="1" applyFont="1" applyFill="1" applyBorder="1" applyAlignment="1"/>
    <xf numFmtId="3" fontId="0" fillId="0" borderId="35" xfId="217" applyNumberFormat="1" applyFont="1" applyFill="1" applyBorder="1" applyAlignment="1">
      <alignment horizontal="center"/>
    </xf>
    <xf numFmtId="0" fontId="46" fillId="0" borderId="96" xfId="217" applyFont="1" applyBorder="1" applyAlignment="1">
      <alignment horizontal="right"/>
    </xf>
    <xf numFmtId="0" fontId="9" fillId="0" borderId="63" xfId="217" applyFont="1" applyBorder="1" applyAlignment="1">
      <alignment wrapText="1"/>
    </xf>
    <xf numFmtId="3" fontId="9" fillId="0" borderId="35" xfId="217" applyNumberFormat="1" applyFont="1" applyFill="1" applyBorder="1" applyAlignment="1"/>
    <xf numFmtId="3" fontId="9" fillId="0" borderId="35" xfId="217" applyNumberFormat="1" applyFont="1" applyFill="1" applyBorder="1" applyAlignment="1">
      <alignment horizontal="center"/>
    </xf>
    <xf numFmtId="3" fontId="9" fillId="0" borderId="105" xfId="217" applyNumberFormat="1" applyFont="1" applyBorder="1" applyAlignment="1"/>
    <xf numFmtId="0" fontId="9" fillId="0" borderId="63" xfId="217" applyFont="1" applyFill="1" applyBorder="1" applyAlignment="1">
      <alignment wrapText="1"/>
    </xf>
    <xf numFmtId="0" fontId="7" fillId="0" borderId="63" xfId="217" applyFont="1" applyBorder="1" applyAlignment="1">
      <alignment wrapText="1"/>
    </xf>
    <xf numFmtId="3" fontId="7" fillId="0" borderId="35" xfId="217" applyNumberFormat="1" applyFont="1" applyFill="1" applyBorder="1" applyAlignment="1">
      <alignment horizontal="center"/>
    </xf>
    <xf numFmtId="3" fontId="9" fillId="0" borderId="105" xfId="217" applyNumberFormat="1" applyFont="1" applyFill="1" applyBorder="1" applyAlignment="1"/>
    <xf numFmtId="3" fontId="8" fillId="0" borderId="35" xfId="217" applyNumberFormat="1" applyFont="1" applyBorder="1" applyAlignment="1">
      <alignment wrapText="1"/>
    </xf>
    <xf numFmtId="3" fontId="8" fillId="0" borderId="35" xfId="217" applyNumberFormat="1" applyFont="1" applyBorder="1" applyAlignment="1">
      <alignment horizontal="center" wrapText="1"/>
    </xf>
    <xf numFmtId="3" fontId="7" fillId="0" borderId="35" xfId="217" applyNumberFormat="1" applyFont="1" applyBorder="1" applyAlignment="1">
      <alignment horizontal="center"/>
    </xf>
    <xf numFmtId="0" fontId="0" fillId="0" borderId="63" xfId="217" applyFont="1" applyFill="1" applyBorder="1" applyAlignment="1">
      <alignment wrapText="1"/>
    </xf>
    <xf numFmtId="3" fontId="8" fillId="0" borderId="35" xfId="217" applyNumberFormat="1" applyFont="1" applyBorder="1" applyAlignment="1"/>
    <xf numFmtId="3" fontId="8" fillId="0" borderId="35" xfId="217" applyNumberFormat="1" applyFont="1" applyBorder="1" applyAlignment="1">
      <alignment horizontal="center"/>
    </xf>
    <xf numFmtId="3" fontId="9" fillId="0" borderId="35" xfId="217" applyNumberFormat="1" applyFont="1" applyBorder="1" applyAlignment="1"/>
    <xf numFmtId="3" fontId="9" fillId="0" borderId="35" xfId="217" applyNumberFormat="1" applyFont="1" applyBorder="1" applyAlignment="1">
      <alignment horizontal="center"/>
    </xf>
    <xf numFmtId="0" fontId="9" fillId="0" borderId="96" xfId="217" applyFont="1" applyBorder="1" applyAlignment="1">
      <alignment horizontal="right"/>
    </xf>
    <xf numFmtId="3" fontId="8" fillId="0" borderId="35" xfId="217" applyNumberFormat="1" applyFont="1" applyFill="1" applyBorder="1" applyAlignment="1">
      <alignment wrapText="1"/>
    </xf>
    <xf numFmtId="3" fontId="8" fillId="0" borderId="35" xfId="217" applyNumberFormat="1" applyFont="1" applyFill="1" applyBorder="1" applyAlignment="1">
      <alignment horizontal="center" wrapText="1"/>
    </xf>
    <xf numFmtId="0" fontId="7" fillId="0" borderId="63" xfId="217" applyBorder="1" applyAlignment="1">
      <alignment wrapText="1"/>
    </xf>
    <xf numFmtId="0" fontId="8" fillId="0" borderId="63" xfId="217" applyFont="1" applyFill="1" applyBorder="1" applyAlignment="1">
      <alignment wrapText="1"/>
    </xf>
    <xf numFmtId="3" fontId="7" fillId="0" borderId="105" xfId="217" applyNumberFormat="1" applyFont="1" applyFill="1" applyBorder="1" applyAlignment="1"/>
    <xf numFmtId="0" fontId="8" fillId="0" borderId="63" xfId="217" applyFont="1" applyBorder="1" applyAlignment="1">
      <alignment horizontal="right"/>
    </xf>
    <xf numFmtId="0" fontId="8" fillId="0" borderId="40" xfId="217" applyFont="1" applyBorder="1" applyAlignment="1">
      <alignment wrapText="1"/>
    </xf>
    <xf numFmtId="3" fontId="8" fillId="0" borderId="74" xfId="217" applyNumberFormat="1" applyFont="1" applyFill="1" applyBorder="1"/>
    <xf numFmtId="3" fontId="8" fillId="0" borderId="74" xfId="217" applyNumberFormat="1" applyFont="1" applyFill="1" applyBorder="1" applyAlignment="1">
      <alignment horizontal="center"/>
    </xf>
    <xf numFmtId="0" fontId="7" fillId="0" borderId="66" xfId="217" applyBorder="1" applyAlignment="1">
      <alignment wrapText="1"/>
    </xf>
    <xf numFmtId="3" fontId="7" fillId="0" borderId="76" xfId="217" applyNumberFormat="1" applyFont="1" applyBorder="1" applyAlignment="1"/>
    <xf numFmtId="3" fontId="7" fillId="0" borderId="76" xfId="217" applyNumberFormat="1" applyFont="1" applyBorder="1" applyAlignment="1">
      <alignment horizontal="center"/>
    </xf>
    <xf numFmtId="3" fontId="0" fillId="0" borderId="76" xfId="217" applyNumberFormat="1" applyFont="1" applyBorder="1" applyAlignment="1">
      <alignment horizontal="center"/>
    </xf>
    <xf numFmtId="0" fontId="7" fillId="0" borderId="82" xfId="217" applyBorder="1" applyAlignment="1">
      <alignment wrapText="1"/>
    </xf>
    <xf numFmtId="3" fontId="7" fillId="0" borderId="35" xfId="217" applyNumberFormat="1" applyFont="1" applyFill="1" applyBorder="1"/>
    <xf numFmtId="0" fontId="8" fillId="0" borderId="82" xfId="217" applyFont="1" applyBorder="1" applyAlignment="1">
      <alignment horizontal="right"/>
    </xf>
    <xf numFmtId="3" fontId="9" fillId="0" borderId="106" xfId="217" applyNumberFormat="1" applyFont="1" applyFill="1" applyBorder="1" applyAlignment="1"/>
    <xf numFmtId="3" fontId="9" fillId="0" borderId="76" xfId="217" applyNumberFormat="1" applyFont="1" applyFill="1" applyBorder="1" applyAlignment="1"/>
    <xf numFmtId="3" fontId="9" fillId="0" borderId="76" xfId="217" applyNumberFormat="1" applyFont="1" applyFill="1" applyBorder="1" applyAlignment="1">
      <alignment horizontal="center"/>
    </xf>
    <xf numFmtId="3" fontId="9" fillId="0" borderId="106" xfId="217" applyNumberFormat="1" applyFont="1" applyBorder="1" applyAlignment="1"/>
    <xf numFmtId="0" fontId="8" fillId="0" borderId="82" xfId="217" applyFont="1" applyFill="1" applyBorder="1" applyAlignment="1">
      <alignment horizontal="right"/>
    </xf>
    <xf numFmtId="0" fontId="29" fillId="0" borderId="0" xfId="157" applyFill="1"/>
    <xf numFmtId="3" fontId="9" fillId="0" borderId="76" xfId="217" applyNumberFormat="1" applyFont="1" applyBorder="1" applyAlignment="1"/>
    <xf numFmtId="3" fontId="9" fillId="0" borderId="76" xfId="217" applyNumberFormat="1" applyFont="1" applyBorder="1" applyAlignment="1">
      <alignment horizontal="center"/>
    </xf>
    <xf numFmtId="0" fontId="8" fillId="0" borderId="101" xfId="217" applyFont="1" applyBorder="1" applyAlignment="1">
      <alignment horizontal="right"/>
    </xf>
    <xf numFmtId="3" fontId="8" fillId="0" borderId="40" xfId="217" applyNumberFormat="1" applyFont="1" applyFill="1" applyBorder="1"/>
    <xf numFmtId="3" fontId="8" fillId="0" borderId="40" xfId="217" applyNumberFormat="1" applyFont="1" applyFill="1" applyBorder="1" applyAlignment="1">
      <alignment horizontal="center"/>
    </xf>
    <xf numFmtId="3" fontId="7" fillId="0" borderId="0" xfId="217" applyNumberFormat="1" applyFont="1"/>
    <xf numFmtId="0" fontId="33" fillId="0" borderId="11" xfId="217" applyFont="1" applyFill="1" applyBorder="1" applyAlignment="1">
      <alignment wrapText="1"/>
    </xf>
    <xf numFmtId="3" fontId="33" fillId="0" borderId="11" xfId="217" applyNumberFormat="1" applyFont="1" applyFill="1" applyBorder="1" applyAlignment="1">
      <alignment wrapText="1"/>
    </xf>
    <xf numFmtId="3" fontId="33" fillId="0" borderId="39" xfId="185" applyNumberFormat="1" applyFont="1" applyFill="1" applyBorder="1"/>
    <xf numFmtId="3" fontId="0" fillId="0" borderId="35" xfId="0" applyNumberFormat="1" applyFont="1" applyBorder="1"/>
    <xf numFmtId="0" fontId="9" fillId="0" borderId="35" xfId="214" applyFont="1" applyFill="1" applyBorder="1" applyAlignment="1">
      <alignment wrapText="1"/>
    </xf>
    <xf numFmtId="0" fontId="11" fillId="0" borderId="0" xfId="159"/>
    <xf numFmtId="0" fontId="71" fillId="0" borderId="22" xfId="0" applyFont="1" applyFill="1" applyBorder="1" applyAlignment="1">
      <alignment wrapText="1"/>
    </xf>
    <xf numFmtId="0" fontId="46" fillId="0" borderId="96" xfId="217" applyFont="1" applyFill="1" applyBorder="1" applyAlignment="1">
      <alignment horizontal="right"/>
    </xf>
    <xf numFmtId="0" fontId="56" fillId="0" borderId="0" xfId="157" applyFont="1" applyFill="1"/>
    <xf numFmtId="3" fontId="40" fillId="0" borderId="79" xfId="177" applyNumberFormat="1" applyFont="1" applyFill="1" applyBorder="1"/>
    <xf numFmtId="3" fontId="40" fillId="0" borderId="24" xfId="177" applyNumberFormat="1" applyFont="1" applyFill="1" applyBorder="1"/>
    <xf numFmtId="3" fontId="40" fillId="0" borderId="35" xfId="177" applyNumberFormat="1" applyFont="1" applyFill="1" applyBorder="1"/>
    <xf numFmtId="3" fontId="40" fillId="0" borderId="63" xfId="177" applyNumberFormat="1" applyFont="1" applyFill="1" applyBorder="1"/>
    <xf numFmtId="0" fontId="40" fillId="0" borderId="0" xfId="177" applyFont="1" applyFill="1"/>
    <xf numFmtId="0" fontId="8" fillId="0" borderId="40" xfId="212" applyFont="1" applyBorder="1" applyAlignment="1">
      <alignment horizontal="center" vertical="center" wrapText="1"/>
    </xf>
    <xf numFmtId="0" fontId="7" fillId="0" borderId="0" xfId="212" applyAlignment="1">
      <alignment wrapText="1"/>
    </xf>
    <xf numFmtId="0" fontId="0" fillId="0" borderId="69" xfId="212" applyFont="1" applyBorder="1"/>
    <xf numFmtId="0" fontId="7" fillId="0" borderId="23" xfId="212" applyNumberFormat="1" applyBorder="1" applyAlignment="1">
      <alignment wrapText="1"/>
    </xf>
    <xf numFmtId="3" fontId="7" fillId="0" borderId="23" xfId="212" applyNumberFormat="1" applyBorder="1"/>
    <xf numFmtId="3" fontId="0" fillId="0" borderId="23" xfId="212" applyNumberFormat="1" applyFont="1" applyBorder="1" applyAlignment="1">
      <alignment horizontal="right"/>
    </xf>
    <xf numFmtId="3" fontId="7" fillId="0" borderId="76" xfId="212" applyNumberFormat="1" applyBorder="1"/>
    <xf numFmtId="0" fontId="7" fillId="0" borderId="36" xfId="212" applyBorder="1"/>
    <xf numFmtId="0" fontId="7" fillId="0" borderId="24" xfId="212" applyNumberFormat="1" applyBorder="1" applyAlignment="1">
      <alignment wrapText="1"/>
    </xf>
    <xf numFmtId="3" fontId="7" fillId="0" borderId="24" xfId="212" applyNumberFormat="1" applyBorder="1"/>
    <xf numFmtId="3" fontId="7" fillId="0" borderId="35" xfId="212" applyNumberFormat="1" applyBorder="1"/>
    <xf numFmtId="0" fontId="0" fillId="0" borderId="36" xfId="212" applyFont="1" applyBorder="1"/>
    <xf numFmtId="0" fontId="0" fillId="0" borderId="24" xfId="212" applyNumberFormat="1" applyFont="1" applyBorder="1" applyAlignment="1">
      <alignment wrapText="1"/>
    </xf>
    <xf numFmtId="0" fontId="7" fillId="0" borderId="24" xfId="212" applyBorder="1"/>
    <xf numFmtId="3" fontId="0" fillId="0" borderId="24" xfId="212" applyNumberFormat="1" applyFont="1" applyBorder="1"/>
    <xf numFmtId="4" fontId="7" fillId="0" borderId="24" xfId="212" applyNumberFormat="1" applyBorder="1"/>
    <xf numFmtId="0" fontId="0" fillId="0" borderId="36" xfId="212" applyFont="1" applyFill="1" applyBorder="1"/>
    <xf numFmtId="0" fontId="0" fillId="0" borderId="24" xfId="212" applyNumberFormat="1" applyFont="1" applyFill="1" applyBorder="1" applyAlignment="1">
      <alignment wrapText="1"/>
    </xf>
    <xf numFmtId="3" fontId="7" fillId="0" borderId="24" xfId="212" applyNumberFormat="1" applyFill="1" applyBorder="1"/>
    <xf numFmtId="3" fontId="7" fillId="0" borderId="35" xfId="212" applyNumberFormat="1" applyFill="1" applyBorder="1"/>
    <xf numFmtId="0" fontId="0" fillId="0" borderId="80" xfId="212" applyNumberFormat="1" applyFont="1" applyBorder="1" applyAlignment="1">
      <alignment wrapText="1"/>
    </xf>
    <xf numFmtId="3" fontId="7" fillId="0" borderId="80" xfId="212" applyNumberFormat="1" applyBorder="1"/>
    <xf numFmtId="3" fontId="7" fillId="0" borderId="88" xfId="212" applyNumberFormat="1" applyBorder="1"/>
    <xf numFmtId="0" fontId="0" fillId="0" borderId="77" xfId="212" applyFont="1" applyBorder="1"/>
    <xf numFmtId="0" fontId="7" fillId="0" borderId="80" xfId="212" applyNumberFormat="1" applyFont="1" applyBorder="1" applyAlignment="1">
      <alignment wrapText="1"/>
    </xf>
    <xf numFmtId="0" fontId="8" fillId="0" borderId="73" xfId="212" applyFont="1" applyBorder="1"/>
    <xf numFmtId="0" fontId="8" fillId="0" borderId="89" xfId="212" applyNumberFormat="1" applyFont="1" applyBorder="1" applyAlignment="1">
      <alignment wrapText="1"/>
    </xf>
    <xf numFmtId="3" fontId="8" fillId="0" borderId="75" xfId="212" applyNumberFormat="1" applyFont="1" applyBorder="1"/>
    <xf numFmtId="3" fontId="8" fillId="0" borderId="68" xfId="212" applyNumberFormat="1" applyFont="1" applyBorder="1"/>
    <xf numFmtId="0" fontId="7" fillId="0" borderId="0" xfId="212" applyNumberFormat="1" applyAlignment="1">
      <alignment wrapText="1"/>
    </xf>
    <xf numFmtId="3" fontId="0" fillId="0" borderId="46" xfId="186" applyNumberFormat="1" applyFont="1" applyBorder="1" applyAlignment="1">
      <alignment wrapText="1"/>
    </xf>
    <xf numFmtId="3" fontId="9" fillId="0" borderId="131" xfId="189" applyNumberFormat="1" applyFont="1" applyBorder="1"/>
    <xf numFmtId="0" fontId="9" fillId="0" borderId="111" xfId="186" applyFont="1" applyBorder="1" applyAlignment="1">
      <alignment wrapText="1"/>
    </xf>
    <xf numFmtId="3" fontId="9" fillId="0" borderId="31" xfId="189" applyNumberFormat="1" applyFont="1" applyBorder="1"/>
    <xf numFmtId="3" fontId="9" fillId="0" borderId="15" xfId="189" applyNumberFormat="1" applyFont="1" applyBorder="1"/>
    <xf numFmtId="3" fontId="9" fillId="0" borderId="112" xfId="189" applyNumberFormat="1" applyFont="1" applyBorder="1"/>
    <xf numFmtId="3" fontId="7" fillId="24" borderId="41" xfId="189" applyNumberFormat="1" applyFont="1" applyFill="1" applyBorder="1"/>
    <xf numFmtId="3" fontId="28" fillId="0" borderId="43" xfId="172" applyNumberFormat="1" applyFont="1" applyBorder="1" applyAlignment="1">
      <alignment horizontal="right"/>
    </xf>
    <xf numFmtId="3" fontId="9" fillId="0" borderId="76" xfId="0" applyNumberFormat="1" applyFont="1" applyFill="1" applyBorder="1" applyAlignment="1">
      <alignment wrapText="1"/>
    </xf>
    <xf numFmtId="0" fontId="0" fillId="0" borderId="35" xfId="0" applyFill="1" applyBorder="1" applyAlignment="1">
      <alignment wrapText="1"/>
    </xf>
    <xf numFmtId="3" fontId="0" fillId="0" borderId="76" xfId="0" applyNumberFormat="1" applyFill="1" applyBorder="1" applyAlignment="1">
      <alignment wrapText="1"/>
    </xf>
    <xf numFmtId="0" fontId="0" fillId="0" borderId="0" xfId="0" applyFill="1" applyBorder="1"/>
    <xf numFmtId="0" fontId="33" fillId="0" borderId="0" xfId="185" applyFont="1" applyFill="1" applyAlignment="1">
      <alignment horizontal="center"/>
    </xf>
    <xf numFmtId="3" fontId="7" fillId="0" borderId="15" xfId="186" applyNumberFormat="1" applyFont="1" applyBorder="1" applyAlignment="1">
      <alignment wrapText="1"/>
    </xf>
    <xf numFmtId="3" fontId="7" fillId="0" borderId="0" xfId="212" applyNumberFormat="1" applyFont="1"/>
    <xf numFmtId="3" fontId="9" fillId="0" borderId="0" xfId="212" applyNumberFormat="1" applyFont="1"/>
    <xf numFmtId="3" fontId="7" fillId="0" borderId="31" xfId="189" applyNumberFormat="1" applyFont="1" applyBorder="1"/>
    <xf numFmtId="3" fontId="33" fillId="0" borderId="43" xfId="172" applyNumberFormat="1" applyFont="1" applyBorder="1" applyAlignment="1">
      <alignment horizontal="left"/>
    </xf>
    <xf numFmtId="3" fontId="33" fillId="0" borderId="43" xfId="172" applyNumberFormat="1" applyFont="1" applyBorder="1" applyAlignment="1">
      <alignment horizontal="right"/>
    </xf>
    <xf numFmtId="0" fontId="71" fillId="0" borderId="59" xfId="0" applyFont="1" applyFill="1" applyBorder="1" applyAlignment="1">
      <alignment wrapText="1"/>
    </xf>
    <xf numFmtId="0" fontId="67" fillId="0" borderId="0" xfId="227" applyFont="1"/>
    <xf numFmtId="2" fontId="67" fillId="0" borderId="0" xfId="227" applyNumberFormat="1" applyFont="1" applyBorder="1" applyAlignment="1">
      <alignment horizontal="center"/>
    </xf>
    <xf numFmtId="2" fontId="67" fillId="0" borderId="92" xfId="227" applyNumberFormat="1" applyFont="1" applyBorder="1" applyAlignment="1">
      <alignment horizontal="center"/>
    </xf>
    <xf numFmtId="2" fontId="61" fillId="0" borderId="10" xfId="172" applyNumberFormat="1" applyFont="1" applyBorder="1" applyAlignment="1">
      <alignment horizontal="center" wrapText="1"/>
    </xf>
    <xf numFmtId="2" fontId="61" fillId="0" borderId="10" xfId="172" applyNumberFormat="1" applyFont="1" applyFill="1" applyBorder="1" applyAlignment="1">
      <alignment horizontal="center"/>
    </xf>
    <xf numFmtId="4" fontId="34" fillId="0" borderId="22" xfId="226" applyNumberFormat="1" applyFont="1" applyBorder="1" applyAlignment="1">
      <alignment horizontal="center"/>
    </xf>
    <xf numFmtId="4" fontId="34" fillId="0" borderId="21" xfId="226" applyNumberFormat="1" applyFont="1" applyBorder="1" applyAlignment="1">
      <alignment horizontal="center"/>
    </xf>
    <xf numFmtId="2" fontId="67" fillId="0" borderId="0" xfId="227" applyNumberFormat="1" applyFont="1" applyAlignment="1">
      <alignment horizontal="center"/>
    </xf>
    <xf numFmtId="3" fontId="0" fillId="0" borderId="76" xfId="0" applyNumberFormat="1" applyBorder="1" applyAlignment="1">
      <alignment wrapText="1"/>
    </xf>
    <xf numFmtId="3" fontId="0" fillId="0" borderId="35" xfId="0" applyNumberFormat="1" applyBorder="1" applyAlignment="1">
      <alignment wrapText="1"/>
    </xf>
    <xf numFmtId="0" fontId="0" fillId="0" borderId="72" xfId="0" applyFont="1" applyBorder="1" applyAlignment="1">
      <alignment wrapText="1"/>
    </xf>
    <xf numFmtId="0" fontId="0" fillId="0" borderId="24" xfId="0" applyFont="1" applyBorder="1" applyAlignment="1">
      <alignment wrapText="1"/>
    </xf>
    <xf numFmtId="3" fontId="9" fillId="0" borderId="35" xfId="0" applyNumberFormat="1" applyFont="1" applyFill="1" applyBorder="1" applyAlignment="1">
      <alignment wrapText="1"/>
    </xf>
    <xf numFmtId="3" fontId="8" fillId="0" borderId="42" xfId="182" applyNumberFormat="1" applyFont="1" applyBorder="1" applyAlignment="1">
      <alignment horizontal="center"/>
    </xf>
    <xf numFmtId="3" fontId="8" fillId="0" borderId="42" xfId="182" applyNumberFormat="1" applyFont="1" applyBorder="1" applyAlignment="1">
      <alignment horizontal="center" wrapText="1"/>
    </xf>
    <xf numFmtId="3" fontId="8" fillId="0" borderId="10" xfId="182" applyNumberFormat="1" applyFont="1" applyBorder="1" applyAlignment="1">
      <alignment horizontal="center" wrapText="1"/>
    </xf>
    <xf numFmtId="3" fontId="8" fillId="0" borderId="10" xfId="182" applyNumberFormat="1" applyFont="1" applyBorder="1" applyAlignment="1">
      <alignment horizontal="center"/>
    </xf>
    <xf numFmtId="3" fontId="43" fillId="0" borderId="10" xfId="173" applyNumberFormat="1" applyFont="1" applyBorder="1" applyAlignment="1">
      <alignment horizontal="center"/>
    </xf>
    <xf numFmtId="3" fontId="43" fillId="0" borderId="42" xfId="173" applyNumberFormat="1" applyFont="1" applyBorder="1" applyAlignment="1">
      <alignment horizontal="center" wrapText="1"/>
    </xf>
    <xf numFmtId="3" fontId="43" fillId="0" borderId="14" xfId="173" applyNumberFormat="1" applyFont="1" applyBorder="1" applyAlignment="1">
      <alignment horizontal="center" wrapText="1"/>
    </xf>
    <xf numFmtId="3" fontId="43" fillId="0" borderId="10" xfId="173" applyNumberFormat="1" applyFont="1" applyBorder="1" applyAlignment="1">
      <alignment horizontal="center" wrapText="1"/>
    </xf>
    <xf numFmtId="3" fontId="57" fillId="0" borderId="99" xfId="189" applyNumberFormat="1" applyFont="1" applyBorder="1" applyAlignment="1">
      <alignment horizontal="center" vertical="center" wrapText="1"/>
    </xf>
    <xf numFmtId="3" fontId="57" fillId="0" borderId="48" xfId="189" applyNumberFormat="1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center"/>
    </xf>
    <xf numFmtId="0" fontId="33" fillId="0" borderId="0" xfId="178" applyFont="1" applyFill="1" applyBorder="1" applyAlignment="1">
      <alignment horizontal="center" wrapText="1"/>
    </xf>
    <xf numFmtId="3" fontId="43" fillId="0" borderId="96" xfId="171" applyNumberFormat="1" applyFont="1" applyBorder="1" applyAlignment="1">
      <alignment horizontal="left"/>
    </xf>
    <xf numFmtId="0" fontId="41" fillId="0" borderId="40" xfId="177" applyFont="1" applyBorder="1" applyAlignment="1">
      <alignment horizontal="center" wrapText="1"/>
    </xf>
    <xf numFmtId="3" fontId="1" fillId="0" borderId="0" xfId="228" applyNumberFormat="1"/>
    <xf numFmtId="3" fontId="69" fillId="0" borderId="0" xfId="228" applyNumberFormat="1" applyFont="1"/>
    <xf numFmtId="3" fontId="74" fillId="0" borderId="111" xfId="186" applyNumberFormat="1" applyFont="1" applyBorder="1" applyAlignment="1">
      <alignment wrapText="1"/>
    </xf>
    <xf numFmtId="3" fontId="1" fillId="0" borderId="0" xfId="228" applyNumberFormat="1" applyAlignment="1">
      <alignment horizontal="right"/>
    </xf>
    <xf numFmtId="0" fontId="44" fillId="0" borderId="15" xfId="189" applyFont="1" applyBorder="1"/>
    <xf numFmtId="3" fontId="79" fillId="0" borderId="41" xfId="189" applyNumberFormat="1" applyFont="1" applyBorder="1"/>
    <xf numFmtId="3" fontId="79" fillId="0" borderId="24" xfId="189" applyNumberFormat="1" applyFont="1" applyBorder="1"/>
    <xf numFmtId="3" fontId="80" fillId="0" borderId="72" xfId="189" applyNumberFormat="1" applyFont="1" applyBorder="1"/>
    <xf numFmtId="3" fontId="80" fillId="0" borderId="25" xfId="189" applyNumberFormat="1" applyFont="1" applyBorder="1"/>
    <xf numFmtId="3" fontId="79" fillId="0" borderId="11" xfId="189" applyNumberFormat="1" applyFont="1" applyBorder="1"/>
    <xf numFmtId="0" fontId="0" fillId="0" borderId="0" xfId="212" applyFont="1"/>
    <xf numFmtId="0" fontId="1" fillId="0" borderId="0" xfId="229"/>
    <xf numFmtId="0" fontId="71" fillId="25" borderId="22" xfId="0" applyFont="1" applyFill="1" applyBorder="1" applyAlignment="1">
      <alignment wrapText="1"/>
    </xf>
    <xf numFmtId="0" fontId="71" fillId="0" borderId="12" xfId="0" applyFont="1" applyFill="1" applyBorder="1" applyAlignment="1">
      <alignment wrapText="1"/>
    </xf>
    <xf numFmtId="3" fontId="0" fillId="0" borderId="81" xfId="0" applyNumberFormat="1" applyFill="1" applyBorder="1"/>
    <xf numFmtId="0" fontId="7" fillId="0" borderId="0" xfId="230" applyFill="1"/>
    <xf numFmtId="0" fontId="7" fillId="0" borderId="0" xfId="230" applyFont="1" applyFill="1" applyAlignment="1">
      <alignment wrapText="1"/>
    </xf>
    <xf numFmtId="0" fontId="7" fillId="0" borderId="0" xfId="230" applyFill="1" applyAlignment="1">
      <alignment wrapText="1"/>
    </xf>
    <xf numFmtId="0" fontId="46" fillId="0" borderId="67" xfId="230" applyFont="1" applyFill="1" applyBorder="1" applyAlignment="1">
      <alignment wrapText="1"/>
    </xf>
    <xf numFmtId="0" fontId="7" fillId="0" borderId="102" xfId="230" applyFont="1" applyFill="1" applyBorder="1" applyAlignment="1">
      <alignment wrapText="1"/>
    </xf>
    <xf numFmtId="3" fontId="7" fillId="0" borderId="104" xfId="230" applyNumberFormat="1" applyFont="1" applyFill="1" applyBorder="1" applyAlignment="1">
      <alignment horizontal="right" wrapText="1"/>
    </xf>
    <xf numFmtId="0" fontId="7" fillId="0" borderId="121" xfId="230" applyFont="1" applyFill="1" applyBorder="1" applyAlignment="1">
      <alignment wrapText="1"/>
    </xf>
    <xf numFmtId="3" fontId="7" fillId="0" borderId="122" xfId="230" applyNumberFormat="1" applyFont="1" applyFill="1" applyBorder="1" applyAlignment="1">
      <alignment horizontal="right" wrapText="1"/>
    </xf>
    <xf numFmtId="0" fontId="7" fillId="0" borderId="0" xfId="230" applyFont="1" applyFill="1"/>
    <xf numFmtId="0" fontId="7" fillId="0" borderId="63" xfId="230" applyFont="1" applyFill="1" applyBorder="1" applyAlignment="1">
      <alignment horizontal="left" wrapText="1"/>
    </xf>
    <xf numFmtId="3" fontId="7" fillId="0" borderId="105" xfId="230" applyNumberFormat="1" applyFont="1" applyFill="1" applyBorder="1" applyAlignment="1">
      <alignment horizontal="right" wrapText="1"/>
    </xf>
    <xf numFmtId="0" fontId="46" fillId="0" borderId="40" xfId="230" applyFont="1" applyFill="1" applyBorder="1" applyAlignment="1">
      <alignment wrapText="1"/>
    </xf>
    <xf numFmtId="3" fontId="46" fillId="0" borderId="74" xfId="230" applyNumberFormat="1" applyFont="1" applyFill="1" applyBorder="1"/>
    <xf numFmtId="0" fontId="63" fillId="0" borderId="0" xfId="230" applyFont="1" applyFill="1" applyAlignment="1">
      <alignment wrapText="1"/>
    </xf>
    <xf numFmtId="0" fontId="63" fillId="0" borderId="0" xfId="230" applyFont="1" applyFill="1"/>
    <xf numFmtId="0" fontId="63" fillId="0" borderId="0" xfId="230" applyFont="1" applyFill="1" applyAlignment="1"/>
    <xf numFmtId="3" fontId="7" fillId="0" borderId="0" xfId="230" applyNumberFormat="1" applyFill="1"/>
    <xf numFmtId="0" fontId="9" fillId="0" borderId="63" xfId="230" applyFont="1" applyFill="1" applyBorder="1" applyAlignment="1">
      <alignment horizontal="left" wrapText="1"/>
    </xf>
    <xf numFmtId="3" fontId="9" fillId="0" borderId="105" xfId="230" applyNumberFormat="1" applyFont="1" applyFill="1" applyBorder="1" applyAlignment="1">
      <alignment horizontal="right" wrapText="1"/>
    </xf>
    <xf numFmtId="0" fontId="9" fillId="0" borderId="0" xfId="230" applyFont="1" applyFill="1"/>
    <xf numFmtId="0" fontId="0" fillId="0" borderId="63" xfId="230" applyFont="1" applyFill="1" applyBorder="1" applyAlignment="1">
      <alignment horizontal="left" wrapText="1"/>
    </xf>
    <xf numFmtId="0" fontId="7" fillId="24" borderId="63" xfId="230" applyFont="1" applyFill="1" applyBorder="1" applyAlignment="1">
      <alignment horizontal="left" wrapText="1"/>
    </xf>
    <xf numFmtId="3" fontId="7" fillId="24" borderId="105" xfId="230" applyNumberFormat="1" applyFont="1" applyFill="1" applyBorder="1" applyAlignment="1">
      <alignment horizontal="right" wrapText="1"/>
    </xf>
    <xf numFmtId="0" fontId="9" fillId="24" borderId="63" xfId="230" applyFont="1" applyFill="1" applyBorder="1" applyAlignment="1">
      <alignment horizontal="left" wrapText="1"/>
    </xf>
    <xf numFmtId="3" fontId="9" fillId="24" borderId="105" xfId="230" applyNumberFormat="1" applyFont="1" applyFill="1" applyBorder="1" applyAlignment="1">
      <alignment horizontal="right" wrapText="1"/>
    </xf>
    <xf numFmtId="3" fontId="43" fillId="0" borderId="35" xfId="209" applyNumberFormat="1" applyFont="1" applyBorder="1"/>
    <xf numFmtId="0" fontId="45" fillId="0" borderId="96" xfId="171" applyFont="1" applyFill="1" applyBorder="1" applyAlignment="1">
      <alignment horizontal="right"/>
    </xf>
    <xf numFmtId="3" fontId="53" fillId="0" borderId="24" xfId="171" applyNumberFormat="1" applyFont="1" applyFill="1" applyBorder="1" applyAlignment="1">
      <alignment horizontal="left"/>
    </xf>
    <xf numFmtId="3" fontId="9" fillId="0" borderId="35" xfId="209" applyNumberFormat="1" applyFont="1" applyFill="1" applyBorder="1"/>
    <xf numFmtId="0" fontId="44" fillId="0" borderId="0" xfId="171" applyFont="1" applyFill="1"/>
    <xf numFmtId="3" fontId="45" fillId="0" borderId="96" xfId="171" applyNumberFormat="1" applyFont="1" applyFill="1" applyBorder="1" applyAlignment="1">
      <alignment horizontal="left"/>
    </xf>
    <xf numFmtId="3" fontId="43" fillId="0" borderId="36" xfId="171" applyNumberFormat="1" applyFont="1" applyFill="1" applyBorder="1" applyAlignment="1">
      <alignment horizontal="left"/>
    </xf>
    <xf numFmtId="3" fontId="44" fillId="0" borderId="24" xfId="171" applyNumberFormat="1" applyFont="1" applyFill="1" applyBorder="1" applyAlignment="1">
      <alignment horizontal="left"/>
    </xf>
    <xf numFmtId="3" fontId="43" fillId="0" borderId="35" xfId="209" applyNumberFormat="1" applyFont="1" applyFill="1" applyBorder="1"/>
    <xf numFmtId="3" fontId="43" fillId="0" borderId="77" xfId="171" applyNumberFormat="1" applyFont="1" applyFill="1" applyBorder="1" applyAlignment="1">
      <alignment horizontal="left"/>
    </xf>
    <xf numFmtId="3" fontId="44" fillId="0" borderId="80" xfId="171" applyNumberFormat="1" applyFont="1" applyFill="1" applyBorder="1" applyAlignment="1">
      <alignment horizontal="left"/>
    </xf>
    <xf numFmtId="3" fontId="43" fillId="0" borderId="37" xfId="171" applyNumberFormat="1" applyFont="1" applyFill="1" applyBorder="1"/>
    <xf numFmtId="3" fontId="43" fillId="0" borderId="38" xfId="171" applyNumberFormat="1" applyFont="1" applyFill="1" applyBorder="1"/>
    <xf numFmtId="3" fontId="43" fillId="0" borderId="39" xfId="209" applyNumberFormat="1" applyFont="1" applyFill="1" applyBorder="1"/>
    <xf numFmtId="3" fontId="43" fillId="0" borderId="0" xfId="171" applyNumberFormat="1" applyFont="1" applyFill="1" applyBorder="1"/>
    <xf numFmtId="3" fontId="44" fillId="0" borderId="0" xfId="171" applyNumberFormat="1" applyFont="1" applyFill="1"/>
    <xf numFmtId="3" fontId="43" fillId="0" borderId="94" xfId="171" applyNumberFormat="1" applyFont="1" applyFill="1" applyBorder="1" applyAlignment="1">
      <alignment horizontal="centerContinuous" vertical="center"/>
    </xf>
    <xf numFmtId="3" fontId="43" fillId="0" borderId="32" xfId="171" applyNumberFormat="1" applyFont="1" applyFill="1" applyBorder="1" applyAlignment="1">
      <alignment horizontal="centerContinuous" vertical="center"/>
    </xf>
    <xf numFmtId="0" fontId="43" fillId="0" borderId="34" xfId="171" applyFont="1" applyFill="1" applyBorder="1" applyAlignment="1">
      <alignment horizontal="center" vertical="center" wrapText="1"/>
    </xf>
    <xf numFmtId="3" fontId="43" fillId="0" borderId="35" xfId="209" applyNumberFormat="1" applyFont="1" applyFill="1" applyBorder="1" applyAlignment="1">
      <alignment horizontal="right"/>
    </xf>
    <xf numFmtId="0" fontId="45" fillId="0" borderId="36" xfId="171" applyFont="1" applyFill="1" applyBorder="1" applyAlignment="1">
      <alignment horizontal="right"/>
    </xf>
    <xf numFmtId="3" fontId="53" fillId="0" borderId="24" xfId="171" applyNumberFormat="1" applyFont="1" applyFill="1" applyBorder="1"/>
    <xf numFmtId="3" fontId="53" fillId="0" borderId="36" xfId="171" applyNumberFormat="1" applyFont="1" applyFill="1" applyBorder="1" applyAlignment="1">
      <alignment wrapText="1"/>
    </xf>
    <xf numFmtId="3" fontId="53" fillId="0" borderId="24" xfId="171" applyNumberFormat="1" applyFont="1" applyFill="1" applyBorder="1" applyAlignment="1">
      <alignment wrapText="1"/>
    </xf>
    <xf numFmtId="3" fontId="43" fillId="0" borderId="39" xfId="209" applyNumberFormat="1" applyFont="1" applyBorder="1"/>
    <xf numFmtId="3" fontId="7" fillId="0" borderId="0" xfId="171" applyNumberFormat="1" applyFont="1" applyFill="1" applyBorder="1"/>
    <xf numFmtId="0" fontId="7" fillId="0" borderId="0" xfId="171" applyFont="1"/>
    <xf numFmtId="0" fontId="9" fillId="0" borderId="12" xfId="183" applyFont="1" applyFill="1" applyBorder="1" applyAlignment="1">
      <alignment wrapText="1"/>
    </xf>
    <xf numFmtId="0" fontId="40" fillId="0" borderId="36" xfId="177" applyFont="1" applyFill="1" applyBorder="1"/>
    <xf numFmtId="3" fontId="40" fillId="0" borderId="41" xfId="177" applyNumberFormat="1" applyFont="1" applyFill="1" applyBorder="1"/>
    <xf numFmtId="0" fontId="40" fillId="0" borderId="77" xfId="177" applyFont="1" applyFill="1" applyBorder="1"/>
    <xf numFmtId="0" fontId="66" fillId="0" borderId="0" xfId="231" applyFont="1"/>
    <xf numFmtId="3" fontId="33" fillId="0" borderId="118" xfId="172" applyNumberFormat="1" applyFont="1" applyFill="1" applyBorder="1" applyAlignment="1">
      <alignment horizontal="right"/>
    </xf>
    <xf numFmtId="0" fontId="66" fillId="0" borderId="0" xfId="231" applyFont="1" applyBorder="1"/>
    <xf numFmtId="0" fontId="34" fillId="0" borderId="63" xfId="187" applyFont="1" applyFill="1" applyBorder="1" applyAlignment="1">
      <alignment wrapText="1"/>
    </xf>
    <xf numFmtId="3" fontId="38" fillId="0" borderId="63" xfId="187" applyNumberFormat="1" applyFont="1" applyFill="1" applyBorder="1"/>
    <xf numFmtId="0" fontId="34" fillId="0" borderId="101" xfId="187" applyFont="1" applyFill="1" applyBorder="1" applyAlignment="1">
      <alignment wrapText="1"/>
    </xf>
    <xf numFmtId="3" fontId="38" fillId="0" borderId="101" xfId="187" applyNumberFormat="1" applyFont="1" applyFill="1" applyBorder="1"/>
    <xf numFmtId="0" fontId="33" fillId="0" borderId="0" xfId="174" applyFont="1" applyAlignment="1">
      <alignment horizontal="center"/>
    </xf>
    <xf numFmtId="3" fontId="8" fillId="0" borderId="42" xfId="182" applyNumberFormat="1" applyFont="1" applyBorder="1" applyAlignment="1">
      <alignment horizontal="center" wrapText="1"/>
    </xf>
    <xf numFmtId="3" fontId="8" fillId="0" borderId="90" xfId="182" applyNumberFormat="1" applyFont="1" applyBorder="1" applyAlignment="1">
      <alignment horizontal="center" wrapText="1"/>
    </xf>
    <xf numFmtId="3" fontId="8" fillId="0" borderId="14" xfId="182" applyNumberFormat="1" applyFont="1" applyBorder="1" applyAlignment="1">
      <alignment horizontal="center" wrapText="1"/>
    </xf>
    <xf numFmtId="3" fontId="8" fillId="0" borderId="42" xfId="182" applyNumberFormat="1" applyFont="1" applyFill="1" applyBorder="1" applyAlignment="1">
      <alignment horizontal="center" wrapText="1"/>
    </xf>
    <xf numFmtId="3" fontId="8" fillId="0" borderId="90" xfId="182" applyNumberFormat="1" applyFont="1" applyFill="1" applyBorder="1" applyAlignment="1">
      <alignment horizontal="center" wrapText="1"/>
    </xf>
    <xf numFmtId="3" fontId="8" fillId="0" borderId="14" xfId="182" applyNumberFormat="1" applyFont="1" applyFill="1" applyBorder="1" applyAlignment="1">
      <alignment horizontal="center" wrapText="1"/>
    </xf>
    <xf numFmtId="3" fontId="8" fillId="0" borderId="42" xfId="182" applyNumberFormat="1" applyFont="1" applyBorder="1" applyAlignment="1">
      <alignment horizontal="center"/>
    </xf>
    <xf numFmtId="3" fontId="8" fillId="0" borderId="90" xfId="182" applyNumberFormat="1" applyFont="1" applyBorder="1" applyAlignment="1">
      <alignment horizontal="center"/>
    </xf>
    <xf numFmtId="3" fontId="8" fillId="0" borderId="14" xfId="182" applyNumberFormat="1" applyFont="1" applyBorder="1" applyAlignment="1">
      <alignment horizontal="center"/>
    </xf>
    <xf numFmtId="3" fontId="8" fillId="0" borderId="10" xfId="182" applyNumberFormat="1" applyFont="1" applyBorder="1" applyAlignment="1">
      <alignment horizontal="center"/>
    </xf>
    <xf numFmtId="3" fontId="8" fillId="0" borderId="10" xfId="182" applyNumberFormat="1" applyFont="1" applyBorder="1" applyAlignment="1">
      <alignment horizontal="center" wrapText="1"/>
    </xf>
    <xf numFmtId="0" fontId="8" fillId="0" borderId="0" xfId="173" applyFont="1" applyAlignment="1">
      <alignment horizontal="center"/>
    </xf>
    <xf numFmtId="3" fontId="43" fillId="0" borderId="10" xfId="173" applyNumberFormat="1" applyFont="1" applyBorder="1" applyAlignment="1">
      <alignment horizontal="center"/>
    </xf>
    <xf numFmtId="3" fontId="43" fillId="0" borderId="42" xfId="173" applyNumberFormat="1" applyFont="1" applyBorder="1" applyAlignment="1">
      <alignment horizontal="center" wrapText="1"/>
    </xf>
    <xf numFmtId="3" fontId="43" fillId="0" borderId="90" xfId="173" applyNumberFormat="1" applyFont="1" applyBorder="1" applyAlignment="1">
      <alignment horizontal="center" wrapText="1"/>
    </xf>
    <xf numFmtId="3" fontId="43" fillId="0" borderId="14" xfId="173" applyNumberFormat="1" applyFont="1" applyBorder="1" applyAlignment="1">
      <alignment horizontal="center" wrapText="1"/>
    </xf>
    <xf numFmtId="3" fontId="43" fillId="0" borderId="10" xfId="173" applyNumberFormat="1" applyFont="1" applyBorder="1" applyAlignment="1">
      <alignment horizontal="center" wrapText="1"/>
    </xf>
    <xf numFmtId="0" fontId="43" fillId="0" borderId="98" xfId="182" applyFont="1" applyBorder="1" applyAlignment="1">
      <alignment horizontal="center" wrapText="1"/>
    </xf>
    <xf numFmtId="0" fontId="43" fillId="0" borderId="47" xfId="182" applyFont="1" applyBorder="1" applyAlignment="1">
      <alignment horizontal="center" wrapText="1"/>
    </xf>
    <xf numFmtId="0" fontId="43" fillId="0" borderId="98" xfId="173" applyFont="1" applyBorder="1" applyAlignment="1">
      <alignment horizontal="center" wrapText="1"/>
    </xf>
    <xf numFmtId="0" fontId="43" fillId="0" borderId="47" xfId="173" applyFont="1" applyBorder="1" applyAlignment="1">
      <alignment horizontal="center" wrapText="1"/>
    </xf>
    <xf numFmtId="3" fontId="43" fillId="0" borderId="42" xfId="173" applyNumberFormat="1" applyFont="1" applyBorder="1" applyAlignment="1">
      <alignment horizontal="center"/>
    </xf>
    <xf numFmtId="3" fontId="43" fillId="0" borderId="90" xfId="173" applyNumberFormat="1" applyFont="1" applyBorder="1" applyAlignment="1">
      <alignment horizontal="center"/>
    </xf>
    <xf numFmtId="3" fontId="43" fillId="0" borderId="14" xfId="173" applyNumberFormat="1" applyFont="1" applyBorder="1" applyAlignment="1">
      <alignment horizontal="center"/>
    </xf>
    <xf numFmtId="0" fontId="8" fillId="0" borderId="40" xfId="212" applyFont="1" applyBorder="1" applyAlignment="1">
      <alignment horizontal="center" vertical="center"/>
    </xf>
    <xf numFmtId="0" fontId="8" fillId="0" borderId="40" xfId="212" applyFont="1" applyFill="1" applyBorder="1" applyAlignment="1">
      <alignment horizontal="center" vertical="center"/>
    </xf>
    <xf numFmtId="3" fontId="57" fillId="0" borderId="99" xfId="189" applyNumberFormat="1" applyFont="1" applyBorder="1" applyAlignment="1">
      <alignment horizontal="center" vertical="center" wrapText="1"/>
    </xf>
    <xf numFmtId="3" fontId="57" fillId="0" borderId="108" xfId="189" applyNumberFormat="1" applyFont="1" applyBorder="1" applyAlignment="1">
      <alignment horizontal="center" vertical="center" wrapText="1"/>
    </xf>
    <xf numFmtId="3" fontId="1" fillId="0" borderId="99" xfId="228" applyNumberFormat="1" applyBorder="1" applyAlignment="1">
      <alignment horizontal="right"/>
    </xf>
    <xf numFmtId="3" fontId="1" fillId="0" borderId="121" xfId="228" applyNumberFormat="1" applyBorder="1" applyAlignment="1">
      <alignment horizontal="right"/>
    </xf>
    <xf numFmtId="3" fontId="1" fillId="0" borderId="108" xfId="228" applyNumberFormat="1" applyBorder="1" applyAlignment="1">
      <alignment horizontal="right"/>
    </xf>
    <xf numFmtId="3" fontId="72" fillId="0" borderId="67" xfId="189" applyNumberFormat="1" applyFont="1" applyBorder="1" applyAlignment="1">
      <alignment horizontal="center"/>
    </xf>
    <xf numFmtId="3" fontId="72" fillId="0" borderId="68" xfId="189" applyNumberFormat="1" applyFont="1" applyBorder="1" applyAlignment="1">
      <alignment horizontal="center"/>
    </xf>
    <xf numFmtId="3" fontId="57" fillId="0" borderId="120" xfId="189" applyNumberFormat="1" applyFont="1" applyBorder="1" applyAlignment="1">
      <alignment horizontal="center" vertical="center" wrapText="1"/>
    </xf>
    <xf numFmtId="3" fontId="57" fillId="0" borderId="48" xfId="189" applyNumberFormat="1" applyFont="1" applyBorder="1" applyAlignment="1">
      <alignment horizontal="center" vertical="center" wrapText="1"/>
    </xf>
    <xf numFmtId="3" fontId="60" fillId="0" borderId="42" xfId="189" applyNumberFormat="1" applyFont="1" applyBorder="1" applyAlignment="1">
      <alignment horizontal="center"/>
    </xf>
    <xf numFmtId="3" fontId="60" fillId="0" borderId="14" xfId="189" applyNumberFormat="1" applyFont="1" applyBorder="1" applyAlignment="1">
      <alignment horizontal="center"/>
    </xf>
    <xf numFmtId="0" fontId="8" fillId="0" borderId="0" xfId="212" applyFont="1" applyAlignment="1">
      <alignment horizontal="center"/>
    </xf>
    <xf numFmtId="0" fontId="70" fillId="0" borderId="0" xfId="159" applyFont="1" applyAlignment="1">
      <alignment horizontal="center" wrapText="1"/>
    </xf>
    <xf numFmtId="0" fontId="0" fillId="0" borderId="0" xfId="0" applyAlignment="1">
      <alignment horizontal="center"/>
    </xf>
    <xf numFmtId="3" fontId="33" fillId="0" borderId="0" xfId="172" applyNumberFormat="1" applyFont="1" applyBorder="1" applyAlignment="1">
      <alignment horizontal="center"/>
    </xf>
    <xf numFmtId="2" fontId="33" fillId="0" borderId="42" xfId="172" applyNumberFormat="1" applyFont="1" applyBorder="1" applyAlignment="1">
      <alignment horizontal="center" wrapText="1"/>
    </xf>
    <xf numFmtId="2" fontId="33" fillId="0" borderId="90" xfId="172" applyNumberFormat="1" applyFont="1" applyBorder="1" applyAlignment="1">
      <alignment horizontal="center" wrapText="1"/>
    </xf>
    <xf numFmtId="2" fontId="33" fillId="0" borderId="14" xfId="172" applyNumberFormat="1" applyFont="1" applyBorder="1" applyAlignment="1">
      <alignment horizontal="center" wrapText="1"/>
    </xf>
    <xf numFmtId="3" fontId="8" fillId="0" borderId="0" xfId="0" applyNumberFormat="1" applyFont="1" applyAlignment="1">
      <alignment horizontal="center"/>
    </xf>
    <xf numFmtId="0" fontId="33" fillId="0" borderId="0" xfId="157" applyFont="1" applyAlignment="1">
      <alignment horizontal="center"/>
    </xf>
    <xf numFmtId="0" fontId="33" fillId="0" borderId="0" xfId="188" applyFont="1" applyFill="1" applyBorder="1" applyAlignment="1">
      <alignment horizontal="center"/>
    </xf>
    <xf numFmtId="0" fontId="54" fillId="0" borderId="0" xfId="230" applyFont="1" applyFill="1" applyAlignment="1">
      <alignment horizontal="center" wrapText="1"/>
    </xf>
    <xf numFmtId="0" fontId="33" fillId="0" borderId="0" xfId="178" applyFont="1" applyFill="1" applyBorder="1" applyAlignment="1">
      <alignment horizontal="center" wrapText="1"/>
    </xf>
    <xf numFmtId="0" fontId="33" fillId="0" borderId="94" xfId="213" applyFont="1" applyFill="1" applyBorder="1" applyAlignment="1">
      <alignment horizontal="center" wrapText="1"/>
    </xf>
    <xf numFmtId="0" fontId="33" fillId="0" borderId="123" xfId="213" applyFont="1" applyFill="1" applyBorder="1" applyAlignment="1">
      <alignment horizontal="center" wrapText="1"/>
    </xf>
    <xf numFmtId="0" fontId="33" fillId="0" borderId="104" xfId="213" applyFont="1" applyFill="1" applyBorder="1" applyAlignment="1">
      <alignment horizontal="center" wrapText="1"/>
    </xf>
    <xf numFmtId="0" fontId="33" fillId="0" borderId="96" xfId="212" applyFont="1" applyFill="1" applyBorder="1" applyAlignment="1">
      <alignment horizontal="left" wrapText="1"/>
    </xf>
    <xf numFmtId="0" fontId="33" fillId="0" borderId="105" xfId="212" applyFont="1" applyFill="1" applyBorder="1" applyAlignment="1">
      <alignment horizontal="left" wrapText="1"/>
    </xf>
    <xf numFmtId="0" fontId="33" fillId="0" borderId="40" xfId="212" applyFont="1" applyFill="1" applyBorder="1" applyAlignment="1">
      <alignment horizontal="center" wrapText="1"/>
    </xf>
    <xf numFmtId="0" fontId="54" fillId="0" borderId="0" xfId="171" applyFont="1" applyAlignment="1">
      <alignment horizontal="center" wrapText="1"/>
    </xf>
    <xf numFmtId="3" fontId="43" fillId="0" borderId="96" xfId="171" applyNumberFormat="1" applyFont="1" applyFill="1" applyBorder="1" applyAlignment="1">
      <alignment horizontal="left" wrapText="1"/>
    </xf>
    <xf numFmtId="3" fontId="43" fillId="0" borderId="41" xfId="171" applyNumberFormat="1" applyFont="1" applyFill="1" applyBorder="1" applyAlignment="1">
      <alignment horizontal="left" wrapText="1"/>
    </xf>
    <xf numFmtId="3" fontId="43" fillId="0" borderId="96" xfId="171" applyNumberFormat="1" applyFont="1" applyFill="1" applyBorder="1" applyAlignment="1">
      <alignment horizontal="left"/>
    </xf>
    <xf numFmtId="3" fontId="43" fillId="0" borderId="41" xfId="171" applyNumberFormat="1" applyFont="1" applyFill="1" applyBorder="1" applyAlignment="1">
      <alignment horizontal="left"/>
    </xf>
    <xf numFmtId="12" fontId="43" fillId="0" borderId="124" xfId="171" applyNumberFormat="1" applyFont="1" applyBorder="1" applyAlignment="1">
      <alignment horizontal="left" wrapText="1"/>
    </xf>
    <xf numFmtId="12" fontId="43" fillId="0" borderId="125" xfId="171" applyNumberFormat="1" applyFont="1" applyBorder="1" applyAlignment="1">
      <alignment horizontal="left" wrapText="1"/>
    </xf>
    <xf numFmtId="3" fontId="8" fillId="26" borderId="10" xfId="179" applyNumberFormat="1" applyFont="1" applyFill="1" applyBorder="1" applyAlignment="1">
      <alignment horizontal="center" wrapText="1"/>
    </xf>
    <xf numFmtId="3" fontId="45" fillId="26" borderId="10" xfId="179" applyNumberFormat="1" applyFont="1" applyFill="1" applyBorder="1" applyAlignment="1">
      <alignment horizontal="center" wrapText="1"/>
    </xf>
    <xf numFmtId="3" fontId="8" fillId="0" borderId="0" xfId="179" applyNumberFormat="1" applyFont="1" applyFill="1" applyAlignment="1">
      <alignment horizontal="center" wrapText="1"/>
    </xf>
    <xf numFmtId="0" fontId="45" fillId="0" borderId="98" xfId="179" applyFont="1" applyFill="1" applyBorder="1" applyAlignment="1">
      <alignment horizontal="center" wrapText="1"/>
    </xf>
    <xf numFmtId="0" fontId="45" fillId="0" borderId="93" xfId="179" applyFont="1" applyFill="1" applyBorder="1" applyAlignment="1">
      <alignment horizontal="center" wrapText="1"/>
    </xf>
    <xf numFmtId="0" fontId="45" fillId="0" borderId="47" xfId="179" applyFont="1" applyFill="1" applyBorder="1" applyAlignment="1">
      <alignment horizontal="center" wrapText="1"/>
    </xf>
    <xf numFmtId="0" fontId="46" fillId="0" borderId="98" xfId="179" applyFont="1" applyFill="1" applyBorder="1" applyAlignment="1">
      <alignment horizontal="center" wrapText="1"/>
    </xf>
    <xf numFmtId="0" fontId="46" fillId="0" borderId="93" xfId="179" applyFont="1" applyFill="1" applyBorder="1" applyAlignment="1">
      <alignment horizontal="center" wrapText="1"/>
    </xf>
    <xf numFmtId="0" fontId="46" fillId="0" borderId="47" xfId="179" applyFont="1" applyFill="1" applyBorder="1" applyAlignment="1">
      <alignment horizontal="center" wrapText="1"/>
    </xf>
    <xf numFmtId="0" fontId="33" fillId="0" borderId="0" xfId="185" applyFont="1" applyFill="1" applyAlignment="1">
      <alignment horizontal="center"/>
    </xf>
    <xf numFmtId="0" fontId="37" fillId="0" borderId="0" xfId="177" applyFont="1" applyAlignment="1">
      <alignment horizontal="center"/>
    </xf>
    <xf numFmtId="0" fontId="41" fillId="0" borderId="99" xfId="177" applyFont="1" applyBorder="1" applyAlignment="1">
      <alignment horizontal="center" vertical="center"/>
    </xf>
    <xf numFmtId="0" fontId="40" fillId="0" borderId="121" xfId="177" applyFont="1" applyBorder="1" applyAlignment="1">
      <alignment vertical="center"/>
    </xf>
    <xf numFmtId="0" fontId="40" fillId="0" borderId="108" xfId="177" applyFont="1" applyBorder="1" applyAlignment="1">
      <alignment vertical="center"/>
    </xf>
    <xf numFmtId="0" fontId="41" fillId="0" borderId="99" xfId="177" applyFont="1" applyBorder="1" applyAlignment="1">
      <alignment horizontal="center" vertical="center" wrapText="1"/>
    </xf>
    <xf numFmtId="0" fontId="40" fillId="0" borderId="121" xfId="177" applyFont="1" applyBorder="1" applyAlignment="1">
      <alignment vertical="center" wrapText="1"/>
    </xf>
    <xf numFmtId="0" fontId="40" fillId="0" borderId="108" xfId="177" applyFont="1" applyBorder="1" applyAlignment="1">
      <alignment vertical="center" wrapText="1"/>
    </xf>
    <xf numFmtId="0" fontId="41" fillId="0" borderId="99" xfId="177" applyFont="1" applyFill="1" applyBorder="1" applyAlignment="1">
      <alignment horizontal="center" vertical="center" wrapText="1"/>
    </xf>
    <xf numFmtId="0" fontId="41" fillId="0" borderId="121" xfId="177" applyFont="1" applyFill="1" applyBorder="1" applyAlignment="1">
      <alignment horizontal="center" vertical="center" wrapText="1"/>
    </xf>
    <xf numFmtId="0" fontId="41" fillId="0" borderId="108" xfId="177" applyFont="1" applyFill="1" applyBorder="1" applyAlignment="1">
      <alignment horizontal="center" vertical="center" wrapText="1"/>
    </xf>
    <xf numFmtId="0" fontId="41" fillId="0" borderId="40" xfId="177" applyFont="1" applyBorder="1" applyAlignment="1">
      <alignment horizontal="center"/>
    </xf>
    <xf numFmtId="0" fontId="41" fillId="0" borderId="40" xfId="177" applyFont="1" applyFill="1" applyBorder="1" applyAlignment="1">
      <alignment horizontal="center"/>
    </xf>
    <xf numFmtId="0" fontId="41" fillId="0" borderId="40" xfId="177" applyFont="1" applyBorder="1" applyAlignment="1">
      <alignment horizontal="center" wrapText="1"/>
    </xf>
    <xf numFmtId="0" fontId="28" fillId="0" borderId="36" xfId="180" applyFont="1" applyBorder="1" applyAlignment="1">
      <alignment horizontal="center"/>
    </xf>
    <xf numFmtId="0" fontId="28" fillId="0" borderId="24" xfId="180" applyFont="1" applyBorder="1" applyAlignment="1">
      <alignment horizontal="center"/>
    </xf>
    <xf numFmtId="3" fontId="34" fillId="0" borderId="0" xfId="172" applyNumberFormat="1" applyFont="1" applyFill="1" applyBorder="1" applyAlignment="1">
      <alignment horizontal="center"/>
    </xf>
    <xf numFmtId="0" fontId="78" fillId="0" borderId="0" xfId="187" applyFont="1" applyAlignment="1">
      <alignment horizontal="center" wrapText="1"/>
    </xf>
    <xf numFmtId="0" fontId="34" fillId="0" borderId="0" xfId="190" applyFont="1" applyFill="1" applyAlignment="1">
      <alignment horizontal="justify" wrapText="1"/>
    </xf>
    <xf numFmtId="0" fontId="0" fillId="0" borderId="72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41" xfId="0" applyBorder="1" applyAlignment="1">
      <alignment horizontal="left"/>
    </xf>
    <xf numFmtId="0" fontId="0" fillId="0" borderId="72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41" xfId="0" applyBorder="1" applyAlignment="1">
      <alignment horizontal="left" wrapText="1"/>
    </xf>
    <xf numFmtId="0" fontId="68" fillId="0" borderId="19" xfId="0" applyFont="1" applyBorder="1" applyAlignment="1">
      <alignment horizontal="left"/>
    </xf>
    <xf numFmtId="0" fontId="8" fillId="0" borderId="0" xfId="0" applyFont="1" applyAlignment="1">
      <alignment horizontal="center" wrapText="1"/>
    </xf>
    <xf numFmtId="0" fontId="0" fillId="25" borderId="72" xfId="0" applyFill="1" applyBorder="1" applyAlignment="1">
      <alignment horizontal="left"/>
    </xf>
    <xf numFmtId="0" fontId="0" fillId="25" borderId="20" xfId="0" applyFill="1" applyBorder="1" applyAlignment="1">
      <alignment horizontal="left"/>
    </xf>
    <xf numFmtId="0" fontId="0" fillId="25" borderId="41" xfId="0" applyFill="1" applyBorder="1" applyAlignment="1">
      <alignment horizontal="left"/>
    </xf>
  </cellXfs>
  <cellStyles count="232">
    <cellStyle name="20% - 1. jelölőszín" xfId="1" builtinId="30" customBuiltin="1"/>
    <cellStyle name="20% - 1. jelölőszín 2" xfId="2"/>
    <cellStyle name="20% - 1. jelölőszín 3" xfId="3"/>
    <cellStyle name="20% - 2. jelölőszín" xfId="4" builtinId="34" customBuiltin="1"/>
    <cellStyle name="20% - 2. jelölőszín 2" xfId="5"/>
    <cellStyle name="20% - 2. jelölőszín 3" xfId="6"/>
    <cellStyle name="20% - 3. jelölőszín" xfId="7" builtinId="38" customBuiltin="1"/>
    <cellStyle name="20% - 3. jelölőszín 2" xfId="8"/>
    <cellStyle name="20% - 3. jelölőszín 3" xfId="9"/>
    <cellStyle name="20% - 4. jelölőszín" xfId="10" builtinId="42" customBuiltin="1"/>
    <cellStyle name="20% - 4. jelölőszín 2" xfId="11"/>
    <cellStyle name="20% - 4. jelölőszín 3" xfId="12"/>
    <cellStyle name="20% - 5. jelölőszín" xfId="13" builtinId="46" customBuiltin="1"/>
    <cellStyle name="20% - 5. jelölőszín 2" xfId="14"/>
    <cellStyle name="20% - 5. jelölőszín 3" xfId="15"/>
    <cellStyle name="20% - 6. jelölőszín" xfId="16" builtinId="50" customBuiltin="1"/>
    <cellStyle name="20% - 6. jelölőszín 2" xfId="17"/>
    <cellStyle name="20% - 6. jelölőszín 3" xfId="18"/>
    <cellStyle name="20% - Accent1" xfId="19"/>
    <cellStyle name="20% - Accent2" xfId="20"/>
    <cellStyle name="20% - Accent3" xfId="21"/>
    <cellStyle name="20% - Accent4" xfId="22"/>
    <cellStyle name="20% - Accent5" xfId="23"/>
    <cellStyle name="20% - Accent6" xfId="24"/>
    <cellStyle name="40% - 1. jelölőszín" xfId="25" builtinId="31" customBuiltin="1"/>
    <cellStyle name="40% - 1. jelölőszín 2" xfId="26"/>
    <cellStyle name="40% - 1. jelölőszín 3" xfId="27"/>
    <cellStyle name="40% - 2. jelölőszín" xfId="28" builtinId="35" customBuiltin="1"/>
    <cellStyle name="40% - 2. jelölőszín 2" xfId="29"/>
    <cellStyle name="40% - 2. jelölőszín 3" xfId="30"/>
    <cellStyle name="40% - 3. jelölőszín" xfId="31" builtinId="39" customBuiltin="1"/>
    <cellStyle name="40% - 3. jelölőszín 2" xfId="32"/>
    <cellStyle name="40% - 3. jelölőszín 3" xfId="33"/>
    <cellStyle name="40% - 4. jelölőszín" xfId="34" builtinId="43" customBuiltin="1"/>
    <cellStyle name="40% - 4. jelölőszín 2" xfId="35"/>
    <cellStyle name="40% - 4. jelölőszín 3" xfId="36"/>
    <cellStyle name="40% - 5. jelölőszín" xfId="37" builtinId="47" customBuiltin="1"/>
    <cellStyle name="40% - 5. jelölőszín 2" xfId="38"/>
    <cellStyle name="40% - 5. jelölőszín 3" xfId="39"/>
    <cellStyle name="40% - 6. jelölőszín" xfId="40" builtinId="51" customBuiltin="1"/>
    <cellStyle name="40% - 6. jelölőszín 2" xfId="41"/>
    <cellStyle name="40% - 6. jelölőszín 3" xfId="42"/>
    <cellStyle name="40% - Accent1" xfId="43"/>
    <cellStyle name="40% - Accent2" xfId="44"/>
    <cellStyle name="40% - Accent3" xfId="45"/>
    <cellStyle name="40% - Accent4" xfId="46"/>
    <cellStyle name="40% - Accent5" xfId="47"/>
    <cellStyle name="40% - Accent6" xfId="48"/>
    <cellStyle name="60% - 1. jelölőszín" xfId="49" builtinId="32" customBuiltin="1"/>
    <cellStyle name="60% - 1. jelölőszín 2" xfId="50"/>
    <cellStyle name="60% - 1. jelölőszín 3" xfId="51"/>
    <cellStyle name="60% - 2. jelölőszín" xfId="52" builtinId="36" customBuiltin="1"/>
    <cellStyle name="60% - 2. jelölőszín 2" xfId="53"/>
    <cellStyle name="60% - 2. jelölőszín 3" xfId="54"/>
    <cellStyle name="60% - 3. jelölőszín" xfId="55" builtinId="40" customBuiltin="1"/>
    <cellStyle name="60% - 3. jelölőszín 2" xfId="56"/>
    <cellStyle name="60% - 3. jelölőszín 3" xfId="57"/>
    <cellStyle name="60% - 4. jelölőszín" xfId="58" builtinId="44" customBuiltin="1"/>
    <cellStyle name="60% - 4. jelölőszín 2" xfId="59"/>
    <cellStyle name="60% - 4. jelölőszín 3" xfId="60"/>
    <cellStyle name="60% - 5. jelölőszín" xfId="61" builtinId="48" customBuiltin="1"/>
    <cellStyle name="60% - 5. jelölőszín 2" xfId="62"/>
    <cellStyle name="60% - 5. jelölőszín 3" xfId="63"/>
    <cellStyle name="60% - 6. jelölőszín" xfId="64" builtinId="52" customBuiltin="1"/>
    <cellStyle name="60% - 6. jelölőszín 2" xfId="65"/>
    <cellStyle name="60% - 6. jelölőszín 3" xfId="66"/>
    <cellStyle name="60% - Accent1" xfId="67"/>
    <cellStyle name="60% - Accent2" xfId="68"/>
    <cellStyle name="60% - Accent3" xfId="69"/>
    <cellStyle name="60% - Accent4" xfId="70"/>
    <cellStyle name="60% - Accent5" xfId="71"/>
    <cellStyle name="60% - Accent6" xfId="72"/>
    <cellStyle name="Accent1" xfId="73"/>
    <cellStyle name="Accent2" xfId="74"/>
    <cellStyle name="Accent3" xfId="75"/>
    <cellStyle name="Accent4" xfId="76"/>
    <cellStyle name="Accent5" xfId="77"/>
    <cellStyle name="Accent6" xfId="78"/>
    <cellStyle name="Bad" xfId="79"/>
    <cellStyle name="Bevitel" xfId="80" builtinId="20" customBuiltin="1"/>
    <cellStyle name="Bevitel 2" xfId="81"/>
    <cellStyle name="Bevitel 3" xfId="82"/>
    <cellStyle name="Calculation" xfId="83"/>
    <cellStyle name="Check Cell" xfId="84"/>
    <cellStyle name="Cím" xfId="85" builtinId="15" customBuiltin="1"/>
    <cellStyle name="Cím 2" xfId="86"/>
    <cellStyle name="Cím 3" xfId="87"/>
    <cellStyle name="Címsor 1" xfId="88" builtinId="16" customBuiltin="1"/>
    <cellStyle name="Címsor 1 2" xfId="89"/>
    <cellStyle name="Címsor 1 3" xfId="90"/>
    <cellStyle name="Címsor 2" xfId="91" builtinId="17" customBuiltin="1"/>
    <cellStyle name="Címsor 2 2" xfId="92"/>
    <cellStyle name="Címsor 2 3" xfId="93"/>
    <cellStyle name="Címsor 3" xfId="94" builtinId="18" customBuiltin="1"/>
    <cellStyle name="Címsor 3 2" xfId="95"/>
    <cellStyle name="Címsor 3 3" xfId="96"/>
    <cellStyle name="Címsor 4" xfId="97" builtinId="19" customBuiltin="1"/>
    <cellStyle name="Címsor 4 2" xfId="98"/>
    <cellStyle name="Címsor 4 3" xfId="99"/>
    <cellStyle name="Ellenőrzőcella" xfId="100" builtinId="23" customBuiltin="1"/>
    <cellStyle name="Ellenőrzőcella 2" xfId="101"/>
    <cellStyle name="Ellenőrzőcella 3" xfId="102"/>
    <cellStyle name="Explanatory Text" xfId="103"/>
    <cellStyle name="Ezres 2" xfId="104"/>
    <cellStyle name="Ezres 2 2" xfId="209"/>
    <cellStyle name="Ezres 3" xfId="105"/>
    <cellStyle name="Ezres 3 2" xfId="210"/>
    <cellStyle name="Figyelmeztetés" xfId="106" builtinId="11" customBuiltin="1"/>
    <cellStyle name="Figyelmeztetés 2" xfId="107"/>
    <cellStyle name="Figyelmeztetés 3" xfId="108"/>
    <cellStyle name="Good" xfId="109"/>
    <cellStyle name="Heading 1" xfId="110"/>
    <cellStyle name="Heading 2" xfId="111"/>
    <cellStyle name="Heading 3" xfId="112"/>
    <cellStyle name="Heading 4" xfId="113"/>
    <cellStyle name="Hivatkozott cella" xfId="114" builtinId="24" customBuiltin="1"/>
    <cellStyle name="Hivatkozott cella 2" xfId="115"/>
    <cellStyle name="Hivatkozott cella 3" xfId="116"/>
    <cellStyle name="Input" xfId="117"/>
    <cellStyle name="Jegyzet" xfId="118" builtinId="10" customBuiltin="1"/>
    <cellStyle name="Jegyzet 2" xfId="119"/>
    <cellStyle name="Jegyzet 3" xfId="120"/>
    <cellStyle name="Jegyzet 4" xfId="121"/>
    <cellStyle name="Jelölőszín (1)" xfId="122" builtinId="29" customBuiltin="1"/>
    <cellStyle name="Jelölőszín (1) 2" xfId="123"/>
    <cellStyle name="Jelölőszín (1) 3" xfId="124"/>
    <cellStyle name="Jelölőszín (2)" xfId="125" builtinId="33" customBuiltin="1"/>
    <cellStyle name="Jelölőszín (2) 2" xfId="126"/>
    <cellStyle name="Jelölőszín (2) 3" xfId="127"/>
    <cellStyle name="Jelölőszín (3)" xfId="128" builtinId="37" customBuiltin="1"/>
    <cellStyle name="Jelölőszín (3) 2" xfId="129"/>
    <cellStyle name="Jelölőszín (3) 3" xfId="130"/>
    <cellStyle name="Jelölőszín (4)" xfId="131" builtinId="41" customBuiltin="1"/>
    <cellStyle name="Jelölőszín (4) 2" xfId="132"/>
    <cellStyle name="Jelölőszín (4) 3" xfId="133"/>
    <cellStyle name="Jelölőszín (5)" xfId="134" builtinId="45" customBuiltin="1"/>
    <cellStyle name="Jelölőszín (5) 2" xfId="135"/>
    <cellStyle name="Jelölőszín (5) 3" xfId="136"/>
    <cellStyle name="Jelölőszín (6)" xfId="137" builtinId="49" customBuiltin="1"/>
    <cellStyle name="Jelölőszín (6) 2" xfId="138"/>
    <cellStyle name="Jelölőszín (6) 3" xfId="139"/>
    <cellStyle name="Jó" xfId="140" builtinId="26" customBuiltin="1"/>
    <cellStyle name="Jó 2" xfId="141"/>
    <cellStyle name="Jó 3" xfId="142"/>
    <cellStyle name="Kimenet" xfId="143" builtinId="21" customBuiltin="1"/>
    <cellStyle name="Kimenet 2" xfId="144"/>
    <cellStyle name="Kimenet 3" xfId="145"/>
    <cellStyle name="Linked Cell" xfId="146"/>
    <cellStyle name="Magyarázó szöveg" xfId="147" builtinId="53" customBuiltin="1"/>
    <cellStyle name="Magyarázó szöveg 2" xfId="148"/>
    <cellStyle name="Magyarázó szöveg 3" xfId="149"/>
    <cellStyle name="Neutral" xfId="150"/>
    <cellStyle name="Normál" xfId="0" builtinId="0"/>
    <cellStyle name="Normál 10" xfId="151"/>
    <cellStyle name="Normál 11" xfId="211"/>
    <cellStyle name="Normál 11 2" xfId="218"/>
    <cellStyle name="Normál 11 3" xfId="219"/>
    <cellStyle name="Normál 11 4" xfId="222"/>
    <cellStyle name="Normál 11 5" xfId="225"/>
    <cellStyle name="Normál 11 6" xfId="228"/>
    <cellStyle name="Normál 2" xfId="152"/>
    <cellStyle name="Normál 2 2" xfId="153"/>
    <cellStyle name="Normál 2 3" xfId="154"/>
    <cellStyle name="Normál 2 4" xfId="155"/>
    <cellStyle name="Normál 2 5" xfId="212"/>
    <cellStyle name="Normál 2_11.sz.melléklet_többéves" xfId="156"/>
    <cellStyle name="Normál 3" xfId="157"/>
    <cellStyle name="Normál 3 2" xfId="158"/>
    <cellStyle name="Normál 3 2 2" xfId="159"/>
    <cellStyle name="Normál 3 2 2 2" xfId="215"/>
    <cellStyle name="Normál 3 2 2 2 2" xfId="220"/>
    <cellStyle name="Normál 3 2 2 2 3" xfId="223"/>
    <cellStyle name="Normál 3 2 2 2 4" xfId="226"/>
    <cellStyle name="Normál 3 2 2 2 5" xfId="229"/>
    <cellStyle name="Normál 3 2 3" xfId="216"/>
    <cellStyle name="Normál 3 2 3 2" xfId="221"/>
    <cellStyle name="Normál 3 2 3 3" xfId="224"/>
    <cellStyle name="Normál 3 2 3 4" xfId="227"/>
    <cellStyle name="Normál 3 2 4" xfId="231"/>
    <cellStyle name="Normál 4" xfId="160"/>
    <cellStyle name="Normál 5" xfId="161"/>
    <cellStyle name="Normál 5 2" xfId="162"/>
    <cellStyle name="Normál 5 2 2" xfId="163"/>
    <cellStyle name="Normál 5 3" xfId="164"/>
    <cellStyle name="Normál 5_11.sz.melléklet_többéves" xfId="165"/>
    <cellStyle name="Normál 6" xfId="166"/>
    <cellStyle name="Normál 6 2" xfId="167"/>
    <cellStyle name="Normál 7" xfId="168"/>
    <cellStyle name="Normál 8" xfId="169"/>
    <cellStyle name="Normál 9" xfId="170"/>
    <cellStyle name="Normál_2001-2002. címjegyzék nov.28-i módosítása (1)" xfId="171"/>
    <cellStyle name="Normál_2001bev jó" xfId="172"/>
    <cellStyle name="Normál_2003év kiadás" xfId="173"/>
    <cellStyle name="Normál_2003költségvet" xfId="174"/>
    <cellStyle name="Normál_2003ktvmod2fin" xfId="175"/>
    <cellStyle name="Normál_2003terv" xfId="176"/>
    <cellStyle name="Normál_2006 költségv 2" xfId="177"/>
    <cellStyle name="Normál_2006éviköltségvetés 2 2 2" xfId="230"/>
    <cellStyle name="Normál_2007éviintézmény0124szelektált 2" xfId="178"/>
    <cellStyle name="Normál_2009éviköltségvetés-Móricz Károly 2" xfId="179"/>
    <cellStyle name="Normál_37-2010. évi III.rendmód 2" xfId="217"/>
    <cellStyle name="Normál_37-2010. évi III.rendmód 2 2" xfId="213"/>
    <cellStyle name="Normál_37-2010. évi III.rendmód_4. sz. melléklet 2" xfId="214"/>
    <cellStyle name="Normál_Áhttáblák 2" xfId="180"/>
    <cellStyle name="Normál_Áhttáblák_76-3-hiányzó mellékletek" xfId="181"/>
    <cellStyle name="Normál_bevétel_bevétel_1" xfId="182"/>
    <cellStyle name="Normál_bevétel_bevétel_1 2" xfId="183"/>
    <cellStyle name="Normál_bevétel_bevétel_1 2 2 2" xfId="208"/>
    <cellStyle name="Normál_civilek 2008. jan támogatás pénzügynek 2" xfId="184"/>
    <cellStyle name="Normál_finansz.2004" xfId="185"/>
    <cellStyle name="Normál_kiadás_1_2005aprilisrendmod" xfId="186"/>
    <cellStyle name="Normál_Környezetvédelmi Alap felosztása-01.21." xfId="187"/>
    <cellStyle name="Normál_kötelezettségváll 2009-ra" xfId="188"/>
    <cellStyle name="Normál_Munka2 (2)_1_2005aprilisrendmod" xfId="189"/>
    <cellStyle name="Normál_Turisztikai Alap felhasználása 2012" xfId="190"/>
    <cellStyle name="Note" xfId="191"/>
    <cellStyle name="Output" xfId="192"/>
    <cellStyle name="Összesen" xfId="193" builtinId="25" customBuiltin="1"/>
    <cellStyle name="Összesen 2" xfId="194"/>
    <cellStyle name="Összesen 3" xfId="195"/>
    <cellStyle name="Rossz" xfId="196" builtinId="27" customBuiltin="1"/>
    <cellStyle name="Rossz 2" xfId="197"/>
    <cellStyle name="Rossz 3" xfId="198"/>
    <cellStyle name="Semleges" xfId="199" builtinId="28" customBuiltin="1"/>
    <cellStyle name="Semleges 2" xfId="200"/>
    <cellStyle name="Semleges 3" xfId="201"/>
    <cellStyle name="Számítás" xfId="202" builtinId="22" customBuiltin="1"/>
    <cellStyle name="Számítás 2" xfId="203"/>
    <cellStyle name="Számítás 3" xfId="204"/>
    <cellStyle name="Title" xfId="205"/>
    <cellStyle name="Total" xfId="206"/>
    <cellStyle name="Warning Text" xfId="20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KISARINE\USER\KAISER\5MELLEK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\KISARINE\USER\KAISER\5MELLEK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&#246;lts&#233;gvet&#233;s\2012\Rendeletm&#243;dos&#237;t&#225;s\Decemberi%20rendeletm&#243;dos&#237;t&#225;s\Test&#252;leti\USER\KISARINE\USER\KAISER\5MELLEK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\KISARINE\USER\KAISER\5MELLEK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3"/>
      <sheetName val="Munka1"/>
      <sheetName val="Munka2"/>
      <sheetName val="Munka1 (2)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958"/>
  <sheetViews>
    <sheetView zoomScaleNormal="100" workbookViewId="0">
      <pane xSplit="2" ySplit="8" topLeftCell="AD9" activePane="bottomRight" state="frozen"/>
      <selection activeCell="AH33" sqref="AH33"/>
      <selection pane="topRight" activeCell="AH33" sqref="AH33"/>
      <selection pane="bottomLeft" activeCell="AH33" sqref="AH33"/>
      <selection pane="bottomRight" activeCell="AH33" sqref="AH33"/>
    </sheetView>
  </sheetViews>
  <sheetFormatPr defaultColWidth="9.25" defaultRowHeight="15.75" x14ac:dyDescent="0.25"/>
  <cols>
    <col min="1" max="1" width="37.5" style="168" customWidth="1"/>
    <col min="2" max="2" width="10.375" style="168" customWidth="1"/>
    <col min="3" max="3" width="12.625" style="102" customWidth="1"/>
    <col min="4" max="4" width="13.5" style="102" customWidth="1"/>
    <col min="5" max="5" width="14.5" style="102" customWidth="1"/>
    <col min="6" max="8" width="13.875" style="102" customWidth="1"/>
    <col min="9" max="9" width="15.25" style="102" customWidth="1"/>
    <col min="10" max="12" width="13.875" style="102" customWidth="1"/>
    <col min="13" max="13" width="15" style="102" customWidth="1"/>
    <col min="14" max="14" width="13.875" style="102" customWidth="1"/>
    <col min="15" max="15" width="12.875" style="102" customWidth="1"/>
    <col min="16" max="16" width="13.25" style="102" customWidth="1"/>
    <col min="17" max="17" width="16" style="102" customWidth="1"/>
    <col min="18" max="18" width="14.75" style="102" customWidth="1"/>
    <col min="19" max="20" width="12.625" style="102" customWidth="1"/>
    <col min="21" max="21" width="15.875" style="102" customWidth="1"/>
    <col min="22" max="22" width="14" style="102" customWidth="1"/>
    <col min="23" max="24" width="12.625" style="102" customWidth="1"/>
    <col min="25" max="25" width="15.625" style="102" customWidth="1"/>
    <col min="26" max="26" width="14.25" style="102" customWidth="1"/>
    <col min="27" max="27" width="13.125" style="102" customWidth="1"/>
    <col min="28" max="28" width="13.75" style="102" customWidth="1"/>
    <col min="29" max="29" width="15.25" style="102" customWidth="1"/>
    <col min="30" max="30" width="13.875" style="102" customWidth="1"/>
    <col min="31" max="31" width="13.125" style="102" customWidth="1"/>
    <col min="32" max="32" width="13.75" style="102" customWidth="1"/>
    <col min="33" max="33" width="15.25" style="102" customWidth="1"/>
    <col min="34" max="34" width="13.875" style="102" customWidth="1"/>
    <col min="35" max="35" width="13.125" style="102" customWidth="1"/>
    <col min="36" max="36" width="13.75" style="102" customWidth="1"/>
    <col min="37" max="37" width="15.25" style="102" customWidth="1"/>
    <col min="38" max="38" width="14.25" style="102" customWidth="1"/>
    <col min="39" max="16384" width="9.25" style="102"/>
  </cols>
  <sheetData>
    <row r="1" spans="1:38" x14ac:dyDescent="0.25">
      <c r="C1" s="1227" t="s">
        <v>1122</v>
      </c>
      <c r="D1" s="1227"/>
      <c r="E1" s="1227"/>
      <c r="F1" s="1227"/>
      <c r="G1" s="1227"/>
      <c r="H1" s="1227"/>
      <c r="I1" s="1227"/>
      <c r="J1" s="1227"/>
      <c r="K1" s="1227"/>
      <c r="L1" s="1227"/>
      <c r="M1" s="1227"/>
      <c r="N1" s="1227"/>
      <c r="O1" s="1227" t="s">
        <v>1122</v>
      </c>
      <c r="P1" s="1227"/>
      <c r="Q1" s="1227"/>
      <c r="R1" s="1227"/>
      <c r="S1" s="1227"/>
      <c r="T1" s="1227"/>
      <c r="U1" s="1227"/>
      <c r="V1" s="1227"/>
      <c r="W1" s="1227"/>
      <c r="X1" s="1227"/>
      <c r="Y1" s="1227"/>
      <c r="Z1" s="1227"/>
      <c r="AA1" s="1227" t="s">
        <v>1122</v>
      </c>
      <c r="AB1" s="1227"/>
      <c r="AC1" s="1227"/>
      <c r="AD1" s="1227"/>
      <c r="AE1" s="1227"/>
      <c r="AF1" s="1227"/>
      <c r="AG1" s="1227"/>
      <c r="AH1" s="1227"/>
      <c r="AI1" s="1227"/>
      <c r="AJ1" s="1227"/>
      <c r="AK1" s="1227"/>
      <c r="AL1" s="1227"/>
    </row>
    <row r="2" spans="1:38" x14ac:dyDescent="0.25">
      <c r="C2" s="1227" t="s">
        <v>1123</v>
      </c>
      <c r="D2" s="1227"/>
      <c r="E2" s="1227"/>
      <c r="F2" s="1227"/>
      <c r="G2" s="1227"/>
      <c r="H2" s="1227"/>
      <c r="I2" s="1227"/>
      <c r="J2" s="1227"/>
      <c r="K2" s="1227"/>
      <c r="L2" s="1227"/>
      <c r="M2" s="1227"/>
      <c r="N2" s="1227"/>
      <c r="O2" s="1227" t="s">
        <v>1123</v>
      </c>
      <c r="P2" s="1227"/>
      <c r="Q2" s="1227"/>
      <c r="R2" s="1227"/>
      <c r="S2" s="1227"/>
      <c r="T2" s="1227"/>
      <c r="U2" s="1227"/>
      <c r="V2" s="1227"/>
      <c r="W2" s="1227"/>
      <c r="X2" s="1227"/>
      <c r="Y2" s="1227"/>
      <c r="Z2" s="1227"/>
      <c r="AA2" s="1227" t="s">
        <v>1123</v>
      </c>
      <c r="AB2" s="1227"/>
      <c r="AC2" s="1227"/>
      <c r="AD2" s="1227"/>
      <c r="AE2" s="1227"/>
      <c r="AF2" s="1227"/>
      <c r="AG2" s="1227"/>
      <c r="AH2" s="1227"/>
      <c r="AI2" s="1227"/>
      <c r="AJ2" s="1227"/>
      <c r="AK2" s="1227"/>
      <c r="AL2" s="1227"/>
    </row>
    <row r="3" spans="1:38" x14ac:dyDescent="0.25">
      <c r="C3" s="1227" t="s">
        <v>1391</v>
      </c>
      <c r="D3" s="1227"/>
      <c r="E3" s="1227"/>
      <c r="F3" s="1227"/>
      <c r="G3" s="1227"/>
      <c r="H3" s="1227"/>
      <c r="I3" s="1227"/>
      <c r="J3" s="1227"/>
      <c r="K3" s="1227"/>
      <c r="L3" s="1227"/>
      <c r="M3" s="1227"/>
      <c r="N3" s="1227"/>
      <c r="O3" s="1227" t="s">
        <v>1391</v>
      </c>
      <c r="P3" s="1227"/>
      <c r="Q3" s="1227"/>
      <c r="R3" s="1227"/>
      <c r="S3" s="1227"/>
      <c r="T3" s="1227"/>
      <c r="U3" s="1227"/>
      <c r="V3" s="1227"/>
      <c r="W3" s="1227"/>
      <c r="X3" s="1227"/>
      <c r="Y3" s="1227"/>
      <c r="Z3" s="1227"/>
      <c r="AA3" s="1227" t="s">
        <v>1391</v>
      </c>
      <c r="AB3" s="1227"/>
      <c r="AC3" s="1227"/>
      <c r="AD3" s="1227"/>
      <c r="AE3" s="1227"/>
      <c r="AF3" s="1227"/>
      <c r="AG3" s="1227"/>
      <c r="AH3" s="1227"/>
      <c r="AI3" s="1227"/>
      <c r="AJ3" s="1227"/>
      <c r="AK3" s="1227"/>
      <c r="AL3" s="1227"/>
    </row>
    <row r="4" spans="1:38" ht="16.5" thickBot="1" x14ac:dyDescent="0.3"/>
    <row r="5" spans="1:38" ht="87" customHeight="1" thickTop="1" thickBot="1" x14ac:dyDescent="0.3">
      <c r="A5" s="101"/>
      <c r="B5" s="320"/>
      <c r="C5" s="1228" t="s">
        <v>82</v>
      </c>
      <c r="D5" s="1229"/>
      <c r="E5" s="1229"/>
      <c r="F5" s="1229"/>
      <c r="G5" s="1229"/>
      <c r="H5" s="1229"/>
      <c r="I5" s="1229"/>
      <c r="J5" s="1229"/>
      <c r="K5" s="1229"/>
      <c r="L5" s="1229"/>
      <c r="M5" s="1229"/>
      <c r="N5" s="1230"/>
      <c r="O5" s="1231" t="s">
        <v>83</v>
      </c>
      <c r="P5" s="1232"/>
      <c r="Q5" s="1232"/>
      <c r="R5" s="1232"/>
      <c r="S5" s="1232"/>
      <c r="T5" s="1232"/>
      <c r="U5" s="1232"/>
      <c r="V5" s="1232"/>
      <c r="W5" s="1232"/>
      <c r="X5" s="1232"/>
      <c r="Y5" s="1232"/>
      <c r="Z5" s="1233"/>
      <c r="AA5" s="1234" t="s">
        <v>270</v>
      </c>
      <c r="AB5" s="1235"/>
      <c r="AC5" s="1235"/>
      <c r="AD5" s="1235"/>
      <c r="AE5" s="1235"/>
      <c r="AF5" s="1235"/>
      <c r="AG5" s="1235"/>
      <c r="AH5" s="1235"/>
      <c r="AI5" s="1235"/>
      <c r="AJ5" s="1235"/>
      <c r="AK5" s="1235"/>
      <c r="AL5" s="1236"/>
    </row>
    <row r="6" spans="1:38" ht="33" customHeight="1" thickTop="1" thickBot="1" x14ac:dyDescent="0.3">
      <c r="A6" s="101" t="s">
        <v>249</v>
      </c>
      <c r="B6" s="320" t="s">
        <v>345</v>
      </c>
      <c r="C6" s="1228" t="s">
        <v>1125</v>
      </c>
      <c r="D6" s="1229"/>
      <c r="E6" s="1229"/>
      <c r="F6" s="1230"/>
      <c r="G6" s="1228" t="s">
        <v>1124</v>
      </c>
      <c r="H6" s="1229"/>
      <c r="I6" s="1229"/>
      <c r="J6" s="1230"/>
      <c r="K6" s="1228" t="s">
        <v>1202</v>
      </c>
      <c r="L6" s="1229"/>
      <c r="M6" s="1229"/>
      <c r="N6" s="1230"/>
      <c r="O6" s="1228" t="s">
        <v>1125</v>
      </c>
      <c r="P6" s="1229"/>
      <c r="Q6" s="1229"/>
      <c r="R6" s="1230"/>
      <c r="S6" s="1238" t="s">
        <v>1124</v>
      </c>
      <c r="T6" s="1238"/>
      <c r="U6" s="1238"/>
      <c r="V6" s="1238"/>
      <c r="W6" s="1238" t="s">
        <v>1202</v>
      </c>
      <c r="X6" s="1238"/>
      <c r="Y6" s="1238"/>
      <c r="Z6" s="1238"/>
      <c r="AA6" s="1228" t="s">
        <v>1125</v>
      </c>
      <c r="AB6" s="1229"/>
      <c r="AC6" s="1229"/>
      <c r="AD6" s="1230"/>
      <c r="AE6" s="1228" t="s">
        <v>1124</v>
      </c>
      <c r="AF6" s="1229"/>
      <c r="AG6" s="1229"/>
      <c r="AH6" s="1230"/>
      <c r="AI6" s="1228" t="s">
        <v>1202</v>
      </c>
      <c r="AJ6" s="1229"/>
      <c r="AK6" s="1229"/>
      <c r="AL6" s="1230"/>
    </row>
    <row r="7" spans="1:38" ht="33" thickTop="1" thickBot="1" x14ac:dyDescent="0.3">
      <c r="A7" s="101"/>
      <c r="B7" s="320"/>
      <c r="C7" s="1136" t="s">
        <v>243</v>
      </c>
      <c r="D7" s="1137" t="s">
        <v>244</v>
      </c>
      <c r="E7" s="1137" t="s">
        <v>962</v>
      </c>
      <c r="F7" s="1137" t="s">
        <v>270</v>
      </c>
      <c r="G7" s="1136" t="s">
        <v>243</v>
      </c>
      <c r="H7" s="1136" t="s">
        <v>244</v>
      </c>
      <c r="I7" s="1136" t="s">
        <v>962</v>
      </c>
      <c r="J7" s="1136" t="s">
        <v>270</v>
      </c>
      <c r="K7" s="1136" t="s">
        <v>243</v>
      </c>
      <c r="L7" s="1136" t="s">
        <v>244</v>
      </c>
      <c r="M7" s="1136" t="s">
        <v>962</v>
      </c>
      <c r="N7" s="1137" t="s">
        <v>270</v>
      </c>
      <c r="O7" s="1136" t="s">
        <v>243</v>
      </c>
      <c r="P7" s="1137" t="s">
        <v>244</v>
      </c>
      <c r="Q7" s="1137" t="s">
        <v>962</v>
      </c>
      <c r="R7" s="1137" t="s">
        <v>270</v>
      </c>
      <c r="S7" s="1136" t="s">
        <v>243</v>
      </c>
      <c r="T7" s="1136" t="s">
        <v>244</v>
      </c>
      <c r="U7" s="1136" t="s">
        <v>962</v>
      </c>
      <c r="V7" s="1136" t="s">
        <v>270</v>
      </c>
      <c r="W7" s="1136" t="s">
        <v>243</v>
      </c>
      <c r="X7" s="1136" t="s">
        <v>244</v>
      </c>
      <c r="Y7" s="1136" t="s">
        <v>962</v>
      </c>
      <c r="Z7" s="1137" t="s">
        <v>270</v>
      </c>
      <c r="AA7" s="1136" t="s">
        <v>243</v>
      </c>
      <c r="AB7" s="1137" t="s">
        <v>244</v>
      </c>
      <c r="AC7" s="1137" t="s">
        <v>962</v>
      </c>
      <c r="AD7" s="1137" t="s">
        <v>270</v>
      </c>
      <c r="AE7" s="1136" t="s">
        <v>243</v>
      </c>
      <c r="AF7" s="1137" t="s">
        <v>244</v>
      </c>
      <c r="AG7" s="1137" t="s">
        <v>962</v>
      </c>
      <c r="AH7" s="1137" t="s">
        <v>270</v>
      </c>
      <c r="AI7" s="1136" t="s">
        <v>243</v>
      </c>
      <c r="AJ7" s="1137" t="s">
        <v>244</v>
      </c>
      <c r="AK7" s="1137" t="s">
        <v>962</v>
      </c>
      <c r="AL7" s="1137" t="s">
        <v>270</v>
      </c>
    </row>
    <row r="8" spans="1:38" ht="17.25" thickTop="1" thickBot="1" x14ac:dyDescent="0.3">
      <c r="A8" s="101" t="s">
        <v>253</v>
      </c>
      <c r="B8" s="320"/>
      <c r="C8" s="1228" t="s">
        <v>1126</v>
      </c>
      <c r="D8" s="1229"/>
      <c r="E8" s="1229"/>
      <c r="F8" s="1230"/>
      <c r="G8" s="1238" t="s">
        <v>1127</v>
      </c>
      <c r="H8" s="1238"/>
      <c r="I8" s="1238"/>
      <c r="J8" s="1238"/>
      <c r="K8" s="1238" t="s">
        <v>1128</v>
      </c>
      <c r="L8" s="1238"/>
      <c r="M8" s="1238"/>
      <c r="N8" s="1238"/>
      <c r="O8" s="1234" t="s">
        <v>1129</v>
      </c>
      <c r="P8" s="1235"/>
      <c r="Q8" s="1235"/>
      <c r="R8" s="1236"/>
      <c r="S8" s="1237" t="s">
        <v>1130</v>
      </c>
      <c r="T8" s="1237"/>
      <c r="U8" s="1237"/>
      <c r="V8" s="1237"/>
      <c r="W8" s="1237" t="s">
        <v>1131</v>
      </c>
      <c r="X8" s="1237"/>
      <c r="Y8" s="1237"/>
      <c r="Z8" s="1237"/>
      <c r="AA8" s="1234" t="s">
        <v>1132</v>
      </c>
      <c r="AB8" s="1235"/>
      <c r="AC8" s="1235"/>
      <c r="AD8" s="1236"/>
      <c r="AE8" s="1234" t="s">
        <v>1133</v>
      </c>
      <c r="AF8" s="1235"/>
      <c r="AG8" s="1235"/>
      <c r="AH8" s="1236"/>
      <c r="AI8" s="1234" t="s">
        <v>1134</v>
      </c>
      <c r="AJ8" s="1235"/>
      <c r="AK8" s="1235"/>
      <c r="AL8" s="1236"/>
    </row>
    <row r="9" spans="1:38" s="126" customFormat="1" ht="32.25" thickTop="1" x14ac:dyDescent="0.25">
      <c r="A9" s="125" t="s">
        <v>422</v>
      </c>
      <c r="B9" s="343" t="s">
        <v>426</v>
      </c>
      <c r="C9" s="344">
        <v>7287</v>
      </c>
      <c r="D9" s="111"/>
      <c r="E9" s="112"/>
      <c r="F9" s="113">
        <f t="shared" ref="F9:F16" si="0">SUM(C9:E9)</f>
        <v>7287</v>
      </c>
      <c r="G9" s="113"/>
      <c r="H9" s="113"/>
      <c r="I9" s="113"/>
      <c r="J9" s="113">
        <f>SUM(G9:I9)</f>
        <v>0</v>
      </c>
      <c r="K9" s="113">
        <f>SUM(G9+C9)</f>
        <v>7287</v>
      </c>
      <c r="L9" s="113">
        <f t="shared" ref="L9:M16" si="1">SUM(H9+D9)</f>
        <v>0</v>
      </c>
      <c r="M9" s="113">
        <f t="shared" si="1"/>
        <v>0</v>
      </c>
      <c r="N9" s="113">
        <f>SUM(K9:M9)</f>
        <v>7287</v>
      </c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06">
        <f t="shared" ref="AA9:AC11" si="2">SUM(O9+C9)</f>
        <v>7287</v>
      </c>
      <c r="AB9" s="106">
        <f t="shared" si="2"/>
        <v>0</v>
      </c>
      <c r="AC9" s="106">
        <f t="shared" si="2"/>
        <v>0</v>
      </c>
      <c r="AD9" s="106">
        <f>SUM(AA9:AC9)</f>
        <v>7287</v>
      </c>
      <c r="AE9" s="106">
        <f>SUM(S9+G9)</f>
        <v>0</v>
      </c>
      <c r="AF9" s="106">
        <f t="shared" ref="AE9:AG11" si="3">SUM(T9+H9)</f>
        <v>0</v>
      </c>
      <c r="AG9" s="106">
        <f t="shared" si="3"/>
        <v>0</v>
      </c>
      <c r="AH9" s="106">
        <f t="shared" ref="AH9:AH11" si="4">SUM(AE9:AG9)</f>
        <v>0</v>
      </c>
      <c r="AI9" s="106">
        <f>SUM(W9+K9)</f>
        <v>7287</v>
      </c>
      <c r="AJ9" s="106">
        <f t="shared" ref="AI9:AK11" si="5">SUM(X9+L9)</f>
        <v>0</v>
      </c>
      <c r="AK9" s="106">
        <f t="shared" si="5"/>
        <v>0</v>
      </c>
      <c r="AL9" s="106">
        <f t="shared" ref="AL9:AL11" si="6">SUM(AI9:AK9)</f>
        <v>7287</v>
      </c>
    </row>
    <row r="10" spans="1:38" s="126" customFormat="1" ht="31.5" x14ac:dyDescent="0.25">
      <c r="A10" s="125" t="s">
        <v>735</v>
      </c>
      <c r="B10" s="125" t="s">
        <v>427</v>
      </c>
      <c r="C10" s="112">
        <v>1841862</v>
      </c>
      <c r="D10" s="111"/>
      <c r="E10" s="112"/>
      <c r="F10" s="113">
        <f t="shared" si="0"/>
        <v>1841862</v>
      </c>
      <c r="G10" s="113">
        <v>-6168</v>
      </c>
      <c r="H10" s="113"/>
      <c r="I10" s="113"/>
      <c r="J10" s="113">
        <f>SUM(G10:I10)</f>
        <v>-6168</v>
      </c>
      <c r="K10" s="113">
        <f t="shared" ref="K10:K16" si="7">SUM(G10+C10)</f>
        <v>1835694</v>
      </c>
      <c r="L10" s="113">
        <f t="shared" si="1"/>
        <v>0</v>
      </c>
      <c r="M10" s="113">
        <f t="shared" si="1"/>
        <v>0</v>
      </c>
      <c r="N10" s="113">
        <f t="shared" ref="N10:N16" si="8">SUM(K10:M10)</f>
        <v>1835694</v>
      </c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06">
        <f t="shared" si="2"/>
        <v>1841862</v>
      </c>
      <c r="AB10" s="106">
        <f t="shared" si="2"/>
        <v>0</v>
      </c>
      <c r="AC10" s="106">
        <f t="shared" si="2"/>
        <v>0</v>
      </c>
      <c r="AD10" s="106">
        <f>SUM(AA10:AC10)</f>
        <v>1841862</v>
      </c>
      <c r="AE10" s="106">
        <f t="shared" si="3"/>
        <v>-6168</v>
      </c>
      <c r="AF10" s="106">
        <f t="shared" si="3"/>
        <v>0</v>
      </c>
      <c r="AG10" s="106">
        <f t="shared" si="3"/>
        <v>0</v>
      </c>
      <c r="AH10" s="106">
        <f t="shared" si="4"/>
        <v>-6168</v>
      </c>
      <c r="AI10" s="106">
        <f t="shared" si="5"/>
        <v>1835694</v>
      </c>
      <c r="AJ10" s="106">
        <f t="shared" si="5"/>
        <v>0</v>
      </c>
      <c r="AK10" s="106">
        <f t="shared" si="5"/>
        <v>0</v>
      </c>
      <c r="AL10" s="106">
        <f t="shared" si="6"/>
        <v>1835694</v>
      </c>
    </row>
    <row r="11" spans="1:38" s="126" customFormat="1" ht="47.25" x14ac:dyDescent="0.25">
      <c r="A11" s="689" t="s">
        <v>678</v>
      </c>
      <c r="B11" s="125" t="s">
        <v>428</v>
      </c>
      <c r="C11" s="112">
        <v>1500816</v>
      </c>
      <c r="D11" s="111"/>
      <c r="E11" s="112"/>
      <c r="F11" s="113">
        <f t="shared" si="0"/>
        <v>1500816</v>
      </c>
      <c r="G11" s="113">
        <v>-1500</v>
      </c>
      <c r="H11" s="113"/>
      <c r="I11" s="113"/>
      <c r="J11" s="113">
        <f t="shared" ref="J11:J16" si="9">SUM(G11:I11)</f>
        <v>-1500</v>
      </c>
      <c r="K11" s="112">
        <f t="shared" si="7"/>
        <v>1499316</v>
      </c>
      <c r="L11" s="113">
        <f t="shared" si="1"/>
        <v>0</v>
      </c>
      <c r="M11" s="113">
        <f t="shared" si="1"/>
        <v>0</v>
      </c>
      <c r="N11" s="113">
        <f t="shared" si="8"/>
        <v>1499316</v>
      </c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06">
        <f t="shared" si="2"/>
        <v>1500816</v>
      </c>
      <c r="AB11" s="106">
        <f t="shared" si="2"/>
        <v>0</v>
      </c>
      <c r="AC11" s="106">
        <f t="shared" si="2"/>
        <v>0</v>
      </c>
      <c r="AD11" s="106">
        <f>SUM(AA11:AC11)</f>
        <v>1500816</v>
      </c>
      <c r="AE11" s="106">
        <f t="shared" si="3"/>
        <v>-1500</v>
      </c>
      <c r="AF11" s="106">
        <f t="shared" si="3"/>
        <v>0</v>
      </c>
      <c r="AG11" s="106">
        <f t="shared" si="3"/>
        <v>0</v>
      </c>
      <c r="AH11" s="106">
        <f t="shared" si="4"/>
        <v>-1500</v>
      </c>
      <c r="AI11" s="106">
        <f t="shared" si="5"/>
        <v>1499316</v>
      </c>
      <c r="AJ11" s="106">
        <f t="shared" si="5"/>
        <v>0</v>
      </c>
      <c r="AK11" s="106">
        <f t="shared" si="5"/>
        <v>0</v>
      </c>
      <c r="AL11" s="106">
        <f t="shared" si="6"/>
        <v>1499316</v>
      </c>
    </row>
    <row r="12" spans="1:38" s="126" customFormat="1" ht="31.5" x14ac:dyDescent="0.25">
      <c r="A12" s="125" t="s">
        <v>423</v>
      </c>
      <c r="B12" s="125" t="s">
        <v>429</v>
      </c>
      <c r="C12" s="112">
        <v>458587</v>
      </c>
      <c r="D12" s="111">
        <v>304300</v>
      </c>
      <c r="E12" s="112"/>
      <c r="F12" s="113">
        <f t="shared" si="0"/>
        <v>762887</v>
      </c>
      <c r="G12" s="113">
        <v>2730</v>
      </c>
      <c r="H12" s="113"/>
      <c r="I12" s="113"/>
      <c r="J12" s="113">
        <f t="shared" si="9"/>
        <v>2730</v>
      </c>
      <c r="K12" s="112">
        <f t="shared" si="7"/>
        <v>461317</v>
      </c>
      <c r="L12" s="113">
        <f t="shared" si="1"/>
        <v>304300</v>
      </c>
      <c r="M12" s="113">
        <f t="shared" si="1"/>
        <v>0</v>
      </c>
      <c r="N12" s="113">
        <f t="shared" si="8"/>
        <v>765617</v>
      </c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06">
        <f t="shared" ref="AA12:AL16" si="10">SUM(C12+O12)</f>
        <v>458587</v>
      </c>
      <c r="AB12" s="106">
        <f t="shared" si="10"/>
        <v>304300</v>
      </c>
      <c r="AC12" s="106">
        <f t="shared" si="10"/>
        <v>0</v>
      </c>
      <c r="AD12" s="106">
        <f t="shared" si="10"/>
        <v>762887</v>
      </c>
      <c r="AE12" s="106">
        <f t="shared" si="10"/>
        <v>2730</v>
      </c>
      <c r="AF12" s="106">
        <f t="shared" si="10"/>
        <v>0</v>
      </c>
      <c r="AG12" s="106">
        <f t="shared" si="10"/>
        <v>0</v>
      </c>
      <c r="AH12" s="106">
        <f t="shared" si="10"/>
        <v>2730</v>
      </c>
      <c r="AI12" s="106">
        <f t="shared" si="10"/>
        <v>461317</v>
      </c>
      <c r="AJ12" s="106">
        <f t="shared" si="10"/>
        <v>304300</v>
      </c>
      <c r="AK12" s="106">
        <f t="shared" si="10"/>
        <v>0</v>
      </c>
      <c r="AL12" s="106">
        <f t="shared" si="10"/>
        <v>765617</v>
      </c>
    </row>
    <row r="13" spans="1:38" s="127" customFormat="1" ht="31.5" x14ac:dyDescent="0.25">
      <c r="A13" s="125" t="s">
        <v>85</v>
      </c>
      <c r="B13" s="125"/>
      <c r="C13" s="112">
        <v>221200</v>
      </c>
      <c r="D13" s="111"/>
      <c r="E13" s="112"/>
      <c r="F13" s="113">
        <f t="shared" si="0"/>
        <v>221200</v>
      </c>
      <c r="G13" s="113"/>
      <c r="H13" s="113"/>
      <c r="I13" s="113"/>
      <c r="J13" s="113">
        <f t="shared" si="9"/>
        <v>0</v>
      </c>
      <c r="K13" s="112">
        <f t="shared" si="7"/>
        <v>221200</v>
      </c>
      <c r="L13" s="113">
        <f t="shared" si="1"/>
        <v>0</v>
      </c>
      <c r="M13" s="113">
        <f t="shared" si="1"/>
        <v>0</v>
      </c>
      <c r="N13" s="113">
        <f t="shared" si="8"/>
        <v>221200</v>
      </c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06">
        <f t="shared" si="10"/>
        <v>221200</v>
      </c>
      <c r="AB13" s="106">
        <f t="shared" si="10"/>
        <v>0</v>
      </c>
      <c r="AC13" s="106">
        <f t="shared" si="10"/>
        <v>0</v>
      </c>
      <c r="AD13" s="106">
        <f t="shared" si="10"/>
        <v>221200</v>
      </c>
      <c r="AE13" s="106">
        <f t="shared" si="10"/>
        <v>0</v>
      </c>
      <c r="AF13" s="106">
        <f t="shared" si="10"/>
        <v>0</v>
      </c>
      <c r="AG13" s="106">
        <f t="shared" si="10"/>
        <v>0</v>
      </c>
      <c r="AH13" s="106">
        <f t="shared" si="10"/>
        <v>0</v>
      </c>
      <c r="AI13" s="106">
        <f t="shared" si="10"/>
        <v>221200</v>
      </c>
      <c r="AJ13" s="106">
        <f t="shared" si="10"/>
        <v>0</v>
      </c>
      <c r="AK13" s="106">
        <f t="shared" si="10"/>
        <v>0</v>
      </c>
      <c r="AL13" s="106">
        <f t="shared" si="10"/>
        <v>221200</v>
      </c>
    </row>
    <row r="14" spans="1:38" s="127" customFormat="1" ht="31.5" x14ac:dyDescent="0.25">
      <c r="A14" s="125" t="s">
        <v>86</v>
      </c>
      <c r="B14" s="125"/>
      <c r="C14" s="112">
        <v>134300</v>
      </c>
      <c r="D14" s="111"/>
      <c r="E14" s="112"/>
      <c r="F14" s="113">
        <f t="shared" si="0"/>
        <v>134300</v>
      </c>
      <c r="G14" s="113"/>
      <c r="H14" s="113"/>
      <c r="I14" s="113"/>
      <c r="J14" s="113">
        <f t="shared" si="9"/>
        <v>0</v>
      </c>
      <c r="K14" s="112">
        <f t="shared" si="7"/>
        <v>134300</v>
      </c>
      <c r="L14" s="113">
        <f t="shared" si="1"/>
        <v>0</v>
      </c>
      <c r="M14" s="113">
        <f t="shared" si="1"/>
        <v>0</v>
      </c>
      <c r="N14" s="113">
        <f t="shared" si="8"/>
        <v>134300</v>
      </c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06">
        <f t="shared" si="10"/>
        <v>134300</v>
      </c>
      <c r="AB14" s="106">
        <f t="shared" si="10"/>
        <v>0</v>
      </c>
      <c r="AC14" s="106">
        <f t="shared" si="10"/>
        <v>0</v>
      </c>
      <c r="AD14" s="106">
        <f t="shared" si="10"/>
        <v>134300</v>
      </c>
      <c r="AE14" s="106">
        <f t="shared" si="10"/>
        <v>0</v>
      </c>
      <c r="AF14" s="106">
        <f t="shared" si="10"/>
        <v>0</v>
      </c>
      <c r="AG14" s="106">
        <f t="shared" si="10"/>
        <v>0</v>
      </c>
      <c r="AH14" s="106">
        <f t="shared" si="10"/>
        <v>0</v>
      </c>
      <c r="AI14" s="106">
        <f t="shared" si="10"/>
        <v>134300</v>
      </c>
      <c r="AJ14" s="106">
        <f t="shared" si="10"/>
        <v>0</v>
      </c>
      <c r="AK14" s="106">
        <f t="shared" si="10"/>
        <v>0</v>
      </c>
      <c r="AL14" s="106">
        <f t="shared" si="10"/>
        <v>134300</v>
      </c>
    </row>
    <row r="15" spans="1:38" s="127" customFormat="1" x14ac:dyDescent="0.25">
      <c r="A15" s="125" t="s">
        <v>87</v>
      </c>
      <c r="B15" s="125"/>
      <c r="C15" s="112"/>
      <c r="D15" s="111">
        <v>304300</v>
      </c>
      <c r="E15" s="112"/>
      <c r="F15" s="113">
        <f t="shared" si="0"/>
        <v>304300</v>
      </c>
      <c r="G15" s="113"/>
      <c r="H15" s="113"/>
      <c r="I15" s="113"/>
      <c r="J15" s="113">
        <f t="shared" si="9"/>
        <v>0</v>
      </c>
      <c r="K15" s="112">
        <f t="shared" si="7"/>
        <v>0</v>
      </c>
      <c r="L15" s="113">
        <f t="shared" si="1"/>
        <v>304300</v>
      </c>
      <c r="M15" s="113">
        <f t="shared" si="1"/>
        <v>0</v>
      </c>
      <c r="N15" s="113">
        <f t="shared" si="8"/>
        <v>304300</v>
      </c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06">
        <f t="shared" si="10"/>
        <v>0</v>
      </c>
      <c r="AB15" s="106">
        <f t="shared" si="10"/>
        <v>304300</v>
      </c>
      <c r="AC15" s="106">
        <f t="shared" si="10"/>
        <v>0</v>
      </c>
      <c r="AD15" s="106">
        <f t="shared" si="10"/>
        <v>304300</v>
      </c>
      <c r="AE15" s="106">
        <f t="shared" si="10"/>
        <v>0</v>
      </c>
      <c r="AF15" s="106">
        <f t="shared" si="10"/>
        <v>0</v>
      </c>
      <c r="AG15" s="106">
        <f t="shared" si="10"/>
        <v>0</v>
      </c>
      <c r="AH15" s="106">
        <f t="shared" si="10"/>
        <v>0</v>
      </c>
      <c r="AI15" s="106">
        <f t="shared" si="10"/>
        <v>0</v>
      </c>
      <c r="AJ15" s="106">
        <f t="shared" si="10"/>
        <v>304300</v>
      </c>
      <c r="AK15" s="106">
        <f t="shared" si="10"/>
        <v>0</v>
      </c>
      <c r="AL15" s="106">
        <f t="shared" si="10"/>
        <v>304300</v>
      </c>
    </row>
    <row r="16" spans="1:38" s="127" customFormat="1" ht="36.75" customHeight="1" x14ac:dyDescent="0.25">
      <c r="A16" s="125" t="s">
        <v>424</v>
      </c>
      <c r="B16" s="125" t="s">
        <v>430</v>
      </c>
      <c r="C16" s="112">
        <v>138436</v>
      </c>
      <c r="D16" s="111">
        <v>0</v>
      </c>
      <c r="E16" s="112"/>
      <c r="F16" s="113">
        <f t="shared" si="0"/>
        <v>138436</v>
      </c>
      <c r="G16" s="113">
        <v>82456</v>
      </c>
      <c r="H16" s="113"/>
      <c r="I16" s="113"/>
      <c r="J16" s="113">
        <f t="shared" si="9"/>
        <v>82456</v>
      </c>
      <c r="K16" s="112">
        <f t="shared" si="7"/>
        <v>220892</v>
      </c>
      <c r="L16" s="113">
        <f t="shared" si="1"/>
        <v>0</v>
      </c>
      <c r="M16" s="113">
        <f t="shared" si="1"/>
        <v>0</v>
      </c>
      <c r="N16" s="113">
        <f t="shared" si="8"/>
        <v>220892</v>
      </c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06">
        <f t="shared" si="10"/>
        <v>138436</v>
      </c>
      <c r="AB16" s="106">
        <f t="shared" si="10"/>
        <v>0</v>
      </c>
      <c r="AC16" s="106">
        <f t="shared" si="10"/>
        <v>0</v>
      </c>
      <c r="AD16" s="106">
        <f t="shared" si="10"/>
        <v>138436</v>
      </c>
      <c r="AE16" s="106">
        <f t="shared" si="10"/>
        <v>82456</v>
      </c>
      <c r="AF16" s="106">
        <f t="shared" si="10"/>
        <v>0</v>
      </c>
      <c r="AG16" s="106">
        <f t="shared" si="10"/>
        <v>0</v>
      </c>
      <c r="AH16" s="106">
        <f t="shared" si="10"/>
        <v>82456</v>
      </c>
      <c r="AI16" s="106">
        <f t="shared" si="10"/>
        <v>220892</v>
      </c>
      <c r="AJ16" s="106">
        <f t="shared" si="10"/>
        <v>0</v>
      </c>
      <c r="AK16" s="106">
        <f t="shared" si="10"/>
        <v>0</v>
      </c>
      <c r="AL16" s="106">
        <f t="shared" si="10"/>
        <v>220892</v>
      </c>
    </row>
    <row r="17" spans="1:38" s="119" customFormat="1" ht="31.5" x14ac:dyDescent="0.25">
      <c r="A17" s="116" t="s">
        <v>425</v>
      </c>
      <c r="B17" s="116" t="s">
        <v>431</v>
      </c>
      <c r="C17" s="117">
        <f t="shared" ref="C17:AL17" si="11">SUM(C9:C11,C12,C16)</f>
        <v>3946988</v>
      </c>
      <c r="D17" s="117">
        <f t="shared" si="11"/>
        <v>304300</v>
      </c>
      <c r="E17" s="117">
        <f t="shared" si="11"/>
        <v>0</v>
      </c>
      <c r="F17" s="117">
        <f t="shared" si="11"/>
        <v>4251288</v>
      </c>
      <c r="G17" s="117">
        <f t="shared" si="11"/>
        <v>77518</v>
      </c>
      <c r="H17" s="117">
        <f t="shared" si="11"/>
        <v>0</v>
      </c>
      <c r="I17" s="117">
        <f t="shared" si="11"/>
        <v>0</v>
      </c>
      <c r="J17" s="117">
        <f t="shared" si="11"/>
        <v>77518</v>
      </c>
      <c r="K17" s="117">
        <f t="shared" si="11"/>
        <v>4024506</v>
      </c>
      <c r="L17" s="117">
        <f t="shared" si="11"/>
        <v>304300</v>
      </c>
      <c r="M17" s="117">
        <f t="shared" si="11"/>
        <v>0</v>
      </c>
      <c r="N17" s="117">
        <f t="shared" si="11"/>
        <v>4328806</v>
      </c>
      <c r="O17" s="117">
        <f t="shared" si="11"/>
        <v>0</v>
      </c>
      <c r="P17" s="117">
        <f t="shared" si="11"/>
        <v>0</v>
      </c>
      <c r="Q17" s="117">
        <f t="shared" si="11"/>
        <v>0</v>
      </c>
      <c r="R17" s="117">
        <f t="shared" si="11"/>
        <v>0</v>
      </c>
      <c r="S17" s="117">
        <f t="shared" si="11"/>
        <v>0</v>
      </c>
      <c r="T17" s="117">
        <f t="shared" si="11"/>
        <v>0</v>
      </c>
      <c r="U17" s="117">
        <f t="shared" si="11"/>
        <v>0</v>
      </c>
      <c r="V17" s="117">
        <f t="shared" si="11"/>
        <v>0</v>
      </c>
      <c r="W17" s="117">
        <f t="shared" si="11"/>
        <v>0</v>
      </c>
      <c r="X17" s="117">
        <f t="shared" si="11"/>
        <v>0</v>
      </c>
      <c r="Y17" s="117">
        <f t="shared" si="11"/>
        <v>0</v>
      </c>
      <c r="Z17" s="117">
        <f t="shared" si="11"/>
        <v>0</v>
      </c>
      <c r="AA17" s="117">
        <f t="shared" si="11"/>
        <v>3946988</v>
      </c>
      <c r="AB17" s="117">
        <f t="shared" si="11"/>
        <v>304300</v>
      </c>
      <c r="AC17" s="117">
        <f t="shared" si="11"/>
        <v>0</v>
      </c>
      <c r="AD17" s="117">
        <f t="shared" si="11"/>
        <v>4251288</v>
      </c>
      <c r="AE17" s="117">
        <f t="shared" si="11"/>
        <v>77518</v>
      </c>
      <c r="AF17" s="117">
        <f t="shared" si="11"/>
        <v>0</v>
      </c>
      <c r="AG17" s="117">
        <f t="shared" si="11"/>
        <v>0</v>
      </c>
      <c r="AH17" s="117">
        <f t="shared" si="11"/>
        <v>77518</v>
      </c>
      <c r="AI17" s="117">
        <f t="shared" si="11"/>
        <v>4024506</v>
      </c>
      <c r="AJ17" s="117">
        <f t="shared" si="11"/>
        <v>304300</v>
      </c>
      <c r="AK17" s="117">
        <f t="shared" si="11"/>
        <v>0</v>
      </c>
      <c r="AL17" s="117">
        <f t="shared" si="11"/>
        <v>4328806</v>
      </c>
    </row>
    <row r="18" spans="1:38" s="119" customFormat="1" ht="31.5" x14ac:dyDescent="0.25">
      <c r="A18" s="116" t="s">
        <v>486</v>
      </c>
      <c r="B18" s="116" t="s">
        <v>487</v>
      </c>
      <c r="C18" s="117">
        <v>155853</v>
      </c>
      <c r="D18" s="117">
        <v>76551</v>
      </c>
      <c r="E18" s="117"/>
      <c r="F18" s="117">
        <f>SUM(C18:E18)</f>
        <v>232404</v>
      </c>
      <c r="G18" s="117">
        <v>-99866</v>
      </c>
      <c r="H18" s="117"/>
      <c r="I18" s="117"/>
      <c r="J18" s="117">
        <f>SUM(G18:I18)</f>
        <v>-99866</v>
      </c>
      <c r="K18" s="117">
        <f t="shared" ref="K18" si="12">SUM(G18+C18)</f>
        <v>55987</v>
      </c>
      <c r="L18" s="117">
        <f t="shared" ref="L18:M18" si="13">SUM(H18+D18)</f>
        <v>76551</v>
      </c>
      <c r="M18" s="117">
        <f t="shared" si="13"/>
        <v>0</v>
      </c>
      <c r="N18" s="117">
        <f t="shared" ref="N18" si="14">SUM(K18:M18)</f>
        <v>132538</v>
      </c>
      <c r="O18" s="117">
        <v>730980</v>
      </c>
      <c r="P18" s="117">
        <v>330207</v>
      </c>
      <c r="Q18" s="117">
        <v>69774</v>
      </c>
      <c r="R18" s="117">
        <f>SUM(O18:Q18)</f>
        <v>1130961</v>
      </c>
      <c r="S18" s="117">
        <v>295814</v>
      </c>
      <c r="T18" s="117">
        <v>18741</v>
      </c>
      <c r="U18" s="117">
        <v>0</v>
      </c>
      <c r="V18" s="117">
        <f>SUM(S18:U18)</f>
        <v>314555</v>
      </c>
      <c r="W18" s="117">
        <f>SUM(S18+O18)</f>
        <v>1026794</v>
      </c>
      <c r="X18" s="117">
        <f>SUM(T18+P18)</f>
        <v>348948</v>
      </c>
      <c r="Y18" s="117">
        <f>SUM(Q18+U18)</f>
        <v>69774</v>
      </c>
      <c r="Z18" s="117">
        <f>SUM(W18:Y18)</f>
        <v>1445516</v>
      </c>
      <c r="AA18" s="106">
        <f>SUM(C18+O18)</f>
        <v>886833</v>
      </c>
      <c r="AB18" s="106">
        <f>SUM(D18+P18)</f>
        <v>406758</v>
      </c>
      <c r="AC18" s="106">
        <f>SUM(E18+Q18)</f>
        <v>69774</v>
      </c>
      <c r="AD18" s="106">
        <f>SUM(F18+R18)</f>
        <v>1363365</v>
      </c>
      <c r="AE18" s="106">
        <f t="shared" ref="AE18:AL18" si="15">SUM(G18+S18)</f>
        <v>195948</v>
      </c>
      <c r="AF18" s="106">
        <f t="shared" si="15"/>
        <v>18741</v>
      </c>
      <c r="AG18" s="106">
        <f t="shared" si="15"/>
        <v>0</v>
      </c>
      <c r="AH18" s="106">
        <f t="shared" si="15"/>
        <v>214689</v>
      </c>
      <c r="AI18" s="106">
        <f t="shared" si="15"/>
        <v>1082781</v>
      </c>
      <c r="AJ18" s="106">
        <f t="shared" si="15"/>
        <v>425499</v>
      </c>
      <c r="AK18" s="106">
        <f t="shared" si="15"/>
        <v>69774</v>
      </c>
      <c r="AL18" s="106">
        <f t="shared" si="15"/>
        <v>1578054</v>
      </c>
    </row>
    <row r="19" spans="1:38" s="109" customFormat="1" ht="31.5" x14ac:dyDescent="0.25">
      <c r="A19" s="107" t="s">
        <v>488</v>
      </c>
      <c r="B19" s="107" t="s">
        <v>356</v>
      </c>
      <c r="C19" s="106">
        <f>SUM(C17+C18)</f>
        <v>4102841</v>
      </c>
      <c r="D19" s="106">
        <f t="shared" ref="D19:AL19" si="16">SUM(D17+D18)</f>
        <v>380851</v>
      </c>
      <c r="E19" s="106">
        <f t="shared" si="16"/>
        <v>0</v>
      </c>
      <c r="F19" s="106">
        <f t="shared" si="16"/>
        <v>4483692</v>
      </c>
      <c r="G19" s="106">
        <f t="shared" si="16"/>
        <v>-22348</v>
      </c>
      <c r="H19" s="106">
        <f t="shared" si="16"/>
        <v>0</v>
      </c>
      <c r="I19" s="106">
        <f t="shared" si="16"/>
        <v>0</v>
      </c>
      <c r="J19" s="106">
        <f t="shared" si="16"/>
        <v>-22348</v>
      </c>
      <c r="K19" s="106">
        <f t="shared" si="16"/>
        <v>4080493</v>
      </c>
      <c r="L19" s="106">
        <f t="shared" si="16"/>
        <v>380851</v>
      </c>
      <c r="M19" s="106">
        <f t="shared" si="16"/>
        <v>0</v>
      </c>
      <c r="N19" s="106">
        <f t="shared" si="16"/>
        <v>4461344</v>
      </c>
      <c r="O19" s="106">
        <f t="shared" si="16"/>
        <v>730980</v>
      </c>
      <c r="P19" s="106">
        <f t="shared" si="16"/>
        <v>330207</v>
      </c>
      <c r="Q19" s="106">
        <f t="shared" si="16"/>
        <v>69774</v>
      </c>
      <c r="R19" s="106">
        <f t="shared" si="16"/>
        <v>1130961</v>
      </c>
      <c r="S19" s="106">
        <f t="shared" si="16"/>
        <v>295814</v>
      </c>
      <c r="T19" s="106">
        <f t="shared" si="16"/>
        <v>18741</v>
      </c>
      <c r="U19" s="106">
        <f t="shared" si="16"/>
        <v>0</v>
      </c>
      <c r="V19" s="106">
        <f t="shared" si="16"/>
        <v>314555</v>
      </c>
      <c r="W19" s="106">
        <f t="shared" si="16"/>
        <v>1026794</v>
      </c>
      <c r="X19" s="106">
        <f t="shared" si="16"/>
        <v>348948</v>
      </c>
      <c r="Y19" s="106">
        <f t="shared" si="16"/>
        <v>69774</v>
      </c>
      <c r="Z19" s="106">
        <f t="shared" si="16"/>
        <v>1445516</v>
      </c>
      <c r="AA19" s="106">
        <f t="shared" si="16"/>
        <v>4833821</v>
      </c>
      <c r="AB19" s="106">
        <f t="shared" si="16"/>
        <v>711058</v>
      </c>
      <c r="AC19" s="106">
        <f t="shared" si="16"/>
        <v>69774</v>
      </c>
      <c r="AD19" s="106">
        <f t="shared" si="16"/>
        <v>5614653</v>
      </c>
      <c r="AE19" s="106">
        <f t="shared" si="16"/>
        <v>273466</v>
      </c>
      <c r="AF19" s="106">
        <f t="shared" si="16"/>
        <v>18741</v>
      </c>
      <c r="AG19" s="106">
        <f t="shared" si="16"/>
        <v>0</v>
      </c>
      <c r="AH19" s="106">
        <f t="shared" si="16"/>
        <v>292207</v>
      </c>
      <c r="AI19" s="106">
        <f t="shared" si="16"/>
        <v>5107287</v>
      </c>
      <c r="AJ19" s="106">
        <f t="shared" si="16"/>
        <v>729799</v>
      </c>
      <c r="AK19" s="106">
        <f t="shared" si="16"/>
        <v>69774</v>
      </c>
      <c r="AL19" s="106">
        <f t="shared" si="16"/>
        <v>5906860</v>
      </c>
    </row>
    <row r="20" spans="1:38" s="136" customFormat="1" ht="31.5" x14ac:dyDescent="0.25">
      <c r="A20" s="116" t="s">
        <v>489</v>
      </c>
      <c r="B20" s="345" t="s">
        <v>432</v>
      </c>
      <c r="C20" s="137">
        <v>4000</v>
      </c>
      <c r="D20" s="341">
        <v>900800</v>
      </c>
      <c r="E20" s="137">
        <v>0</v>
      </c>
      <c r="F20" s="138">
        <f>SUM(C20:E20)</f>
        <v>904800</v>
      </c>
      <c r="G20" s="138"/>
      <c r="H20" s="138">
        <v>-800</v>
      </c>
      <c r="I20" s="138"/>
      <c r="J20" s="138">
        <f>SUM(G20:I20)</f>
        <v>-800</v>
      </c>
      <c r="K20" s="137">
        <f t="shared" ref="K20:M21" si="17">SUM(G20+C20)</f>
        <v>4000</v>
      </c>
      <c r="L20" s="138">
        <f t="shared" si="17"/>
        <v>900000</v>
      </c>
      <c r="M20" s="138">
        <f t="shared" si="17"/>
        <v>0</v>
      </c>
      <c r="N20" s="138">
        <f t="shared" ref="N20:N21" si="18">SUM(K20:M20)</f>
        <v>904000</v>
      </c>
      <c r="O20" s="137"/>
      <c r="P20" s="137"/>
      <c r="Q20" s="137"/>
      <c r="R20" s="137">
        <f>SUM(O20:Q20)</f>
        <v>0</v>
      </c>
      <c r="S20" s="137"/>
      <c r="T20" s="137"/>
      <c r="U20" s="137"/>
      <c r="V20" s="137">
        <f>SUM(S20:U20)</f>
        <v>0</v>
      </c>
      <c r="W20" s="137">
        <f>SUM(S20+O20)</f>
        <v>0</v>
      </c>
      <c r="X20" s="137">
        <f>SUM(T20+P20)</f>
        <v>0</v>
      </c>
      <c r="Y20" s="137">
        <f>SUM(Q20+U20)</f>
        <v>0</v>
      </c>
      <c r="Z20" s="137">
        <f>SUM(W20:Y20)</f>
        <v>0</v>
      </c>
      <c r="AA20" s="106">
        <f t="shared" ref="AA20:AL21" si="19">SUM(C20+O20)</f>
        <v>4000</v>
      </c>
      <c r="AB20" s="106">
        <f t="shared" si="19"/>
        <v>900800</v>
      </c>
      <c r="AC20" s="106">
        <f t="shared" si="19"/>
        <v>0</v>
      </c>
      <c r="AD20" s="106">
        <f t="shared" si="19"/>
        <v>904800</v>
      </c>
      <c r="AE20" s="106">
        <f t="shared" si="19"/>
        <v>0</v>
      </c>
      <c r="AF20" s="106">
        <f t="shared" si="19"/>
        <v>-800</v>
      </c>
      <c r="AG20" s="106">
        <f t="shared" si="19"/>
        <v>0</v>
      </c>
      <c r="AH20" s="106">
        <f t="shared" si="19"/>
        <v>-800</v>
      </c>
      <c r="AI20" s="106">
        <f t="shared" si="19"/>
        <v>4000</v>
      </c>
      <c r="AJ20" s="106">
        <f t="shared" si="19"/>
        <v>900000</v>
      </c>
      <c r="AK20" s="106">
        <f t="shared" si="19"/>
        <v>0</v>
      </c>
      <c r="AL20" s="106">
        <f t="shared" si="19"/>
        <v>904000</v>
      </c>
    </row>
    <row r="21" spans="1:38" s="136" customFormat="1" ht="31.5" x14ac:dyDescent="0.25">
      <c r="A21" s="116" t="s">
        <v>491</v>
      </c>
      <c r="B21" s="345" t="s">
        <v>490</v>
      </c>
      <c r="C21" s="137">
        <v>2342380</v>
      </c>
      <c r="D21" s="341">
        <v>13504343</v>
      </c>
      <c r="E21" s="137">
        <v>0</v>
      </c>
      <c r="F21" s="138">
        <f>SUM(C21:E21)</f>
        <v>15846723</v>
      </c>
      <c r="G21" s="138">
        <v>-1332729</v>
      </c>
      <c r="H21" s="138">
        <v>-5041058</v>
      </c>
      <c r="I21" s="138"/>
      <c r="J21" s="138">
        <f>SUM(G21:I21)</f>
        <v>-6373787</v>
      </c>
      <c r="K21" s="137">
        <f t="shared" si="17"/>
        <v>1009651</v>
      </c>
      <c r="L21" s="138">
        <f t="shared" si="17"/>
        <v>8463285</v>
      </c>
      <c r="M21" s="138">
        <f t="shared" si="17"/>
        <v>0</v>
      </c>
      <c r="N21" s="138">
        <f t="shared" si="18"/>
        <v>9472936</v>
      </c>
      <c r="O21" s="137"/>
      <c r="P21" s="137"/>
      <c r="Q21" s="137"/>
      <c r="R21" s="137">
        <f>SUM(O21:Q21)</f>
        <v>0</v>
      </c>
      <c r="S21" s="137"/>
      <c r="T21" s="137"/>
      <c r="U21" s="137"/>
      <c r="V21" s="137">
        <f>SUM(S21:U21)</f>
        <v>0</v>
      </c>
      <c r="W21" s="137">
        <f>SUM(S21+O21)</f>
        <v>0</v>
      </c>
      <c r="X21" s="137">
        <f>SUM(T21+P21)</f>
        <v>0</v>
      </c>
      <c r="Y21" s="137">
        <f>SUM(Q21+U21)</f>
        <v>0</v>
      </c>
      <c r="Z21" s="137">
        <f>SUM(W21:Y21)</f>
        <v>0</v>
      </c>
      <c r="AA21" s="106">
        <f t="shared" si="19"/>
        <v>2342380</v>
      </c>
      <c r="AB21" s="106">
        <f t="shared" si="19"/>
        <v>13504343</v>
      </c>
      <c r="AC21" s="106">
        <f t="shared" si="19"/>
        <v>0</v>
      </c>
      <c r="AD21" s="106">
        <f t="shared" si="19"/>
        <v>15846723</v>
      </c>
      <c r="AE21" s="106">
        <f t="shared" si="19"/>
        <v>-1332729</v>
      </c>
      <c r="AF21" s="106">
        <f t="shared" si="19"/>
        <v>-5041058</v>
      </c>
      <c r="AG21" s="106">
        <f t="shared" si="19"/>
        <v>0</v>
      </c>
      <c r="AH21" s="106">
        <f t="shared" si="19"/>
        <v>-6373787</v>
      </c>
      <c r="AI21" s="106">
        <f t="shared" si="19"/>
        <v>1009651</v>
      </c>
      <c r="AJ21" s="106">
        <f t="shared" si="19"/>
        <v>8463285</v>
      </c>
      <c r="AK21" s="106">
        <f t="shared" si="19"/>
        <v>0</v>
      </c>
      <c r="AL21" s="106">
        <f t="shared" si="19"/>
        <v>9472936</v>
      </c>
    </row>
    <row r="22" spans="1:38" s="139" customFormat="1" ht="31.5" x14ac:dyDescent="0.25">
      <c r="A22" s="107" t="s">
        <v>492</v>
      </c>
      <c r="B22" s="141" t="s">
        <v>357</v>
      </c>
      <c r="C22" s="140">
        <f>SUM(C20+C21)</f>
        <v>2346380</v>
      </c>
      <c r="D22" s="140">
        <f t="shared" ref="D22:AL22" si="20">SUM(D20+D21)</f>
        <v>14405143</v>
      </c>
      <c r="E22" s="140">
        <f t="shared" si="20"/>
        <v>0</v>
      </c>
      <c r="F22" s="140">
        <f t="shared" si="20"/>
        <v>16751523</v>
      </c>
      <c r="G22" s="140">
        <f t="shared" si="20"/>
        <v>-1332729</v>
      </c>
      <c r="H22" s="140">
        <f t="shared" si="20"/>
        <v>-5041858</v>
      </c>
      <c r="I22" s="140">
        <f t="shared" si="20"/>
        <v>0</v>
      </c>
      <c r="J22" s="140">
        <f t="shared" si="20"/>
        <v>-6374587</v>
      </c>
      <c r="K22" s="140">
        <f t="shared" si="20"/>
        <v>1013651</v>
      </c>
      <c r="L22" s="140">
        <f t="shared" si="20"/>
        <v>9363285</v>
      </c>
      <c r="M22" s="140">
        <f t="shared" si="20"/>
        <v>0</v>
      </c>
      <c r="N22" s="140">
        <f t="shared" si="20"/>
        <v>10376936</v>
      </c>
      <c r="O22" s="140">
        <f t="shared" si="20"/>
        <v>0</v>
      </c>
      <c r="P22" s="140">
        <f t="shared" si="20"/>
        <v>0</v>
      </c>
      <c r="Q22" s="140">
        <f t="shared" si="20"/>
        <v>0</v>
      </c>
      <c r="R22" s="140">
        <f t="shared" si="20"/>
        <v>0</v>
      </c>
      <c r="S22" s="140">
        <f t="shared" si="20"/>
        <v>0</v>
      </c>
      <c r="T22" s="140">
        <f t="shared" si="20"/>
        <v>0</v>
      </c>
      <c r="U22" s="140">
        <f t="shared" si="20"/>
        <v>0</v>
      </c>
      <c r="V22" s="140">
        <f t="shared" si="20"/>
        <v>0</v>
      </c>
      <c r="W22" s="140">
        <f t="shared" si="20"/>
        <v>0</v>
      </c>
      <c r="X22" s="140">
        <f t="shared" si="20"/>
        <v>0</v>
      </c>
      <c r="Y22" s="140">
        <f t="shared" si="20"/>
        <v>0</v>
      </c>
      <c r="Z22" s="140">
        <f t="shared" si="20"/>
        <v>0</v>
      </c>
      <c r="AA22" s="140">
        <f t="shared" si="20"/>
        <v>2346380</v>
      </c>
      <c r="AB22" s="140">
        <f t="shared" si="20"/>
        <v>14405143</v>
      </c>
      <c r="AC22" s="140">
        <f t="shared" si="20"/>
        <v>0</v>
      </c>
      <c r="AD22" s="140">
        <f t="shared" si="20"/>
        <v>16751523</v>
      </c>
      <c r="AE22" s="140">
        <f t="shared" si="20"/>
        <v>-1332729</v>
      </c>
      <c r="AF22" s="140">
        <f t="shared" si="20"/>
        <v>-5041858</v>
      </c>
      <c r="AG22" s="140">
        <f t="shared" si="20"/>
        <v>0</v>
      </c>
      <c r="AH22" s="140">
        <f t="shared" si="20"/>
        <v>-6374587</v>
      </c>
      <c r="AI22" s="140">
        <f t="shared" si="20"/>
        <v>1013651</v>
      </c>
      <c r="AJ22" s="140">
        <f t="shared" si="20"/>
        <v>9363285</v>
      </c>
      <c r="AK22" s="140">
        <f t="shared" si="20"/>
        <v>0</v>
      </c>
      <c r="AL22" s="140">
        <f t="shared" si="20"/>
        <v>10376936</v>
      </c>
    </row>
    <row r="23" spans="1:38" ht="31.5" x14ac:dyDescent="0.25">
      <c r="A23" s="110" t="s">
        <v>493</v>
      </c>
      <c r="B23" s="110" t="s">
        <v>434</v>
      </c>
      <c r="C23" s="115">
        <v>200</v>
      </c>
      <c r="D23" s="114"/>
      <c r="E23" s="115"/>
      <c r="F23" s="122">
        <f>SUM(C23:E23)</f>
        <v>200</v>
      </c>
      <c r="G23" s="122">
        <v>-31</v>
      </c>
      <c r="H23" s="122"/>
      <c r="I23" s="122"/>
      <c r="J23" s="122">
        <f>SUM(G23:I23)</f>
        <v>-31</v>
      </c>
      <c r="K23" s="121">
        <f t="shared" ref="K23:M23" si="21">SUM(G23+C23)</f>
        <v>169</v>
      </c>
      <c r="L23" s="122">
        <f t="shared" si="21"/>
        <v>0</v>
      </c>
      <c r="M23" s="122">
        <f t="shared" si="21"/>
        <v>0</v>
      </c>
      <c r="N23" s="122">
        <f t="shared" ref="N23" si="22">SUM(K23:M23)</f>
        <v>169</v>
      </c>
      <c r="O23" s="112"/>
      <c r="P23" s="112"/>
      <c r="Q23" s="112"/>
      <c r="R23" s="112"/>
      <c r="S23" s="112"/>
      <c r="T23" s="112"/>
      <c r="U23" s="112"/>
      <c r="V23" s="112">
        <f>SUM(S23:U23)</f>
        <v>0</v>
      </c>
      <c r="W23" s="112">
        <f>SUM(S23+O23)</f>
        <v>0</v>
      </c>
      <c r="X23" s="112">
        <f>SUM(T23+P23)</f>
        <v>0</v>
      </c>
      <c r="Y23" s="112">
        <f>SUM(Q23+U23)</f>
        <v>0</v>
      </c>
      <c r="Z23" s="112">
        <f>SUM(W23:Y23)</f>
        <v>0</v>
      </c>
      <c r="AA23" s="106">
        <f>SUM(O23+C23)</f>
        <v>200</v>
      </c>
      <c r="AB23" s="112">
        <f>SUM(P23+D23)</f>
        <v>0</v>
      </c>
      <c r="AC23" s="112">
        <f>SUM(Q23+E23)</f>
        <v>0</v>
      </c>
      <c r="AD23" s="112">
        <f>SUM(AA23:AC23)</f>
        <v>200</v>
      </c>
      <c r="AE23" s="106">
        <f t="shared" ref="AE23:AG23" si="23">SUM(S23+G23)</f>
        <v>-31</v>
      </c>
      <c r="AF23" s="112">
        <f t="shared" si="23"/>
        <v>0</v>
      </c>
      <c r="AG23" s="112">
        <f t="shared" si="23"/>
        <v>0</v>
      </c>
      <c r="AH23" s="112">
        <f t="shared" ref="AH23" si="24">SUM(AE23:AG23)</f>
        <v>-31</v>
      </c>
      <c r="AI23" s="106">
        <f t="shared" ref="AI23:AK23" si="25">SUM(W23+K23)</f>
        <v>169</v>
      </c>
      <c r="AJ23" s="112">
        <f t="shared" si="25"/>
        <v>0</v>
      </c>
      <c r="AK23" s="112">
        <f t="shared" si="25"/>
        <v>0</v>
      </c>
      <c r="AL23" s="106">
        <f t="shared" ref="AL23" si="26">SUM(AI23:AK23)</f>
        <v>169</v>
      </c>
    </row>
    <row r="24" spans="1:38" s="136" customFormat="1" x14ac:dyDescent="0.25">
      <c r="A24" s="116" t="s">
        <v>494</v>
      </c>
      <c r="B24" s="116" t="s">
        <v>433</v>
      </c>
      <c r="C24" s="117">
        <f>SUM(C23)</f>
        <v>200</v>
      </c>
      <c r="D24" s="117">
        <f t="shared" ref="D24:AL24" si="27">SUM(D23)</f>
        <v>0</v>
      </c>
      <c r="E24" s="117">
        <f t="shared" si="27"/>
        <v>0</v>
      </c>
      <c r="F24" s="117">
        <f t="shared" si="27"/>
        <v>200</v>
      </c>
      <c r="G24" s="117">
        <f t="shared" si="27"/>
        <v>-31</v>
      </c>
      <c r="H24" s="117">
        <f t="shared" si="27"/>
        <v>0</v>
      </c>
      <c r="I24" s="117">
        <f t="shared" si="27"/>
        <v>0</v>
      </c>
      <c r="J24" s="117">
        <f t="shared" si="27"/>
        <v>-31</v>
      </c>
      <c r="K24" s="117">
        <f t="shared" si="27"/>
        <v>169</v>
      </c>
      <c r="L24" s="117">
        <f t="shared" si="27"/>
        <v>0</v>
      </c>
      <c r="M24" s="117">
        <f t="shared" si="27"/>
        <v>0</v>
      </c>
      <c r="N24" s="117">
        <f t="shared" si="27"/>
        <v>169</v>
      </c>
      <c r="O24" s="117">
        <f t="shared" si="27"/>
        <v>0</v>
      </c>
      <c r="P24" s="117">
        <f t="shared" si="27"/>
        <v>0</v>
      </c>
      <c r="Q24" s="117">
        <f t="shared" si="27"/>
        <v>0</v>
      </c>
      <c r="R24" s="117">
        <f t="shared" si="27"/>
        <v>0</v>
      </c>
      <c r="S24" s="117">
        <f t="shared" si="27"/>
        <v>0</v>
      </c>
      <c r="T24" s="117">
        <f t="shared" si="27"/>
        <v>0</v>
      </c>
      <c r="U24" s="117">
        <f t="shared" si="27"/>
        <v>0</v>
      </c>
      <c r="V24" s="117">
        <f t="shared" si="27"/>
        <v>0</v>
      </c>
      <c r="W24" s="117">
        <f t="shared" si="27"/>
        <v>0</v>
      </c>
      <c r="X24" s="117">
        <f t="shared" si="27"/>
        <v>0</v>
      </c>
      <c r="Y24" s="117">
        <f t="shared" si="27"/>
        <v>0</v>
      </c>
      <c r="Z24" s="117">
        <f t="shared" si="27"/>
        <v>0</v>
      </c>
      <c r="AA24" s="117">
        <f t="shared" si="27"/>
        <v>200</v>
      </c>
      <c r="AB24" s="117">
        <f t="shared" si="27"/>
        <v>0</v>
      </c>
      <c r="AC24" s="117">
        <f t="shared" si="27"/>
        <v>0</v>
      </c>
      <c r="AD24" s="117">
        <f t="shared" si="27"/>
        <v>200</v>
      </c>
      <c r="AE24" s="117">
        <f t="shared" si="27"/>
        <v>-31</v>
      </c>
      <c r="AF24" s="117">
        <f t="shared" si="27"/>
        <v>0</v>
      </c>
      <c r="AG24" s="117">
        <f t="shared" si="27"/>
        <v>0</v>
      </c>
      <c r="AH24" s="117">
        <f t="shared" si="27"/>
        <v>-31</v>
      </c>
      <c r="AI24" s="117">
        <f t="shared" si="27"/>
        <v>169</v>
      </c>
      <c r="AJ24" s="117">
        <f t="shared" si="27"/>
        <v>0</v>
      </c>
      <c r="AK24" s="117">
        <f t="shared" si="27"/>
        <v>0</v>
      </c>
      <c r="AL24" s="117">
        <f t="shared" si="27"/>
        <v>169</v>
      </c>
    </row>
    <row r="25" spans="1:38" x14ac:dyDescent="0.25">
      <c r="A25" s="110" t="s">
        <v>864</v>
      </c>
      <c r="B25" s="110" t="s">
        <v>435</v>
      </c>
      <c r="C25" s="115">
        <v>1800000</v>
      </c>
      <c r="D25" s="114"/>
      <c r="E25" s="115"/>
      <c r="F25" s="113">
        <f>SUM(C25:E25)</f>
        <v>1800000</v>
      </c>
      <c r="G25" s="113">
        <v>8545</v>
      </c>
      <c r="H25" s="113"/>
      <c r="I25" s="113"/>
      <c r="J25" s="113">
        <f>SUM(G25:I25)</f>
        <v>8545</v>
      </c>
      <c r="K25" s="112">
        <f t="shared" ref="K25:M26" si="28">SUM(G25+C25)</f>
        <v>1808545</v>
      </c>
      <c r="L25" s="113">
        <f t="shared" si="28"/>
        <v>0</v>
      </c>
      <c r="M25" s="113">
        <f t="shared" si="28"/>
        <v>0</v>
      </c>
      <c r="N25" s="113">
        <f t="shared" ref="N25:N26" si="29">SUM(K25:M25)</f>
        <v>1808545</v>
      </c>
      <c r="O25" s="115"/>
      <c r="P25" s="115"/>
      <c r="Q25" s="115"/>
      <c r="R25" s="115">
        <f>SUM(O25:Q25)</f>
        <v>0</v>
      </c>
      <c r="S25" s="115"/>
      <c r="T25" s="115"/>
      <c r="U25" s="115"/>
      <c r="V25" s="115">
        <f>SUM(S25:U25)</f>
        <v>0</v>
      </c>
      <c r="W25" s="115">
        <f>SUM(S25+O25)</f>
        <v>0</v>
      </c>
      <c r="X25" s="115">
        <f>SUM(T25+P25)</f>
        <v>0</v>
      </c>
      <c r="Y25" s="115">
        <f>SUM(Q25+U25)</f>
        <v>0</v>
      </c>
      <c r="Z25" s="115">
        <f>SUM(W25:Y25)</f>
        <v>0</v>
      </c>
      <c r="AA25" s="106">
        <f t="shared" ref="AA25:AC26" si="30">SUM(O25+C25)</f>
        <v>1800000</v>
      </c>
      <c r="AB25" s="115">
        <f t="shared" si="30"/>
        <v>0</v>
      </c>
      <c r="AC25" s="115">
        <f t="shared" si="30"/>
        <v>0</v>
      </c>
      <c r="AD25" s="115">
        <f>SUM(AA25:AC25)</f>
        <v>1800000</v>
      </c>
      <c r="AE25" s="106">
        <f t="shared" ref="AE25:AG26" si="31">SUM(S25+G25)</f>
        <v>8545</v>
      </c>
      <c r="AF25" s="115">
        <f t="shared" si="31"/>
        <v>0</v>
      </c>
      <c r="AG25" s="115">
        <f t="shared" si="31"/>
        <v>0</v>
      </c>
      <c r="AH25" s="115">
        <f t="shared" ref="AH25:AH26" si="32">SUM(AE25:AG25)</f>
        <v>8545</v>
      </c>
      <c r="AI25" s="106">
        <f t="shared" ref="AI25:AK26" si="33">SUM(W25+K25)</f>
        <v>1808545</v>
      </c>
      <c r="AJ25" s="115">
        <f t="shared" si="33"/>
        <v>0</v>
      </c>
      <c r="AK25" s="115">
        <f t="shared" si="33"/>
        <v>0</v>
      </c>
      <c r="AL25" s="106">
        <f t="shared" ref="AL25:AL26" si="34">SUM(AI25:AK25)</f>
        <v>1808545</v>
      </c>
    </row>
    <row r="26" spans="1:38" x14ac:dyDescent="0.25">
      <c r="A26" s="110" t="s">
        <v>1392</v>
      </c>
      <c r="B26" s="110" t="s">
        <v>435</v>
      </c>
      <c r="C26" s="115">
        <v>0</v>
      </c>
      <c r="D26" s="114"/>
      <c r="E26" s="115"/>
      <c r="F26" s="113">
        <f>SUM(C26:E26)</f>
        <v>0</v>
      </c>
      <c r="G26" s="113">
        <v>1504</v>
      </c>
      <c r="H26" s="113"/>
      <c r="I26" s="113"/>
      <c r="J26" s="113">
        <f>SUM(G26:I26)</f>
        <v>1504</v>
      </c>
      <c r="K26" s="112">
        <f t="shared" si="28"/>
        <v>1504</v>
      </c>
      <c r="L26" s="113">
        <f t="shared" si="28"/>
        <v>0</v>
      </c>
      <c r="M26" s="113">
        <f t="shared" si="28"/>
        <v>0</v>
      </c>
      <c r="N26" s="113">
        <f t="shared" si="29"/>
        <v>1504</v>
      </c>
      <c r="O26" s="115"/>
      <c r="P26" s="115"/>
      <c r="Q26" s="115"/>
      <c r="R26" s="115">
        <f>SUM(O26:Q26)</f>
        <v>0</v>
      </c>
      <c r="S26" s="115"/>
      <c r="T26" s="115"/>
      <c r="U26" s="115"/>
      <c r="V26" s="115">
        <f>SUM(S26:U26)</f>
        <v>0</v>
      </c>
      <c r="W26" s="115">
        <f>SUM(S26+O26)</f>
        <v>0</v>
      </c>
      <c r="X26" s="115">
        <f>SUM(T26+P26)</f>
        <v>0</v>
      </c>
      <c r="Y26" s="115">
        <f>SUM(Q26+U26)</f>
        <v>0</v>
      </c>
      <c r="Z26" s="115">
        <f>SUM(W26:Y26)</f>
        <v>0</v>
      </c>
      <c r="AA26" s="106">
        <f t="shared" si="30"/>
        <v>0</v>
      </c>
      <c r="AB26" s="115">
        <f t="shared" si="30"/>
        <v>0</v>
      </c>
      <c r="AC26" s="115">
        <f t="shared" si="30"/>
        <v>0</v>
      </c>
      <c r="AD26" s="115">
        <f>SUM(AA26:AC26)</f>
        <v>0</v>
      </c>
      <c r="AE26" s="106">
        <f t="shared" si="31"/>
        <v>1504</v>
      </c>
      <c r="AF26" s="115">
        <f t="shared" si="31"/>
        <v>0</v>
      </c>
      <c r="AG26" s="115">
        <f t="shared" si="31"/>
        <v>0</v>
      </c>
      <c r="AH26" s="115">
        <f t="shared" si="32"/>
        <v>1504</v>
      </c>
      <c r="AI26" s="106">
        <f t="shared" si="33"/>
        <v>1504</v>
      </c>
      <c r="AJ26" s="115">
        <f t="shared" si="33"/>
        <v>0</v>
      </c>
      <c r="AK26" s="115">
        <f t="shared" si="33"/>
        <v>0</v>
      </c>
      <c r="AL26" s="106">
        <f t="shared" si="34"/>
        <v>1504</v>
      </c>
    </row>
    <row r="27" spans="1:38" s="119" customFormat="1" ht="31.5" x14ac:dyDescent="0.25">
      <c r="A27" s="116" t="s">
        <v>1393</v>
      </c>
      <c r="B27" s="116" t="s">
        <v>435</v>
      </c>
      <c r="C27" s="117">
        <f>SUM(C25:C26)</f>
        <v>1800000</v>
      </c>
      <c r="D27" s="117">
        <f t="shared" ref="D27:AL27" si="35">SUM(D25:D26)</f>
        <v>0</v>
      </c>
      <c r="E27" s="117">
        <f t="shared" si="35"/>
        <v>0</v>
      </c>
      <c r="F27" s="117">
        <f t="shared" si="35"/>
        <v>1800000</v>
      </c>
      <c r="G27" s="117">
        <f t="shared" si="35"/>
        <v>10049</v>
      </c>
      <c r="H27" s="117">
        <f t="shared" si="35"/>
        <v>0</v>
      </c>
      <c r="I27" s="117">
        <f t="shared" si="35"/>
        <v>0</v>
      </c>
      <c r="J27" s="117">
        <f t="shared" si="35"/>
        <v>10049</v>
      </c>
      <c r="K27" s="117">
        <f t="shared" si="35"/>
        <v>1810049</v>
      </c>
      <c r="L27" s="117">
        <f t="shared" si="35"/>
        <v>0</v>
      </c>
      <c r="M27" s="117">
        <f t="shared" si="35"/>
        <v>0</v>
      </c>
      <c r="N27" s="117">
        <f t="shared" si="35"/>
        <v>1810049</v>
      </c>
      <c r="O27" s="117">
        <f t="shared" si="35"/>
        <v>0</v>
      </c>
      <c r="P27" s="117">
        <f t="shared" si="35"/>
        <v>0</v>
      </c>
      <c r="Q27" s="117">
        <f t="shared" si="35"/>
        <v>0</v>
      </c>
      <c r="R27" s="117">
        <f t="shared" si="35"/>
        <v>0</v>
      </c>
      <c r="S27" s="117">
        <f t="shared" si="35"/>
        <v>0</v>
      </c>
      <c r="T27" s="117">
        <f t="shared" si="35"/>
        <v>0</v>
      </c>
      <c r="U27" s="117">
        <f t="shared" si="35"/>
        <v>0</v>
      </c>
      <c r="V27" s="117">
        <f t="shared" si="35"/>
        <v>0</v>
      </c>
      <c r="W27" s="117">
        <f t="shared" si="35"/>
        <v>0</v>
      </c>
      <c r="X27" s="117">
        <f t="shared" si="35"/>
        <v>0</v>
      </c>
      <c r="Y27" s="117">
        <f t="shared" si="35"/>
        <v>0</v>
      </c>
      <c r="Z27" s="117">
        <f t="shared" si="35"/>
        <v>0</v>
      </c>
      <c r="AA27" s="117">
        <f t="shared" si="35"/>
        <v>1800000</v>
      </c>
      <c r="AB27" s="117">
        <f t="shared" si="35"/>
        <v>0</v>
      </c>
      <c r="AC27" s="117">
        <f t="shared" si="35"/>
        <v>0</v>
      </c>
      <c r="AD27" s="117">
        <f t="shared" si="35"/>
        <v>1800000</v>
      </c>
      <c r="AE27" s="117">
        <f t="shared" si="35"/>
        <v>10049</v>
      </c>
      <c r="AF27" s="117">
        <f t="shared" si="35"/>
        <v>0</v>
      </c>
      <c r="AG27" s="117">
        <f t="shared" si="35"/>
        <v>0</v>
      </c>
      <c r="AH27" s="117">
        <f t="shared" si="35"/>
        <v>10049</v>
      </c>
      <c r="AI27" s="117">
        <f t="shared" si="35"/>
        <v>1810049</v>
      </c>
      <c r="AJ27" s="117">
        <f t="shared" si="35"/>
        <v>0</v>
      </c>
      <c r="AK27" s="117">
        <f t="shared" si="35"/>
        <v>0</v>
      </c>
      <c r="AL27" s="117">
        <f t="shared" si="35"/>
        <v>1810049</v>
      </c>
    </row>
    <row r="28" spans="1:38" x14ac:dyDescent="0.25">
      <c r="A28" s="110" t="s">
        <v>679</v>
      </c>
      <c r="B28" s="110" t="s">
        <v>436</v>
      </c>
      <c r="C28" s="115">
        <v>12700000</v>
      </c>
      <c r="D28" s="114"/>
      <c r="E28" s="115"/>
      <c r="F28" s="113">
        <f>SUM(C28:E28)</f>
        <v>12700000</v>
      </c>
      <c r="G28" s="113">
        <v>2422307</v>
      </c>
      <c r="H28" s="113"/>
      <c r="I28" s="113"/>
      <c r="J28" s="113">
        <f>SUM(G28:I28)</f>
        <v>2422307</v>
      </c>
      <c r="K28" s="112">
        <f t="shared" ref="K28:M28" si="36">SUM(G28+C28)</f>
        <v>15122307</v>
      </c>
      <c r="L28" s="113">
        <f t="shared" si="36"/>
        <v>0</v>
      </c>
      <c r="M28" s="113">
        <f t="shared" si="36"/>
        <v>0</v>
      </c>
      <c r="N28" s="113">
        <f t="shared" ref="N28" si="37">SUM(K28:M28)</f>
        <v>15122307</v>
      </c>
      <c r="O28" s="115"/>
      <c r="P28" s="115"/>
      <c r="Q28" s="115"/>
      <c r="R28" s="115">
        <f>SUM(O28:Q28)</f>
        <v>0</v>
      </c>
      <c r="S28" s="115"/>
      <c r="T28" s="115"/>
      <c r="U28" s="115"/>
      <c r="V28" s="115">
        <f>SUM(S28:U28)</f>
        <v>0</v>
      </c>
      <c r="W28" s="115">
        <f>SUM(S28+O28)</f>
        <v>0</v>
      </c>
      <c r="X28" s="115">
        <f>SUM(T28+P28)</f>
        <v>0</v>
      </c>
      <c r="Y28" s="115">
        <f>SUM(Q28+U28)</f>
        <v>0</v>
      </c>
      <c r="Z28" s="115">
        <f>SUM(W28:Y28)</f>
        <v>0</v>
      </c>
      <c r="AA28" s="106">
        <f>SUM(O28+C28)</f>
        <v>12700000</v>
      </c>
      <c r="AB28" s="115">
        <f>SUM(P28+D28)</f>
        <v>0</v>
      </c>
      <c r="AC28" s="115">
        <f>SUM(Q28+E28)</f>
        <v>0</v>
      </c>
      <c r="AD28" s="115">
        <f>SUM(AA28:AC28)</f>
        <v>12700000</v>
      </c>
      <c r="AE28" s="106">
        <f t="shared" ref="AE28:AG28" si="38">SUM(S28+G28)</f>
        <v>2422307</v>
      </c>
      <c r="AF28" s="115">
        <f t="shared" si="38"/>
        <v>0</v>
      </c>
      <c r="AG28" s="115">
        <f t="shared" si="38"/>
        <v>0</v>
      </c>
      <c r="AH28" s="115">
        <f t="shared" ref="AH28" si="39">SUM(AE28:AG28)</f>
        <v>2422307</v>
      </c>
      <c r="AI28" s="106">
        <f t="shared" ref="AI28:AK28" si="40">SUM(W28+K28)</f>
        <v>15122307</v>
      </c>
      <c r="AJ28" s="115">
        <f t="shared" si="40"/>
        <v>0</v>
      </c>
      <c r="AK28" s="115">
        <f t="shared" si="40"/>
        <v>0</v>
      </c>
      <c r="AL28" s="115">
        <f t="shared" ref="AL28" si="41">SUM(AI28:AK28)</f>
        <v>15122307</v>
      </c>
    </row>
    <row r="29" spans="1:38" s="136" customFormat="1" x14ac:dyDescent="0.25">
      <c r="A29" s="116" t="s">
        <v>680</v>
      </c>
      <c r="B29" s="116" t="s">
        <v>436</v>
      </c>
      <c r="C29" s="117">
        <f>SUM(C28)</f>
        <v>12700000</v>
      </c>
      <c r="D29" s="117">
        <f t="shared" ref="D29:AL29" si="42">SUM(D28)</f>
        <v>0</v>
      </c>
      <c r="E29" s="117">
        <f t="shared" si="42"/>
        <v>0</v>
      </c>
      <c r="F29" s="117">
        <f t="shared" si="42"/>
        <v>12700000</v>
      </c>
      <c r="G29" s="117">
        <f t="shared" si="42"/>
        <v>2422307</v>
      </c>
      <c r="H29" s="117">
        <f t="shared" si="42"/>
        <v>0</v>
      </c>
      <c r="I29" s="117">
        <f t="shared" si="42"/>
        <v>0</v>
      </c>
      <c r="J29" s="117">
        <f t="shared" si="42"/>
        <v>2422307</v>
      </c>
      <c r="K29" s="117">
        <f t="shared" si="42"/>
        <v>15122307</v>
      </c>
      <c r="L29" s="117">
        <f t="shared" si="42"/>
        <v>0</v>
      </c>
      <c r="M29" s="117">
        <f t="shared" si="42"/>
        <v>0</v>
      </c>
      <c r="N29" s="117">
        <f t="shared" si="42"/>
        <v>15122307</v>
      </c>
      <c r="O29" s="117">
        <f t="shared" si="42"/>
        <v>0</v>
      </c>
      <c r="P29" s="117">
        <f t="shared" si="42"/>
        <v>0</v>
      </c>
      <c r="Q29" s="117">
        <f t="shared" si="42"/>
        <v>0</v>
      </c>
      <c r="R29" s="117">
        <f t="shared" si="42"/>
        <v>0</v>
      </c>
      <c r="S29" s="117">
        <f t="shared" si="42"/>
        <v>0</v>
      </c>
      <c r="T29" s="117">
        <f t="shared" si="42"/>
        <v>0</v>
      </c>
      <c r="U29" s="117">
        <f t="shared" si="42"/>
        <v>0</v>
      </c>
      <c r="V29" s="117">
        <f t="shared" si="42"/>
        <v>0</v>
      </c>
      <c r="W29" s="117">
        <f t="shared" si="42"/>
        <v>0</v>
      </c>
      <c r="X29" s="117">
        <f t="shared" si="42"/>
        <v>0</v>
      </c>
      <c r="Y29" s="117">
        <f t="shared" si="42"/>
        <v>0</v>
      </c>
      <c r="Z29" s="117">
        <f t="shared" si="42"/>
        <v>0</v>
      </c>
      <c r="AA29" s="117">
        <f t="shared" si="42"/>
        <v>12700000</v>
      </c>
      <c r="AB29" s="117">
        <f t="shared" si="42"/>
        <v>0</v>
      </c>
      <c r="AC29" s="117">
        <f t="shared" si="42"/>
        <v>0</v>
      </c>
      <c r="AD29" s="117">
        <f t="shared" si="42"/>
        <v>12700000</v>
      </c>
      <c r="AE29" s="117">
        <f t="shared" si="42"/>
        <v>2422307</v>
      </c>
      <c r="AF29" s="117">
        <f t="shared" si="42"/>
        <v>0</v>
      </c>
      <c r="AG29" s="117">
        <f t="shared" si="42"/>
        <v>0</v>
      </c>
      <c r="AH29" s="117">
        <f t="shared" si="42"/>
        <v>2422307</v>
      </c>
      <c r="AI29" s="117">
        <f t="shared" si="42"/>
        <v>15122307</v>
      </c>
      <c r="AJ29" s="117">
        <f t="shared" si="42"/>
        <v>0</v>
      </c>
      <c r="AK29" s="117">
        <f t="shared" si="42"/>
        <v>0</v>
      </c>
      <c r="AL29" s="117">
        <f t="shared" si="42"/>
        <v>15122307</v>
      </c>
    </row>
    <row r="30" spans="1:38" s="136" customFormat="1" x14ac:dyDescent="0.25">
      <c r="A30" s="116" t="s">
        <v>681</v>
      </c>
      <c r="B30" s="116" t="s">
        <v>437</v>
      </c>
      <c r="C30" s="117">
        <v>350000</v>
      </c>
      <c r="D30" s="118"/>
      <c r="E30" s="117"/>
      <c r="F30" s="123">
        <f>SUM(C30:E30)</f>
        <v>350000</v>
      </c>
      <c r="G30" s="123">
        <v>14709</v>
      </c>
      <c r="H30" s="123"/>
      <c r="I30" s="123"/>
      <c r="J30" s="123">
        <f>SUM(G30:I30)</f>
        <v>14709</v>
      </c>
      <c r="K30" s="117">
        <f t="shared" ref="K30:M32" si="43">SUM(G30+C30)</f>
        <v>364709</v>
      </c>
      <c r="L30" s="123">
        <f t="shared" si="43"/>
        <v>0</v>
      </c>
      <c r="M30" s="123">
        <f t="shared" si="43"/>
        <v>0</v>
      </c>
      <c r="N30" s="123">
        <f t="shared" ref="N30:N32" si="44">SUM(K30:M30)</f>
        <v>364709</v>
      </c>
      <c r="O30" s="124"/>
      <c r="P30" s="124"/>
      <c r="Q30" s="124"/>
      <c r="R30" s="124"/>
      <c r="S30" s="124"/>
      <c r="T30" s="124"/>
      <c r="U30" s="124"/>
      <c r="V30" s="124">
        <f>SUM(S30:U30)</f>
        <v>0</v>
      </c>
      <c r="W30" s="124">
        <f t="shared" ref="W30:X32" si="45">SUM(S30+O30)</f>
        <v>0</v>
      </c>
      <c r="X30" s="124">
        <f t="shared" si="45"/>
        <v>0</v>
      </c>
      <c r="Y30" s="124">
        <f t="shared" ref="Y30:Y32" si="46">SUM(Q30+U30)</f>
        <v>0</v>
      </c>
      <c r="Z30" s="124">
        <f t="shared" ref="Z30:Z32" si="47">SUM(W30:Y30)</f>
        <v>0</v>
      </c>
      <c r="AA30" s="117">
        <f t="shared" ref="AA30:AC32" si="48">SUM(O30+C30)</f>
        <v>350000</v>
      </c>
      <c r="AB30" s="124">
        <f t="shared" si="48"/>
        <v>0</v>
      </c>
      <c r="AC30" s="124">
        <f t="shared" si="48"/>
        <v>0</v>
      </c>
      <c r="AD30" s="124">
        <f>SUM(AA30:AC30)</f>
        <v>350000</v>
      </c>
      <c r="AE30" s="117">
        <f t="shared" ref="AE30:AG32" si="49">SUM(S30+G30)</f>
        <v>14709</v>
      </c>
      <c r="AF30" s="124">
        <f t="shared" si="49"/>
        <v>0</v>
      </c>
      <c r="AG30" s="124">
        <f t="shared" si="49"/>
        <v>0</v>
      </c>
      <c r="AH30" s="124">
        <f t="shared" ref="AH30:AH32" si="50">SUM(AE30:AG30)</f>
        <v>14709</v>
      </c>
      <c r="AI30" s="117">
        <f t="shared" ref="AI30:AK32" si="51">SUM(W30+K30)</f>
        <v>364709</v>
      </c>
      <c r="AJ30" s="124">
        <f t="shared" si="51"/>
        <v>0</v>
      </c>
      <c r="AK30" s="124">
        <f t="shared" si="51"/>
        <v>0</v>
      </c>
      <c r="AL30" s="124">
        <f t="shared" ref="AL30:AL32" si="52">SUM(AI30:AK30)</f>
        <v>364709</v>
      </c>
    </row>
    <row r="31" spans="1:38" s="109" customFormat="1" x14ac:dyDescent="0.25">
      <c r="A31" s="110" t="s">
        <v>682</v>
      </c>
      <c r="B31" s="110" t="s">
        <v>438</v>
      </c>
      <c r="C31" s="105">
        <v>10000</v>
      </c>
      <c r="D31" s="103"/>
      <c r="E31" s="105"/>
      <c r="F31" s="104">
        <f>SUM(C31:E31)</f>
        <v>10000</v>
      </c>
      <c r="G31" s="104">
        <v>-10000</v>
      </c>
      <c r="H31" s="104"/>
      <c r="I31" s="104"/>
      <c r="J31" s="104">
        <f>SUM(G31:I31)</f>
        <v>-10000</v>
      </c>
      <c r="K31" s="105">
        <f t="shared" si="43"/>
        <v>0</v>
      </c>
      <c r="L31" s="104">
        <f t="shared" si="43"/>
        <v>0</v>
      </c>
      <c r="M31" s="104">
        <f t="shared" si="43"/>
        <v>0</v>
      </c>
      <c r="N31" s="104">
        <f t="shared" si="44"/>
        <v>0</v>
      </c>
      <c r="O31" s="105"/>
      <c r="P31" s="105"/>
      <c r="Q31" s="105"/>
      <c r="R31" s="105"/>
      <c r="S31" s="105"/>
      <c r="T31" s="105"/>
      <c r="U31" s="105"/>
      <c r="V31" s="105">
        <f>SUM(S31:U31)</f>
        <v>0</v>
      </c>
      <c r="W31" s="105">
        <f t="shared" si="45"/>
        <v>0</v>
      </c>
      <c r="X31" s="105">
        <f t="shared" si="45"/>
        <v>0</v>
      </c>
      <c r="Y31" s="105">
        <f t="shared" si="46"/>
        <v>0</v>
      </c>
      <c r="Z31" s="105">
        <f t="shared" si="47"/>
        <v>0</v>
      </c>
      <c r="AA31" s="105">
        <f t="shared" si="48"/>
        <v>10000</v>
      </c>
      <c r="AB31" s="105">
        <f t="shared" si="48"/>
        <v>0</v>
      </c>
      <c r="AC31" s="105">
        <f t="shared" si="48"/>
        <v>0</v>
      </c>
      <c r="AD31" s="105">
        <f>SUM(AA31:AC31)</f>
        <v>10000</v>
      </c>
      <c r="AE31" s="105">
        <f t="shared" si="49"/>
        <v>-10000</v>
      </c>
      <c r="AF31" s="105">
        <f t="shared" si="49"/>
        <v>0</v>
      </c>
      <c r="AG31" s="105">
        <f t="shared" si="49"/>
        <v>0</v>
      </c>
      <c r="AH31" s="105">
        <f t="shared" si="50"/>
        <v>-10000</v>
      </c>
      <c r="AI31" s="105">
        <f t="shared" si="51"/>
        <v>0</v>
      </c>
      <c r="AJ31" s="105">
        <f t="shared" si="51"/>
        <v>0</v>
      </c>
      <c r="AK31" s="105">
        <f t="shared" si="51"/>
        <v>0</v>
      </c>
      <c r="AL31" s="105">
        <f t="shared" si="52"/>
        <v>0</v>
      </c>
    </row>
    <row r="32" spans="1:38" x14ac:dyDescent="0.25">
      <c r="A32" s="110" t="s">
        <v>683</v>
      </c>
      <c r="B32" s="110" t="s">
        <v>438</v>
      </c>
      <c r="C32" s="115">
        <v>46000</v>
      </c>
      <c r="D32" s="114"/>
      <c r="E32" s="115"/>
      <c r="F32" s="113">
        <f>SUM(C32:E32)</f>
        <v>46000</v>
      </c>
      <c r="G32" s="113">
        <v>16043</v>
      </c>
      <c r="H32" s="113"/>
      <c r="I32" s="113"/>
      <c r="J32" s="113">
        <f>SUM(G32:I32)</f>
        <v>16043</v>
      </c>
      <c r="K32" s="112">
        <f t="shared" si="43"/>
        <v>62043</v>
      </c>
      <c r="L32" s="113">
        <f t="shared" si="43"/>
        <v>0</v>
      </c>
      <c r="M32" s="113">
        <f t="shared" si="43"/>
        <v>0</v>
      </c>
      <c r="N32" s="113">
        <f t="shared" si="44"/>
        <v>62043</v>
      </c>
      <c r="O32" s="115"/>
      <c r="P32" s="115"/>
      <c r="Q32" s="115"/>
      <c r="R32" s="115">
        <f>SUM(O32:Q32)</f>
        <v>0</v>
      </c>
      <c r="S32" s="115"/>
      <c r="T32" s="115"/>
      <c r="U32" s="115"/>
      <c r="V32" s="105">
        <f>SUM(S32:U32)</f>
        <v>0</v>
      </c>
      <c r="W32" s="115">
        <f t="shared" si="45"/>
        <v>0</v>
      </c>
      <c r="X32" s="115">
        <f t="shared" si="45"/>
        <v>0</v>
      </c>
      <c r="Y32" s="115">
        <f t="shared" si="46"/>
        <v>0</v>
      </c>
      <c r="Z32" s="115">
        <f t="shared" si="47"/>
        <v>0</v>
      </c>
      <c r="AA32" s="106">
        <f t="shared" si="48"/>
        <v>46000</v>
      </c>
      <c r="AB32" s="115">
        <f t="shared" si="48"/>
        <v>0</v>
      </c>
      <c r="AC32" s="115">
        <f t="shared" si="48"/>
        <v>0</v>
      </c>
      <c r="AD32" s="115">
        <f>SUM(AA32:AC32)</f>
        <v>46000</v>
      </c>
      <c r="AE32" s="106">
        <f t="shared" si="49"/>
        <v>16043</v>
      </c>
      <c r="AF32" s="115">
        <f t="shared" si="49"/>
        <v>0</v>
      </c>
      <c r="AG32" s="115">
        <f t="shared" si="49"/>
        <v>0</v>
      </c>
      <c r="AH32" s="115">
        <f t="shared" si="50"/>
        <v>16043</v>
      </c>
      <c r="AI32" s="106">
        <f t="shared" si="51"/>
        <v>62043</v>
      </c>
      <c r="AJ32" s="115">
        <f t="shared" si="51"/>
        <v>0</v>
      </c>
      <c r="AK32" s="115">
        <f t="shared" si="51"/>
        <v>0</v>
      </c>
      <c r="AL32" s="115">
        <f t="shared" si="52"/>
        <v>62043</v>
      </c>
    </row>
    <row r="33" spans="1:38" s="136" customFormat="1" ht="31.5" x14ac:dyDescent="0.25">
      <c r="A33" s="116" t="s">
        <v>684</v>
      </c>
      <c r="B33" s="116" t="s">
        <v>438</v>
      </c>
      <c r="C33" s="117">
        <f>SUM(C31:C32)</f>
        <v>56000</v>
      </c>
      <c r="D33" s="117">
        <f t="shared" ref="D33:AL33" si="53">SUM(D31:D32)</f>
        <v>0</v>
      </c>
      <c r="E33" s="117">
        <f t="shared" si="53"/>
        <v>0</v>
      </c>
      <c r="F33" s="117">
        <f>SUM(F31:F32)</f>
        <v>56000</v>
      </c>
      <c r="G33" s="117">
        <f t="shared" ref="G33:N33" si="54">SUM(G31:G32)</f>
        <v>6043</v>
      </c>
      <c r="H33" s="117">
        <f t="shared" si="54"/>
        <v>0</v>
      </c>
      <c r="I33" s="117">
        <f t="shared" si="54"/>
        <v>0</v>
      </c>
      <c r="J33" s="117">
        <f t="shared" si="54"/>
        <v>6043</v>
      </c>
      <c r="K33" s="117">
        <f t="shared" si="54"/>
        <v>62043</v>
      </c>
      <c r="L33" s="117">
        <f t="shared" si="54"/>
        <v>0</v>
      </c>
      <c r="M33" s="117">
        <f t="shared" si="54"/>
        <v>0</v>
      </c>
      <c r="N33" s="117">
        <f t="shared" si="54"/>
        <v>62043</v>
      </c>
      <c r="O33" s="117">
        <f t="shared" si="53"/>
        <v>0</v>
      </c>
      <c r="P33" s="117">
        <f t="shared" si="53"/>
        <v>0</v>
      </c>
      <c r="Q33" s="117">
        <f t="shared" si="53"/>
        <v>0</v>
      </c>
      <c r="R33" s="117">
        <f t="shared" si="53"/>
        <v>0</v>
      </c>
      <c r="S33" s="117">
        <f t="shared" si="53"/>
        <v>0</v>
      </c>
      <c r="T33" s="117">
        <f t="shared" si="53"/>
        <v>0</v>
      </c>
      <c r="U33" s="117">
        <f t="shared" si="53"/>
        <v>0</v>
      </c>
      <c r="V33" s="117">
        <f t="shared" si="53"/>
        <v>0</v>
      </c>
      <c r="W33" s="117">
        <f t="shared" si="53"/>
        <v>0</v>
      </c>
      <c r="X33" s="117">
        <f t="shared" si="53"/>
        <v>0</v>
      </c>
      <c r="Y33" s="117">
        <f t="shared" si="53"/>
        <v>0</v>
      </c>
      <c r="Z33" s="117">
        <f t="shared" si="53"/>
        <v>0</v>
      </c>
      <c r="AA33" s="117">
        <f t="shared" si="53"/>
        <v>56000</v>
      </c>
      <c r="AB33" s="117">
        <f t="shared" si="53"/>
        <v>0</v>
      </c>
      <c r="AC33" s="117">
        <f t="shared" si="53"/>
        <v>0</v>
      </c>
      <c r="AD33" s="117">
        <f t="shared" si="53"/>
        <v>56000</v>
      </c>
      <c r="AE33" s="117">
        <f t="shared" si="53"/>
        <v>6043</v>
      </c>
      <c r="AF33" s="117">
        <f t="shared" si="53"/>
        <v>0</v>
      </c>
      <c r="AG33" s="117">
        <f t="shared" si="53"/>
        <v>0</v>
      </c>
      <c r="AH33" s="117">
        <f t="shared" si="53"/>
        <v>6043</v>
      </c>
      <c r="AI33" s="117">
        <f t="shared" si="53"/>
        <v>62043</v>
      </c>
      <c r="AJ33" s="117">
        <f t="shared" si="53"/>
        <v>0</v>
      </c>
      <c r="AK33" s="117">
        <f t="shared" si="53"/>
        <v>0</v>
      </c>
      <c r="AL33" s="117">
        <f t="shared" si="53"/>
        <v>62043</v>
      </c>
    </row>
    <row r="34" spans="1:38" s="136" customFormat="1" ht="31.5" x14ac:dyDescent="0.25">
      <c r="A34" s="116" t="s">
        <v>685</v>
      </c>
      <c r="B34" s="116" t="s">
        <v>439</v>
      </c>
      <c r="C34" s="117">
        <f>SUM(C33+C30+C29)</f>
        <v>13106000</v>
      </c>
      <c r="D34" s="117">
        <f t="shared" ref="D34:AL34" si="55">SUM(D33+D30+D29)</f>
        <v>0</v>
      </c>
      <c r="E34" s="117">
        <f t="shared" si="55"/>
        <v>0</v>
      </c>
      <c r="F34" s="117">
        <f t="shared" si="55"/>
        <v>13106000</v>
      </c>
      <c r="G34" s="117">
        <f t="shared" si="55"/>
        <v>2443059</v>
      </c>
      <c r="H34" s="117">
        <f t="shared" si="55"/>
        <v>0</v>
      </c>
      <c r="I34" s="117">
        <f t="shared" si="55"/>
        <v>0</v>
      </c>
      <c r="J34" s="117">
        <f t="shared" si="55"/>
        <v>2443059</v>
      </c>
      <c r="K34" s="117">
        <f t="shared" si="55"/>
        <v>15549059</v>
      </c>
      <c r="L34" s="117">
        <f t="shared" si="55"/>
        <v>0</v>
      </c>
      <c r="M34" s="117">
        <f t="shared" si="55"/>
        <v>0</v>
      </c>
      <c r="N34" s="117">
        <f t="shared" si="55"/>
        <v>15549059</v>
      </c>
      <c r="O34" s="117">
        <f t="shared" si="55"/>
        <v>0</v>
      </c>
      <c r="P34" s="117">
        <f t="shared" si="55"/>
        <v>0</v>
      </c>
      <c r="Q34" s="117">
        <f t="shared" si="55"/>
        <v>0</v>
      </c>
      <c r="R34" s="117">
        <f t="shared" si="55"/>
        <v>0</v>
      </c>
      <c r="S34" s="117">
        <f t="shared" si="55"/>
        <v>0</v>
      </c>
      <c r="T34" s="117">
        <f t="shared" si="55"/>
        <v>0</v>
      </c>
      <c r="U34" s="117">
        <f t="shared" si="55"/>
        <v>0</v>
      </c>
      <c r="V34" s="117">
        <f t="shared" si="55"/>
        <v>0</v>
      </c>
      <c r="W34" s="117">
        <f t="shared" si="55"/>
        <v>0</v>
      </c>
      <c r="X34" s="117">
        <f t="shared" si="55"/>
        <v>0</v>
      </c>
      <c r="Y34" s="117">
        <f t="shared" si="55"/>
        <v>0</v>
      </c>
      <c r="Z34" s="117">
        <f t="shared" si="55"/>
        <v>0</v>
      </c>
      <c r="AA34" s="117">
        <f t="shared" si="55"/>
        <v>13106000</v>
      </c>
      <c r="AB34" s="117">
        <f t="shared" si="55"/>
        <v>0</v>
      </c>
      <c r="AC34" s="117">
        <f t="shared" si="55"/>
        <v>0</v>
      </c>
      <c r="AD34" s="117">
        <f t="shared" si="55"/>
        <v>13106000</v>
      </c>
      <c r="AE34" s="117">
        <f t="shared" si="55"/>
        <v>2443059</v>
      </c>
      <c r="AF34" s="117">
        <f t="shared" si="55"/>
        <v>0</v>
      </c>
      <c r="AG34" s="117">
        <f t="shared" si="55"/>
        <v>0</v>
      </c>
      <c r="AH34" s="117">
        <f t="shared" si="55"/>
        <v>2443059</v>
      </c>
      <c r="AI34" s="117">
        <f t="shared" si="55"/>
        <v>15549059</v>
      </c>
      <c r="AJ34" s="117">
        <f t="shared" si="55"/>
        <v>0</v>
      </c>
      <c r="AK34" s="117">
        <f t="shared" si="55"/>
        <v>0</v>
      </c>
      <c r="AL34" s="117">
        <f t="shared" si="55"/>
        <v>15549059</v>
      </c>
    </row>
    <row r="35" spans="1:38" s="109" customFormat="1" x14ac:dyDescent="0.25">
      <c r="A35" s="110" t="s">
        <v>686</v>
      </c>
      <c r="B35" s="110" t="s">
        <v>440</v>
      </c>
      <c r="C35" s="112"/>
      <c r="D35" s="111"/>
      <c r="E35" s="112"/>
      <c r="F35" s="113">
        <f t="shared" ref="F35:F42" si="56">SUM(C35:E35)</f>
        <v>0</v>
      </c>
      <c r="G35" s="113"/>
      <c r="H35" s="113"/>
      <c r="I35" s="113"/>
      <c r="J35" s="113">
        <f>SUM(G35:I35)</f>
        <v>0</v>
      </c>
      <c r="K35" s="112">
        <f t="shared" ref="K35:K42" si="57">SUM(G35+C35)</f>
        <v>0</v>
      </c>
      <c r="L35" s="113">
        <f t="shared" ref="L35:M42" si="58">SUM(H35+D35)</f>
        <v>0</v>
      </c>
      <c r="M35" s="113">
        <f t="shared" si="58"/>
        <v>0</v>
      </c>
      <c r="N35" s="113">
        <f t="shared" ref="N35:N42" si="59">SUM(K35:M35)</f>
        <v>0</v>
      </c>
      <c r="O35" s="112"/>
      <c r="P35" s="112"/>
      <c r="Q35" s="112">
        <v>989</v>
      </c>
      <c r="R35" s="112">
        <f>SUM(O35:Q35)</f>
        <v>989</v>
      </c>
      <c r="S35" s="112"/>
      <c r="T35" s="112"/>
      <c r="U35" s="112">
        <v>-959</v>
      </c>
      <c r="V35" s="112">
        <f>SUM(S35:U35)</f>
        <v>-959</v>
      </c>
      <c r="W35" s="112">
        <f t="shared" ref="W35:X42" si="60">SUM(S35+O35)</f>
        <v>0</v>
      </c>
      <c r="X35" s="112">
        <f t="shared" si="60"/>
        <v>0</v>
      </c>
      <c r="Y35" s="112">
        <f t="shared" ref="Y35:Y42" si="61">SUM(Q35+U35)</f>
        <v>30</v>
      </c>
      <c r="Z35" s="112">
        <f t="shared" ref="Z35:Z42" si="62">SUM(W35:Y35)</f>
        <v>30</v>
      </c>
      <c r="AA35" s="105">
        <f t="shared" ref="AA35:AC42" si="63">SUM(O35+C35)</f>
        <v>0</v>
      </c>
      <c r="AB35" s="112">
        <f t="shared" si="63"/>
        <v>0</v>
      </c>
      <c r="AC35" s="112">
        <f t="shared" si="63"/>
        <v>989</v>
      </c>
      <c r="AD35" s="112">
        <f t="shared" ref="AD35:AD42" si="64">SUM(AA35:AC35)</f>
        <v>989</v>
      </c>
      <c r="AE35" s="105">
        <f t="shared" ref="AE35:AG42" si="65">SUM(S35+G35)</f>
        <v>0</v>
      </c>
      <c r="AF35" s="112">
        <f t="shared" si="65"/>
        <v>0</v>
      </c>
      <c r="AG35" s="112">
        <f t="shared" si="65"/>
        <v>-959</v>
      </c>
      <c r="AH35" s="112">
        <f t="shared" ref="AH35:AH42" si="66">SUM(AE35:AG35)</f>
        <v>-959</v>
      </c>
      <c r="AI35" s="105">
        <f t="shared" ref="AI35:AK42" si="67">SUM(W35+K35)</f>
        <v>0</v>
      </c>
      <c r="AJ35" s="112">
        <f t="shared" si="67"/>
        <v>0</v>
      </c>
      <c r="AK35" s="112">
        <f t="shared" si="67"/>
        <v>30</v>
      </c>
      <c r="AL35" s="112">
        <f t="shared" ref="AL35:AL42" si="68">SUM(AI35:AK35)</f>
        <v>30</v>
      </c>
    </row>
    <row r="36" spans="1:38" s="109" customFormat="1" x14ac:dyDescent="0.25">
      <c r="A36" s="110" t="s">
        <v>687</v>
      </c>
      <c r="B36" s="110" t="s">
        <v>440</v>
      </c>
      <c r="C36" s="105">
        <v>714</v>
      </c>
      <c r="D36" s="103"/>
      <c r="E36" s="105"/>
      <c r="F36" s="104">
        <f t="shared" si="56"/>
        <v>714</v>
      </c>
      <c r="G36" s="104">
        <v>-346</v>
      </c>
      <c r="H36" s="104"/>
      <c r="I36" s="104"/>
      <c r="J36" s="104">
        <f>SUM(G36:I36)</f>
        <v>-346</v>
      </c>
      <c r="K36" s="105">
        <f t="shared" si="57"/>
        <v>368</v>
      </c>
      <c r="L36" s="104">
        <f t="shared" si="58"/>
        <v>0</v>
      </c>
      <c r="M36" s="104">
        <f t="shared" si="58"/>
        <v>0</v>
      </c>
      <c r="N36" s="104">
        <f t="shared" si="59"/>
        <v>368</v>
      </c>
      <c r="O36" s="105"/>
      <c r="P36" s="105"/>
      <c r="Q36" s="105"/>
      <c r="R36" s="105"/>
      <c r="S36" s="105"/>
      <c r="T36" s="105"/>
      <c r="U36" s="105"/>
      <c r="V36" s="112">
        <f t="shared" ref="V36:V42" si="69">SUM(S36:U36)</f>
        <v>0</v>
      </c>
      <c r="W36" s="105">
        <f t="shared" si="60"/>
        <v>0</v>
      </c>
      <c r="X36" s="105">
        <f t="shared" si="60"/>
        <v>0</v>
      </c>
      <c r="Y36" s="105">
        <f t="shared" si="61"/>
        <v>0</v>
      </c>
      <c r="Z36" s="105">
        <f t="shared" si="62"/>
        <v>0</v>
      </c>
      <c r="AA36" s="105">
        <f t="shared" si="63"/>
        <v>714</v>
      </c>
      <c r="AB36" s="105">
        <f t="shared" si="63"/>
        <v>0</v>
      </c>
      <c r="AC36" s="105">
        <f t="shared" si="63"/>
        <v>0</v>
      </c>
      <c r="AD36" s="105">
        <f t="shared" si="64"/>
        <v>714</v>
      </c>
      <c r="AE36" s="105">
        <f t="shared" si="65"/>
        <v>-346</v>
      </c>
      <c r="AF36" s="105">
        <f t="shared" si="65"/>
        <v>0</v>
      </c>
      <c r="AG36" s="105">
        <f t="shared" si="65"/>
        <v>0</v>
      </c>
      <c r="AH36" s="105">
        <f t="shared" si="66"/>
        <v>-346</v>
      </c>
      <c r="AI36" s="105">
        <f t="shared" si="67"/>
        <v>368</v>
      </c>
      <c r="AJ36" s="105">
        <f t="shared" si="67"/>
        <v>0</v>
      </c>
      <c r="AK36" s="105">
        <f t="shared" si="67"/>
        <v>0</v>
      </c>
      <c r="AL36" s="105">
        <f t="shared" si="68"/>
        <v>368</v>
      </c>
    </row>
    <row r="37" spans="1:38" s="109" customFormat="1" x14ac:dyDescent="0.25">
      <c r="A37" s="110" t="s">
        <v>688</v>
      </c>
      <c r="B37" s="110" t="s">
        <v>440</v>
      </c>
      <c r="C37" s="105"/>
      <c r="D37" s="103"/>
      <c r="E37" s="105"/>
      <c r="F37" s="104">
        <f t="shared" si="56"/>
        <v>0</v>
      </c>
      <c r="G37" s="104"/>
      <c r="H37" s="104"/>
      <c r="I37" s="104"/>
      <c r="J37" s="104">
        <f t="shared" ref="J37:J42" si="70">SUM(G37:I37)</f>
        <v>0</v>
      </c>
      <c r="K37" s="105">
        <f t="shared" si="57"/>
        <v>0</v>
      </c>
      <c r="L37" s="104">
        <f t="shared" si="58"/>
        <v>0</v>
      </c>
      <c r="M37" s="104">
        <f t="shared" si="58"/>
        <v>0</v>
      </c>
      <c r="N37" s="104">
        <f t="shared" si="59"/>
        <v>0</v>
      </c>
      <c r="O37" s="105"/>
      <c r="P37" s="105"/>
      <c r="Q37" s="105"/>
      <c r="R37" s="105"/>
      <c r="S37" s="105"/>
      <c r="T37" s="105"/>
      <c r="U37" s="105"/>
      <c r="V37" s="112">
        <f t="shared" si="69"/>
        <v>0</v>
      </c>
      <c r="W37" s="105">
        <f t="shared" si="60"/>
        <v>0</v>
      </c>
      <c r="X37" s="105">
        <f t="shared" si="60"/>
        <v>0</v>
      </c>
      <c r="Y37" s="105">
        <f t="shared" si="61"/>
        <v>0</v>
      </c>
      <c r="Z37" s="105">
        <f t="shared" si="62"/>
        <v>0</v>
      </c>
      <c r="AA37" s="105">
        <f t="shared" si="63"/>
        <v>0</v>
      </c>
      <c r="AB37" s="105">
        <f t="shared" si="63"/>
        <v>0</v>
      </c>
      <c r="AC37" s="105">
        <f t="shared" si="63"/>
        <v>0</v>
      </c>
      <c r="AD37" s="105">
        <f t="shared" si="64"/>
        <v>0</v>
      </c>
      <c r="AE37" s="105">
        <f t="shared" si="65"/>
        <v>0</v>
      </c>
      <c r="AF37" s="105">
        <f t="shared" si="65"/>
        <v>0</v>
      </c>
      <c r="AG37" s="105">
        <f t="shared" si="65"/>
        <v>0</v>
      </c>
      <c r="AH37" s="105">
        <f t="shared" si="66"/>
        <v>0</v>
      </c>
      <c r="AI37" s="105">
        <f t="shared" si="67"/>
        <v>0</v>
      </c>
      <c r="AJ37" s="105">
        <f t="shared" si="67"/>
        <v>0</v>
      </c>
      <c r="AK37" s="105">
        <f t="shared" si="67"/>
        <v>0</v>
      </c>
      <c r="AL37" s="105">
        <f t="shared" si="68"/>
        <v>0</v>
      </c>
    </row>
    <row r="38" spans="1:38" s="109" customFormat="1" x14ac:dyDescent="0.25">
      <c r="A38" s="110" t="s">
        <v>689</v>
      </c>
      <c r="B38" s="110" t="s">
        <v>440</v>
      </c>
      <c r="C38" s="121">
        <v>50000</v>
      </c>
      <c r="D38" s="120"/>
      <c r="E38" s="121"/>
      <c r="F38" s="122">
        <f t="shared" si="56"/>
        <v>50000</v>
      </c>
      <c r="G38" s="122">
        <v>13958</v>
      </c>
      <c r="H38" s="122"/>
      <c r="I38" s="122"/>
      <c r="J38" s="104">
        <f t="shared" si="70"/>
        <v>13958</v>
      </c>
      <c r="K38" s="121">
        <f t="shared" si="57"/>
        <v>63958</v>
      </c>
      <c r="L38" s="122">
        <f t="shared" si="58"/>
        <v>0</v>
      </c>
      <c r="M38" s="122">
        <f t="shared" si="58"/>
        <v>0</v>
      </c>
      <c r="N38" s="122">
        <f t="shared" si="59"/>
        <v>63958</v>
      </c>
      <c r="O38" s="105"/>
      <c r="P38" s="105"/>
      <c r="Q38" s="105"/>
      <c r="R38" s="105"/>
      <c r="S38" s="105"/>
      <c r="T38" s="105"/>
      <c r="U38" s="105"/>
      <c r="V38" s="112">
        <f t="shared" si="69"/>
        <v>0</v>
      </c>
      <c r="W38" s="105">
        <f t="shared" si="60"/>
        <v>0</v>
      </c>
      <c r="X38" s="105">
        <f t="shared" si="60"/>
        <v>0</v>
      </c>
      <c r="Y38" s="105">
        <f t="shared" si="61"/>
        <v>0</v>
      </c>
      <c r="Z38" s="105">
        <f t="shared" si="62"/>
        <v>0</v>
      </c>
      <c r="AA38" s="105">
        <f t="shared" si="63"/>
        <v>50000</v>
      </c>
      <c r="AB38" s="105">
        <f t="shared" si="63"/>
        <v>0</v>
      </c>
      <c r="AC38" s="105">
        <f t="shared" si="63"/>
        <v>0</v>
      </c>
      <c r="AD38" s="105">
        <f t="shared" si="64"/>
        <v>50000</v>
      </c>
      <c r="AE38" s="105">
        <f t="shared" si="65"/>
        <v>13958</v>
      </c>
      <c r="AF38" s="105">
        <f t="shared" si="65"/>
        <v>0</v>
      </c>
      <c r="AG38" s="105">
        <f t="shared" si="65"/>
        <v>0</v>
      </c>
      <c r="AH38" s="105">
        <f t="shared" si="66"/>
        <v>13958</v>
      </c>
      <c r="AI38" s="105">
        <f t="shared" si="67"/>
        <v>63958</v>
      </c>
      <c r="AJ38" s="105">
        <f t="shared" si="67"/>
        <v>0</v>
      </c>
      <c r="AK38" s="105">
        <f t="shared" si="67"/>
        <v>0</v>
      </c>
      <c r="AL38" s="105">
        <f t="shared" si="68"/>
        <v>63958</v>
      </c>
    </row>
    <row r="39" spans="1:38" s="109" customFormat="1" ht="31.5" x14ac:dyDescent="0.25">
      <c r="A39" s="110" t="s">
        <v>690</v>
      </c>
      <c r="B39" s="110" t="s">
        <v>440</v>
      </c>
      <c r="C39" s="121">
        <v>85146</v>
      </c>
      <c r="D39" s="120"/>
      <c r="E39" s="121"/>
      <c r="F39" s="122">
        <f t="shared" si="56"/>
        <v>85146</v>
      </c>
      <c r="G39" s="122">
        <v>15863</v>
      </c>
      <c r="H39" s="122"/>
      <c r="I39" s="122"/>
      <c r="J39" s="104">
        <f t="shared" si="70"/>
        <v>15863</v>
      </c>
      <c r="K39" s="121">
        <f t="shared" si="57"/>
        <v>101009</v>
      </c>
      <c r="L39" s="122">
        <f t="shared" si="58"/>
        <v>0</v>
      </c>
      <c r="M39" s="122">
        <f t="shared" si="58"/>
        <v>0</v>
      </c>
      <c r="N39" s="122">
        <f t="shared" si="59"/>
        <v>101009</v>
      </c>
      <c r="O39" s="105"/>
      <c r="P39" s="105"/>
      <c r="Q39" s="105"/>
      <c r="R39" s="105"/>
      <c r="S39" s="105"/>
      <c r="T39" s="105"/>
      <c r="U39" s="105"/>
      <c r="V39" s="112">
        <f t="shared" si="69"/>
        <v>0</v>
      </c>
      <c r="W39" s="105">
        <f t="shared" si="60"/>
        <v>0</v>
      </c>
      <c r="X39" s="105">
        <f t="shared" si="60"/>
        <v>0</v>
      </c>
      <c r="Y39" s="105">
        <f t="shared" si="61"/>
        <v>0</v>
      </c>
      <c r="Z39" s="105">
        <f t="shared" si="62"/>
        <v>0</v>
      </c>
      <c r="AA39" s="105">
        <f t="shared" si="63"/>
        <v>85146</v>
      </c>
      <c r="AB39" s="105">
        <f t="shared" si="63"/>
        <v>0</v>
      </c>
      <c r="AC39" s="105">
        <f t="shared" si="63"/>
        <v>0</v>
      </c>
      <c r="AD39" s="105">
        <f t="shared" si="64"/>
        <v>85146</v>
      </c>
      <c r="AE39" s="105">
        <f t="shared" si="65"/>
        <v>15863</v>
      </c>
      <c r="AF39" s="105">
        <f t="shared" si="65"/>
        <v>0</v>
      </c>
      <c r="AG39" s="105">
        <f t="shared" si="65"/>
        <v>0</v>
      </c>
      <c r="AH39" s="105">
        <f t="shared" si="66"/>
        <v>15863</v>
      </c>
      <c r="AI39" s="105">
        <f t="shared" si="67"/>
        <v>101009</v>
      </c>
      <c r="AJ39" s="105">
        <f t="shared" si="67"/>
        <v>0</v>
      </c>
      <c r="AK39" s="105">
        <f t="shared" si="67"/>
        <v>0</v>
      </c>
      <c r="AL39" s="105">
        <f t="shared" si="68"/>
        <v>101009</v>
      </c>
    </row>
    <row r="40" spans="1:38" s="109" customFormat="1" x14ac:dyDescent="0.25">
      <c r="A40" s="110" t="s">
        <v>1394</v>
      </c>
      <c r="B40" s="110" t="s">
        <v>440</v>
      </c>
      <c r="C40" s="121"/>
      <c r="D40" s="120"/>
      <c r="E40" s="121"/>
      <c r="F40" s="122">
        <f t="shared" si="56"/>
        <v>0</v>
      </c>
      <c r="G40" s="122">
        <v>129</v>
      </c>
      <c r="H40" s="122"/>
      <c r="I40" s="122"/>
      <c r="J40" s="104">
        <f t="shared" si="70"/>
        <v>129</v>
      </c>
      <c r="K40" s="121">
        <f t="shared" ref="K40:K41" si="71">SUM(G40+C40)</f>
        <v>129</v>
      </c>
      <c r="L40" s="122">
        <f t="shared" si="58"/>
        <v>0</v>
      </c>
      <c r="M40" s="122">
        <f t="shared" si="58"/>
        <v>0</v>
      </c>
      <c r="N40" s="122">
        <f t="shared" si="59"/>
        <v>129</v>
      </c>
      <c r="O40" s="105"/>
      <c r="P40" s="105"/>
      <c r="Q40" s="105"/>
      <c r="R40" s="105"/>
      <c r="S40" s="105"/>
      <c r="T40" s="105"/>
      <c r="U40" s="105"/>
      <c r="V40" s="112">
        <f t="shared" si="69"/>
        <v>0</v>
      </c>
      <c r="W40" s="105">
        <f t="shared" si="60"/>
        <v>0</v>
      </c>
      <c r="X40" s="105">
        <f t="shared" si="60"/>
        <v>0</v>
      </c>
      <c r="Y40" s="105">
        <f t="shared" si="61"/>
        <v>0</v>
      </c>
      <c r="Z40" s="105">
        <f t="shared" si="62"/>
        <v>0</v>
      </c>
      <c r="AA40" s="105">
        <f t="shared" si="63"/>
        <v>0</v>
      </c>
      <c r="AB40" s="105">
        <f t="shared" si="63"/>
        <v>0</v>
      </c>
      <c r="AC40" s="105">
        <f t="shared" si="63"/>
        <v>0</v>
      </c>
      <c r="AD40" s="105">
        <f t="shared" si="64"/>
        <v>0</v>
      </c>
      <c r="AE40" s="105">
        <f t="shared" si="65"/>
        <v>129</v>
      </c>
      <c r="AF40" s="105">
        <f t="shared" si="65"/>
        <v>0</v>
      </c>
      <c r="AG40" s="105">
        <f t="shared" si="65"/>
        <v>0</v>
      </c>
      <c r="AH40" s="105">
        <f t="shared" si="66"/>
        <v>129</v>
      </c>
      <c r="AI40" s="105">
        <f t="shared" si="67"/>
        <v>129</v>
      </c>
      <c r="AJ40" s="105">
        <f t="shared" si="67"/>
        <v>0</v>
      </c>
      <c r="AK40" s="105">
        <f t="shared" si="67"/>
        <v>0</v>
      </c>
      <c r="AL40" s="105">
        <f t="shared" si="68"/>
        <v>129</v>
      </c>
    </row>
    <row r="41" spans="1:38" s="109" customFormat="1" x14ac:dyDescent="0.25">
      <c r="A41" s="110" t="s">
        <v>1395</v>
      </c>
      <c r="B41" s="110" t="s">
        <v>440</v>
      </c>
      <c r="C41" s="121"/>
      <c r="D41" s="120"/>
      <c r="E41" s="121"/>
      <c r="F41" s="122">
        <f t="shared" si="56"/>
        <v>0</v>
      </c>
      <c r="G41" s="122">
        <v>13795</v>
      </c>
      <c r="H41" s="122"/>
      <c r="I41" s="122"/>
      <c r="J41" s="104">
        <f t="shared" si="70"/>
        <v>13795</v>
      </c>
      <c r="K41" s="121">
        <f t="shared" si="71"/>
        <v>13795</v>
      </c>
      <c r="L41" s="122">
        <f t="shared" si="58"/>
        <v>0</v>
      </c>
      <c r="M41" s="122">
        <f t="shared" si="58"/>
        <v>0</v>
      </c>
      <c r="N41" s="122">
        <f t="shared" si="59"/>
        <v>13795</v>
      </c>
      <c r="O41" s="105"/>
      <c r="P41" s="105"/>
      <c r="Q41" s="105"/>
      <c r="R41" s="105"/>
      <c r="S41" s="105">
        <v>70</v>
      </c>
      <c r="T41" s="105"/>
      <c r="U41" s="105"/>
      <c r="V41" s="112">
        <f t="shared" si="69"/>
        <v>70</v>
      </c>
      <c r="W41" s="105">
        <f t="shared" si="60"/>
        <v>70</v>
      </c>
      <c r="X41" s="105">
        <f t="shared" si="60"/>
        <v>0</v>
      </c>
      <c r="Y41" s="105">
        <f t="shared" si="61"/>
        <v>0</v>
      </c>
      <c r="Z41" s="105">
        <f t="shared" si="62"/>
        <v>70</v>
      </c>
      <c r="AA41" s="105">
        <f t="shared" si="63"/>
        <v>0</v>
      </c>
      <c r="AB41" s="105">
        <f t="shared" si="63"/>
        <v>0</v>
      </c>
      <c r="AC41" s="105">
        <f t="shared" si="63"/>
        <v>0</v>
      </c>
      <c r="AD41" s="105">
        <f t="shared" si="64"/>
        <v>0</v>
      </c>
      <c r="AE41" s="105">
        <f t="shared" si="65"/>
        <v>13865</v>
      </c>
      <c r="AF41" s="105">
        <f t="shared" si="65"/>
        <v>0</v>
      </c>
      <c r="AG41" s="105">
        <f t="shared" si="65"/>
        <v>0</v>
      </c>
      <c r="AH41" s="105">
        <f t="shared" si="66"/>
        <v>13865</v>
      </c>
      <c r="AI41" s="105">
        <f t="shared" si="67"/>
        <v>13865</v>
      </c>
      <c r="AJ41" s="105">
        <f t="shared" si="67"/>
        <v>0</v>
      </c>
      <c r="AK41" s="105">
        <f t="shared" si="67"/>
        <v>0</v>
      </c>
      <c r="AL41" s="105">
        <f t="shared" si="68"/>
        <v>13865</v>
      </c>
    </row>
    <row r="42" spans="1:38" s="109" customFormat="1" x14ac:dyDescent="0.25">
      <c r="A42" s="110" t="s">
        <v>691</v>
      </c>
      <c r="B42" s="110" t="s">
        <v>440</v>
      </c>
      <c r="C42" s="121">
        <v>5000</v>
      </c>
      <c r="D42" s="120"/>
      <c r="E42" s="121"/>
      <c r="F42" s="122">
        <f t="shared" si="56"/>
        <v>5000</v>
      </c>
      <c r="G42" s="122">
        <v>-2878</v>
      </c>
      <c r="H42" s="122"/>
      <c r="I42" s="122"/>
      <c r="J42" s="104">
        <f t="shared" si="70"/>
        <v>-2878</v>
      </c>
      <c r="K42" s="121">
        <f t="shared" si="57"/>
        <v>2122</v>
      </c>
      <c r="L42" s="122">
        <f t="shared" si="58"/>
        <v>0</v>
      </c>
      <c r="M42" s="122">
        <f t="shared" si="58"/>
        <v>0</v>
      </c>
      <c r="N42" s="122">
        <f t="shared" si="59"/>
        <v>2122</v>
      </c>
      <c r="O42" s="105"/>
      <c r="P42" s="105"/>
      <c r="Q42" s="105"/>
      <c r="R42" s="105"/>
      <c r="S42" s="105">
        <v>1181</v>
      </c>
      <c r="T42" s="105"/>
      <c r="U42" s="105"/>
      <c r="V42" s="112">
        <f t="shared" si="69"/>
        <v>1181</v>
      </c>
      <c r="W42" s="105">
        <f t="shared" si="60"/>
        <v>1181</v>
      </c>
      <c r="X42" s="105">
        <f t="shared" si="60"/>
        <v>0</v>
      </c>
      <c r="Y42" s="105">
        <f t="shared" si="61"/>
        <v>0</v>
      </c>
      <c r="Z42" s="105">
        <f t="shared" si="62"/>
        <v>1181</v>
      </c>
      <c r="AA42" s="105">
        <f t="shared" si="63"/>
        <v>5000</v>
      </c>
      <c r="AB42" s="105">
        <f t="shared" si="63"/>
        <v>0</v>
      </c>
      <c r="AC42" s="105">
        <f t="shared" si="63"/>
        <v>0</v>
      </c>
      <c r="AD42" s="105">
        <f t="shared" si="64"/>
        <v>5000</v>
      </c>
      <c r="AE42" s="105">
        <f t="shared" si="65"/>
        <v>-1697</v>
      </c>
      <c r="AF42" s="105">
        <f t="shared" si="65"/>
        <v>0</v>
      </c>
      <c r="AG42" s="105">
        <f t="shared" si="65"/>
        <v>0</v>
      </c>
      <c r="AH42" s="105">
        <f t="shared" si="66"/>
        <v>-1697</v>
      </c>
      <c r="AI42" s="105">
        <f t="shared" si="67"/>
        <v>3303</v>
      </c>
      <c r="AJ42" s="105">
        <f t="shared" si="67"/>
        <v>0</v>
      </c>
      <c r="AK42" s="105">
        <f t="shared" si="67"/>
        <v>0</v>
      </c>
      <c r="AL42" s="105">
        <f t="shared" si="68"/>
        <v>3303</v>
      </c>
    </row>
    <row r="43" spans="1:38" s="136" customFormat="1" ht="31.5" x14ac:dyDescent="0.25">
      <c r="A43" s="116" t="s">
        <v>1396</v>
      </c>
      <c r="B43" s="116" t="s">
        <v>440</v>
      </c>
      <c r="C43" s="117">
        <f>SUM(C35:C42)</f>
        <v>140860</v>
      </c>
      <c r="D43" s="117">
        <f t="shared" ref="D43:AL43" si="72">SUM(D35:D42)</f>
        <v>0</v>
      </c>
      <c r="E43" s="117">
        <f t="shared" si="72"/>
        <v>0</v>
      </c>
      <c r="F43" s="117">
        <f t="shared" si="72"/>
        <v>140860</v>
      </c>
      <c r="G43" s="117">
        <f t="shared" si="72"/>
        <v>40521</v>
      </c>
      <c r="H43" s="117">
        <f t="shared" si="72"/>
        <v>0</v>
      </c>
      <c r="I43" s="117">
        <f t="shared" si="72"/>
        <v>0</v>
      </c>
      <c r="J43" s="117">
        <f t="shared" si="72"/>
        <v>40521</v>
      </c>
      <c r="K43" s="117">
        <f t="shared" si="72"/>
        <v>181381</v>
      </c>
      <c r="L43" s="117">
        <f t="shared" si="72"/>
        <v>0</v>
      </c>
      <c r="M43" s="117">
        <f t="shared" si="72"/>
        <v>0</v>
      </c>
      <c r="N43" s="117">
        <f t="shared" si="72"/>
        <v>181381</v>
      </c>
      <c r="O43" s="117">
        <f t="shared" si="72"/>
        <v>0</v>
      </c>
      <c r="P43" s="117">
        <f t="shared" si="72"/>
        <v>0</v>
      </c>
      <c r="Q43" s="117">
        <f t="shared" si="72"/>
        <v>989</v>
      </c>
      <c r="R43" s="117">
        <f t="shared" si="72"/>
        <v>989</v>
      </c>
      <c r="S43" s="117">
        <f t="shared" si="72"/>
        <v>1251</v>
      </c>
      <c r="T43" s="117">
        <f t="shared" si="72"/>
        <v>0</v>
      </c>
      <c r="U43" s="117">
        <f t="shared" si="72"/>
        <v>-959</v>
      </c>
      <c r="V43" s="117">
        <f t="shared" si="72"/>
        <v>292</v>
      </c>
      <c r="W43" s="117">
        <f t="shared" si="72"/>
        <v>1251</v>
      </c>
      <c r="X43" s="117">
        <f t="shared" si="72"/>
        <v>0</v>
      </c>
      <c r="Y43" s="117">
        <f t="shared" si="72"/>
        <v>30</v>
      </c>
      <c r="Z43" s="117">
        <f t="shared" si="72"/>
        <v>1281</v>
      </c>
      <c r="AA43" s="117">
        <f t="shared" si="72"/>
        <v>140860</v>
      </c>
      <c r="AB43" s="117">
        <f t="shared" si="72"/>
        <v>0</v>
      </c>
      <c r="AC43" s="117">
        <f t="shared" si="72"/>
        <v>989</v>
      </c>
      <c r="AD43" s="117">
        <f t="shared" si="72"/>
        <v>141849</v>
      </c>
      <c r="AE43" s="117">
        <f t="shared" si="72"/>
        <v>41772</v>
      </c>
      <c r="AF43" s="117">
        <f t="shared" si="72"/>
        <v>0</v>
      </c>
      <c r="AG43" s="117">
        <f t="shared" si="72"/>
        <v>-959</v>
      </c>
      <c r="AH43" s="117">
        <f t="shared" si="72"/>
        <v>40813</v>
      </c>
      <c r="AI43" s="117">
        <f t="shared" si="72"/>
        <v>182632</v>
      </c>
      <c r="AJ43" s="117">
        <f t="shared" si="72"/>
        <v>0</v>
      </c>
      <c r="AK43" s="117">
        <f t="shared" si="72"/>
        <v>30</v>
      </c>
      <c r="AL43" s="117">
        <f t="shared" si="72"/>
        <v>182662</v>
      </c>
    </row>
    <row r="44" spans="1:38" s="109" customFormat="1" ht="31.5" x14ac:dyDescent="0.25">
      <c r="A44" s="107" t="s">
        <v>692</v>
      </c>
      <c r="B44" s="107" t="s">
        <v>358</v>
      </c>
      <c r="C44" s="108">
        <f t="shared" ref="C44:AL44" si="73">SUM(C24+C27+C34+C43)</f>
        <v>15047060</v>
      </c>
      <c r="D44" s="108">
        <f t="shared" si="73"/>
        <v>0</v>
      </c>
      <c r="E44" s="108">
        <f t="shared" si="73"/>
        <v>0</v>
      </c>
      <c r="F44" s="108">
        <f t="shared" si="73"/>
        <v>15047060</v>
      </c>
      <c r="G44" s="108">
        <f t="shared" si="73"/>
        <v>2493598</v>
      </c>
      <c r="H44" s="108">
        <f t="shared" si="73"/>
        <v>0</v>
      </c>
      <c r="I44" s="108">
        <f t="shared" si="73"/>
        <v>0</v>
      </c>
      <c r="J44" s="108">
        <f t="shared" si="73"/>
        <v>2493598</v>
      </c>
      <c r="K44" s="108">
        <f t="shared" si="73"/>
        <v>17540658</v>
      </c>
      <c r="L44" s="108">
        <f t="shared" si="73"/>
        <v>0</v>
      </c>
      <c r="M44" s="108">
        <f t="shared" si="73"/>
        <v>0</v>
      </c>
      <c r="N44" s="108">
        <f t="shared" si="73"/>
        <v>17540658</v>
      </c>
      <c r="O44" s="108">
        <f t="shared" si="73"/>
        <v>0</v>
      </c>
      <c r="P44" s="108">
        <f t="shared" si="73"/>
        <v>0</v>
      </c>
      <c r="Q44" s="108">
        <f t="shared" si="73"/>
        <v>989</v>
      </c>
      <c r="R44" s="108">
        <f t="shared" si="73"/>
        <v>989</v>
      </c>
      <c r="S44" s="108">
        <f t="shared" si="73"/>
        <v>1251</v>
      </c>
      <c r="T44" s="108">
        <f t="shared" si="73"/>
        <v>0</v>
      </c>
      <c r="U44" s="108">
        <f t="shared" si="73"/>
        <v>-959</v>
      </c>
      <c r="V44" s="108">
        <f t="shared" si="73"/>
        <v>292</v>
      </c>
      <c r="W44" s="108">
        <f t="shared" si="73"/>
        <v>1251</v>
      </c>
      <c r="X44" s="108">
        <f t="shared" si="73"/>
        <v>0</v>
      </c>
      <c r="Y44" s="108">
        <f t="shared" si="73"/>
        <v>30</v>
      </c>
      <c r="Z44" s="108">
        <f t="shared" si="73"/>
        <v>1281</v>
      </c>
      <c r="AA44" s="108">
        <f t="shared" si="73"/>
        <v>15047060</v>
      </c>
      <c r="AB44" s="108">
        <f t="shared" si="73"/>
        <v>0</v>
      </c>
      <c r="AC44" s="108">
        <f t="shared" si="73"/>
        <v>989</v>
      </c>
      <c r="AD44" s="108">
        <f t="shared" si="73"/>
        <v>15048049</v>
      </c>
      <c r="AE44" s="108">
        <f t="shared" si="73"/>
        <v>2494849</v>
      </c>
      <c r="AF44" s="108">
        <f t="shared" si="73"/>
        <v>0</v>
      </c>
      <c r="AG44" s="108">
        <f t="shared" si="73"/>
        <v>-959</v>
      </c>
      <c r="AH44" s="108">
        <f t="shared" si="73"/>
        <v>2493890</v>
      </c>
      <c r="AI44" s="108">
        <f t="shared" si="73"/>
        <v>17541909</v>
      </c>
      <c r="AJ44" s="108">
        <f t="shared" si="73"/>
        <v>0</v>
      </c>
      <c r="AK44" s="108">
        <f t="shared" si="73"/>
        <v>30</v>
      </c>
      <c r="AL44" s="108">
        <f t="shared" si="73"/>
        <v>17541939</v>
      </c>
    </row>
    <row r="45" spans="1:38" s="109" customFormat="1" x14ac:dyDescent="0.25">
      <c r="A45" s="107" t="s">
        <v>693</v>
      </c>
      <c r="B45" s="107" t="s">
        <v>359</v>
      </c>
      <c r="C45" s="108">
        <v>991207</v>
      </c>
      <c r="D45" s="108">
        <v>2600941</v>
      </c>
      <c r="E45" s="108"/>
      <c r="F45" s="108">
        <f>SUM(C45:E45)</f>
        <v>3592148</v>
      </c>
      <c r="G45" s="108">
        <v>488702</v>
      </c>
      <c r="H45" s="108">
        <v>-2196945</v>
      </c>
      <c r="I45" s="108"/>
      <c r="J45" s="108">
        <f>SUM(G45:I45)</f>
        <v>-1708243</v>
      </c>
      <c r="K45" s="108">
        <f t="shared" ref="K45:K49" si="74">SUM(G45+C45)</f>
        <v>1479909</v>
      </c>
      <c r="L45" s="108">
        <f t="shared" ref="L45:M51" si="75">SUM(H45+D45)</f>
        <v>403996</v>
      </c>
      <c r="M45" s="108">
        <f t="shared" si="75"/>
        <v>0</v>
      </c>
      <c r="N45" s="108">
        <f t="shared" ref="N45:N51" si="76">SUM(K45:M45)</f>
        <v>1883905</v>
      </c>
      <c r="O45" s="108">
        <v>1276956</v>
      </c>
      <c r="P45" s="108">
        <v>365728</v>
      </c>
      <c r="Q45" s="108"/>
      <c r="R45" s="108">
        <f>SUM(O45:Q45)</f>
        <v>1642684</v>
      </c>
      <c r="S45" s="108">
        <v>101758</v>
      </c>
      <c r="T45" s="108">
        <v>16446</v>
      </c>
      <c r="U45" s="108"/>
      <c r="V45" s="108">
        <f>SUM(S45:U45)</f>
        <v>118204</v>
      </c>
      <c r="W45" s="108">
        <f t="shared" ref="W45:X51" si="77">SUM(S45+O45)</f>
        <v>1378714</v>
      </c>
      <c r="X45" s="108">
        <f t="shared" si="77"/>
        <v>382174</v>
      </c>
      <c r="Y45" s="108">
        <f t="shared" ref="Y45:Y51" si="78">SUM(Q45+U45)</f>
        <v>0</v>
      </c>
      <c r="Z45" s="108">
        <f t="shared" ref="Z45:Z51" si="79">SUM(W45:Y45)</f>
        <v>1760888</v>
      </c>
      <c r="AA45" s="106">
        <f t="shared" ref="AA45:AC48" si="80">SUM(O45+C45)</f>
        <v>2268163</v>
      </c>
      <c r="AB45" s="106">
        <f t="shared" si="80"/>
        <v>2966669</v>
      </c>
      <c r="AC45" s="106">
        <f t="shared" si="80"/>
        <v>0</v>
      </c>
      <c r="AD45" s="106">
        <f>SUM(AA45:AC45)</f>
        <v>5234832</v>
      </c>
      <c r="AE45" s="106">
        <f t="shared" ref="AE45:AG48" si="81">SUM(S45+G45)</f>
        <v>590460</v>
      </c>
      <c r="AF45" s="106">
        <f t="shared" si="81"/>
        <v>-2180499</v>
      </c>
      <c r="AG45" s="106">
        <f t="shared" si="81"/>
        <v>0</v>
      </c>
      <c r="AH45" s="106">
        <f t="shared" ref="AH45:AH48" si="82">SUM(AE45:AG45)</f>
        <v>-1590039</v>
      </c>
      <c r="AI45" s="106">
        <f t="shared" ref="AI45:AK48" si="83">SUM(W45+K45)</f>
        <v>2858623</v>
      </c>
      <c r="AJ45" s="106">
        <f t="shared" si="83"/>
        <v>786170</v>
      </c>
      <c r="AK45" s="106">
        <f t="shared" si="83"/>
        <v>0</v>
      </c>
      <c r="AL45" s="106">
        <f t="shared" ref="AL45:AL48" si="84">SUM(AI45:AK45)</f>
        <v>3644793</v>
      </c>
    </row>
    <row r="46" spans="1:38" s="109" customFormat="1" x14ac:dyDescent="0.25">
      <c r="A46" s="110" t="s">
        <v>449</v>
      </c>
      <c r="B46" s="110" t="s">
        <v>441</v>
      </c>
      <c r="C46" s="112">
        <v>388859</v>
      </c>
      <c r="D46" s="111">
        <v>0</v>
      </c>
      <c r="E46" s="327"/>
      <c r="F46" s="111">
        <f>SUM(C46:E46)</f>
        <v>388859</v>
      </c>
      <c r="G46" s="112">
        <v>11727</v>
      </c>
      <c r="H46" s="112">
        <v>21</v>
      </c>
      <c r="I46" s="112"/>
      <c r="J46" s="112">
        <f>SUM(G46:I46)</f>
        <v>11748</v>
      </c>
      <c r="K46" s="112">
        <f t="shared" si="74"/>
        <v>400586</v>
      </c>
      <c r="L46" s="112">
        <f t="shared" si="75"/>
        <v>21</v>
      </c>
      <c r="M46" s="112">
        <f t="shared" si="75"/>
        <v>0</v>
      </c>
      <c r="N46" s="113">
        <f t="shared" si="76"/>
        <v>400607</v>
      </c>
      <c r="O46" s="112">
        <v>0</v>
      </c>
      <c r="P46" s="112"/>
      <c r="Q46" s="112"/>
      <c r="R46" s="112">
        <f>SUM(O46:Q46)</f>
        <v>0</v>
      </c>
      <c r="S46" s="112"/>
      <c r="T46" s="112"/>
      <c r="U46" s="112"/>
      <c r="V46" s="112">
        <f>SUM(S46:U46)</f>
        <v>0</v>
      </c>
      <c r="W46" s="112">
        <f t="shared" si="77"/>
        <v>0</v>
      </c>
      <c r="X46" s="112">
        <f t="shared" si="77"/>
        <v>0</v>
      </c>
      <c r="Y46" s="112">
        <f t="shared" si="78"/>
        <v>0</v>
      </c>
      <c r="Z46" s="112">
        <f t="shared" si="79"/>
        <v>0</v>
      </c>
      <c r="AA46" s="105">
        <f t="shared" si="80"/>
        <v>388859</v>
      </c>
      <c r="AB46" s="105">
        <f t="shared" si="80"/>
        <v>0</v>
      </c>
      <c r="AC46" s="105">
        <f t="shared" si="80"/>
        <v>0</v>
      </c>
      <c r="AD46" s="105">
        <f>SUM(AA46:AC46)</f>
        <v>388859</v>
      </c>
      <c r="AE46" s="105">
        <f t="shared" si="81"/>
        <v>11727</v>
      </c>
      <c r="AF46" s="105">
        <f t="shared" si="81"/>
        <v>21</v>
      </c>
      <c r="AG46" s="105">
        <f t="shared" si="81"/>
        <v>0</v>
      </c>
      <c r="AH46" s="105">
        <f t="shared" si="82"/>
        <v>11748</v>
      </c>
      <c r="AI46" s="105">
        <f t="shared" si="83"/>
        <v>400586</v>
      </c>
      <c r="AJ46" s="105">
        <f t="shared" si="83"/>
        <v>21</v>
      </c>
      <c r="AK46" s="105">
        <f t="shared" si="83"/>
        <v>0</v>
      </c>
      <c r="AL46" s="105">
        <f t="shared" si="84"/>
        <v>400607</v>
      </c>
    </row>
    <row r="47" spans="1:38" s="109" customFormat="1" ht="31.5" x14ac:dyDescent="0.25">
      <c r="A47" s="329" t="s">
        <v>450</v>
      </c>
      <c r="B47" s="110" t="s">
        <v>451</v>
      </c>
      <c r="C47" s="112">
        <v>205911</v>
      </c>
      <c r="D47" s="111">
        <v>2428890</v>
      </c>
      <c r="E47" s="327"/>
      <c r="F47" s="111">
        <f>SUM(C47:E47)</f>
        <v>2634801</v>
      </c>
      <c r="G47" s="112">
        <v>384030</v>
      </c>
      <c r="H47" s="112">
        <v>-2342988</v>
      </c>
      <c r="I47" s="112"/>
      <c r="J47" s="112">
        <f t="shared" ref="J47:J51" si="85">SUM(G47:I47)</f>
        <v>-1958958</v>
      </c>
      <c r="K47" s="112">
        <f t="shared" si="74"/>
        <v>589941</v>
      </c>
      <c r="L47" s="112">
        <f t="shared" si="75"/>
        <v>85902</v>
      </c>
      <c r="M47" s="112">
        <f t="shared" si="75"/>
        <v>0</v>
      </c>
      <c r="N47" s="113">
        <f t="shared" si="76"/>
        <v>675843</v>
      </c>
      <c r="O47" s="112">
        <v>360047</v>
      </c>
      <c r="P47" s="112">
        <f>2364+124543</f>
        <v>126907</v>
      </c>
      <c r="Q47" s="112"/>
      <c r="R47" s="112">
        <f>SUM(O47:Q47)</f>
        <v>486954</v>
      </c>
      <c r="S47" s="112">
        <v>36239</v>
      </c>
      <c r="T47" s="112">
        <v>-7240</v>
      </c>
      <c r="U47" s="112"/>
      <c r="V47" s="112">
        <f t="shared" ref="V47:V51" si="86">SUM(S47:U47)</f>
        <v>28999</v>
      </c>
      <c r="W47" s="112">
        <f t="shared" si="77"/>
        <v>396286</v>
      </c>
      <c r="X47" s="112">
        <f t="shared" si="77"/>
        <v>119667</v>
      </c>
      <c r="Y47" s="112">
        <f t="shared" si="78"/>
        <v>0</v>
      </c>
      <c r="Z47" s="112">
        <f t="shared" si="79"/>
        <v>515953</v>
      </c>
      <c r="AA47" s="105">
        <f t="shared" si="80"/>
        <v>565958</v>
      </c>
      <c r="AB47" s="105">
        <f t="shared" si="80"/>
        <v>2555797</v>
      </c>
      <c r="AC47" s="105">
        <f t="shared" si="80"/>
        <v>0</v>
      </c>
      <c r="AD47" s="105">
        <f>SUM(AA47:AC47)</f>
        <v>3121755</v>
      </c>
      <c r="AE47" s="105">
        <f t="shared" si="81"/>
        <v>420269</v>
      </c>
      <c r="AF47" s="105">
        <f t="shared" si="81"/>
        <v>-2350228</v>
      </c>
      <c r="AG47" s="105">
        <f t="shared" si="81"/>
        <v>0</v>
      </c>
      <c r="AH47" s="105">
        <f t="shared" si="82"/>
        <v>-1929959</v>
      </c>
      <c r="AI47" s="105">
        <f t="shared" si="83"/>
        <v>986227</v>
      </c>
      <c r="AJ47" s="105">
        <f t="shared" si="83"/>
        <v>205569</v>
      </c>
      <c r="AK47" s="105">
        <f t="shared" si="83"/>
        <v>0</v>
      </c>
      <c r="AL47" s="105">
        <f t="shared" si="84"/>
        <v>1191796</v>
      </c>
    </row>
    <row r="48" spans="1:38" s="109" customFormat="1" x14ac:dyDescent="0.25">
      <c r="A48" s="328" t="s">
        <v>452</v>
      </c>
      <c r="B48" s="110" t="s">
        <v>442</v>
      </c>
      <c r="C48" s="112"/>
      <c r="D48" s="111">
        <v>100000</v>
      </c>
      <c r="E48" s="327"/>
      <c r="F48" s="111">
        <f>SUM(C48:E48)</f>
        <v>100000</v>
      </c>
      <c r="G48" s="112"/>
      <c r="H48" s="112">
        <v>105789</v>
      </c>
      <c r="I48" s="112"/>
      <c r="J48" s="112">
        <f t="shared" si="85"/>
        <v>105789</v>
      </c>
      <c r="K48" s="112">
        <f t="shared" si="74"/>
        <v>0</v>
      </c>
      <c r="L48" s="112">
        <f t="shared" si="75"/>
        <v>205789</v>
      </c>
      <c r="M48" s="112">
        <f t="shared" si="75"/>
        <v>0</v>
      </c>
      <c r="N48" s="113">
        <f t="shared" si="76"/>
        <v>205789</v>
      </c>
      <c r="O48" s="112">
        <v>407</v>
      </c>
      <c r="P48" s="112">
        <v>275</v>
      </c>
      <c r="Q48" s="112"/>
      <c r="R48" s="112">
        <f>SUM(O48:Q48)</f>
        <v>682</v>
      </c>
      <c r="S48" s="112">
        <v>23</v>
      </c>
      <c r="T48" s="112">
        <v>10</v>
      </c>
      <c r="U48" s="112"/>
      <c r="V48" s="112">
        <f t="shared" si="86"/>
        <v>33</v>
      </c>
      <c r="W48" s="112">
        <f t="shared" si="77"/>
        <v>430</v>
      </c>
      <c r="X48" s="112">
        <f t="shared" si="77"/>
        <v>285</v>
      </c>
      <c r="Y48" s="112">
        <f t="shared" si="78"/>
        <v>0</v>
      </c>
      <c r="Z48" s="112">
        <f t="shared" si="79"/>
        <v>715</v>
      </c>
      <c r="AA48" s="105">
        <f t="shared" si="80"/>
        <v>407</v>
      </c>
      <c r="AB48" s="105">
        <f t="shared" si="80"/>
        <v>100275</v>
      </c>
      <c r="AC48" s="105">
        <f t="shared" si="80"/>
        <v>0</v>
      </c>
      <c r="AD48" s="105">
        <f>SUM(AA48:AC48)</f>
        <v>100682</v>
      </c>
      <c r="AE48" s="105">
        <f t="shared" si="81"/>
        <v>23</v>
      </c>
      <c r="AF48" s="105">
        <f t="shared" si="81"/>
        <v>105799</v>
      </c>
      <c r="AG48" s="105">
        <f t="shared" si="81"/>
        <v>0</v>
      </c>
      <c r="AH48" s="105">
        <f t="shared" si="82"/>
        <v>105822</v>
      </c>
      <c r="AI48" s="105">
        <f t="shared" si="83"/>
        <v>430</v>
      </c>
      <c r="AJ48" s="105">
        <f t="shared" si="83"/>
        <v>206074</v>
      </c>
      <c r="AK48" s="105">
        <f t="shared" si="83"/>
        <v>0</v>
      </c>
      <c r="AL48" s="105">
        <f t="shared" si="84"/>
        <v>206504</v>
      </c>
    </row>
    <row r="49" spans="1:38" x14ac:dyDescent="0.25">
      <c r="A49" s="133" t="s">
        <v>694</v>
      </c>
      <c r="B49" s="133" t="s">
        <v>443</v>
      </c>
      <c r="C49" s="134">
        <v>129000</v>
      </c>
      <c r="D49" s="330">
        <v>16010</v>
      </c>
      <c r="E49" s="134"/>
      <c r="F49" s="135">
        <f>SUM(C49:E49)</f>
        <v>145010</v>
      </c>
      <c r="G49" s="135">
        <v>18851</v>
      </c>
      <c r="H49" s="135">
        <v>39823</v>
      </c>
      <c r="I49" s="135"/>
      <c r="J49" s="112">
        <f t="shared" si="85"/>
        <v>58674</v>
      </c>
      <c r="K49" s="134">
        <f t="shared" si="74"/>
        <v>147851</v>
      </c>
      <c r="L49" s="135">
        <f t="shared" si="75"/>
        <v>55833</v>
      </c>
      <c r="M49" s="135">
        <f t="shared" si="75"/>
        <v>0</v>
      </c>
      <c r="N49" s="135">
        <f t="shared" si="76"/>
        <v>203684</v>
      </c>
      <c r="O49" s="134"/>
      <c r="P49" s="134"/>
      <c r="Q49" s="134"/>
      <c r="R49" s="112">
        <f>SUM(O49:Q49)</f>
        <v>0</v>
      </c>
      <c r="S49" s="112"/>
      <c r="T49" s="112"/>
      <c r="U49" s="112"/>
      <c r="V49" s="112">
        <f t="shared" si="86"/>
        <v>0</v>
      </c>
      <c r="W49" s="112">
        <f t="shared" si="77"/>
        <v>0</v>
      </c>
      <c r="X49" s="112">
        <f t="shared" si="77"/>
        <v>0</v>
      </c>
      <c r="Y49" s="112">
        <f t="shared" si="78"/>
        <v>0</v>
      </c>
      <c r="Z49" s="112">
        <f t="shared" si="79"/>
        <v>0</v>
      </c>
      <c r="AA49" s="106">
        <f>SUM(C49+O49)</f>
        <v>129000</v>
      </c>
      <c r="AB49" s="106">
        <f>SUM(D49+P49)</f>
        <v>16010</v>
      </c>
      <c r="AC49" s="106">
        <f>SUM(E49+Q49)</f>
        <v>0</v>
      </c>
      <c r="AD49" s="106">
        <f>SUM(F49+R49)</f>
        <v>145010</v>
      </c>
      <c r="AE49" s="106">
        <f t="shared" ref="AE49:AL51" si="87">SUM(G49+S49)</f>
        <v>18851</v>
      </c>
      <c r="AF49" s="106">
        <f t="shared" si="87"/>
        <v>39823</v>
      </c>
      <c r="AG49" s="106">
        <f t="shared" si="87"/>
        <v>0</v>
      </c>
      <c r="AH49" s="106">
        <f t="shared" si="87"/>
        <v>58674</v>
      </c>
      <c r="AI49" s="106">
        <f t="shared" si="87"/>
        <v>147851</v>
      </c>
      <c r="AJ49" s="106">
        <f t="shared" si="87"/>
        <v>55833</v>
      </c>
      <c r="AK49" s="106">
        <f t="shared" si="87"/>
        <v>0</v>
      </c>
      <c r="AL49" s="106">
        <f t="shared" si="87"/>
        <v>203684</v>
      </c>
    </row>
    <row r="50" spans="1:38" x14ac:dyDescent="0.25">
      <c r="A50" s="133" t="s">
        <v>1397</v>
      </c>
      <c r="B50" s="133" t="s">
        <v>1398</v>
      </c>
      <c r="C50" s="134"/>
      <c r="D50" s="330"/>
      <c r="E50" s="134"/>
      <c r="F50" s="135">
        <f t="shared" ref="F50:F51" si="88">SUM(C50:E50)</f>
        <v>0</v>
      </c>
      <c r="G50" s="135"/>
      <c r="H50" s="135">
        <v>468</v>
      </c>
      <c r="I50" s="135"/>
      <c r="J50" s="112">
        <f t="shared" si="85"/>
        <v>468</v>
      </c>
      <c r="K50" s="134">
        <f t="shared" ref="K50:K51" si="89">SUM(G50+C50)</f>
        <v>0</v>
      </c>
      <c r="L50" s="135">
        <f t="shared" si="75"/>
        <v>468</v>
      </c>
      <c r="M50" s="135">
        <f t="shared" si="75"/>
        <v>0</v>
      </c>
      <c r="N50" s="135">
        <f t="shared" si="76"/>
        <v>468</v>
      </c>
      <c r="O50" s="134"/>
      <c r="P50" s="134"/>
      <c r="Q50" s="134"/>
      <c r="R50" s="112">
        <f t="shared" ref="R50:R51" si="90">SUM(O50:Q50)</f>
        <v>0</v>
      </c>
      <c r="S50" s="112">
        <v>22</v>
      </c>
      <c r="T50" s="112"/>
      <c r="U50" s="112"/>
      <c r="V50" s="112">
        <f t="shared" si="86"/>
        <v>22</v>
      </c>
      <c r="W50" s="112">
        <f t="shared" si="77"/>
        <v>22</v>
      </c>
      <c r="X50" s="112">
        <f t="shared" si="77"/>
        <v>0</v>
      </c>
      <c r="Y50" s="112">
        <f t="shared" si="78"/>
        <v>0</v>
      </c>
      <c r="Z50" s="112">
        <f t="shared" si="79"/>
        <v>22</v>
      </c>
      <c r="AA50" s="106">
        <f t="shared" ref="AA50:AD51" si="91">SUM(C50+O50)</f>
        <v>0</v>
      </c>
      <c r="AB50" s="106">
        <f t="shared" si="91"/>
        <v>0</v>
      </c>
      <c r="AC50" s="106">
        <f t="shared" si="91"/>
        <v>0</v>
      </c>
      <c r="AD50" s="106">
        <f t="shared" si="91"/>
        <v>0</v>
      </c>
      <c r="AE50" s="106">
        <f t="shared" si="87"/>
        <v>22</v>
      </c>
      <c r="AF50" s="106">
        <f t="shared" si="87"/>
        <v>468</v>
      </c>
      <c r="AG50" s="106">
        <f t="shared" si="87"/>
        <v>0</v>
      </c>
      <c r="AH50" s="106">
        <f t="shared" si="87"/>
        <v>490</v>
      </c>
      <c r="AI50" s="106">
        <f t="shared" si="87"/>
        <v>22</v>
      </c>
      <c r="AJ50" s="106">
        <f t="shared" si="87"/>
        <v>468</v>
      </c>
      <c r="AK50" s="106">
        <f t="shared" si="87"/>
        <v>0</v>
      </c>
      <c r="AL50" s="106">
        <f t="shared" si="87"/>
        <v>490</v>
      </c>
    </row>
    <row r="51" spans="1:38" ht="30.75" customHeight="1" x14ac:dyDescent="0.25">
      <c r="A51" s="133" t="s">
        <v>1399</v>
      </c>
      <c r="B51" s="133" t="s">
        <v>1400</v>
      </c>
      <c r="C51" s="134"/>
      <c r="D51" s="330"/>
      <c r="E51" s="134"/>
      <c r="F51" s="135">
        <f t="shared" si="88"/>
        <v>0</v>
      </c>
      <c r="G51" s="135"/>
      <c r="H51" s="135">
        <v>22838</v>
      </c>
      <c r="I51" s="135"/>
      <c r="J51" s="112">
        <f t="shared" si="85"/>
        <v>22838</v>
      </c>
      <c r="K51" s="134">
        <f t="shared" si="89"/>
        <v>0</v>
      </c>
      <c r="L51" s="135">
        <f t="shared" si="75"/>
        <v>22838</v>
      </c>
      <c r="M51" s="135">
        <f t="shared" si="75"/>
        <v>0</v>
      </c>
      <c r="N51" s="135">
        <f t="shared" si="76"/>
        <v>22838</v>
      </c>
      <c r="O51" s="134"/>
      <c r="P51" s="134"/>
      <c r="Q51" s="134"/>
      <c r="R51" s="112">
        <f t="shared" si="90"/>
        <v>0</v>
      </c>
      <c r="S51" s="112"/>
      <c r="T51" s="112"/>
      <c r="U51" s="112"/>
      <c r="V51" s="112">
        <f t="shared" si="86"/>
        <v>0</v>
      </c>
      <c r="W51" s="112">
        <f t="shared" si="77"/>
        <v>0</v>
      </c>
      <c r="X51" s="112">
        <f t="shared" si="77"/>
        <v>0</v>
      </c>
      <c r="Y51" s="112">
        <f t="shared" si="78"/>
        <v>0</v>
      </c>
      <c r="Z51" s="112">
        <f t="shared" si="79"/>
        <v>0</v>
      </c>
      <c r="AA51" s="106">
        <f t="shared" si="91"/>
        <v>0</v>
      </c>
      <c r="AB51" s="106">
        <f t="shared" si="91"/>
        <v>0</v>
      </c>
      <c r="AC51" s="106">
        <f t="shared" si="91"/>
        <v>0</v>
      </c>
      <c r="AD51" s="106">
        <f t="shared" si="91"/>
        <v>0</v>
      </c>
      <c r="AE51" s="106">
        <f t="shared" si="87"/>
        <v>0</v>
      </c>
      <c r="AF51" s="106">
        <f t="shared" si="87"/>
        <v>22838</v>
      </c>
      <c r="AG51" s="106">
        <f t="shared" si="87"/>
        <v>0</v>
      </c>
      <c r="AH51" s="106">
        <f t="shared" si="87"/>
        <v>22838</v>
      </c>
      <c r="AI51" s="106">
        <f t="shared" si="87"/>
        <v>0</v>
      </c>
      <c r="AJ51" s="106">
        <f t="shared" si="87"/>
        <v>22838</v>
      </c>
      <c r="AK51" s="106">
        <f t="shared" si="87"/>
        <v>0</v>
      </c>
      <c r="AL51" s="106">
        <f t="shared" si="87"/>
        <v>22838</v>
      </c>
    </row>
    <row r="52" spans="1:38" s="109" customFormat="1" ht="31.5" x14ac:dyDescent="0.25">
      <c r="A52" s="331" t="s">
        <v>1401</v>
      </c>
      <c r="B52" s="331" t="s">
        <v>360</v>
      </c>
      <c r="C52" s="106">
        <f>SUM(C49:C51)</f>
        <v>129000</v>
      </c>
      <c r="D52" s="106">
        <f t="shared" ref="D52:AL52" si="92">SUM(D49:D51)</f>
        <v>16010</v>
      </c>
      <c r="E52" s="106">
        <f t="shared" si="92"/>
        <v>0</v>
      </c>
      <c r="F52" s="106">
        <f t="shared" si="92"/>
        <v>145010</v>
      </c>
      <c r="G52" s="106">
        <f t="shared" si="92"/>
        <v>18851</v>
      </c>
      <c r="H52" s="106">
        <f t="shared" si="92"/>
        <v>63129</v>
      </c>
      <c r="I52" s="106">
        <f t="shared" si="92"/>
        <v>0</v>
      </c>
      <c r="J52" s="106">
        <f t="shared" si="92"/>
        <v>81980</v>
      </c>
      <c r="K52" s="106">
        <f t="shared" si="92"/>
        <v>147851</v>
      </c>
      <c r="L52" s="106">
        <f t="shared" si="92"/>
        <v>79139</v>
      </c>
      <c r="M52" s="106">
        <f t="shared" si="92"/>
        <v>0</v>
      </c>
      <c r="N52" s="106">
        <f t="shared" si="92"/>
        <v>226990</v>
      </c>
      <c r="O52" s="106">
        <f t="shared" si="92"/>
        <v>0</v>
      </c>
      <c r="P52" s="106">
        <f t="shared" si="92"/>
        <v>0</v>
      </c>
      <c r="Q52" s="106">
        <f t="shared" si="92"/>
        <v>0</v>
      </c>
      <c r="R52" s="106">
        <f t="shared" si="92"/>
        <v>0</v>
      </c>
      <c r="S52" s="106">
        <f t="shared" si="92"/>
        <v>22</v>
      </c>
      <c r="T52" s="106">
        <f t="shared" si="92"/>
        <v>0</v>
      </c>
      <c r="U52" s="106">
        <f t="shared" si="92"/>
        <v>0</v>
      </c>
      <c r="V52" s="106">
        <f t="shared" si="92"/>
        <v>22</v>
      </c>
      <c r="W52" s="106">
        <f t="shared" si="92"/>
        <v>22</v>
      </c>
      <c r="X52" s="106">
        <f t="shared" si="92"/>
        <v>0</v>
      </c>
      <c r="Y52" s="106">
        <f t="shared" si="92"/>
        <v>0</v>
      </c>
      <c r="Z52" s="106">
        <f t="shared" si="92"/>
        <v>22</v>
      </c>
      <c r="AA52" s="106">
        <f t="shared" si="92"/>
        <v>129000</v>
      </c>
      <c r="AB52" s="106">
        <f t="shared" si="92"/>
        <v>16010</v>
      </c>
      <c r="AC52" s="106">
        <f t="shared" si="92"/>
        <v>0</v>
      </c>
      <c r="AD52" s="106">
        <f t="shared" si="92"/>
        <v>145010</v>
      </c>
      <c r="AE52" s="106">
        <f t="shared" si="92"/>
        <v>18873</v>
      </c>
      <c r="AF52" s="106">
        <f t="shared" si="92"/>
        <v>63129</v>
      </c>
      <c r="AG52" s="106">
        <f t="shared" si="92"/>
        <v>0</v>
      </c>
      <c r="AH52" s="106">
        <f t="shared" si="92"/>
        <v>82002</v>
      </c>
      <c r="AI52" s="106">
        <f t="shared" si="92"/>
        <v>147873</v>
      </c>
      <c r="AJ52" s="106">
        <f t="shared" si="92"/>
        <v>79139</v>
      </c>
      <c r="AK52" s="106">
        <f t="shared" si="92"/>
        <v>0</v>
      </c>
      <c r="AL52" s="106">
        <f t="shared" si="92"/>
        <v>227012</v>
      </c>
    </row>
    <row r="53" spans="1:38" s="109" customFormat="1" x14ac:dyDescent="0.25">
      <c r="A53" s="128" t="s">
        <v>737</v>
      </c>
      <c r="B53" s="128" t="s">
        <v>361</v>
      </c>
      <c r="C53" s="130">
        <v>49</v>
      </c>
      <c r="D53" s="129">
        <v>153133</v>
      </c>
      <c r="E53" s="130"/>
      <c r="F53" s="131">
        <f>SUM(C53:E53)</f>
        <v>153182</v>
      </c>
      <c r="G53" s="131"/>
      <c r="H53" s="131">
        <v>-106450</v>
      </c>
      <c r="I53" s="131"/>
      <c r="J53" s="131">
        <f>SUM(G53:I53)</f>
        <v>-106450</v>
      </c>
      <c r="K53" s="130">
        <f t="shared" ref="K53:M54" si="93">SUM(G53+C53)</f>
        <v>49</v>
      </c>
      <c r="L53" s="131">
        <f t="shared" si="93"/>
        <v>46683</v>
      </c>
      <c r="M53" s="131">
        <f t="shared" si="93"/>
        <v>0</v>
      </c>
      <c r="N53" s="131">
        <f t="shared" ref="N53:N54" si="94">SUM(K53:M53)</f>
        <v>46732</v>
      </c>
      <c r="O53" s="130">
        <v>3738</v>
      </c>
      <c r="P53" s="130">
        <v>176464</v>
      </c>
      <c r="Q53" s="130">
        <v>0</v>
      </c>
      <c r="R53" s="130">
        <f>SUM(O53:Q53)</f>
        <v>180202</v>
      </c>
      <c r="S53" s="130">
        <v>6701</v>
      </c>
      <c r="T53" s="130">
        <v>20002</v>
      </c>
      <c r="U53" s="130"/>
      <c r="V53" s="130">
        <f>SUM(S53:U53)</f>
        <v>26703</v>
      </c>
      <c r="W53" s="130">
        <f t="shared" ref="W53:X54" si="95">SUM(S53+O53)</f>
        <v>10439</v>
      </c>
      <c r="X53" s="130">
        <f t="shared" si="95"/>
        <v>196466</v>
      </c>
      <c r="Y53" s="130">
        <f t="shared" ref="Y53:Y54" si="96">SUM(Q53+U53)</f>
        <v>0</v>
      </c>
      <c r="Z53" s="130">
        <f t="shared" ref="Z53:Z54" si="97">SUM(W53:Y53)</f>
        <v>206905</v>
      </c>
      <c r="AA53" s="106">
        <f t="shared" ref="AA53:AL54" si="98">SUM(C53+O53)</f>
        <v>3787</v>
      </c>
      <c r="AB53" s="106">
        <f t="shared" si="98"/>
        <v>329597</v>
      </c>
      <c r="AC53" s="106">
        <f t="shared" si="98"/>
        <v>0</v>
      </c>
      <c r="AD53" s="106">
        <f t="shared" si="98"/>
        <v>333384</v>
      </c>
      <c r="AE53" s="106">
        <f t="shared" si="98"/>
        <v>6701</v>
      </c>
      <c r="AF53" s="106">
        <f t="shared" si="98"/>
        <v>-86448</v>
      </c>
      <c r="AG53" s="106">
        <f t="shared" si="98"/>
        <v>0</v>
      </c>
      <c r="AH53" s="106">
        <f t="shared" si="98"/>
        <v>-79747</v>
      </c>
      <c r="AI53" s="106">
        <f t="shared" si="98"/>
        <v>10488</v>
      </c>
      <c r="AJ53" s="106">
        <f t="shared" si="98"/>
        <v>243149</v>
      </c>
      <c r="AK53" s="106">
        <f t="shared" si="98"/>
        <v>0</v>
      </c>
      <c r="AL53" s="106">
        <f t="shared" si="98"/>
        <v>253637</v>
      </c>
    </row>
    <row r="54" spans="1:38" s="109" customFormat="1" ht="16.5" thickBot="1" x14ac:dyDescent="0.3">
      <c r="A54" s="141" t="s">
        <v>738</v>
      </c>
      <c r="B54" s="141" t="s">
        <v>362</v>
      </c>
      <c r="C54" s="363">
        <v>167700</v>
      </c>
      <c r="D54" s="365">
        <v>293730</v>
      </c>
      <c r="E54" s="363"/>
      <c r="F54" s="366">
        <f>SUM(C54:E54)</f>
        <v>461430</v>
      </c>
      <c r="G54" s="366">
        <v>1421</v>
      </c>
      <c r="H54" s="366">
        <v>-245492</v>
      </c>
      <c r="I54" s="366"/>
      <c r="J54" s="366">
        <f>SUM(G54:I54)</f>
        <v>-244071</v>
      </c>
      <c r="K54" s="363">
        <f t="shared" si="93"/>
        <v>169121</v>
      </c>
      <c r="L54" s="366">
        <f t="shared" si="93"/>
        <v>48238</v>
      </c>
      <c r="M54" s="366">
        <f t="shared" si="93"/>
        <v>0</v>
      </c>
      <c r="N54" s="366">
        <f t="shared" si="94"/>
        <v>217359</v>
      </c>
      <c r="O54" s="363">
        <v>0</v>
      </c>
      <c r="P54" s="363"/>
      <c r="Q54" s="363"/>
      <c r="R54" s="130">
        <f>SUM(O54:Q54)</f>
        <v>0</v>
      </c>
      <c r="S54" s="690">
        <v>2235</v>
      </c>
      <c r="T54" s="690"/>
      <c r="U54" s="690"/>
      <c r="V54" s="690">
        <f>SUM(S54:U54)</f>
        <v>2235</v>
      </c>
      <c r="W54" s="690">
        <f t="shared" si="95"/>
        <v>2235</v>
      </c>
      <c r="X54" s="690">
        <f t="shared" si="95"/>
        <v>0</v>
      </c>
      <c r="Y54" s="690">
        <f t="shared" si="96"/>
        <v>0</v>
      </c>
      <c r="Z54" s="690">
        <f t="shared" si="97"/>
        <v>2235</v>
      </c>
      <c r="AA54" s="140">
        <f t="shared" si="98"/>
        <v>167700</v>
      </c>
      <c r="AB54" s="140">
        <f t="shared" si="98"/>
        <v>293730</v>
      </c>
      <c r="AC54" s="140">
        <f t="shared" si="98"/>
        <v>0</v>
      </c>
      <c r="AD54" s="140">
        <f t="shared" si="98"/>
        <v>461430</v>
      </c>
      <c r="AE54" s="140">
        <f t="shared" si="98"/>
        <v>3656</v>
      </c>
      <c r="AF54" s="140">
        <f t="shared" si="98"/>
        <v>-245492</v>
      </c>
      <c r="AG54" s="140">
        <f t="shared" si="98"/>
        <v>0</v>
      </c>
      <c r="AH54" s="140">
        <f t="shared" si="98"/>
        <v>-241836</v>
      </c>
      <c r="AI54" s="140">
        <f t="shared" si="98"/>
        <v>171356</v>
      </c>
      <c r="AJ54" s="140">
        <f t="shared" si="98"/>
        <v>48238</v>
      </c>
      <c r="AK54" s="140">
        <f t="shared" si="98"/>
        <v>0</v>
      </c>
      <c r="AL54" s="140">
        <f t="shared" si="98"/>
        <v>219594</v>
      </c>
    </row>
    <row r="55" spans="1:38" s="109" customFormat="1" ht="33" thickTop="1" thickBot="1" x14ac:dyDescent="0.3">
      <c r="A55" s="142" t="s">
        <v>1067</v>
      </c>
      <c r="B55" s="142"/>
      <c r="C55" s="145">
        <f t="shared" ref="C55:AL55" si="99">SUM(C53+C45+C44+C19)</f>
        <v>20141157</v>
      </c>
      <c r="D55" s="145">
        <f t="shared" si="99"/>
        <v>3134925</v>
      </c>
      <c r="E55" s="145">
        <f t="shared" si="99"/>
        <v>0</v>
      </c>
      <c r="F55" s="145">
        <f t="shared" si="99"/>
        <v>23276082</v>
      </c>
      <c r="G55" s="145">
        <f t="shared" si="99"/>
        <v>2959952</v>
      </c>
      <c r="H55" s="145">
        <f t="shared" si="99"/>
        <v>-2303395</v>
      </c>
      <c r="I55" s="145">
        <f t="shared" si="99"/>
        <v>0</v>
      </c>
      <c r="J55" s="145">
        <f t="shared" si="99"/>
        <v>656557</v>
      </c>
      <c r="K55" s="145">
        <f t="shared" si="99"/>
        <v>23101109</v>
      </c>
      <c r="L55" s="145">
        <f t="shared" si="99"/>
        <v>831530</v>
      </c>
      <c r="M55" s="145">
        <f t="shared" si="99"/>
        <v>0</v>
      </c>
      <c r="N55" s="145">
        <f t="shared" si="99"/>
        <v>23932639</v>
      </c>
      <c r="O55" s="145">
        <f t="shared" si="99"/>
        <v>2011674</v>
      </c>
      <c r="P55" s="145">
        <f t="shared" si="99"/>
        <v>872399</v>
      </c>
      <c r="Q55" s="145">
        <f t="shared" si="99"/>
        <v>70763</v>
      </c>
      <c r="R55" s="145">
        <f t="shared" si="99"/>
        <v>2954836</v>
      </c>
      <c r="S55" s="145">
        <f t="shared" si="99"/>
        <v>405524</v>
      </c>
      <c r="T55" s="145">
        <f t="shared" si="99"/>
        <v>55189</v>
      </c>
      <c r="U55" s="145">
        <f t="shared" si="99"/>
        <v>-959</v>
      </c>
      <c r="V55" s="145">
        <f t="shared" si="99"/>
        <v>459754</v>
      </c>
      <c r="W55" s="145">
        <f t="shared" si="99"/>
        <v>2417198</v>
      </c>
      <c r="X55" s="145">
        <f t="shared" si="99"/>
        <v>927588</v>
      </c>
      <c r="Y55" s="145">
        <f t="shared" si="99"/>
        <v>69804</v>
      </c>
      <c r="Z55" s="145">
        <f t="shared" si="99"/>
        <v>3414590</v>
      </c>
      <c r="AA55" s="145">
        <f t="shared" si="99"/>
        <v>22152831</v>
      </c>
      <c r="AB55" s="145">
        <f t="shared" si="99"/>
        <v>4007324</v>
      </c>
      <c r="AC55" s="145">
        <f t="shared" si="99"/>
        <v>70763</v>
      </c>
      <c r="AD55" s="145">
        <f t="shared" si="99"/>
        <v>26230918</v>
      </c>
      <c r="AE55" s="145">
        <f t="shared" si="99"/>
        <v>3365476</v>
      </c>
      <c r="AF55" s="145">
        <f t="shared" si="99"/>
        <v>-2248206</v>
      </c>
      <c r="AG55" s="145">
        <f t="shared" si="99"/>
        <v>-959</v>
      </c>
      <c r="AH55" s="145">
        <f t="shared" si="99"/>
        <v>1116311</v>
      </c>
      <c r="AI55" s="145">
        <f t="shared" si="99"/>
        <v>25518307</v>
      </c>
      <c r="AJ55" s="145">
        <f t="shared" si="99"/>
        <v>1759118</v>
      </c>
      <c r="AK55" s="145">
        <f t="shared" si="99"/>
        <v>69804</v>
      </c>
      <c r="AL55" s="145">
        <f t="shared" si="99"/>
        <v>27347229</v>
      </c>
    </row>
    <row r="56" spans="1:38" s="109" customFormat="1" ht="33" thickTop="1" thickBot="1" x14ac:dyDescent="0.3">
      <c r="A56" s="142" t="s">
        <v>1068</v>
      </c>
      <c r="B56" s="142"/>
      <c r="C56" s="145">
        <f t="shared" ref="C56:AD56" si="100">SUM(C22+C52+C54)</f>
        <v>2643080</v>
      </c>
      <c r="D56" s="145">
        <f t="shared" si="100"/>
        <v>14714883</v>
      </c>
      <c r="E56" s="145">
        <f t="shared" si="100"/>
        <v>0</v>
      </c>
      <c r="F56" s="145">
        <f t="shared" si="100"/>
        <v>17357963</v>
      </c>
      <c r="G56" s="145">
        <f t="shared" ref="G56:N56" si="101">SUM(G22+G52+G54)</f>
        <v>-1312457</v>
      </c>
      <c r="H56" s="145">
        <f t="shared" si="101"/>
        <v>-5224221</v>
      </c>
      <c r="I56" s="145">
        <f t="shared" si="101"/>
        <v>0</v>
      </c>
      <c r="J56" s="145">
        <f t="shared" si="101"/>
        <v>-6536678</v>
      </c>
      <c r="K56" s="145">
        <f t="shared" si="101"/>
        <v>1330623</v>
      </c>
      <c r="L56" s="145">
        <f t="shared" si="101"/>
        <v>9490662</v>
      </c>
      <c r="M56" s="145">
        <f t="shared" si="101"/>
        <v>0</v>
      </c>
      <c r="N56" s="145">
        <f t="shared" si="101"/>
        <v>10821285</v>
      </c>
      <c r="O56" s="145">
        <f t="shared" si="100"/>
        <v>0</v>
      </c>
      <c r="P56" s="145">
        <f t="shared" si="100"/>
        <v>0</v>
      </c>
      <c r="Q56" s="145">
        <f t="shared" si="100"/>
        <v>0</v>
      </c>
      <c r="R56" s="145">
        <f t="shared" si="100"/>
        <v>0</v>
      </c>
      <c r="S56" s="145">
        <f t="shared" ref="S56:Z56" si="102">SUM(S22+S52+S54)</f>
        <v>2257</v>
      </c>
      <c r="T56" s="145">
        <f t="shared" si="102"/>
        <v>0</v>
      </c>
      <c r="U56" s="145">
        <f t="shared" si="102"/>
        <v>0</v>
      </c>
      <c r="V56" s="145">
        <f t="shared" si="102"/>
        <v>2257</v>
      </c>
      <c r="W56" s="145">
        <f t="shared" si="102"/>
        <v>2257</v>
      </c>
      <c r="X56" s="145">
        <f t="shared" si="102"/>
        <v>0</v>
      </c>
      <c r="Y56" s="145">
        <f t="shared" si="102"/>
        <v>0</v>
      </c>
      <c r="Z56" s="145">
        <f t="shared" si="102"/>
        <v>2257</v>
      </c>
      <c r="AA56" s="145">
        <f t="shared" si="100"/>
        <v>2643080</v>
      </c>
      <c r="AB56" s="145">
        <f t="shared" si="100"/>
        <v>14714883</v>
      </c>
      <c r="AC56" s="145">
        <f t="shared" si="100"/>
        <v>0</v>
      </c>
      <c r="AD56" s="145">
        <f t="shared" si="100"/>
        <v>17357963</v>
      </c>
      <c r="AE56" s="145">
        <f t="shared" ref="AE56:AL56" si="103">SUM(AE22+AE52+AE54)</f>
        <v>-1310200</v>
      </c>
      <c r="AF56" s="145">
        <f t="shared" si="103"/>
        <v>-5224221</v>
      </c>
      <c r="AG56" s="145">
        <f t="shared" si="103"/>
        <v>0</v>
      </c>
      <c r="AH56" s="145">
        <f t="shared" si="103"/>
        <v>-6534421</v>
      </c>
      <c r="AI56" s="145">
        <f t="shared" si="103"/>
        <v>1332880</v>
      </c>
      <c r="AJ56" s="145">
        <f t="shared" si="103"/>
        <v>9490662</v>
      </c>
      <c r="AK56" s="145">
        <f t="shared" si="103"/>
        <v>0</v>
      </c>
      <c r="AL56" s="145">
        <f t="shared" si="103"/>
        <v>10823542</v>
      </c>
    </row>
    <row r="57" spans="1:38" ht="33" thickTop="1" thickBot="1" x14ac:dyDescent="0.3">
      <c r="A57" s="142" t="s">
        <v>1069</v>
      </c>
      <c r="B57" s="142" t="s">
        <v>612</v>
      </c>
      <c r="C57" s="132">
        <f>SUM(C55+C56)</f>
        <v>22784237</v>
      </c>
      <c r="D57" s="132">
        <f t="shared" ref="D57:AL57" si="104">SUM(D55+D56)</f>
        <v>17849808</v>
      </c>
      <c r="E57" s="132">
        <f t="shared" si="104"/>
        <v>0</v>
      </c>
      <c r="F57" s="132">
        <f t="shared" si="104"/>
        <v>40634045</v>
      </c>
      <c r="G57" s="132">
        <f t="shared" si="104"/>
        <v>1647495</v>
      </c>
      <c r="H57" s="132">
        <f t="shared" si="104"/>
        <v>-7527616</v>
      </c>
      <c r="I57" s="132">
        <f t="shared" si="104"/>
        <v>0</v>
      </c>
      <c r="J57" s="132">
        <f t="shared" si="104"/>
        <v>-5880121</v>
      </c>
      <c r="K57" s="132">
        <f t="shared" si="104"/>
        <v>24431732</v>
      </c>
      <c r="L57" s="132">
        <f t="shared" si="104"/>
        <v>10322192</v>
      </c>
      <c r="M57" s="132">
        <f t="shared" si="104"/>
        <v>0</v>
      </c>
      <c r="N57" s="132">
        <f t="shared" si="104"/>
        <v>34753924</v>
      </c>
      <c r="O57" s="132">
        <f t="shared" si="104"/>
        <v>2011674</v>
      </c>
      <c r="P57" s="132">
        <f t="shared" si="104"/>
        <v>872399</v>
      </c>
      <c r="Q57" s="132">
        <f t="shared" si="104"/>
        <v>70763</v>
      </c>
      <c r="R57" s="132">
        <f t="shared" si="104"/>
        <v>2954836</v>
      </c>
      <c r="S57" s="132">
        <f t="shared" si="104"/>
        <v>407781</v>
      </c>
      <c r="T57" s="132">
        <f t="shared" si="104"/>
        <v>55189</v>
      </c>
      <c r="U57" s="132">
        <f t="shared" si="104"/>
        <v>-959</v>
      </c>
      <c r="V57" s="132">
        <f t="shared" si="104"/>
        <v>462011</v>
      </c>
      <c r="W57" s="132">
        <f t="shared" si="104"/>
        <v>2419455</v>
      </c>
      <c r="X57" s="132">
        <f t="shared" si="104"/>
        <v>927588</v>
      </c>
      <c r="Y57" s="132">
        <f t="shared" si="104"/>
        <v>69804</v>
      </c>
      <c r="Z57" s="132">
        <f t="shared" si="104"/>
        <v>3416847</v>
      </c>
      <c r="AA57" s="132">
        <f t="shared" si="104"/>
        <v>24795911</v>
      </c>
      <c r="AB57" s="132">
        <f t="shared" si="104"/>
        <v>18722207</v>
      </c>
      <c r="AC57" s="132">
        <f t="shared" si="104"/>
        <v>70763</v>
      </c>
      <c r="AD57" s="132">
        <f t="shared" si="104"/>
        <v>43588881</v>
      </c>
      <c r="AE57" s="132">
        <f t="shared" si="104"/>
        <v>2055276</v>
      </c>
      <c r="AF57" s="132">
        <f t="shared" si="104"/>
        <v>-7472427</v>
      </c>
      <c r="AG57" s="132">
        <f t="shared" si="104"/>
        <v>-959</v>
      </c>
      <c r="AH57" s="132">
        <f t="shared" si="104"/>
        <v>-5418110</v>
      </c>
      <c r="AI57" s="132">
        <f t="shared" si="104"/>
        <v>26851187</v>
      </c>
      <c r="AJ57" s="132">
        <f t="shared" si="104"/>
        <v>11249780</v>
      </c>
      <c r="AK57" s="132">
        <f t="shared" si="104"/>
        <v>69804</v>
      </c>
      <c r="AL57" s="132">
        <f t="shared" si="104"/>
        <v>38170771</v>
      </c>
    </row>
    <row r="58" spans="1:38" ht="17.25" thickTop="1" thickBot="1" x14ac:dyDescent="0.3">
      <c r="A58" s="142"/>
      <c r="B58" s="346"/>
      <c r="C58" s="143"/>
      <c r="D58" s="342"/>
      <c r="E58" s="143"/>
      <c r="F58" s="144"/>
      <c r="G58" s="144"/>
      <c r="H58" s="144"/>
      <c r="I58" s="144"/>
      <c r="J58" s="144"/>
      <c r="K58" s="144"/>
      <c r="L58" s="144"/>
      <c r="M58" s="144"/>
      <c r="N58" s="144"/>
      <c r="O58" s="145"/>
      <c r="P58" s="145"/>
      <c r="Q58" s="145"/>
      <c r="R58" s="145"/>
      <c r="S58" s="145"/>
      <c r="T58" s="145"/>
      <c r="U58" s="145"/>
      <c r="V58" s="145"/>
      <c r="W58" s="145"/>
      <c r="X58" s="145"/>
      <c r="Y58" s="145"/>
      <c r="Z58" s="145"/>
      <c r="AA58" s="146"/>
      <c r="AB58" s="145"/>
      <c r="AC58" s="145"/>
      <c r="AD58" s="145"/>
      <c r="AE58" s="146"/>
      <c r="AF58" s="145"/>
      <c r="AG58" s="145"/>
      <c r="AH58" s="145"/>
      <c r="AI58" s="146"/>
      <c r="AJ58" s="145"/>
      <c r="AK58" s="145"/>
      <c r="AL58" s="145"/>
    </row>
    <row r="59" spans="1:38" ht="32.25" thickTop="1" x14ac:dyDescent="0.25">
      <c r="A59" s="150" t="s">
        <v>671</v>
      </c>
      <c r="B59" s="150"/>
      <c r="C59" s="401"/>
      <c r="D59" s="402"/>
      <c r="E59" s="519"/>
      <c r="F59" s="523">
        <f>F60-F61</f>
        <v>-353284</v>
      </c>
      <c r="G59" s="529"/>
      <c r="H59" s="402"/>
      <c r="I59" s="402"/>
      <c r="J59" s="529">
        <f>J60-J61</f>
        <v>24638</v>
      </c>
      <c r="K59" s="401"/>
      <c r="L59" s="402"/>
      <c r="M59" s="402"/>
      <c r="N59" s="523">
        <f>N60-N61</f>
        <v>-328646</v>
      </c>
      <c r="O59" s="691"/>
      <c r="P59" s="402"/>
      <c r="Q59" s="402"/>
      <c r="R59" s="523">
        <f>R60-R61</f>
        <v>-10245455</v>
      </c>
      <c r="S59" s="691"/>
      <c r="T59" s="402"/>
      <c r="U59" s="402"/>
      <c r="V59" s="523">
        <f>V60-V61</f>
        <v>-152028</v>
      </c>
      <c r="W59" s="692"/>
      <c r="X59" s="402"/>
      <c r="Y59" s="402"/>
      <c r="Z59" s="693">
        <f>Z60-Z61</f>
        <v>-10397483</v>
      </c>
      <c r="AA59" s="401"/>
      <c r="AB59" s="402"/>
      <c r="AC59" s="402"/>
      <c r="AD59" s="523">
        <f>AD60-AD61</f>
        <v>-10598739</v>
      </c>
      <c r="AE59" s="401"/>
      <c r="AF59" s="402"/>
      <c r="AG59" s="402"/>
      <c r="AH59" s="523">
        <f t="shared" ref="AH59" si="105">AH60-AH61</f>
        <v>-127390</v>
      </c>
      <c r="AI59" s="401"/>
      <c r="AJ59" s="402"/>
      <c r="AK59" s="402"/>
      <c r="AL59" s="523">
        <f t="shared" ref="AL59" si="106">AL60-AL61</f>
        <v>-10726129</v>
      </c>
    </row>
    <row r="60" spans="1:38" x14ac:dyDescent="0.25">
      <c r="A60" s="530" t="s">
        <v>475</v>
      </c>
      <c r="B60" s="530" t="s">
        <v>612</v>
      </c>
      <c r="C60" s="403"/>
      <c r="D60" s="404"/>
      <c r="E60" s="520"/>
      <c r="F60" s="524">
        <f>SUM(F57)</f>
        <v>40634045</v>
      </c>
      <c r="G60" s="531"/>
      <c r="H60" s="404"/>
      <c r="I60" s="404"/>
      <c r="J60" s="531">
        <f>SUM(J57)</f>
        <v>-5880121</v>
      </c>
      <c r="K60" s="403"/>
      <c r="L60" s="404"/>
      <c r="M60" s="404"/>
      <c r="N60" s="524">
        <f>SUM(N57)</f>
        <v>34753924</v>
      </c>
      <c r="O60" s="694"/>
      <c r="P60" s="404"/>
      <c r="Q60" s="404"/>
      <c r="R60" s="524">
        <f>SUM(R57)</f>
        <v>2954836</v>
      </c>
      <c r="S60" s="694"/>
      <c r="T60" s="404"/>
      <c r="U60" s="404"/>
      <c r="V60" s="524">
        <f>SUM(V57)</f>
        <v>462011</v>
      </c>
      <c r="W60" s="695"/>
      <c r="X60" s="404"/>
      <c r="Y60" s="404"/>
      <c r="Z60" s="696">
        <f>SUM(Z57)</f>
        <v>3416847</v>
      </c>
      <c r="AA60" s="403"/>
      <c r="AB60" s="404"/>
      <c r="AC60" s="404"/>
      <c r="AD60" s="524">
        <f>SUM(AD57)</f>
        <v>43588881</v>
      </c>
      <c r="AE60" s="403"/>
      <c r="AF60" s="404"/>
      <c r="AG60" s="404"/>
      <c r="AH60" s="524">
        <f t="shared" ref="AH60" si="107">SUM(AH57)</f>
        <v>-5418110</v>
      </c>
      <c r="AI60" s="403"/>
      <c r="AJ60" s="404"/>
      <c r="AK60" s="404"/>
      <c r="AL60" s="524">
        <f t="shared" ref="AL60" si="108">SUM(AL57)</f>
        <v>38170771</v>
      </c>
    </row>
    <row r="61" spans="1:38" x14ac:dyDescent="0.25">
      <c r="A61" s="530" t="s">
        <v>476</v>
      </c>
      <c r="B61" s="530" t="s">
        <v>608</v>
      </c>
      <c r="C61" s="153"/>
      <c r="D61" s="405"/>
      <c r="E61" s="521"/>
      <c r="F61" s="525">
        <f>'2 kiadás (kötelező, önként)'!F22</f>
        <v>40987329</v>
      </c>
      <c r="G61" s="409"/>
      <c r="H61" s="405"/>
      <c r="I61" s="405"/>
      <c r="J61" s="409">
        <f>'2 kiadás (kötelező, önként)'!J22</f>
        <v>-5904759</v>
      </c>
      <c r="K61" s="153"/>
      <c r="L61" s="405"/>
      <c r="M61" s="405"/>
      <c r="N61" s="525">
        <f>SUM(J61+F61)</f>
        <v>35082570</v>
      </c>
      <c r="O61" s="697"/>
      <c r="P61" s="405"/>
      <c r="Q61" s="405"/>
      <c r="R61" s="525">
        <f>'2 kiadás (kötelező, önként)'!R22</f>
        <v>13200291</v>
      </c>
      <c r="S61" s="697"/>
      <c r="T61" s="405"/>
      <c r="U61" s="405"/>
      <c r="V61" s="525">
        <f>'2 kiadás (kötelező, önként)'!V22</f>
        <v>614039</v>
      </c>
      <c r="W61" s="698"/>
      <c r="X61" s="405"/>
      <c r="Y61" s="405"/>
      <c r="Z61" s="532">
        <f>'2 kiadás (kötelező, önként)'!Z22</f>
        <v>13814330</v>
      </c>
      <c r="AA61" s="153"/>
      <c r="AB61" s="405"/>
      <c r="AC61" s="405"/>
      <c r="AD61" s="534">
        <f>'2 kiadás (kötelező, önként)'!AD22</f>
        <v>54187620</v>
      </c>
      <c r="AE61" s="153"/>
      <c r="AF61" s="405"/>
      <c r="AG61" s="405"/>
      <c r="AH61" s="534">
        <f>'2 kiadás (kötelező, önként)'!AH22</f>
        <v>-5290720</v>
      </c>
      <c r="AI61" s="153"/>
      <c r="AJ61" s="405"/>
      <c r="AK61" s="405"/>
      <c r="AL61" s="534">
        <f>'2 kiadás (kötelező, önként)'!AL22</f>
        <v>48896900</v>
      </c>
    </row>
    <row r="62" spans="1:38" x14ac:dyDescent="0.25">
      <c r="A62" s="154" t="s">
        <v>365</v>
      </c>
      <c r="B62" s="154"/>
      <c r="C62" s="347"/>
      <c r="D62" s="398"/>
      <c r="E62" s="522"/>
      <c r="F62" s="526"/>
      <c r="G62" s="400"/>
      <c r="H62" s="398"/>
      <c r="I62" s="398"/>
      <c r="J62" s="400"/>
      <c r="K62" s="347"/>
      <c r="L62" s="398"/>
      <c r="M62" s="398"/>
      <c r="N62" s="526"/>
      <c r="O62" s="699"/>
      <c r="P62" s="398"/>
      <c r="Q62" s="398"/>
      <c r="R62" s="526"/>
      <c r="S62" s="699"/>
      <c r="T62" s="398"/>
      <c r="U62" s="398"/>
      <c r="V62" s="526"/>
      <c r="W62" s="700"/>
      <c r="X62" s="398"/>
      <c r="Y62" s="398"/>
      <c r="Z62" s="701"/>
      <c r="AA62" s="347"/>
      <c r="AB62" s="398"/>
      <c r="AC62" s="398"/>
      <c r="AD62" s="526"/>
      <c r="AE62" s="347"/>
      <c r="AF62" s="398"/>
      <c r="AG62" s="398"/>
      <c r="AH62" s="526"/>
      <c r="AI62" s="347"/>
      <c r="AJ62" s="398"/>
      <c r="AK62" s="398"/>
      <c r="AL62" s="526"/>
    </row>
    <row r="63" spans="1:38" ht="31.5" x14ac:dyDescent="0.25">
      <c r="A63" s="155" t="s">
        <v>386</v>
      </c>
      <c r="B63" s="155"/>
      <c r="C63" s="406">
        <v>643386</v>
      </c>
      <c r="D63" s="152"/>
      <c r="E63" s="152"/>
      <c r="F63" s="533">
        <f>SUM(C63:E63)</f>
        <v>643386</v>
      </c>
      <c r="G63" s="399"/>
      <c r="H63" s="152"/>
      <c r="I63" s="152"/>
      <c r="J63" s="399">
        <f>SUM(G63:I63)</f>
        <v>0</v>
      </c>
      <c r="K63" s="406">
        <f t="shared" ref="K63:M64" si="109">SUM(G63+C63)</f>
        <v>643386</v>
      </c>
      <c r="L63" s="152">
        <f t="shared" si="109"/>
        <v>0</v>
      </c>
      <c r="M63" s="152">
        <f t="shared" si="109"/>
        <v>0</v>
      </c>
      <c r="N63" s="533">
        <f t="shared" ref="N63:N64" si="110">SUM(K63:M63)</f>
        <v>643386</v>
      </c>
      <c r="O63" s="406">
        <v>268277</v>
      </c>
      <c r="P63" s="152">
        <v>16441</v>
      </c>
      <c r="Q63" s="152"/>
      <c r="R63" s="533">
        <f>SUM(O63:Q63)</f>
        <v>284718</v>
      </c>
      <c r="S63" s="702"/>
      <c r="T63" s="152"/>
      <c r="U63" s="152"/>
      <c r="V63" s="533">
        <f>SUM(S63:U63)</f>
        <v>0</v>
      </c>
      <c r="W63" s="703">
        <f>SUM(S63+O63)</f>
        <v>268277</v>
      </c>
      <c r="X63" s="152">
        <f>SUM(T63+P63)</f>
        <v>16441</v>
      </c>
      <c r="Y63" s="152">
        <f>SUM(Q63+U63)</f>
        <v>0</v>
      </c>
      <c r="Z63" s="534">
        <f>SUM(W63:Y63)</f>
        <v>284718</v>
      </c>
      <c r="AA63" s="406">
        <f t="shared" ref="AA63:AC64" si="111">SUM(O63+C63)</f>
        <v>911663</v>
      </c>
      <c r="AB63" s="152">
        <f t="shared" si="111"/>
        <v>16441</v>
      </c>
      <c r="AC63" s="152">
        <f t="shared" si="111"/>
        <v>0</v>
      </c>
      <c r="AD63" s="534">
        <f>SUM(AA63:AC63)</f>
        <v>928104</v>
      </c>
      <c r="AE63" s="406">
        <f t="shared" ref="AE63:AG64" si="112">SUM(S63+G63)</f>
        <v>0</v>
      </c>
      <c r="AF63" s="152">
        <f t="shared" si="112"/>
        <v>0</v>
      </c>
      <c r="AG63" s="152">
        <f t="shared" si="112"/>
        <v>0</v>
      </c>
      <c r="AH63" s="534">
        <f t="shared" ref="AH63:AH64" si="113">SUM(AE63:AG63)</f>
        <v>0</v>
      </c>
      <c r="AI63" s="406">
        <f t="shared" ref="AI63:AK64" si="114">SUM(W63+K63)</f>
        <v>911663</v>
      </c>
      <c r="AJ63" s="152">
        <f t="shared" si="114"/>
        <v>16441</v>
      </c>
      <c r="AK63" s="152">
        <f t="shared" si="114"/>
        <v>0</v>
      </c>
      <c r="AL63" s="534">
        <f t="shared" ref="AL63:AL64" si="115">SUM(AI63:AK63)</f>
        <v>928104</v>
      </c>
    </row>
    <row r="64" spans="1:38" ht="31.5" x14ac:dyDescent="0.25">
      <c r="A64" s="155" t="s">
        <v>363</v>
      </c>
      <c r="B64" s="155"/>
      <c r="C64" s="406"/>
      <c r="D64" s="152"/>
      <c r="E64" s="152"/>
      <c r="F64" s="533">
        <f>SUM(C64:E64)</f>
        <v>0</v>
      </c>
      <c r="G64" s="399"/>
      <c r="H64" s="152"/>
      <c r="I64" s="152"/>
      <c r="J64" s="399">
        <f>SUM(G64:I64)</f>
        <v>0</v>
      </c>
      <c r="K64" s="406">
        <f t="shared" si="109"/>
        <v>0</v>
      </c>
      <c r="L64" s="152">
        <f t="shared" si="109"/>
        <v>0</v>
      </c>
      <c r="M64" s="152">
        <f t="shared" si="109"/>
        <v>0</v>
      </c>
      <c r="N64" s="533">
        <f t="shared" si="110"/>
        <v>0</v>
      </c>
      <c r="O64" s="406"/>
      <c r="P64" s="152"/>
      <c r="Q64" s="152"/>
      <c r="R64" s="533">
        <f>SUM(O64:Q64)</f>
        <v>0</v>
      </c>
      <c r="S64" s="702"/>
      <c r="T64" s="152"/>
      <c r="U64" s="152"/>
      <c r="V64" s="533">
        <f>SUM(S64:U64)</f>
        <v>0</v>
      </c>
      <c r="W64" s="703">
        <f>SUM(S64+O64)</f>
        <v>0</v>
      </c>
      <c r="X64" s="152">
        <f>SUM(T64+P64)</f>
        <v>0</v>
      </c>
      <c r="Y64" s="152">
        <f>SUM(Q64+U64)</f>
        <v>0</v>
      </c>
      <c r="Z64" s="534">
        <f>SUM(W64:Y64)</f>
        <v>0</v>
      </c>
      <c r="AA64" s="406">
        <f t="shared" si="111"/>
        <v>0</v>
      </c>
      <c r="AB64" s="152">
        <f t="shared" si="111"/>
        <v>0</v>
      </c>
      <c r="AC64" s="152">
        <f t="shared" si="111"/>
        <v>0</v>
      </c>
      <c r="AD64" s="534">
        <f>SUM(AA64:AC64)</f>
        <v>0</v>
      </c>
      <c r="AE64" s="406">
        <f t="shared" si="112"/>
        <v>0</v>
      </c>
      <c r="AF64" s="152">
        <f t="shared" si="112"/>
        <v>0</v>
      </c>
      <c r="AG64" s="152">
        <f t="shared" si="112"/>
        <v>0</v>
      </c>
      <c r="AH64" s="534">
        <f t="shared" si="113"/>
        <v>0</v>
      </c>
      <c r="AI64" s="406">
        <f t="shared" si="114"/>
        <v>0</v>
      </c>
      <c r="AJ64" s="152">
        <f t="shared" si="114"/>
        <v>0</v>
      </c>
      <c r="AK64" s="152">
        <f t="shared" si="114"/>
        <v>0</v>
      </c>
      <c r="AL64" s="534">
        <f t="shared" si="115"/>
        <v>0</v>
      </c>
    </row>
    <row r="65" spans="1:38" x14ac:dyDescent="0.25">
      <c r="A65" s="151" t="s">
        <v>364</v>
      </c>
      <c r="B65" s="151" t="s">
        <v>453</v>
      </c>
      <c r="C65" s="153">
        <f t="shared" ref="C65:AL65" si="116">SUM(C63:C64)</f>
        <v>643386</v>
      </c>
      <c r="D65" s="405">
        <f t="shared" si="116"/>
        <v>0</v>
      </c>
      <c r="E65" s="405">
        <f t="shared" si="116"/>
        <v>0</v>
      </c>
      <c r="F65" s="532">
        <f t="shared" si="116"/>
        <v>643386</v>
      </c>
      <c r="G65" s="409">
        <f t="shared" si="116"/>
        <v>0</v>
      </c>
      <c r="H65" s="405">
        <f t="shared" si="116"/>
        <v>0</v>
      </c>
      <c r="I65" s="405">
        <f t="shared" si="116"/>
        <v>0</v>
      </c>
      <c r="J65" s="532">
        <f t="shared" si="116"/>
        <v>0</v>
      </c>
      <c r="K65" s="409">
        <f t="shared" si="116"/>
        <v>643386</v>
      </c>
      <c r="L65" s="405">
        <f t="shared" si="116"/>
        <v>0</v>
      </c>
      <c r="M65" s="405">
        <f t="shared" si="116"/>
        <v>0</v>
      </c>
      <c r="N65" s="532">
        <f t="shared" si="116"/>
        <v>643386</v>
      </c>
      <c r="O65" s="697">
        <f t="shared" si="116"/>
        <v>268277</v>
      </c>
      <c r="P65" s="405">
        <f t="shared" si="116"/>
        <v>16441</v>
      </c>
      <c r="Q65" s="405">
        <f t="shared" si="116"/>
        <v>0</v>
      </c>
      <c r="R65" s="525">
        <f t="shared" si="116"/>
        <v>284718</v>
      </c>
      <c r="S65" s="521">
        <f t="shared" si="116"/>
        <v>0</v>
      </c>
      <c r="T65" s="405">
        <f t="shared" si="116"/>
        <v>0</v>
      </c>
      <c r="U65" s="405">
        <f t="shared" si="116"/>
        <v>0</v>
      </c>
      <c r="V65" s="532">
        <f t="shared" si="116"/>
        <v>0</v>
      </c>
      <c r="W65" s="521">
        <f t="shared" si="116"/>
        <v>268277</v>
      </c>
      <c r="X65" s="405">
        <f t="shared" si="116"/>
        <v>16441</v>
      </c>
      <c r="Y65" s="405">
        <f t="shared" si="116"/>
        <v>0</v>
      </c>
      <c r="Z65" s="532">
        <f t="shared" si="116"/>
        <v>284718</v>
      </c>
      <c r="AA65" s="153">
        <f t="shared" si="116"/>
        <v>911663</v>
      </c>
      <c r="AB65" s="405">
        <f t="shared" si="116"/>
        <v>16441</v>
      </c>
      <c r="AC65" s="405">
        <f t="shared" si="116"/>
        <v>0</v>
      </c>
      <c r="AD65" s="532">
        <f t="shared" si="116"/>
        <v>928104</v>
      </c>
      <c r="AE65" s="153">
        <f t="shared" si="116"/>
        <v>0</v>
      </c>
      <c r="AF65" s="405">
        <f t="shared" si="116"/>
        <v>0</v>
      </c>
      <c r="AG65" s="405">
        <f t="shared" si="116"/>
        <v>0</v>
      </c>
      <c r="AH65" s="532">
        <f t="shared" si="116"/>
        <v>0</v>
      </c>
      <c r="AI65" s="153">
        <f t="shared" si="116"/>
        <v>911663</v>
      </c>
      <c r="AJ65" s="405">
        <f t="shared" si="116"/>
        <v>16441</v>
      </c>
      <c r="AK65" s="405">
        <f t="shared" si="116"/>
        <v>0</v>
      </c>
      <c r="AL65" s="532">
        <f t="shared" si="116"/>
        <v>928104</v>
      </c>
    </row>
    <row r="66" spans="1:38" x14ac:dyDescent="0.25">
      <c r="A66" s="535" t="s">
        <v>1402</v>
      </c>
      <c r="B66" s="535" t="s">
        <v>1403</v>
      </c>
      <c r="C66" s="536"/>
      <c r="D66" s="537"/>
      <c r="E66" s="537"/>
      <c r="F66" s="538">
        <f t="shared" ref="F66:F67" si="117">SUM(C66:E66)</f>
        <v>0</v>
      </c>
      <c r="G66" s="539">
        <v>127390</v>
      </c>
      <c r="H66" s="537"/>
      <c r="I66" s="537"/>
      <c r="J66" s="539">
        <f>SUM(G66:I66)</f>
        <v>127390</v>
      </c>
      <c r="K66" s="704">
        <f t="shared" ref="K66:M69" si="118">SUM(G66+C66)</f>
        <v>127390</v>
      </c>
      <c r="L66" s="537">
        <f t="shared" si="118"/>
        <v>0</v>
      </c>
      <c r="M66" s="537">
        <f t="shared" si="118"/>
        <v>0</v>
      </c>
      <c r="N66" s="538">
        <f t="shared" ref="N66:N69" si="119">SUM(K66:M66)</f>
        <v>127390</v>
      </c>
      <c r="O66" s="704"/>
      <c r="P66" s="537"/>
      <c r="Q66" s="537"/>
      <c r="R66" s="540">
        <f>SUM(O66:Q66)</f>
        <v>0</v>
      </c>
      <c r="S66" s="539"/>
      <c r="T66" s="537"/>
      <c r="U66" s="537"/>
      <c r="V66" s="538">
        <f>SUM(S66:U66)</f>
        <v>0</v>
      </c>
      <c r="W66" s="539">
        <f t="shared" ref="W66:X69" si="120">SUM(S66+O66)</f>
        <v>0</v>
      </c>
      <c r="X66" s="537">
        <f t="shared" si="120"/>
        <v>0</v>
      </c>
      <c r="Y66" s="537">
        <f t="shared" ref="Y66:Y69" si="121">SUM(Q66+U66)</f>
        <v>0</v>
      </c>
      <c r="Z66" s="538">
        <f>SUM(W66:Y66)</f>
        <v>0</v>
      </c>
      <c r="AA66" s="536">
        <f t="shared" ref="AA66:AC69" si="122">SUM(O66+C66)</f>
        <v>0</v>
      </c>
      <c r="AB66" s="537">
        <f t="shared" si="122"/>
        <v>0</v>
      </c>
      <c r="AC66" s="537"/>
      <c r="AD66" s="538">
        <f t="shared" ref="AD66" si="123">SUM(AA66:AC66)</f>
        <v>0</v>
      </c>
      <c r="AE66" s="536">
        <f t="shared" ref="AE66:AG69" si="124">SUM(S66+G66)</f>
        <v>127390</v>
      </c>
      <c r="AF66" s="537">
        <f t="shared" si="124"/>
        <v>0</v>
      </c>
      <c r="AG66" s="537"/>
      <c r="AH66" s="538">
        <f t="shared" ref="AH66:AH69" si="125">SUM(AE66:AG66)</f>
        <v>127390</v>
      </c>
      <c r="AI66" s="536">
        <f t="shared" ref="AI66:AJ66" si="126">SUM(W66+K66)</f>
        <v>127390</v>
      </c>
      <c r="AJ66" s="537">
        <f t="shared" si="126"/>
        <v>0</v>
      </c>
      <c r="AK66" s="537"/>
      <c r="AL66" s="538">
        <f t="shared" ref="AL66:AL69" si="127">SUM(AI66:AK66)</f>
        <v>127390</v>
      </c>
    </row>
    <row r="67" spans="1:38" s="109" customFormat="1" x14ac:dyDescent="0.25">
      <c r="A67" s="535" t="s">
        <v>672</v>
      </c>
      <c r="B67" s="535" t="s">
        <v>673</v>
      </c>
      <c r="C67" s="536"/>
      <c r="D67" s="537"/>
      <c r="E67" s="537"/>
      <c r="F67" s="538">
        <f t="shared" si="117"/>
        <v>0</v>
      </c>
      <c r="G67" s="539"/>
      <c r="H67" s="537"/>
      <c r="I67" s="537"/>
      <c r="J67" s="539">
        <f>SUM(G67:I67)</f>
        <v>0</v>
      </c>
      <c r="K67" s="704">
        <f t="shared" si="118"/>
        <v>0</v>
      </c>
      <c r="L67" s="537">
        <f t="shared" si="118"/>
        <v>0</v>
      </c>
      <c r="M67" s="537">
        <f t="shared" si="118"/>
        <v>0</v>
      </c>
      <c r="N67" s="538">
        <f t="shared" si="119"/>
        <v>0</v>
      </c>
      <c r="O67" s="704">
        <v>7653057</v>
      </c>
      <c r="P67" s="537">
        <v>1551842</v>
      </c>
      <c r="Q67" s="537">
        <v>755838</v>
      </c>
      <c r="R67" s="540">
        <f>SUM(O67:Q67)</f>
        <v>9960737</v>
      </c>
      <c r="S67" s="704">
        <v>83766</v>
      </c>
      <c r="T67" s="537">
        <v>67753</v>
      </c>
      <c r="U67" s="537">
        <v>509</v>
      </c>
      <c r="V67" s="538">
        <f>SUM(S67:U67)</f>
        <v>152028</v>
      </c>
      <c r="W67" s="539">
        <f t="shared" si="120"/>
        <v>7736823</v>
      </c>
      <c r="X67" s="537">
        <f t="shared" si="120"/>
        <v>1619595</v>
      </c>
      <c r="Y67" s="537">
        <f t="shared" si="121"/>
        <v>756347</v>
      </c>
      <c r="Z67" s="538">
        <f>SUM(W67:Y67)</f>
        <v>10112765</v>
      </c>
      <c r="AA67" s="536">
        <f>SUM(O67+C67)</f>
        <v>7653057</v>
      </c>
      <c r="AB67" s="537">
        <f t="shared" si="122"/>
        <v>1551842</v>
      </c>
      <c r="AC67" s="537">
        <f t="shared" si="122"/>
        <v>755838</v>
      </c>
      <c r="AD67" s="538">
        <f>SUM(AA67:AC67)</f>
        <v>9960737</v>
      </c>
      <c r="AE67" s="536">
        <f t="shared" si="124"/>
        <v>83766</v>
      </c>
      <c r="AF67" s="537">
        <f t="shared" si="124"/>
        <v>67753</v>
      </c>
      <c r="AG67" s="537">
        <f t="shared" si="124"/>
        <v>509</v>
      </c>
      <c r="AH67" s="538">
        <f t="shared" si="125"/>
        <v>152028</v>
      </c>
      <c r="AI67" s="536">
        <f>SUM(W67+K67)</f>
        <v>7736823</v>
      </c>
      <c r="AJ67" s="537">
        <f>SUM(X67+L67)</f>
        <v>1619595</v>
      </c>
      <c r="AK67" s="537">
        <f>SUM(Y67+M67)</f>
        <v>756347</v>
      </c>
      <c r="AL67" s="538">
        <f t="shared" si="127"/>
        <v>10112765</v>
      </c>
    </row>
    <row r="68" spans="1:38" s="109" customFormat="1" x14ac:dyDescent="0.25">
      <c r="A68" s="535" t="s">
        <v>739</v>
      </c>
      <c r="B68" s="535" t="s">
        <v>674</v>
      </c>
      <c r="C68" s="536"/>
      <c r="D68" s="537">
        <v>6800000</v>
      </c>
      <c r="E68" s="537"/>
      <c r="F68" s="538">
        <f>SUM(C68:E68)</f>
        <v>6800000</v>
      </c>
      <c r="G68" s="539"/>
      <c r="H68" s="537"/>
      <c r="I68" s="537"/>
      <c r="J68" s="539">
        <f>SUM(G68:I68)</f>
        <v>0</v>
      </c>
      <c r="K68" s="704">
        <f t="shared" si="118"/>
        <v>0</v>
      </c>
      <c r="L68" s="537">
        <f t="shared" si="118"/>
        <v>6800000</v>
      </c>
      <c r="M68" s="537">
        <f t="shared" si="118"/>
        <v>0</v>
      </c>
      <c r="N68" s="538">
        <f t="shared" si="119"/>
        <v>6800000</v>
      </c>
      <c r="O68" s="704"/>
      <c r="P68" s="537"/>
      <c r="Q68" s="537"/>
      <c r="R68" s="540">
        <f>SUM(O68:Q68)</f>
        <v>0</v>
      </c>
      <c r="S68" s="704"/>
      <c r="T68" s="537"/>
      <c r="U68" s="537"/>
      <c r="V68" s="538">
        <f>SUM(S68:U68)</f>
        <v>0</v>
      </c>
      <c r="W68" s="539">
        <f t="shared" si="120"/>
        <v>0</v>
      </c>
      <c r="X68" s="537">
        <f t="shared" si="120"/>
        <v>0</v>
      </c>
      <c r="Y68" s="537">
        <f t="shared" si="121"/>
        <v>0</v>
      </c>
      <c r="Z68" s="538">
        <f>SUM(W68:Y68)</f>
        <v>0</v>
      </c>
      <c r="AA68" s="536">
        <f>SUM(O68+C68)</f>
        <v>0</v>
      </c>
      <c r="AB68" s="537">
        <f>SUM(P68+D68)</f>
        <v>6800000</v>
      </c>
      <c r="AC68" s="537">
        <f t="shared" si="122"/>
        <v>0</v>
      </c>
      <c r="AD68" s="538">
        <f>SUM(AA68:AC68)</f>
        <v>6800000</v>
      </c>
      <c r="AE68" s="536">
        <f t="shared" si="124"/>
        <v>0</v>
      </c>
      <c r="AF68" s="537">
        <f t="shared" si="124"/>
        <v>0</v>
      </c>
      <c r="AG68" s="537">
        <f t="shared" si="124"/>
        <v>0</v>
      </c>
      <c r="AH68" s="538">
        <f t="shared" si="125"/>
        <v>0</v>
      </c>
      <c r="AI68" s="536">
        <f t="shared" ref="AI68:AK69" si="128">SUM(W68+K68)</f>
        <v>0</v>
      </c>
      <c r="AJ68" s="537">
        <f t="shared" si="128"/>
        <v>6800000</v>
      </c>
      <c r="AK68" s="537">
        <f t="shared" si="128"/>
        <v>0</v>
      </c>
      <c r="AL68" s="538">
        <f t="shared" si="127"/>
        <v>6800000</v>
      </c>
    </row>
    <row r="69" spans="1:38" s="109" customFormat="1" ht="31.5" x14ac:dyDescent="0.25">
      <c r="A69" s="535" t="s">
        <v>1135</v>
      </c>
      <c r="B69" s="535" t="s">
        <v>1136</v>
      </c>
      <c r="C69" s="536"/>
      <c r="D69" s="537">
        <v>7800000</v>
      </c>
      <c r="E69" s="537"/>
      <c r="F69" s="538">
        <f>SUM(C69:E69)</f>
        <v>7800000</v>
      </c>
      <c r="G69" s="539"/>
      <c r="H69" s="537"/>
      <c r="I69" s="537"/>
      <c r="J69" s="525">
        <f>SUM(G69:I69)</f>
        <v>0</v>
      </c>
      <c r="K69" s="704">
        <f t="shared" si="118"/>
        <v>0</v>
      </c>
      <c r="L69" s="537">
        <f t="shared" si="118"/>
        <v>7800000</v>
      </c>
      <c r="M69" s="537">
        <f t="shared" si="118"/>
        <v>0</v>
      </c>
      <c r="N69" s="538">
        <f t="shared" si="119"/>
        <v>7800000</v>
      </c>
      <c r="O69" s="704"/>
      <c r="P69" s="537"/>
      <c r="Q69" s="537"/>
      <c r="R69" s="540">
        <f>SUM(O69:Q69)</f>
        <v>0</v>
      </c>
      <c r="S69" s="539"/>
      <c r="T69" s="537"/>
      <c r="U69" s="537"/>
      <c r="V69" s="538">
        <f>SUM(S69:U69)</f>
        <v>0</v>
      </c>
      <c r="W69" s="539">
        <f t="shared" si="120"/>
        <v>0</v>
      </c>
      <c r="X69" s="537">
        <f t="shared" si="120"/>
        <v>0</v>
      </c>
      <c r="Y69" s="537">
        <f t="shared" si="121"/>
        <v>0</v>
      </c>
      <c r="Z69" s="538">
        <f>SUM(W69:Y69)</f>
        <v>0</v>
      </c>
      <c r="AA69" s="536">
        <f>SUM(O69+C69)</f>
        <v>0</v>
      </c>
      <c r="AB69" s="537">
        <f>SUM(P69+D69)</f>
        <v>7800000</v>
      </c>
      <c r="AC69" s="537">
        <f t="shared" si="122"/>
        <v>0</v>
      </c>
      <c r="AD69" s="538">
        <f>SUM(AA69:AC69)</f>
        <v>7800000</v>
      </c>
      <c r="AE69" s="536">
        <f t="shared" si="124"/>
        <v>0</v>
      </c>
      <c r="AF69" s="537">
        <f t="shared" si="124"/>
        <v>0</v>
      </c>
      <c r="AG69" s="537">
        <f t="shared" si="124"/>
        <v>0</v>
      </c>
      <c r="AH69" s="538">
        <f t="shared" si="125"/>
        <v>0</v>
      </c>
      <c r="AI69" s="536">
        <f t="shared" si="128"/>
        <v>0</v>
      </c>
      <c r="AJ69" s="537">
        <f t="shared" si="128"/>
        <v>7800000</v>
      </c>
      <c r="AK69" s="537">
        <f t="shared" si="128"/>
        <v>0</v>
      </c>
      <c r="AL69" s="538">
        <f t="shared" si="127"/>
        <v>7800000</v>
      </c>
    </row>
    <row r="70" spans="1:38" s="119" customFormat="1" ht="31.5" x14ac:dyDescent="0.25">
      <c r="A70" s="541" t="s">
        <v>1404</v>
      </c>
      <c r="B70" s="541" t="s">
        <v>366</v>
      </c>
      <c r="C70" s="542">
        <f>SUM(C65:C69)</f>
        <v>643386</v>
      </c>
      <c r="D70" s="543">
        <f t="shared" ref="D70:N70" si="129">SUM(D65:D69)</f>
        <v>14600000</v>
      </c>
      <c r="E70" s="543">
        <f t="shared" si="129"/>
        <v>0</v>
      </c>
      <c r="F70" s="544">
        <f t="shared" si="129"/>
        <v>15243386</v>
      </c>
      <c r="G70" s="545">
        <f t="shared" si="129"/>
        <v>127390</v>
      </c>
      <c r="H70" s="561">
        <f t="shared" si="129"/>
        <v>0</v>
      </c>
      <c r="I70" s="561">
        <f t="shared" si="129"/>
        <v>0</v>
      </c>
      <c r="J70" s="544">
        <f t="shared" si="129"/>
        <v>127390</v>
      </c>
      <c r="K70" s="545">
        <f t="shared" si="129"/>
        <v>770776</v>
      </c>
      <c r="L70" s="561">
        <f t="shared" si="129"/>
        <v>14600000</v>
      </c>
      <c r="M70" s="561">
        <f t="shared" si="129"/>
        <v>0</v>
      </c>
      <c r="N70" s="544">
        <f t="shared" si="129"/>
        <v>15370776</v>
      </c>
      <c r="O70" s="705">
        <f>SUM(O65:O68)</f>
        <v>7921334</v>
      </c>
      <c r="P70" s="543">
        <f t="shared" ref="P70:Z70" si="130">SUM(P65:P68)</f>
        <v>1568283</v>
      </c>
      <c r="Q70" s="543">
        <f t="shared" si="130"/>
        <v>755838</v>
      </c>
      <c r="R70" s="546">
        <f t="shared" si="130"/>
        <v>10245455</v>
      </c>
      <c r="S70" s="706">
        <f t="shared" si="130"/>
        <v>83766</v>
      </c>
      <c r="T70" s="561">
        <f t="shared" si="130"/>
        <v>67753</v>
      </c>
      <c r="U70" s="561">
        <f t="shared" si="130"/>
        <v>509</v>
      </c>
      <c r="V70" s="544">
        <f t="shared" si="130"/>
        <v>152028</v>
      </c>
      <c r="W70" s="706">
        <f t="shared" si="130"/>
        <v>8005100</v>
      </c>
      <c r="X70" s="561">
        <f t="shared" si="130"/>
        <v>1636036</v>
      </c>
      <c r="Y70" s="561">
        <f t="shared" si="130"/>
        <v>756347</v>
      </c>
      <c r="Z70" s="544">
        <f t="shared" si="130"/>
        <v>10397483</v>
      </c>
      <c r="AA70" s="542">
        <f>SUM(AA65:AA69)</f>
        <v>8564720</v>
      </c>
      <c r="AB70" s="543">
        <f>SUM(AB65:AB69)</f>
        <v>16168283</v>
      </c>
      <c r="AC70" s="543">
        <f>SUM(AC65:AC69)</f>
        <v>755838</v>
      </c>
      <c r="AD70" s="544">
        <f>SUM(AD65:AD69)</f>
        <v>25488841</v>
      </c>
      <c r="AE70" s="705">
        <f>SUM(AE65:AE69)</f>
        <v>211156</v>
      </c>
      <c r="AF70" s="561">
        <f t="shared" ref="AF70:AL70" si="131">SUM(AF65:AF69)</f>
        <v>67753</v>
      </c>
      <c r="AG70" s="561">
        <f t="shared" si="131"/>
        <v>509</v>
      </c>
      <c r="AH70" s="707">
        <f t="shared" si="131"/>
        <v>279418</v>
      </c>
      <c r="AI70" s="705">
        <f t="shared" si="131"/>
        <v>8775876</v>
      </c>
      <c r="AJ70" s="561">
        <f t="shared" si="131"/>
        <v>16236036</v>
      </c>
      <c r="AK70" s="561">
        <f t="shared" si="131"/>
        <v>756347</v>
      </c>
      <c r="AL70" s="570">
        <f t="shared" si="131"/>
        <v>25768259</v>
      </c>
    </row>
    <row r="71" spans="1:38" s="119" customFormat="1" x14ac:dyDescent="0.25">
      <c r="A71" s="541" t="s">
        <v>675</v>
      </c>
      <c r="B71" s="541" t="s">
        <v>448</v>
      </c>
      <c r="C71" s="542">
        <v>7782422</v>
      </c>
      <c r="D71" s="543">
        <v>6351842</v>
      </c>
      <c r="E71" s="543">
        <v>755838</v>
      </c>
      <c r="F71" s="544">
        <f>SUM(C71:E71)</f>
        <v>14890102</v>
      </c>
      <c r="G71" s="545">
        <f>'2 kiadás (kötelező, önként)'!G27</f>
        <v>83766</v>
      </c>
      <c r="H71" s="561">
        <f>'2 kiadás (kötelező, önként)'!H27</f>
        <v>67753</v>
      </c>
      <c r="I71" s="561">
        <f>'2 kiadás (kötelező, önként)'!I27</f>
        <v>509</v>
      </c>
      <c r="J71" s="545">
        <f>SUM(G71:I71)</f>
        <v>152028</v>
      </c>
      <c r="K71" s="542">
        <f t="shared" ref="K71:M71" si="132">SUM(G71+C71)</f>
        <v>7866188</v>
      </c>
      <c r="L71" s="543">
        <f t="shared" si="132"/>
        <v>6419595</v>
      </c>
      <c r="M71" s="543">
        <f t="shared" si="132"/>
        <v>756347</v>
      </c>
      <c r="N71" s="546">
        <f t="shared" ref="N71" si="133">SUM(K71:M71)</f>
        <v>15042130</v>
      </c>
      <c r="O71" s="705"/>
      <c r="P71" s="543"/>
      <c r="Q71" s="543"/>
      <c r="R71" s="546">
        <f>SUM(O71:Q71)</f>
        <v>0</v>
      </c>
      <c r="S71" s="705"/>
      <c r="T71" s="543"/>
      <c r="U71" s="543"/>
      <c r="V71" s="546">
        <f>SUM(S71:U71)</f>
        <v>0</v>
      </c>
      <c r="W71" s="707">
        <f>SUM(S71+O71)</f>
        <v>0</v>
      </c>
      <c r="X71" s="543">
        <f>SUM(T71+P71)</f>
        <v>0</v>
      </c>
      <c r="Y71" s="543">
        <f>SUM(Q71+U71)</f>
        <v>0</v>
      </c>
      <c r="Z71" s="544">
        <f>SUM(W71:Y71)</f>
        <v>0</v>
      </c>
      <c r="AA71" s="542">
        <f>SUM(O71+C71)</f>
        <v>7782422</v>
      </c>
      <c r="AB71" s="543">
        <f>SUM(P71+D71)</f>
        <v>6351842</v>
      </c>
      <c r="AC71" s="543">
        <f>SUM(Q71+E71)</f>
        <v>755838</v>
      </c>
      <c r="AD71" s="544">
        <f>SUM(AA71:AC71)</f>
        <v>14890102</v>
      </c>
      <c r="AE71" s="542">
        <f t="shared" ref="AE71:AG71" si="134">SUM(S71+G71)</f>
        <v>83766</v>
      </c>
      <c r="AF71" s="543">
        <f t="shared" si="134"/>
        <v>67753</v>
      </c>
      <c r="AG71" s="543">
        <f t="shared" si="134"/>
        <v>509</v>
      </c>
      <c r="AH71" s="544">
        <f t="shared" ref="AH71" si="135">SUM(AE71:AG71)</f>
        <v>152028</v>
      </c>
      <c r="AI71" s="542">
        <f t="shared" ref="AI71:AK71" si="136">SUM(W71+K71)</f>
        <v>7866188</v>
      </c>
      <c r="AJ71" s="543">
        <f t="shared" si="136"/>
        <v>6419595</v>
      </c>
      <c r="AK71" s="543">
        <f t="shared" si="136"/>
        <v>756347</v>
      </c>
      <c r="AL71" s="544">
        <f t="shared" ref="AL71" si="137">SUM(AI71:AK71)</f>
        <v>15042130</v>
      </c>
    </row>
    <row r="72" spans="1:38" x14ac:dyDescent="0.25">
      <c r="A72" s="156" t="s">
        <v>676</v>
      </c>
      <c r="B72" s="156"/>
      <c r="C72" s="547"/>
      <c r="D72" s="548"/>
      <c r="E72" s="548"/>
      <c r="F72" s="549">
        <f>SUM(F70-F71)</f>
        <v>353284</v>
      </c>
      <c r="G72" s="550"/>
      <c r="H72" s="548"/>
      <c r="I72" s="548"/>
      <c r="J72" s="550">
        <f>SUM(J70-J71)</f>
        <v>-24638</v>
      </c>
      <c r="K72" s="547"/>
      <c r="L72" s="548"/>
      <c r="M72" s="548"/>
      <c r="N72" s="551">
        <f>SUM(N70-N71)</f>
        <v>328646</v>
      </c>
      <c r="O72" s="708"/>
      <c r="P72" s="548"/>
      <c r="Q72" s="548"/>
      <c r="R72" s="551">
        <f>SUM(R70-R71)</f>
        <v>10245455</v>
      </c>
      <c r="S72" s="708"/>
      <c r="T72" s="548"/>
      <c r="U72" s="548"/>
      <c r="V72" s="551">
        <f>SUM(V70-V71)</f>
        <v>152028</v>
      </c>
      <c r="W72" s="709"/>
      <c r="X72" s="548"/>
      <c r="Y72" s="548"/>
      <c r="Z72" s="549">
        <f>SUM(Z70-Z71)</f>
        <v>10397483</v>
      </c>
      <c r="AA72" s="547"/>
      <c r="AB72" s="548"/>
      <c r="AC72" s="548"/>
      <c r="AD72" s="549">
        <f>SUM(AD70-AD71)</f>
        <v>10598739</v>
      </c>
      <c r="AE72" s="547"/>
      <c r="AF72" s="548"/>
      <c r="AG72" s="548"/>
      <c r="AH72" s="549">
        <f t="shared" ref="AH72" si="138">SUM(AH70-AH71)</f>
        <v>127390</v>
      </c>
      <c r="AI72" s="547"/>
      <c r="AJ72" s="548"/>
      <c r="AK72" s="548"/>
      <c r="AL72" s="549">
        <f t="shared" ref="AL72" si="139">SUM(AL70-AL71)</f>
        <v>10726129</v>
      </c>
    </row>
    <row r="73" spans="1:38" s="157" customFormat="1" ht="16.5" thickBot="1" x14ac:dyDescent="0.3">
      <c r="A73" s="158" t="s">
        <v>677</v>
      </c>
      <c r="B73" s="158"/>
      <c r="C73" s="407"/>
      <c r="D73" s="408"/>
      <c r="E73" s="408"/>
      <c r="F73" s="552">
        <f>SUM(F59+F72)</f>
        <v>0</v>
      </c>
      <c r="G73" s="553"/>
      <c r="H73" s="408"/>
      <c r="I73" s="408"/>
      <c r="J73" s="553">
        <f>SUM(J59+J72)</f>
        <v>0</v>
      </c>
      <c r="K73" s="407"/>
      <c r="L73" s="408"/>
      <c r="M73" s="408"/>
      <c r="N73" s="527">
        <f>SUM(N59+N72)</f>
        <v>0</v>
      </c>
      <c r="O73" s="710"/>
      <c r="P73" s="408"/>
      <c r="Q73" s="408"/>
      <c r="R73" s="527">
        <f>SUM(R59+R72)</f>
        <v>0</v>
      </c>
      <c r="S73" s="710"/>
      <c r="T73" s="408"/>
      <c r="U73" s="408"/>
      <c r="V73" s="527">
        <f>SUM(V59+V72)</f>
        <v>0</v>
      </c>
      <c r="W73" s="711"/>
      <c r="X73" s="408"/>
      <c r="Y73" s="408"/>
      <c r="Z73" s="552">
        <f>SUM(Z59+Z72)</f>
        <v>0</v>
      </c>
      <c r="AA73" s="407"/>
      <c r="AB73" s="408"/>
      <c r="AC73" s="408"/>
      <c r="AD73" s="552">
        <f>SUM(AD59+AD72)</f>
        <v>0</v>
      </c>
      <c r="AE73" s="407"/>
      <c r="AF73" s="408"/>
      <c r="AG73" s="408"/>
      <c r="AH73" s="552">
        <f t="shared" ref="AH73" si="140">SUM(AH59+AH72)</f>
        <v>0</v>
      </c>
      <c r="AI73" s="407"/>
      <c r="AJ73" s="408"/>
      <c r="AK73" s="408"/>
      <c r="AL73" s="552">
        <f t="shared" ref="AL73" si="141">SUM(AL59+AL72)</f>
        <v>0</v>
      </c>
    </row>
    <row r="74" spans="1:38" s="157" customFormat="1" ht="29.25" customHeight="1" thickTop="1" x14ac:dyDescent="0.25">
      <c r="A74" s="159"/>
      <c r="B74" s="159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  <c r="Y74" s="159"/>
      <c r="Z74" s="159"/>
      <c r="AA74" s="159"/>
      <c r="AE74" s="159"/>
      <c r="AI74" s="159"/>
    </row>
    <row r="75" spans="1:38" s="157" customFormat="1" x14ac:dyDescent="0.25">
      <c r="A75" s="159"/>
      <c r="B75" s="159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  <c r="Y75" s="159"/>
      <c r="Z75" s="159"/>
      <c r="AA75" s="159"/>
      <c r="AB75" s="159"/>
      <c r="AC75" s="159"/>
      <c r="AD75" s="159"/>
      <c r="AE75" s="159"/>
      <c r="AF75" s="159"/>
      <c r="AG75" s="159"/>
      <c r="AH75" s="159"/>
      <c r="AI75" s="159"/>
      <c r="AJ75" s="159"/>
      <c r="AK75" s="159"/>
      <c r="AL75" s="159"/>
    </row>
    <row r="76" spans="1:38" s="157" customFormat="1" x14ac:dyDescent="0.25">
      <c r="A76" s="159"/>
    </row>
    <row r="77" spans="1:38" s="157" customFormat="1" x14ac:dyDescent="0.25">
      <c r="A77" s="159"/>
    </row>
    <row r="78" spans="1:38" s="157" customFormat="1" x14ac:dyDescent="0.25">
      <c r="A78" s="159"/>
    </row>
    <row r="79" spans="1:38" s="157" customFormat="1" x14ac:dyDescent="0.25"/>
    <row r="80" spans="1:38" s="157" customFormat="1" x14ac:dyDescent="0.25"/>
    <row r="81" spans="1:38" s="157" customFormat="1" x14ac:dyDescent="0.25">
      <c r="A81" s="160"/>
      <c r="B81" s="160"/>
    </row>
    <row r="82" spans="1:38" s="162" customFormat="1" x14ac:dyDescent="0.25">
      <c r="A82" s="161"/>
      <c r="B82" s="161"/>
      <c r="C82" s="157"/>
      <c r="D82" s="157"/>
      <c r="E82" s="157"/>
      <c r="F82" s="157"/>
      <c r="G82" s="157"/>
      <c r="H82" s="157"/>
      <c r="I82" s="157"/>
      <c r="J82" s="157"/>
      <c r="K82" s="157"/>
      <c r="L82" s="157"/>
      <c r="M82" s="157"/>
      <c r="N82" s="157"/>
      <c r="O82" s="157"/>
      <c r="P82" s="157"/>
      <c r="Q82" s="157"/>
      <c r="R82" s="157"/>
      <c r="S82" s="157"/>
      <c r="T82" s="157"/>
      <c r="U82" s="157"/>
      <c r="V82" s="157"/>
      <c r="W82" s="157"/>
      <c r="X82" s="157"/>
      <c r="Y82" s="157"/>
      <c r="Z82" s="157"/>
      <c r="AA82" s="157"/>
      <c r="AB82" s="157"/>
      <c r="AC82" s="157"/>
      <c r="AD82" s="157"/>
      <c r="AE82" s="157"/>
      <c r="AF82" s="157"/>
      <c r="AG82" s="157"/>
      <c r="AH82" s="157"/>
      <c r="AI82" s="157"/>
      <c r="AJ82" s="157"/>
      <c r="AK82" s="157"/>
      <c r="AL82" s="157"/>
    </row>
    <row r="83" spans="1:38" s="162" customFormat="1" x14ac:dyDescent="0.25">
      <c r="A83" s="163"/>
      <c r="B83" s="163"/>
      <c r="C83" s="157"/>
      <c r="D83" s="157"/>
      <c r="E83" s="157"/>
      <c r="F83" s="157"/>
      <c r="G83" s="157"/>
      <c r="H83" s="157"/>
      <c r="I83" s="157"/>
      <c r="J83" s="157"/>
      <c r="K83" s="157"/>
      <c r="L83" s="157"/>
      <c r="M83" s="157"/>
      <c r="N83" s="157"/>
      <c r="O83" s="157"/>
      <c r="P83" s="157"/>
      <c r="Q83" s="157"/>
      <c r="R83" s="157"/>
      <c r="S83" s="157"/>
      <c r="T83" s="157"/>
      <c r="U83" s="157"/>
      <c r="V83" s="157"/>
      <c r="W83" s="157"/>
      <c r="X83" s="157"/>
      <c r="Y83" s="157"/>
      <c r="Z83" s="157"/>
      <c r="AA83" s="157"/>
      <c r="AB83" s="157"/>
      <c r="AC83" s="157"/>
      <c r="AD83" s="157"/>
      <c r="AE83" s="157"/>
      <c r="AF83" s="157"/>
      <c r="AG83" s="157"/>
      <c r="AH83" s="157"/>
      <c r="AI83" s="157"/>
      <c r="AJ83" s="157"/>
      <c r="AK83" s="157"/>
      <c r="AL83" s="157"/>
    </row>
    <row r="84" spans="1:38" s="162" customFormat="1" x14ac:dyDescent="0.25">
      <c r="A84" s="164"/>
      <c r="B84" s="164"/>
    </row>
    <row r="85" spans="1:38" s="162" customFormat="1" x14ac:dyDescent="0.25">
      <c r="A85" s="165"/>
      <c r="B85" s="165"/>
    </row>
    <row r="86" spans="1:38" s="162" customFormat="1" x14ac:dyDescent="0.25">
      <c r="A86" s="166"/>
      <c r="B86" s="166"/>
    </row>
    <row r="87" spans="1:38" s="162" customFormat="1" x14ac:dyDescent="0.25">
      <c r="A87" s="164"/>
      <c r="B87" s="164"/>
    </row>
    <row r="88" spans="1:38" s="162" customFormat="1" x14ac:dyDescent="0.25">
      <c r="A88" s="165"/>
      <c r="B88" s="165"/>
    </row>
    <row r="89" spans="1:38" s="162" customFormat="1" x14ac:dyDescent="0.25">
      <c r="A89" s="165"/>
      <c r="B89" s="165"/>
    </row>
    <row r="90" spans="1:38" s="162" customFormat="1" x14ac:dyDescent="0.25">
      <c r="A90" s="164"/>
      <c r="B90" s="164"/>
    </row>
    <row r="91" spans="1:38" s="162" customFormat="1" x14ac:dyDescent="0.25">
      <c r="A91" s="165"/>
      <c r="B91" s="165"/>
    </row>
    <row r="92" spans="1:38" s="162" customFormat="1" x14ac:dyDescent="0.25">
      <c r="A92" s="165"/>
      <c r="B92" s="165"/>
    </row>
    <row r="93" spans="1:38" s="162" customFormat="1" x14ac:dyDescent="0.25">
      <c r="A93" s="165"/>
      <c r="B93" s="165"/>
    </row>
    <row r="94" spans="1:38" s="162" customFormat="1" x14ac:dyDescent="0.25">
      <c r="A94" s="165"/>
      <c r="B94" s="165"/>
    </row>
    <row r="95" spans="1:38" s="162" customFormat="1" x14ac:dyDescent="0.25">
      <c r="A95" s="164"/>
      <c r="B95" s="164"/>
    </row>
    <row r="96" spans="1:38" s="162" customFormat="1" x14ac:dyDescent="0.25">
      <c r="A96" s="165"/>
      <c r="B96" s="165"/>
    </row>
    <row r="97" spans="1:38" s="162" customFormat="1" x14ac:dyDescent="0.25">
      <c r="A97" s="165"/>
      <c r="B97" s="165"/>
    </row>
    <row r="98" spans="1:38" s="162" customFormat="1" x14ac:dyDescent="0.25">
      <c r="A98" s="165"/>
      <c r="B98" s="165"/>
    </row>
    <row r="99" spans="1:38" s="162" customFormat="1" x14ac:dyDescent="0.25">
      <c r="A99" s="165"/>
      <c r="B99" s="165"/>
    </row>
    <row r="100" spans="1:38" s="162" customFormat="1" x14ac:dyDescent="0.25">
      <c r="A100" s="165"/>
      <c r="B100" s="165"/>
    </row>
    <row r="101" spans="1:38" x14ac:dyDescent="0.25">
      <c r="A101" s="165"/>
      <c r="B101" s="165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  <c r="S101" s="162"/>
      <c r="T101" s="162"/>
      <c r="U101" s="162"/>
      <c r="V101" s="162"/>
      <c r="W101" s="162"/>
      <c r="X101" s="162"/>
      <c r="Y101" s="162"/>
      <c r="Z101" s="162"/>
      <c r="AA101" s="162"/>
      <c r="AB101" s="162"/>
      <c r="AC101" s="162"/>
      <c r="AD101" s="162"/>
      <c r="AE101" s="162"/>
      <c r="AF101" s="162"/>
      <c r="AG101" s="162"/>
      <c r="AH101" s="162"/>
      <c r="AI101" s="162"/>
      <c r="AJ101" s="162"/>
      <c r="AK101" s="162"/>
      <c r="AL101" s="162"/>
    </row>
    <row r="102" spans="1:38" x14ac:dyDescent="0.25">
      <c r="A102" s="165"/>
      <c r="B102" s="165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  <c r="S102" s="162"/>
      <c r="T102" s="162"/>
      <c r="U102" s="162"/>
      <c r="V102" s="162"/>
      <c r="W102" s="162"/>
      <c r="X102" s="162"/>
      <c r="Y102" s="162"/>
      <c r="Z102" s="162"/>
      <c r="AA102" s="162"/>
      <c r="AB102" s="162"/>
      <c r="AC102" s="162"/>
      <c r="AD102" s="162"/>
      <c r="AE102" s="162"/>
      <c r="AF102" s="162"/>
      <c r="AG102" s="162"/>
      <c r="AH102" s="162"/>
      <c r="AI102" s="162"/>
      <c r="AJ102" s="162"/>
      <c r="AK102" s="162"/>
      <c r="AL102" s="162"/>
    </row>
    <row r="103" spans="1:38" x14ac:dyDescent="0.25">
      <c r="A103" s="167"/>
      <c r="B103" s="167"/>
    </row>
    <row r="104" spans="1:38" x14ac:dyDescent="0.25">
      <c r="A104" s="167"/>
      <c r="B104" s="167"/>
    </row>
    <row r="105" spans="1:38" x14ac:dyDescent="0.25">
      <c r="A105" s="167"/>
      <c r="B105" s="167"/>
    </row>
    <row r="106" spans="1:38" x14ac:dyDescent="0.25">
      <c r="A106" s="167"/>
      <c r="B106" s="167"/>
    </row>
    <row r="107" spans="1:38" x14ac:dyDescent="0.25">
      <c r="A107" s="167"/>
      <c r="B107" s="167"/>
    </row>
    <row r="108" spans="1:38" x14ac:dyDescent="0.25">
      <c r="A108" s="167"/>
      <c r="B108" s="167"/>
    </row>
    <row r="109" spans="1:38" x14ac:dyDescent="0.25">
      <c r="A109" s="167"/>
      <c r="B109" s="167"/>
    </row>
    <row r="110" spans="1:38" x14ac:dyDescent="0.25">
      <c r="A110" s="167"/>
      <c r="B110" s="167"/>
    </row>
    <row r="111" spans="1:38" x14ac:dyDescent="0.25">
      <c r="A111" s="167"/>
      <c r="B111" s="167"/>
    </row>
    <row r="112" spans="1:38" x14ac:dyDescent="0.25">
      <c r="A112" s="167"/>
      <c r="B112" s="167"/>
    </row>
    <row r="113" spans="1:2" x14ac:dyDescent="0.25">
      <c r="A113" s="167"/>
      <c r="B113" s="167"/>
    </row>
    <row r="114" spans="1:2" x14ac:dyDescent="0.25">
      <c r="A114" s="167"/>
      <c r="B114" s="167"/>
    </row>
    <row r="115" spans="1:2" x14ac:dyDescent="0.25">
      <c r="A115" s="167"/>
      <c r="B115" s="167"/>
    </row>
    <row r="116" spans="1:2" x14ac:dyDescent="0.25">
      <c r="A116" s="167"/>
      <c r="B116" s="167"/>
    </row>
    <row r="117" spans="1:2" x14ac:dyDescent="0.25">
      <c r="A117" s="167"/>
      <c r="B117" s="167"/>
    </row>
    <row r="118" spans="1:2" x14ac:dyDescent="0.25">
      <c r="A118" s="167"/>
      <c r="B118" s="167"/>
    </row>
    <row r="119" spans="1:2" x14ac:dyDescent="0.25">
      <c r="A119" s="167"/>
      <c r="B119" s="167"/>
    </row>
    <row r="120" spans="1:2" x14ac:dyDescent="0.25">
      <c r="A120" s="167"/>
      <c r="B120" s="167"/>
    </row>
    <row r="121" spans="1:2" x14ac:dyDescent="0.25">
      <c r="A121" s="167"/>
      <c r="B121" s="167"/>
    </row>
    <row r="122" spans="1:2" x14ac:dyDescent="0.25">
      <c r="A122" s="167"/>
      <c r="B122" s="167"/>
    </row>
    <row r="123" spans="1:2" x14ac:dyDescent="0.25">
      <c r="A123" s="167"/>
      <c r="B123" s="167"/>
    </row>
    <row r="124" spans="1:2" x14ac:dyDescent="0.25">
      <c r="A124" s="167"/>
      <c r="B124" s="167"/>
    </row>
    <row r="125" spans="1:2" x14ac:dyDescent="0.25">
      <c r="A125" s="167"/>
      <c r="B125" s="167"/>
    </row>
    <row r="126" spans="1:2" x14ac:dyDescent="0.25">
      <c r="A126" s="167"/>
      <c r="B126" s="167"/>
    </row>
    <row r="127" spans="1:2" x14ac:dyDescent="0.25">
      <c r="A127" s="167"/>
      <c r="B127" s="167"/>
    </row>
    <row r="128" spans="1:2" x14ac:dyDescent="0.25">
      <c r="A128" s="167"/>
      <c r="B128" s="167"/>
    </row>
    <row r="129" spans="1:2" x14ac:dyDescent="0.25">
      <c r="A129" s="167"/>
      <c r="B129" s="167"/>
    </row>
    <row r="130" spans="1:2" x14ac:dyDescent="0.25">
      <c r="A130" s="167"/>
      <c r="B130" s="167"/>
    </row>
    <row r="131" spans="1:2" x14ac:dyDescent="0.25">
      <c r="A131" s="167"/>
      <c r="B131" s="167"/>
    </row>
    <row r="132" spans="1:2" x14ac:dyDescent="0.25">
      <c r="A132" s="167"/>
      <c r="B132" s="167"/>
    </row>
    <row r="133" spans="1:2" x14ac:dyDescent="0.25">
      <c r="A133" s="167"/>
      <c r="B133" s="167"/>
    </row>
    <row r="134" spans="1:2" x14ac:dyDescent="0.25">
      <c r="A134" s="167"/>
      <c r="B134" s="167"/>
    </row>
    <row r="135" spans="1:2" x14ac:dyDescent="0.25">
      <c r="A135" s="167"/>
      <c r="B135" s="167"/>
    </row>
    <row r="136" spans="1:2" x14ac:dyDescent="0.25">
      <c r="A136" s="167"/>
      <c r="B136" s="167"/>
    </row>
    <row r="137" spans="1:2" x14ac:dyDescent="0.25">
      <c r="A137" s="167"/>
      <c r="B137" s="167"/>
    </row>
    <row r="138" spans="1:2" x14ac:dyDescent="0.25">
      <c r="A138" s="167"/>
      <c r="B138" s="167"/>
    </row>
    <row r="139" spans="1:2" x14ac:dyDescent="0.25">
      <c r="A139" s="167"/>
      <c r="B139" s="167"/>
    </row>
    <row r="140" spans="1:2" x14ac:dyDescent="0.25">
      <c r="A140" s="167"/>
      <c r="B140" s="167"/>
    </row>
    <row r="141" spans="1:2" x14ac:dyDescent="0.25">
      <c r="A141" s="167"/>
      <c r="B141" s="167"/>
    </row>
    <row r="142" spans="1:2" x14ac:dyDescent="0.25">
      <c r="A142" s="167"/>
      <c r="B142" s="167"/>
    </row>
    <row r="143" spans="1:2" x14ac:dyDescent="0.25">
      <c r="A143" s="167"/>
      <c r="B143" s="167"/>
    </row>
    <row r="144" spans="1:2" x14ac:dyDescent="0.25">
      <c r="A144" s="167"/>
      <c r="B144" s="167"/>
    </row>
    <row r="145" spans="1:2" x14ac:dyDescent="0.25">
      <c r="A145" s="167"/>
      <c r="B145" s="167"/>
    </row>
    <row r="146" spans="1:2" x14ac:dyDescent="0.25">
      <c r="A146" s="167"/>
      <c r="B146" s="167"/>
    </row>
    <row r="147" spans="1:2" x14ac:dyDescent="0.25">
      <c r="A147" s="167"/>
      <c r="B147" s="167"/>
    </row>
    <row r="148" spans="1:2" x14ac:dyDescent="0.25">
      <c r="A148" s="167"/>
      <c r="B148" s="167"/>
    </row>
    <row r="149" spans="1:2" x14ac:dyDescent="0.25">
      <c r="A149" s="167"/>
      <c r="B149" s="167"/>
    </row>
    <row r="150" spans="1:2" x14ac:dyDescent="0.25">
      <c r="A150" s="167"/>
      <c r="B150" s="167"/>
    </row>
    <row r="151" spans="1:2" x14ac:dyDescent="0.25">
      <c r="A151" s="167"/>
      <c r="B151" s="167"/>
    </row>
    <row r="152" spans="1:2" x14ac:dyDescent="0.25">
      <c r="A152" s="167"/>
      <c r="B152" s="167"/>
    </row>
    <row r="153" spans="1:2" x14ac:dyDescent="0.25">
      <c r="A153" s="167"/>
      <c r="B153" s="167"/>
    </row>
    <row r="154" spans="1:2" x14ac:dyDescent="0.25">
      <c r="A154" s="167"/>
      <c r="B154" s="167"/>
    </row>
    <row r="155" spans="1:2" x14ac:dyDescent="0.25">
      <c r="A155" s="167"/>
      <c r="B155" s="167"/>
    </row>
    <row r="156" spans="1:2" x14ac:dyDescent="0.25">
      <c r="A156" s="167"/>
      <c r="B156" s="167"/>
    </row>
    <row r="157" spans="1:2" x14ac:dyDescent="0.25">
      <c r="A157" s="167"/>
      <c r="B157" s="167"/>
    </row>
    <row r="158" spans="1:2" x14ac:dyDescent="0.25">
      <c r="A158" s="167"/>
      <c r="B158" s="167"/>
    </row>
    <row r="159" spans="1:2" x14ac:dyDescent="0.25">
      <c r="A159" s="167"/>
      <c r="B159" s="167"/>
    </row>
    <row r="160" spans="1:2" x14ac:dyDescent="0.25">
      <c r="A160" s="167"/>
      <c r="B160" s="167"/>
    </row>
    <row r="161" spans="1:2" x14ac:dyDescent="0.25">
      <c r="A161" s="167"/>
      <c r="B161" s="167"/>
    </row>
    <row r="162" spans="1:2" x14ac:dyDescent="0.25">
      <c r="A162" s="167"/>
      <c r="B162" s="167"/>
    </row>
    <row r="163" spans="1:2" x14ac:dyDescent="0.25">
      <c r="A163" s="167"/>
      <c r="B163" s="167"/>
    </row>
    <row r="164" spans="1:2" x14ac:dyDescent="0.25">
      <c r="A164" s="167"/>
      <c r="B164" s="167"/>
    </row>
    <row r="165" spans="1:2" x14ac:dyDescent="0.25">
      <c r="A165" s="167"/>
      <c r="B165" s="167"/>
    </row>
    <row r="166" spans="1:2" x14ac:dyDescent="0.25">
      <c r="A166" s="167"/>
      <c r="B166" s="167"/>
    </row>
    <row r="167" spans="1:2" x14ac:dyDescent="0.25">
      <c r="A167" s="167"/>
      <c r="B167" s="167"/>
    </row>
    <row r="168" spans="1:2" x14ac:dyDescent="0.25">
      <c r="A168" s="167"/>
      <c r="B168" s="167"/>
    </row>
    <row r="169" spans="1:2" x14ac:dyDescent="0.25">
      <c r="A169" s="167"/>
      <c r="B169" s="167"/>
    </row>
    <row r="170" spans="1:2" x14ac:dyDescent="0.25">
      <c r="A170" s="167"/>
      <c r="B170" s="167"/>
    </row>
    <row r="171" spans="1:2" x14ac:dyDescent="0.25">
      <c r="A171" s="167"/>
      <c r="B171" s="167"/>
    </row>
    <row r="172" spans="1:2" x14ac:dyDescent="0.25">
      <c r="A172" s="167"/>
      <c r="B172" s="167"/>
    </row>
    <row r="173" spans="1:2" x14ac:dyDescent="0.25">
      <c r="A173" s="167"/>
      <c r="B173" s="167"/>
    </row>
    <row r="174" spans="1:2" x14ac:dyDescent="0.25">
      <c r="A174" s="167"/>
      <c r="B174" s="167"/>
    </row>
    <row r="175" spans="1:2" x14ac:dyDescent="0.25">
      <c r="A175" s="167"/>
      <c r="B175" s="167"/>
    </row>
    <row r="176" spans="1:2" x14ac:dyDescent="0.25">
      <c r="A176" s="167"/>
      <c r="B176" s="167"/>
    </row>
    <row r="177" spans="1:2" x14ac:dyDescent="0.25">
      <c r="A177" s="167"/>
      <c r="B177" s="167"/>
    </row>
    <row r="178" spans="1:2" x14ac:dyDescent="0.25">
      <c r="A178" s="167"/>
      <c r="B178" s="167"/>
    </row>
    <row r="179" spans="1:2" x14ac:dyDescent="0.25">
      <c r="A179" s="167"/>
      <c r="B179" s="167"/>
    </row>
    <row r="180" spans="1:2" x14ac:dyDescent="0.25">
      <c r="A180" s="167"/>
      <c r="B180" s="167"/>
    </row>
    <row r="181" spans="1:2" x14ac:dyDescent="0.25">
      <c r="A181" s="167"/>
      <c r="B181" s="167"/>
    </row>
    <row r="182" spans="1:2" x14ac:dyDescent="0.25">
      <c r="A182" s="167"/>
      <c r="B182" s="167"/>
    </row>
    <row r="183" spans="1:2" x14ac:dyDescent="0.25">
      <c r="A183" s="167"/>
      <c r="B183" s="167"/>
    </row>
    <row r="184" spans="1:2" x14ac:dyDescent="0.25">
      <c r="A184" s="167"/>
      <c r="B184" s="167"/>
    </row>
    <row r="185" spans="1:2" x14ac:dyDescent="0.25">
      <c r="A185" s="167"/>
      <c r="B185" s="167"/>
    </row>
    <row r="186" spans="1:2" x14ac:dyDescent="0.25">
      <c r="A186" s="167"/>
      <c r="B186" s="167"/>
    </row>
    <row r="187" spans="1:2" x14ac:dyDescent="0.25">
      <c r="A187" s="167"/>
      <c r="B187" s="167"/>
    </row>
    <row r="188" spans="1:2" x14ac:dyDescent="0.25">
      <c r="A188" s="167"/>
      <c r="B188" s="167"/>
    </row>
    <row r="189" spans="1:2" x14ac:dyDescent="0.25">
      <c r="A189" s="167"/>
      <c r="B189" s="167"/>
    </row>
    <row r="190" spans="1:2" x14ac:dyDescent="0.25">
      <c r="A190" s="167"/>
      <c r="B190" s="167"/>
    </row>
    <row r="191" spans="1:2" x14ac:dyDescent="0.25">
      <c r="A191" s="167"/>
      <c r="B191" s="167"/>
    </row>
    <row r="192" spans="1:2" x14ac:dyDescent="0.25">
      <c r="A192" s="167"/>
      <c r="B192" s="167"/>
    </row>
    <row r="193" spans="1:2" x14ac:dyDescent="0.25">
      <c r="A193" s="167"/>
      <c r="B193" s="167"/>
    </row>
    <row r="194" spans="1:2" x14ac:dyDescent="0.25">
      <c r="A194" s="167"/>
      <c r="B194" s="167"/>
    </row>
    <row r="195" spans="1:2" x14ac:dyDescent="0.25">
      <c r="A195" s="167"/>
      <c r="B195" s="167"/>
    </row>
    <row r="196" spans="1:2" x14ac:dyDescent="0.25">
      <c r="A196" s="167"/>
      <c r="B196" s="167"/>
    </row>
    <row r="197" spans="1:2" x14ac:dyDescent="0.25">
      <c r="A197" s="167"/>
      <c r="B197" s="167"/>
    </row>
    <row r="198" spans="1:2" x14ac:dyDescent="0.25">
      <c r="A198" s="167"/>
      <c r="B198" s="167"/>
    </row>
    <row r="199" spans="1:2" x14ac:dyDescent="0.25">
      <c r="A199" s="167"/>
      <c r="B199" s="167"/>
    </row>
    <row r="200" spans="1:2" x14ac:dyDescent="0.25">
      <c r="A200" s="167"/>
      <c r="B200" s="167"/>
    </row>
    <row r="201" spans="1:2" x14ac:dyDescent="0.25">
      <c r="A201" s="167"/>
      <c r="B201" s="167"/>
    </row>
    <row r="202" spans="1:2" x14ac:dyDescent="0.25">
      <c r="A202" s="167"/>
      <c r="B202" s="167"/>
    </row>
    <row r="203" spans="1:2" x14ac:dyDescent="0.25">
      <c r="A203" s="167"/>
      <c r="B203" s="167"/>
    </row>
    <row r="204" spans="1:2" x14ac:dyDescent="0.25">
      <c r="A204" s="167"/>
      <c r="B204" s="167"/>
    </row>
    <row r="205" spans="1:2" x14ac:dyDescent="0.25">
      <c r="A205" s="167"/>
      <c r="B205" s="167"/>
    </row>
    <row r="206" spans="1:2" x14ac:dyDescent="0.25">
      <c r="A206" s="167"/>
      <c r="B206" s="167"/>
    </row>
    <row r="207" spans="1:2" x14ac:dyDescent="0.25">
      <c r="A207" s="167"/>
      <c r="B207" s="167"/>
    </row>
    <row r="208" spans="1:2" x14ac:dyDescent="0.25">
      <c r="A208" s="167"/>
      <c r="B208" s="167"/>
    </row>
    <row r="209" spans="1:2" x14ac:dyDescent="0.25">
      <c r="A209" s="167"/>
      <c r="B209" s="167"/>
    </row>
    <row r="210" spans="1:2" x14ac:dyDescent="0.25">
      <c r="A210" s="167"/>
      <c r="B210" s="167"/>
    </row>
    <row r="211" spans="1:2" x14ac:dyDescent="0.25">
      <c r="A211" s="167"/>
      <c r="B211" s="167"/>
    </row>
    <row r="212" spans="1:2" x14ac:dyDescent="0.25">
      <c r="A212" s="167"/>
      <c r="B212" s="167"/>
    </row>
    <row r="213" spans="1:2" x14ac:dyDescent="0.25">
      <c r="A213" s="167"/>
      <c r="B213" s="167"/>
    </row>
    <row r="214" spans="1:2" x14ac:dyDescent="0.25">
      <c r="A214" s="167"/>
      <c r="B214" s="167"/>
    </row>
    <row r="215" spans="1:2" x14ac:dyDescent="0.25">
      <c r="A215" s="167"/>
      <c r="B215" s="167"/>
    </row>
    <row r="216" spans="1:2" x14ac:dyDescent="0.25">
      <c r="A216" s="167"/>
      <c r="B216" s="167"/>
    </row>
    <row r="217" spans="1:2" x14ac:dyDescent="0.25">
      <c r="A217" s="167"/>
      <c r="B217" s="167"/>
    </row>
    <row r="218" spans="1:2" x14ac:dyDescent="0.25">
      <c r="A218" s="167"/>
      <c r="B218" s="167"/>
    </row>
    <row r="219" spans="1:2" x14ac:dyDescent="0.25">
      <c r="A219" s="167"/>
      <c r="B219" s="167"/>
    </row>
    <row r="220" spans="1:2" x14ac:dyDescent="0.25">
      <c r="A220" s="167"/>
      <c r="B220" s="167"/>
    </row>
    <row r="221" spans="1:2" x14ac:dyDescent="0.25">
      <c r="A221" s="167"/>
      <c r="B221" s="167"/>
    </row>
    <row r="222" spans="1:2" x14ac:dyDescent="0.25">
      <c r="A222" s="167"/>
      <c r="B222" s="167"/>
    </row>
    <row r="223" spans="1:2" x14ac:dyDescent="0.25">
      <c r="A223" s="167"/>
      <c r="B223" s="167"/>
    </row>
    <row r="224" spans="1:2" x14ac:dyDescent="0.25">
      <c r="A224" s="167"/>
      <c r="B224" s="167"/>
    </row>
    <row r="225" spans="1:2" x14ac:dyDescent="0.25">
      <c r="A225" s="167"/>
      <c r="B225" s="167"/>
    </row>
    <row r="226" spans="1:2" x14ac:dyDescent="0.25">
      <c r="A226" s="167"/>
      <c r="B226" s="167"/>
    </row>
    <row r="227" spans="1:2" x14ac:dyDescent="0.25">
      <c r="A227" s="167"/>
      <c r="B227" s="167"/>
    </row>
    <row r="228" spans="1:2" x14ac:dyDescent="0.25">
      <c r="A228" s="167"/>
      <c r="B228" s="167"/>
    </row>
    <row r="229" spans="1:2" x14ac:dyDescent="0.25">
      <c r="A229" s="167"/>
      <c r="B229" s="167"/>
    </row>
    <row r="230" spans="1:2" x14ac:dyDescent="0.25">
      <c r="A230" s="167"/>
      <c r="B230" s="167"/>
    </row>
    <row r="231" spans="1:2" x14ac:dyDescent="0.25">
      <c r="A231" s="167"/>
      <c r="B231" s="167"/>
    </row>
    <row r="232" spans="1:2" x14ac:dyDescent="0.25">
      <c r="A232" s="167"/>
      <c r="B232" s="167"/>
    </row>
    <row r="233" spans="1:2" x14ac:dyDescent="0.25">
      <c r="A233" s="167"/>
      <c r="B233" s="167"/>
    </row>
    <row r="234" spans="1:2" x14ac:dyDescent="0.25">
      <c r="A234" s="167"/>
      <c r="B234" s="167"/>
    </row>
    <row r="235" spans="1:2" x14ac:dyDescent="0.25">
      <c r="A235" s="167"/>
      <c r="B235" s="167"/>
    </row>
    <row r="236" spans="1:2" x14ac:dyDescent="0.25">
      <c r="A236" s="167"/>
      <c r="B236" s="167"/>
    </row>
    <row r="237" spans="1:2" x14ac:dyDescent="0.25">
      <c r="A237" s="167"/>
      <c r="B237" s="167"/>
    </row>
    <row r="238" spans="1:2" x14ac:dyDescent="0.25">
      <c r="A238" s="167"/>
      <c r="B238" s="167"/>
    </row>
    <row r="239" spans="1:2" x14ac:dyDescent="0.25">
      <c r="A239" s="167"/>
      <c r="B239" s="167"/>
    </row>
    <row r="240" spans="1:2" x14ac:dyDescent="0.25">
      <c r="A240" s="167"/>
      <c r="B240" s="167"/>
    </row>
    <row r="241" spans="1:2" x14ac:dyDescent="0.25">
      <c r="A241" s="167"/>
      <c r="B241" s="167"/>
    </row>
    <row r="242" spans="1:2" x14ac:dyDescent="0.25">
      <c r="A242" s="167"/>
      <c r="B242" s="167"/>
    </row>
    <row r="243" spans="1:2" x14ac:dyDescent="0.25">
      <c r="A243" s="167"/>
      <c r="B243" s="167"/>
    </row>
    <row r="244" spans="1:2" x14ac:dyDescent="0.25">
      <c r="A244" s="167"/>
      <c r="B244" s="167"/>
    </row>
    <row r="245" spans="1:2" x14ac:dyDescent="0.25">
      <c r="A245" s="167"/>
      <c r="B245" s="167"/>
    </row>
    <row r="246" spans="1:2" x14ac:dyDescent="0.25">
      <c r="A246" s="167"/>
      <c r="B246" s="167"/>
    </row>
    <row r="247" spans="1:2" x14ac:dyDescent="0.25">
      <c r="A247" s="167"/>
      <c r="B247" s="167"/>
    </row>
    <row r="248" spans="1:2" x14ac:dyDescent="0.25">
      <c r="A248" s="167"/>
      <c r="B248" s="167"/>
    </row>
    <row r="249" spans="1:2" x14ac:dyDescent="0.25">
      <c r="A249" s="167"/>
      <c r="B249" s="167"/>
    </row>
    <row r="250" spans="1:2" x14ac:dyDescent="0.25">
      <c r="A250" s="167"/>
      <c r="B250" s="167"/>
    </row>
    <row r="251" spans="1:2" x14ac:dyDescent="0.25">
      <c r="A251" s="167"/>
      <c r="B251" s="167"/>
    </row>
    <row r="252" spans="1:2" x14ac:dyDescent="0.25">
      <c r="A252" s="167"/>
      <c r="B252" s="167"/>
    </row>
    <row r="253" spans="1:2" x14ac:dyDescent="0.25">
      <c r="A253" s="167"/>
      <c r="B253" s="167"/>
    </row>
    <row r="254" spans="1:2" x14ac:dyDescent="0.25">
      <c r="A254" s="167"/>
      <c r="B254" s="167"/>
    </row>
    <row r="255" spans="1:2" x14ac:dyDescent="0.25">
      <c r="A255" s="167"/>
      <c r="B255" s="167"/>
    </row>
    <row r="256" spans="1:2" x14ac:dyDescent="0.25">
      <c r="A256" s="167"/>
      <c r="B256" s="167"/>
    </row>
    <row r="257" spans="1:2" x14ac:dyDescent="0.25">
      <c r="A257" s="167"/>
      <c r="B257" s="167"/>
    </row>
    <row r="258" spans="1:2" x14ac:dyDescent="0.25">
      <c r="A258" s="167"/>
      <c r="B258" s="167"/>
    </row>
    <row r="259" spans="1:2" x14ac:dyDescent="0.25">
      <c r="A259" s="167"/>
      <c r="B259" s="167"/>
    </row>
    <row r="260" spans="1:2" x14ac:dyDescent="0.25">
      <c r="A260" s="167"/>
      <c r="B260" s="167"/>
    </row>
    <row r="261" spans="1:2" x14ac:dyDescent="0.25">
      <c r="A261" s="167"/>
      <c r="B261" s="167"/>
    </row>
    <row r="262" spans="1:2" x14ac:dyDescent="0.25">
      <c r="A262" s="167"/>
      <c r="B262" s="167"/>
    </row>
    <row r="263" spans="1:2" x14ac:dyDescent="0.25">
      <c r="A263" s="167"/>
      <c r="B263" s="167"/>
    </row>
    <row r="264" spans="1:2" x14ac:dyDescent="0.25">
      <c r="A264" s="167"/>
      <c r="B264" s="167"/>
    </row>
    <row r="265" spans="1:2" x14ac:dyDescent="0.25">
      <c r="A265" s="167"/>
      <c r="B265" s="167"/>
    </row>
    <row r="266" spans="1:2" x14ac:dyDescent="0.25">
      <c r="A266" s="167"/>
      <c r="B266" s="167"/>
    </row>
    <row r="267" spans="1:2" x14ac:dyDescent="0.25">
      <c r="A267" s="167"/>
      <c r="B267" s="167"/>
    </row>
    <row r="268" spans="1:2" x14ac:dyDescent="0.25">
      <c r="A268" s="167"/>
      <c r="B268" s="167"/>
    </row>
    <row r="269" spans="1:2" x14ac:dyDescent="0.25">
      <c r="A269" s="167"/>
      <c r="B269" s="167"/>
    </row>
    <row r="270" spans="1:2" x14ac:dyDescent="0.25">
      <c r="A270" s="167"/>
      <c r="B270" s="167"/>
    </row>
    <row r="271" spans="1:2" x14ac:dyDescent="0.25">
      <c r="A271" s="167"/>
      <c r="B271" s="167"/>
    </row>
    <row r="272" spans="1:2" x14ac:dyDescent="0.25">
      <c r="A272" s="167"/>
      <c r="B272" s="167"/>
    </row>
    <row r="273" spans="1:2" x14ac:dyDescent="0.25">
      <c r="A273" s="167"/>
      <c r="B273" s="167"/>
    </row>
    <row r="274" spans="1:2" x14ac:dyDescent="0.25">
      <c r="A274" s="167"/>
      <c r="B274" s="167"/>
    </row>
    <row r="275" spans="1:2" x14ac:dyDescent="0.25">
      <c r="A275" s="167"/>
      <c r="B275" s="167"/>
    </row>
    <row r="276" spans="1:2" x14ac:dyDescent="0.25">
      <c r="A276" s="167"/>
      <c r="B276" s="167"/>
    </row>
    <row r="277" spans="1:2" x14ac:dyDescent="0.25">
      <c r="A277" s="167"/>
      <c r="B277" s="167"/>
    </row>
    <row r="278" spans="1:2" x14ac:dyDescent="0.25">
      <c r="A278" s="167"/>
      <c r="B278" s="167"/>
    </row>
    <row r="279" spans="1:2" x14ac:dyDescent="0.25">
      <c r="A279" s="167"/>
      <c r="B279" s="167"/>
    </row>
    <row r="280" spans="1:2" x14ac:dyDescent="0.25">
      <c r="A280" s="167"/>
      <c r="B280" s="167"/>
    </row>
    <row r="281" spans="1:2" x14ac:dyDescent="0.25">
      <c r="A281" s="167"/>
      <c r="B281" s="167"/>
    </row>
    <row r="282" spans="1:2" x14ac:dyDescent="0.25">
      <c r="A282" s="167"/>
      <c r="B282" s="167"/>
    </row>
    <row r="283" spans="1:2" x14ac:dyDescent="0.25">
      <c r="A283" s="167"/>
      <c r="B283" s="167"/>
    </row>
    <row r="284" spans="1:2" x14ac:dyDescent="0.25">
      <c r="A284" s="167"/>
      <c r="B284" s="167"/>
    </row>
    <row r="285" spans="1:2" x14ac:dyDescent="0.25">
      <c r="A285" s="167"/>
      <c r="B285" s="167"/>
    </row>
    <row r="286" spans="1:2" x14ac:dyDescent="0.25">
      <c r="A286" s="167"/>
      <c r="B286" s="167"/>
    </row>
    <row r="287" spans="1:2" x14ac:dyDescent="0.25">
      <c r="A287" s="167"/>
      <c r="B287" s="167"/>
    </row>
    <row r="288" spans="1:2" x14ac:dyDescent="0.25">
      <c r="A288" s="167"/>
      <c r="B288" s="167"/>
    </row>
    <row r="289" spans="1:2" x14ac:dyDescent="0.25">
      <c r="A289" s="167"/>
      <c r="B289" s="167"/>
    </row>
    <row r="290" spans="1:2" x14ac:dyDescent="0.25">
      <c r="A290" s="167"/>
      <c r="B290" s="167"/>
    </row>
    <row r="291" spans="1:2" x14ac:dyDescent="0.25">
      <c r="A291" s="167"/>
      <c r="B291" s="167"/>
    </row>
    <row r="292" spans="1:2" x14ac:dyDescent="0.25">
      <c r="A292" s="167"/>
      <c r="B292" s="167"/>
    </row>
    <row r="293" spans="1:2" x14ac:dyDescent="0.25">
      <c r="A293" s="167"/>
      <c r="B293" s="167"/>
    </row>
    <row r="294" spans="1:2" x14ac:dyDescent="0.25">
      <c r="A294" s="167"/>
      <c r="B294" s="167"/>
    </row>
    <row r="295" spans="1:2" x14ac:dyDescent="0.25">
      <c r="A295" s="167"/>
      <c r="B295" s="167"/>
    </row>
    <row r="296" spans="1:2" x14ac:dyDescent="0.25">
      <c r="A296" s="167"/>
      <c r="B296" s="167"/>
    </row>
    <row r="297" spans="1:2" x14ac:dyDescent="0.25">
      <c r="A297" s="167"/>
      <c r="B297" s="167"/>
    </row>
    <row r="298" spans="1:2" x14ac:dyDescent="0.25">
      <c r="A298" s="167"/>
      <c r="B298" s="167"/>
    </row>
    <row r="299" spans="1:2" x14ac:dyDescent="0.25">
      <c r="A299" s="167"/>
      <c r="B299" s="167"/>
    </row>
    <row r="300" spans="1:2" x14ac:dyDescent="0.25">
      <c r="A300" s="167"/>
      <c r="B300" s="167"/>
    </row>
    <row r="301" spans="1:2" x14ac:dyDescent="0.25">
      <c r="A301" s="167"/>
      <c r="B301" s="167"/>
    </row>
    <row r="302" spans="1:2" x14ac:dyDescent="0.25">
      <c r="A302" s="167"/>
      <c r="B302" s="167"/>
    </row>
    <row r="303" spans="1:2" x14ac:dyDescent="0.25">
      <c r="A303" s="167"/>
      <c r="B303" s="167"/>
    </row>
    <row r="304" spans="1:2" x14ac:dyDescent="0.25">
      <c r="A304" s="167"/>
      <c r="B304" s="167"/>
    </row>
    <row r="305" spans="1:2" x14ac:dyDescent="0.25">
      <c r="A305" s="167"/>
      <c r="B305" s="167"/>
    </row>
    <row r="306" spans="1:2" x14ac:dyDescent="0.25">
      <c r="A306" s="167"/>
      <c r="B306" s="167"/>
    </row>
    <row r="307" spans="1:2" x14ac:dyDescent="0.25">
      <c r="A307" s="167"/>
      <c r="B307" s="167"/>
    </row>
    <row r="308" spans="1:2" x14ac:dyDescent="0.25">
      <c r="A308" s="167"/>
      <c r="B308" s="167"/>
    </row>
    <row r="309" spans="1:2" x14ac:dyDescent="0.25">
      <c r="A309" s="167"/>
      <c r="B309" s="167"/>
    </row>
    <row r="310" spans="1:2" x14ac:dyDescent="0.25">
      <c r="A310" s="167"/>
      <c r="B310" s="167"/>
    </row>
    <row r="311" spans="1:2" x14ac:dyDescent="0.25">
      <c r="A311" s="167"/>
      <c r="B311" s="167"/>
    </row>
    <row r="312" spans="1:2" x14ac:dyDescent="0.25">
      <c r="A312" s="167"/>
      <c r="B312" s="167"/>
    </row>
    <row r="313" spans="1:2" x14ac:dyDescent="0.25">
      <c r="A313" s="167"/>
      <c r="B313" s="167"/>
    </row>
    <row r="314" spans="1:2" x14ac:dyDescent="0.25">
      <c r="A314" s="167"/>
      <c r="B314" s="167"/>
    </row>
    <row r="315" spans="1:2" x14ac:dyDescent="0.25">
      <c r="A315" s="167"/>
      <c r="B315" s="167"/>
    </row>
    <row r="316" spans="1:2" x14ac:dyDescent="0.25">
      <c r="A316" s="167"/>
      <c r="B316" s="167"/>
    </row>
    <row r="317" spans="1:2" x14ac:dyDescent="0.25">
      <c r="A317" s="167"/>
      <c r="B317" s="167"/>
    </row>
    <row r="318" spans="1:2" x14ac:dyDescent="0.25">
      <c r="A318" s="167"/>
      <c r="B318" s="167"/>
    </row>
    <row r="319" spans="1:2" x14ac:dyDescent="0.25">
      <c r="A319" s="167"/>
      <c r="B319" s="167"/>
    </row>
    <row r="320" spans="1:2" x14ac:dyDescent="0.25">
      <c r="A320" s="167"/>
      <c r="B320" s="167"/>
    </row>
    <row r="321" spans="1:2" x14ac:dyDescent="0.25">
      <c r="A321" s="167"/>
      <c r="B321" s="167"/>
    </row>
    <row r="322" spans="1:2" x14ac:dyDescent="0.25">
      <c r="A322" s="167"/>
      <c r="B322" s="167"/>
    </row>
    <row r="323" spans="1:2" x14ac:dyDescent="0.25">
      <c r="A323" s="167"/>
      <c r="B323" s="167"/>
    </row>
    <row r="324" spans="1:2" x14ac:dyDescent="0.25">
      <c r="A324" s="167"/>
      <c r="B324" s="167"/>
    </row>
    <row r="325" spans="1:2" x14ac:dyDescent="0.25">
      <c r="A325" s="167"/>
      <c r="B325" s="167"/>
    </row>
    <row r="326" spans="1:2" x14ac:dyDescent="0.25">
      <c r="A326" s="167"/>
      <c r="B326" s="167"/>
    </row>
    <row r="327" spans="1:2" x14ac:dyDescent="0.25">
      <c r="A327" s="167"/>
      <c r="B327" s="167"/>
    </row>
    <row r="328" spans="1:2" x14ac:dyDescent="0.25">
      <c r="A328" s="167"/>
      <c r="B328" s="167"/>
    </row>
    <row r="329" spans="1:2" x14ac:dyDescent="0.25">
      <c r="A329" s="167"/>
      <c r="B329" s="167"/>
    </row>
    <row r="330" spans="1:2" x14ac:dyDescent="0.25">
      <c r="A330" s="167"/>
      <c r="B330" s="167"/>
    </row>
    <row r="331" spans="1:2" x14ac:dyDescent="0.25">
      <c r="A331" s="167"/>
      <c r="B331" s="167"/>
    </row>
    <row r="332" spans="1:2" x14ac:dyDescent="0.25">
      <c r="A332" s="167"/>
      <c r="B332" s="167"/>
    </row>
    <row r="333" spans="1:2" x14ac:dyDescent="0.25">
      <c r="A333" s="167"/>
      <c r="B333" s="167"/>
    </row>
    <row r="334" spans="1:2" x14ac:dyDescent="0.25">
      <c r="A334" s="167"/>
      <c r="B334" s="167"/>
    </row>
    <row r="335" spans="1:2" x14ac:dyDescent="0.25">
      <c r="A335" s="167"/>
      <c r="B335" s="167"/>
    </row>
    <row r="336" spans="1:2" x14ac:dyDescent="0.25">
      <c r="A336" s="167"/>
      <c r="B336" s="167"/>
    </row>
    <row r="337" spans="1:2" x14ac:dyDescent="0.25">
      <c r="A337" s="167"/>
      <c r="B337" s="167"/>
    </row>
    <row r="338" spans="1:2" x14ac:dyDescent="0.25">
      <c r="A338" s="167"/>
      <c r="B338" s="167"/>
    </row>
    <row r="339" spans="1:2" x14ac:dyDescent="0.25">
      <c r="A339" s="167"/>
      <c r="B339" s="167"/>
    </row>
    <row r="340" spans="1:2" x14ac:dyDescent="0.25">
      <c r="A340" s="167"/>
      <c r="B340" s="167"/>
    </row>
    <row r="341" spans="1:2" x14ac:dyDescent="0.25">
      <c r="A341" s="167"/>
      <c r="B341" s="167"/>
    </row>
    <row r="342" spans="1:2" x14ac:dyDescent="0.25">
      <c r="A342" s="167"/>
      <c r="B342" s="167"/>
    </row>
    <row r="343" spans="1:2" x14ac:dyDescent="0.25">
      <c r="A343" s="167"/>
      <c r="B343" s="167"/>
    </row>
    <row r="344" spans="1:2" x14ac:dyDescent="0.25">
      <c r="A344" s="167"/>
      <c r="B344" s="167"/>
    </row>
    <row r="345" spans="1:2" x14ac:dyDescent="0.25">
      <c r="A345" s="167"/>
      <c r="B345" s="167"/>
    </row>
    <row r="346" spans="1:2" x14ac:dyDescent="0.25">
      <c r="A346" s="167"/>
      <c r="B346" s="167"/>
    </row>
    <row r="347" spans="1:2" x14ac:dyDescent="0.25">
      <c r="A347" s="167"/>
      <c r="B347" s="167"/>
    </row>
    <row r="348" spans="1:2" x14ac:dyDescent="0.25">
      <c r="A348" s="167"/>
      <c r="B348" s="167"/>
    </row>
    <row r="349" spans="1:2" x14ac:dyDescent="0.25">
      <c r="A349" s="167"/>
      <c r="B349" s="167"/>
    </row>
    <row r="350" spans="1:2" x14ac:dyDescent="0.25">
      <c r="A350" s="167"/>
      <c r="B350" s="167"/>
    </row>
    <row r="351" spans="1:2" x14ac:dyDescent="0.25">
      <c r="A351" s="167"/>
      <c r="B351" s="167"/>
    </row>
    <row r="352" spans="1:2" x14ac:dyDescent="0.25">
      <c r="A352" s="167"/>
      <c r="B352" s="167"/>
    </row>
    <row r="353" spans="1:2" x14ac:dyDescent="0.25">
      <c r="A353" s="167"/>
      <c r="B353" s="167"/>
    </row>
    <row r="354" spans="1:2" x14ac:dyDescent="0.25">
      <c r="A354" s="167"/>
      <c r="B354" s="167"/>
    </row>
    <row r="355" spans="1:2" x14ac:dyDescent="0.25">
      <c r="A355" s="167"/>
      <c r="B355" s="167"/>
    </row>
    <row r="356" spans="1:2" x14ac:dyDescent="0.25">
      <c r="A356" s="167"/>
      <c r="B356" s="167"/>
    </row>
    <row r="357" spans="1:2" x14ac:dyDescent="0.25">
      <c r="A357" s="167"/>
      <c r="B357" s="167"/>
    </row>
    <row r="358" spans="1:2" x14ac:dyDescent="0.25">
      <c r="A358" s="167"/>
      <c r="B358" s="167"/>
    </row>
    <row r="359" spans="1:2" x14ac:dyDescent="0.25">
      <c r="A359" s="167"/>
      <c r="B359" s="167"/>
    </row>
    <row r="360" spans="1:2" x14ac:dyDescent="0.25">
      <c r="A360" s="167"/>
      <c r="B360" s="167"/>
    </row>
    <row r="361" spans="1:2" x14ac:dyDescent="0.25">
      <c r="A361" s="167"/>
      <c r="B361" s="167"/>
    </row>
    <row r="362" spans="1:2" x14ac:dyDescent="0.25">
      <c r="A362" s="167"/>
      <c r="B362" s="167"/>
    </row>
    <row r="363" spans="1:2" x14ac:dyDescent="0.25">
      <c r="A363" s="167"/>
      <c r="B363" s="167"/>
    </row>
    <row r="364" spans="1:2" x14ac:dyDescent="0.25">
      <c r="A364" s="167"/>
      <c r="B364" s="167"/>
    </row>
    <row r="365" spans="1:2" x14ac:dyDescent="0.25">
      <c r="A365" s="167"/>
      <c r="B365" s="167"/>
    </row>
    <row r="366" spans="1:2" x14ac:dyDescent="0.25">
      <c r="A366" s="167"/>
      <c r="B366" s="167"/>
    </row>
    <row r="367" spans="1:2" x14ac:dyDescent="0.25">
      <c r="A367" s="167"/>
      <c r="B367" s="167"/>
    </row>
    <row r="368" spans="1:2" x14ac:dyDescent="0.25">
      <c r="A368" s="167"/>
      <c r="B368" s="167"/>
    </row>
    <row r="369" spans="1:2" x14ac:dyDescent="0.25">
      <c r="A369" s="167"/>
      <c r="B369" s="167"/>
    </row>
    <row r="370" spans="1:2" x14ac:dyDescent="0.25">
      <c r="A370" s="167"/>
      <c r="B370" s="167"/>
    </row>
    <row r="371" spans="1:2" x14ac:dyDescent="0.25">
      <c r="A371" s="167"/>
      <c r="B371" s="167"/>
    </row>
    <row r="372" spans="1:2" x14ac:dyDescent="0.25">
      <c r="A372" s="167"/>
      <c r="B372" s="167"/>
    </row>
    <row r="373" spans="1:2" x14ac:dyDescent="0.25">
      <c r="A373" s="167"/>
      <c r="B373" s="167"/>
    </row>
    <row r="374" spans="1:2" x14ac:dyDescent="0.25">
      <c r="A374" s="167"/>
      <c r="B374" s="167"/>
    </row>
    <row r="375" spans="1:2" x14ac:dyDescent="0.25">
      <c r="A375" s="167"/>
      <c r="B375" s="167"/>
    </row>
    <row r="376" spans="1:2" x14ac:dyDescent="0.25">
      <c r="A376" s="167"/>
      <c r="B376" s="167"/>
    </row>
    <row r="377" spans="1:2" x14ac:dyDescent="0.25">
      <c r="A377" s="167"/>
      <c r="B377" s="167"/>
    </row>
    <row r="378" spans="1:2" x14ac:dyDescent="0.25">
      <c r="A378" s="167"/>
      <c r="B378" s="167"/>
    </row>
    <row r="379" spans="1:2" x14ac:dyDescent="0.25">
      <c r="A379" s="167"/>
      <c r="B379" s="167"/>
    </row>
    <row r="380" spans="1:2" x14ac:dyDescent="0.25">
      <c r="A380" s="167"/>
      <c r="B380" s="167"/>
    </row>
    <row r="381" spans="1:2" x14ac:dyDescent="0.25">
      <c r="A381" s="167"/>
      <c r="B381" s="167"/>
    </row>
    <row r="382" spans="1:2" x14ac:dyDescent="0.25">
      <c r="A382" s="167"/>
      <c r="B382" s="167"/>
    </row>
    <row r="383" spans="1:2" x14ac:dyDescent="0.25">
      <c r="A383" s="167"/>
      <c r="B383" s="167"/>
    </row>
    <row r="384" spans="1:2" x14ac:dyDescent="0.25">
      <c r="A384" s="167"/>
      <c r="B384" s="167"/>
    </row>
    <row r="385" spans="1:2" x14ac:dyDescent="0.25">
      <c r="A385" s="167"/>
      <c r="B385" s="167"/>
    </row>
    <row r="386" spans="1:2" x14ac:dyDescent="0.25">
      <c r="A386" s="167"/>
      <c r="B386" s="167"/>
    </row>
    <row r="387" spans="1:2" x14ac:dyDescent="0.25">
      <c r="A387" s="167"/>
      <c r="B387" s="167"/>
    </row>
    <row r="388" spans="1:2" x14ac:dyDescent="0.25">
      <c r="A388" s="167"/>
      <c r="B388" s="167"/>
    </row>
    <row r="389" spans="1:2" x14ac:dyDescent="0.25">
      <c r="A389" s="167"/>
      <c r="B389" s="167"/>
    </row>
    <row r="390" spans="1:2" x14ac:dyDescent="0.25">
      <c r="A390" s="167"/>
      <c r="B390" s="167"/>
    </row>
    <row r="391" spans="1:2" x14ac:dyDescent="0.25">
      <c r="A391" s="167"/>
      <c r="B391" s="167"/>
    </row>
    <row r="392" spans="1:2" x14ac:dyDescent="0.25">
      <c r="A392" s="167"/>
      <c r="B392" s="167"/>
    </row>
    <row r="393" spans="1:2" x14ac:dyDescent="0.25">
      <c r="A393" s="167"/>
      <c r="B393" s="167"/>
    </row>
    <row r="394" spans="1:2" x14ac:dyDescent="0.25">
      <c r="A394" s="167"/>
      <c r="B394" s="167"/>
    </row>
    <row r="395" spans="1:2" x14ac:dyDescent="0.25">
      <c r="A395" s="167"/>
      <c r="B395" s="167"/>
    </row>
    <row r="396" spans="1:2" x14ac:dyDescent="0.25">
      <c r="A396" s="167"/>
      <c r="B396" s="167"/>
    </row>
    <row r="397" spans="1:2" x14ac:dyDescent="0.25">
      <c r="A397" s="167"/>
      <c r="B397" s="167"/>
    </row>
    <row r="398" spans="1:2" x14ac:dyDescent="0.25">
      <c r="A398" s="167"/>
      <c r="B398" s="167"/>
    </row>
    <row r="399" spans="1:2" x14ac:dyDescent="0.25">
      <c r="A399" s="167"/>
      <c r="B399" s="167"/>
    </row>
    <row r="400" spans="1:2" x14ac:dyDescent="0.25">
      <c r="A400" s="167"/>
      <c r="B400" s="167"/>
    </row>
    <row r="401" spans="1:2" x14ac:dyDescent="0.25">
      <c r="A401" s="167"/>
      <c r="B401" s="167"/>
    </row>
    <row r="402" spans="1:2" x14ac:dyDescent="0.25">
      <c r="A402" s="167"/>
      <c r="B402" s="167"/>
    </row>
    <row r="403" spans="1:2" x14ac:dyDescent="0.25">
      <c r="A403" s="167"/>
      <c r="B403" s="167"/>
    </row>
    <row r="404" spans="1:2" x14ac:dyDescent="0.25">
      <c r="A404" s="167"/>
      <c r="B404" s="167"/>
    </row>
    <row r="405" spans="1:2" x14ac:dyDescent="0.25">
      <c r="A405" s="167"/>
      <c r="B405" s="167"/>
    </row>
    <row r="406" spans="1:2" x14ac:dyDescent="0.25">
      <c r="A406" s="167"/>
      <c r="B406" s="167"/>
    </row>
    <row r="407" spans="1:2" x14ac:dyDescent="0.25">
      <c r="A407" s="167"/>
      <c r="B407" s="167"/>
    </row>
    <row r="408" spans="1:2" x14ac:dyDescent="0.25">
      <c r="A408" s="167"/>
      <c r="B408" s="167"/>
    </row>
    <row r="409" spans="1:2" x14ac:dyDescent="0.25">
      <c r="A409" s="167"/>
      <c r="B409" s="167"/>
    </row>
    <row r="410" spans="1:2" x14ac:dyDescent="0.25">
      <c r="A410" s="167"/>
      <c r="B410" s="167"/>
    </row>
    <row r="411" spans="1:2" x14ac:dyDescent="0.25">
      <c r="A411" s="167"/>
      <c r="B411" s="167"/>
    </row>
    <row r="412" spans="1:2" x14ac:dyDescent="0.25">
      <c r="A412" s="167"/>
      <c r="B412" s="167"/>
    </row>
    <row r="413" spans="1:2" x14ac:dyDescent="0.25">
      <c r="A413" s="167"/>
      <c r="B413" s="167"/>
    </row>
    <row r="414" spans="1:2" x14ac:dyDescent="0.25">
      <c r="A414" s="167"/>
      <c r="B414" s="167"/>
    </row>
    <row r="415" spans="1:2" x14ac:dyDescent="0.25">
      <c r="A415" s="167"/>
      <c r="B415" s="167"/>
    </row>
    <row r="416" spans="1:2" x14ac:dyDescent="0.25">
      <c r="A416" s="167"/>
      <c r="B416" s="167"/>
    </row>
    <row r="417" spans="1:2" x14ac:dyDescent="0.25">
      <c r="A417" s="167"/>
      <c r="B417" s="167"/>
    </row>
    <row r="418" spans="1:2" x14ac:dyDescent="0.25">
      <c r="A418" s="167"/>
      <c r="B418" s="167"/>
    </row>
    <row r="419" spans="1:2" x14ac:dyDescent="0.25">
      <c r="A419" s="167"/>
      <c r="B419" s="167"/>
    </row>
    <row r="420" spans="1:2" x14ac:dyDescent="0.25">
      <c r="A420" s="167"/>
      <c r="B420" s="167"/>
    </row>
    <row r="421" spans="1:2" x14ac:dyDescent="0.25">
      <c r="A421" s="167"/>
      <c r="B421" s="167"/>
    </row>
    <row r="422" spans="1:2" x14ac:dyDescent="0.25">
      <c r="A422" s="167"/>
      <c r="B422" s="167"/>
    </row>
    <row r="423" spans="1:2" x14ac:dyDescent="0.25">
      <c r="A423" s="167"/>
      <c r="B423" s="167"/>
    </row>
    <row r="424" spans="1:2" x14ac:dyDescent="0.25">
      <c r="A424" s="167"/>
      <c r="B424" s="167"/>
    </row>
    <row r="425" spans="1:2" x14ac:dyDescent="0.25">
      <c r="A425" s="167"/>
      <c r="B425" s="167"/>
    </row>
    <row r="426" spans="1:2" x14ac:dyDescent="0.25">
      <c r="A426" s="167"/>
      <c r="B426" s="167"/>
    </row>
    <row r="427" spans="1:2" x14ac:dyDescent="0.25">
      <c r="A427" s="167"/>
      <c r="B427" s="167"/>
    </row>
    <row r="428" spans="1:2" x14ac:dyDescent="0.25">
      <c r="A428" s="167"/>
      <c r="B428" s="167"/>
    </row>
    <row r="429" spans="1:2" x14ac:dyDescent="0.25">
      <c r="A429" s="167"/>
      <c r="B429" s="167"/>
    </row>
    <row r="430" spans="1:2" x14ac:dyDescent="0.25">
      <c r="A430" s="167"/>
      <c r="B430" s="167"/>
    </row>
    <row r="431" spans="1:2" x14ac:dyDescent="0.25">
      <c r="A431" s="167"/>
      <c r="B431" s="167"/>
    </row>
    <row r="432" spans="1:2" x14ac:dyDescent="0.25">
      <c r="A432" s="167"/>
      <c r="B432" s="167"/>
    </row>
    <row r="433" spans="1:2" x14ac:dyDescent="0.25">
      <c r="A433" s="167"/>
      <c r="B433" s="167"/>
    </row>
    <row r="434" spans="1:2" x14ac:dyDescent="0.25">
      <c r="A434" s="167"/>
      <c r="B434" s="167"/>
    </row>
    <row r="435" spans="1:2" x14ac:dyDescent="0.25">
      <c r="A435" s="167"/>
      <c r="B435" s="167"/>
    </row>
    <row r="436" spans="1:2" x14ac:dyDescent="0.25">
      <c r="A436" s="167"/>
      <c r="B436" s="167"/>
    </row>
    <row r="437" spans="1:2" x14ac:dyDescent="0.25">
      <c r="A437" s="167"/>
      <c r="B437" s="167"/>
    </row>
    <row r="438" spans="1:2" x14ac:dyDescent="0.25">
      <c r="A438" s="167"/>
      <c r="B438" s="167"/>
    </row>
    <row r="439" spans="1:2" x14ac:dyDescent="0.25">
      <c r="A439" s="167"/>
      <c r="B439" s="167"/>
    </row>
    <row r="440" spans="1:2" x14ac:dyDescent="0.25">
      <c r="A440" s="167"/>
      <c r="B440" s="167"/>
    </row>
    <row r="441" spans="1:2" x14ac:dyDescent="0.25">
      <c r="A441" s="167"/>
      <c r="B441" s="167"/>
    </row>
    <row r="442" spans="1:2" x14ac:dyDescent="0.25">
      <c r="A442" s="167"/>
      <c r="B442" s="167"/>
    </row>
    <row r="443" spans="1:2" x14ac:dyDescent="0.25">
      <c r="A443" s="167"/>
      <c r="B443" s="167"/>
    </row>
    <row r="444" spans="1:2" x14ac:dyDescent="0.25">
      <c r="A444" s="167"/>
      <c r="B444" s="167"/>
    </row>
    <row r="445" spans="1:2" x14ac:dyDescent="0.25">
      <c r="A445" s="167"/>
      <c r="B445" s="167"/>
    </row>
    <row r="446" spans="1:2" x14ac:dyDescent="0.25">
      <c r="A446" s="167"/>
      <c r="B446" s="167"/>
    </row>
    <row r="447" spans="1:2" x14ac:dyDescent="0.25">
      <c r="A447" s="167"/>
      <c r="B447" s="167"/>
    </row>
    <row r="448" spans="1:2" x14ac:dyDescent="0.25">
      <c r="A448" s="167"/>
      <c r="B448" s="167"/>
    </row>
    <row r="449" spans="1:2" x14ac:dyDescent="0.25">
      <c r="A449" s="167"/>
      <c r="B449" s="167"/>
    </row>
    <row r="450" spans="1:2" x14ac:dyDescent="0.25">
      <c r="A450" s="167"/>
      <c r="B450" s="167"/>
    </row>
    <row r="451" spans="1:2" x14ac:dyDescent="0.25">
      <c r="A451" s="167"/>
      <c r="B451" s="167"/>
    </row>
    <row r="452" spans="1:2" x14ac:dyDescent="0.25">
      <c r="A452" s="167"/>
      <c r="B452" s="167"/>
    </row>
    <row r="453" spans="1:2" x14ac:dyDescent="0.25">
      <c r="A453" s="167"/>
      <c r="B453" s="167"/>
    </row>
    <row r="454" spans="1:2" x14ac:dyDescent="0.25">
      <c r="A454" s="167"/>
      <c r="B454" s="167"/>
    </row>
    <row r="455" spans="1:2" x14ac:dyDescent="0.25">
      <c r="A455" s="167"/>
      <c r="B455" s="167"/>
    </row>
    <row r="456" spans="1:2" x14ac:dyDescent="0.25">
      <c r="A456" s="167"/>
      <c r="B456" s="167"/>
    </row>
    <row r="457" spans="1:2" x14ac:dyDescent="0.25">
      <c r="A457" s="167"/>
      <c r="B457" s="167"/>
    </row>
    <row r="458" spans="1:2" x14ac:dyDescent="0.25">
      <c r="A458" s="167"/>
      <c r="B458" s="167"/>
    </row>
    <row r="459" spans="1:2" x14ac:dyDescent="0.25">
      <c r="A459" s="167"/>
      <c r="B459" s="167"/>
    </row>
    <row r="460" spans="1:2" x14ac:dyDescent="0.25">
      <c r="A460" s="167"/>
      <c r="B460" s="167"/>
    </row>
    <row r="461" spans="1:2" x14ac:dyDescent="0.25">
      <c r="A461" s="167"/>
      <c r="B461" s="167"/>
    </row>
    <row r="462" spans="1:2" x14ac:dyDescent="0.25">
      <c r="A462" s="167"/>
      <c r="B462" s="167"/>
    </row>
    <row r="463" spans="1:2" x14ac:dyDescent="0.25">
      <c r="A463" s="167"/>
      <c r="B463" s="167"/>
    </row>
    <row r="464" spans="1:2" x14ac:dyDescent="0.25">
      <c r="A464" s="167"/>
      <c r="B464" s="167"/>
    </row>
    <row r="465" spans="1:2" x14ac:dyDescent="0.25">
      <c r="A465" s="167"/>
      <c r="B465" s="167"/>
    </row>
    <row r="466" spans="1:2" x14ac:dyDescent="0.25">
      <c r="A466" s="167"/>
      <c r="B466" s="167"/>
    </row>
    <row r="467" spans="1:2" x14ac:dyDescent="0.25">
      <c r="A467" s="167"/>
      <c r="B467" s="167"/>
    </row>
    <row r="468" spans="1:2" x14ac:dyDescent="0.25">
      <c r="A468" s="167"/>
      <c r="B468" s="167"/>
    </row>
    <row r="469" spans="1:2" x14ac:dyDescent="0.25">
      <c r="A469" s="167"/>
      <c r="B469" s="167"/>
    </row>
    <row r="470" spans="1:2" x14ac:dyDescent="0.25">
      <c r="A470" s="167"/>
      <c r="B470" s="167"/>
    </row>
    <row r="471" spans="1:2" x14ac:dyDescent="0.25">
      <c r="A471" s="167"/>
      <c r="B471" s="167"/>
    </row>
    <row r="472" spans="1:2" x14ac:dyDescent="0.25">
      <c r="A472" s="167"/>
      <c r="B472" s="167"/>
    </row>
    <row r="473" spans="1:2" x14ac:dyDescent="0.25">
      <c r="A473" s="167"/>
      <c r="B473" s="167"/>
    </row>
    <row r="474" spans="1:2" x14ac:dyDescent="0.25">
      <c r="A474" s="167"/>
      <c r="B474" s="167"/>
    </row>
    <row r="475" spans="1:2" x14ac:dyDescent="0.25">
      <c r="A475" s="167"/>
      <c r="B475" s="167"/>
    </row>
    <row r="476" spans="1:2" x14ac:dyDescent="0.25">
      <c r="A476" s="167"/>
      <c r="B476" s="167"/>
    </row>
    <row r="477" spans="1:2" x14ac:dyDescent="0.25">
      <c r="A477" s="167"/>
      <c r="B477" s="167"/>
    </row>
    <row r="478" spans="1:2" x14ac:dyDescent="0.25">
      <c r="A478" s="167"/>
      <c r="B478" s="167"/>
    </row>
    <row r="479" spans="1:2" x14ac:dyDescent="0.25">
      <c r="A479" s="167"/>
      <c r="B479" s="167"/>
    </row>
    <row r="480" spans="1:2" x14ac:dyDescent="0.25">
      <c r="A480" s="167"/>
      <c r="B480" s="167"/>
    </row>
    <row r="481" spans="1:2" x14ac:dyDescent="0.25">
      <c r="A481" s="167"/>
      <c r="B481" s="167"/>
    </row>
    <row r="482" spans="1:2" x14ac:dyDescent="0.25">
      <c r="A482" s="167"/>
      <c r="B482" s="167"/>
    </row>
    <row r="483" spans="1:2" x14ac:dyDescent="0.25">
      <c r="A483" s="167"/>
      <c r="B483" s="167"/>
    </row>
    <row r="484" spans="1:2" x14ac:dyDescent="0.25">
      <c r="A484" s="167"/>
      <c r="B484" s="167"/>
    </row>
    <row r="485" spans="1:2" x14ac:dyDescent="0.25">
      <c r="A485" s="167"/>
      <c r="B485" s="167"/>
    </row>
    <row r="486" spans="1:2" x14ac:dyDescent="0.25">
      <c r="A486" s="167"/>
      <c r="B486" s="167"/>
    </row>
    <row r="487" spans="1:2" x14ac:dyDescent="0.25">
      <c r="A487" s="167"/>
      <c r="B487" s="167"/>
    </row>
    <row r="488" spans="1:2" x14ac:dyDescent="0.25">
      <c r="A488" s="167"/>
      <c r="B488" s="167"/>
    </row>
    <row r="489" spans="1:2" x14ac:dyDescent="0.25">
      <c r="A489" s="167"/>
      <c r="B489" s="167"/>
    </row>
    <row r="490" spans="1:2" x14ac:dyDescent="0.25">
      <c r="A490" s="167"/>
      <c r="B490" s="167"/>
    </row>
    <row r="491" spans="1:2" x14ac:dyDescent="0.25">
      <c r="A491" s="167"/>
      <c r="B491" s="167"/>
    </row>
    <row r="492" spans="1:2" x14ac:dyDescent="0.25">
      <c r="A492" s="167"/>
      <c r="B492" s="167"/>
    </row>
    <row r="493" spans="1:2" x14ac:dyDescent="0.25">
      <c r="A493" s="167"/>
      <c r="B493" s="167"/>
    </row>
    <row r="494" spans="1:2" x14ac:dyDescent="0.25">
      <c r="A494" s="167"/>
      <c r="B494" s="167"/>
    </row>
    <row r="495" spans="1:2" x14ac:dyDescent="0.25">
      <c r="A495" s="167"/>
      <c r="B495" s="167"/>
    </row>
    <row r="496" spans="1:2" x14ac:dyDescent="0.25">
      <c r="A496" s="167"/>
      <c r="B496" s="167"/>
    </row>
    <row r="497" spans="1:2" x14ac:dyDescent="0.25">
      <c r="A497" s="167"/>
      <c r="B497" s="167"/>
    </row>
    <row r="498" spans="1:2" x14ac:dyDescent="0.25">
      <c r="A498" s="167"/>
      <c r="B498" s="167"/>
    </row>
    <row r="499" spans="1:2" x14ac:dyDescent="0.25">
      <c r="A499" s="167"/>
      <c r="B499" s="167"/>
    </row>
    <row r="500" spans="1:2" x14ac:dyDescent="0.25">
      <c r="A500" s="167"/>
      <c r="B500" s="167"/>
    </row>
    <row r="501" spans="1:2" x14ac:dyDescent="0.25">
      <c r="A501" s="167"/>
      <c r="B501" s="167"/>
    </row>
    <row r="502" spans="1:2" x14ac:dyDescent="0.25">
      <c r="A502" s="167"/>
      <c r="B502" s="167"/>
    </row>
    <row r="503" spans="1:2" x14ac:dyDescent="0.25">
      <c r="A503" s="167"/>
      <c r="B503" s="167"/>
    </row>
    <row r="504" spans="1:2" x14ac:dyDescent="0.25">
      <c r="A504" s="167"/>
      <c r="B504" s="167"/>
    </row>
    <row r="505" spans="1:2" x14ac:dyDescent="0.25">
      <c r="A505" s="167"/>
      <c r="B505" s="167"/>
    </row>
    <row r="506" spans="1:2" x14ac:dyDescent="0.25">
      <c r="A506" s="167"/>
      <c r="B506" s="167"/>
    </row>
    <row r="507" spans="1:2" x14ac:dyDescent="0.25">
      <c r="A507" s="167"/>
      <c r="B507" s="167"/>
    </row>
    <row r="508" spans="1:2" x14ac:dyDescent="0.25">
      <c r="A508" s="167"/>
      <c r="B508" s="167"/>
    </row>
    <row r="509" spans="1:2" x14ac:dyDescent="0.25">
      <c r="A509" s="167"/>
      <c r="B509" s="167"/>
    </row>
    <row r="510" spans="1:2" x14ac:dyDescent="0.25">
      <c r="A510" s="167"/>
      <c r="B510" s="167"/>
    </row>
    <row r="511" spans="1:2" x14ac:dyDescent="0.25">
      <c r="A511" s="167"/>
      <c r="B511" s="167"/>
    </row>
    <row r="512" spans="1:2" x14ac:dyDescent="0.25">
      <c r="A512" s="167"/>
      <c r="B512" s="167"/>
    </row>
    <row r="513" spans="1:2" x14ac:dyDescent="0.25">
      <c r="A513" s="167"/>
      <c r="B513" s="167"/>
    </row>
    <row r="514" spans="1:2" x14ac:dyDescent="0.25">
      <c r="A514" s="167"/>
      <c r="B514" s="167"/>
    </row>
    <row r="515" spans="1:2" x14ac:dyDescent="0.25">
      <c r="A515" s="167"/>
      <c r="B515" s="167"/>
    </row>
    <row r="516" spans="1:2" x14ac:dyDescent="0.25">
      <c r="A516" s="167"/>
      <c r="B516" s="167"/>
    </row>
    <row r="517" spans="1:2" x14ac:dyDescent="0.25">
      <c r="A517" s="167"/>
      <c r="B517" s="167"/>
    </row>
    <row r="518" spans="1:2" x14ac:dyDescent="0.25">
      <c r="A518" s="167"/>
      <c r="B518" s="167"/>
    </row>
    <row r="519" spans="1:2" x14ac:dyDescent="0.25">
      <c r="A519" s="167"/>
      <c r="B519" s="167"/>
    </row>
    <row r="520" spans="1:2" x14ac:dyDescent="0.25">
      <c r="A520" s="167"/>
      <c r="B520" s="167"/>
    </row>
    <row r="521" spans="1:2" x14ac:dyDescent="0.25">
      <c r="A521" s="167"/>
      <c r="B521" s="167"/>
    </row>
    <row r="522" spans="1:2" x14ac:dyDescent="0.25">
      <c r="A522" s="167"/>
      <c r="B522" s="167"/>
    </row>
    <row r="523" spans="1:2" x14ac:dyDescent="0.25">
      <c r="A523" s="167"/>
      <c r="B523" s="167"/>
    </row>
    <row r="524" spans="1:2" x14ac:dyDescent="0.25">
      <c r="A524" s="167"/>
      <c r="B524" s="167"/>
    </row>
    <row r="525" spans="1:2" x14ac:dyDescent="0.25">
      <c r="A525" s="167"/>
      <c r="B525" s="167"/>
    </row>
    <row r="526" spans="1:2" x14ac:dyDescent="0.25">
      <c r="A526" s="167"/>
      <c r="B526" s="167"/>
    </row>
    <row r="527" spans="1:2" x14ac:dyDescent="0.25">
      <c r="A527" s="167"/>
      <c r="B527" s="167"/>
    </row>
    <row r="528" spans="1:2" x14ac:dyDescent="0.25">
      <c r="A528" s="167"/>
      <c r="B528" s="167"/>
    </row>
    <row r="529" spans="1:2" x14ac:dyDescent="0.25">
      <c r="A529" s="167"/>
      <c r="B529" s="167"/>
    </row>
    <row r="530" spans="1:2" x14ac:dyDescent="0.25">
      <c r="A530" s="167"/>
      <c r="B530" s="167"/>
    </row>
    <row r="531" spans="1:2" x14ac:dyDescent="0.25">
      <c r="A531" s="167"/>
      <c r="B531" s="167"/>
    </row>
    <row r="532" spans="1:2" x14ac:dyDescent="0.25">
      <c r="A532" s="167"/>
      <c r="B532" s="167"/>
    </row>
    <row r="533" spans="1:2" x14ac:dyDescent="0.25">
      <c r="A533" s="167"/>
      <c r="B533" s="167"/>
    </row>
    <row r="534" spans="1:2" x14ac:dyDescent="0.25">
      <c r="A534" s="167"/>
      <c r="B534" s="167"/>
    </row>
    <row r="535" spans="1:2" x14ac:dyDescent="0.25">
      <c r="A535" s="167"/>
      <c r="B535" s="167"/>
    </row>
    <row r="536" spans="1:2" x14ac:dyDescent="0.25">
      <c r="A536" s="167"/>
      <c r="B536" s="167"/>
    </row>
    <row r="537" spans="1:2" x14ac:dyDescent="0.25">
      <c r="A537" s="167"/>
      <c r="B537" s="167"/>
    </row>
    <row r="538" spans="1:2" x14ac:dyDescent="0.25">
      <c r="A538" s="167"/>
      <c r="B538" s="167"/>
    </row>
    <row r="539" spans="1:2" x14ac:dyDescent="0.25">
      <c r="A539" s="167"/>
      <c r="B539" s="167"/>
    </row>
    <row r="540" spans="1:2" x14ac:dyDescent="0.25">
      <c r="A540" s="167"/>
      <c r="B540" s="167"/>
    </row>
    <row r="541" spans="1:2" x14ac:dyDescent="0.25">
      <c r="A541" s="167"/>
      <c r="B541" s="167"/>
    </row>
    <row r="542" spans="1:2" x14ac:dyDescent="0.25">
      <c r="A542" s="167"/>
      <c r="B542" s="167"/>
    </row>
    <row r="543" spans="1:2" x14ac:dyDescent="0.25">
      <c r="A543" s="167"/>
      <c r="B543" s="167"/>
    </row>
    <row r="544" spans="1:2" x14ac:dyDescent="0.25">
      <c r="A544" s="167"/>
      <c r="B544" s="167"/>
    </row>
    <row r="545" spans="1:2" x14ac:dyDescent="0.25">
      <c r="A545" s="167"/>
      <c r="B545" s="167"/>
    </row>
    <row r="546" spans="1:2" x14ac:dyDescent="0.25">
      <c r="A546" s="167"/>
      <c r="B546" s="167"/>
    </row>
    <row r="547" spans="1:2" x14ac:dyDescent="0.25">
      <c r="A547" s="167"/>
      <c r="B547" s="167"/>
    </row>
    <row r="548" spans="1:2" x14ac:dyDescent="0.25">
      <c r="A548" s="167"/>
      <c r="B548" s="167"/>
    </row>
    <row r="549" spans="1:2" x14ac:dyDescent="0.25">
      <c r="A549" s="167"/>
      <c r="B549" s="167"/>
    </row>
    <row r="550" spans="1:2" x14ac:dyDescent="0.25">
      <c r="A550" s="167"/>
      <c r="B550" s="167"/>
    </row>
    <row r="551" spans="1:2" x14ac:dyDescent="0.25">
      <c r="A551" s="167"/>
      <c r="B551" s="167"/>
    </row>
    <row r="552" spans="1:2" x14ac:dyDescent="0.25">
      <c r="A552" s="167"/>
      <c r="B552" s="167"/>
    </row>
    <row r="553" spans="1:2" x14ac:dyDescent="0.25">
      <c r="A553" s="167"/>
      <c r="B553" s="167"/>
    </row>
    <row r="554" spans="1:2" x14ac:dyDescent="0.25">
      <c r="A554" s="167"/>
      <c r="B554" s="167"/>
    </row>
    <row r="555" spans="1:2" x14ac:dyDescent="0.25">
      <c r="A555" s="167"/>
      <c r="B555" s="167"/>
    </row>
    <row r="556" spans="1:2" x14ac:dyDescent="0.25">
      <c r="A556" s="167"/>
      <c r="B556" s="167"/>
    </row>
    <row r="557" spans="1:2" x14ac:dyDescent="0.25">
      <c r="A557" s="167"/>
      <c r="B557" s="167"/>
    </row>
    <row r="558" spans="1:2" x14ac:dyDescent="0.25">
      <c r="A558" s="167"/>
      <c r="B558" s="167"/>
    </row>
    <row r="559" spans="1:2" x14ac:dyDescent="0.25">
      <c r="A559" s="167"/>
      <c r="B559" s="167"/>
    </row>
    <row r="560" spans="1:2" x14ac:dyDescent="0.25">
      <c r="A560" s="167"/>
      <c r="B560" s="167"/>
    </row>
    <row r="561" spans="1:2" x14ac:dyDescent="0.25">
      <c r="A561" s="167"/>
      <c r="B561" s="167"/>
    </row>
    <row r="562" spans="1:2" x14ac:dyDescent="0.25">
      <c r="A562" s="167"/>
      <c r="B562" s="167"/>
    </row>
    <row r="563" spans="1:2" x14ac:dyDescent="0.25">
      <c r="A563" s="167"/>
      <c r="B563" s="167"/>
    </row>
    <row r="564" spans="1:2" x14ac:dyDescent="0.25">
      <c r="A564" s="167"/>
      <c r="B564" s="167"/>
    </row>
    <row r="565" spans="1:2" x14ac:dyDescent="0.25">
      <c r="A565" s="167"/>
      <c r="B565" s="167"/>
    </row>
    <row r="566" spans="1:2" x14ac:dyDescent="0.25">
      <c r="A566" s="167"/>
      <c r="B566" s="167"/>
    </row>
    <row r="567" spans="1:2" x14ac:dyDescent="0.25">
      <c r="A567" s="167"/>
      <c r="B567" s="167"/>
    </row>
    <row r="568" spans="1:2" x14ac:dyDescent="0.25">
      <c r="A568" s="167"/>
      <c r="B568" s="167"/>
    </row>
    <row r="569" spans="1:2" x14ac:dyDescent="0.25">
      <c r="A569" s="167"/>
      <c r="B569" s="167"/>
    </row>
    <row r="570" spans="1:2" x14ac:dyDescent="0.25">
      <c r="A570" s="167"/>
      <c r="B570" s="167"/>
    </row>
    <row r="571" spans="1:2" x14ac:dyDescent="0.25">
      <c r="A571" s="167"/>
      <c r="B571" s="167"/>
    </row>
    <row r="572" spans="1:2" x14ac:dyDescent="0.25">
      <c r="A572" s="167"/>
      <c r="B572" s="167"/>
    </row>
    <row r="573" spans="1:2" x14ac:dyDescent="0.25">
      <c r="A573" s="167"/>
      <c r="B573" s="167"/>
    </row>
    <row r="574" spans="1:2" x14ac:dyDescent="0.25">
      <c r="A574" s="167"/>
      <c r="B574" s="167"/>
    </row>
    <row r="575" spans="1:2" x14ac:dyDescent="0.25">
      <c r="A575" s="167"/>
      <c r="B575" s="167"/>
    </row>
    <row r="576" spans="1:2" x14ac:dyDescent="0.25">
      <c r="A576" s="167"/>
      <c r="B576" s="167"/>
    </row>
    <row r="577" spans="1:2" x14ac:dyDescent="0.25">
      <c r="A577" s="167"/>
      <c r="B577" s="167"/>
    </row>
    <row r="578" spans="1:2" x14ac:dyDescent="0.25">
      <c r="A578" s="167"/>
      <c r="B578" s="167"/>
    </row>
    <row r="579" spans="1:2" x14ac:dyDescent="0.25">
      <c r="A579" s="167"/>
      <c r="B579" s="167"/>
    </row>
    <row r="580" spans="1:2" x14ac:dyDescent="0.25">
      <c r="A580" s="167"/>
      <c r="B580" s="167"/>
    </row>
    <row r="581" spans="1:2" x14ac:dyDescent="0.25">
      <c r="A581" s="167"/>
      <c r="B581" s="167"/>
    </row>
    <row r="582" spans="1:2" x14ac:dyDescent="0.25">
      <c r="A582" s="167"/>
      <c r="B582" s="167"/>
    </row>
    <row r="583" spans="1:2" x14ac:dyDescent="0.25">
      <c r="A583" s="167"/>
      <c r="B583" s="167"/>
    </row>
    <row r="584" spans="1:2" x14ac:dyDescent="0.25">
      <c r="A584" s="167"/>
      <c r="B584" s="167"/>
    </row>
    <row r="585" spans="1:2" x14ac:dyDescent="0.25">
      <c r="A585" s="167"/>
      <c r="B585" s="167"/>
    </row>
    <row r="586" spans="1:2" x14ac:dyDescent="0.25">
      <c r="A586" s="167"/>
      <c r="B586" s="167"/>
    </row>
    <row r="587" spans="1:2" x14ac:dyDescent="0.25">
      <c r="A587" s="167"/>
      <c r="B587" s="167"/>
    </row>
    <row r="588" spans="1:2" x14ac:dyDescent="0.25">
      <c r="A588" s="167"/>
      <c r="B588" s="167"/>
    </row>
    <row r="589" spans="1:2" x14ac:dyDescent="0.25">
      <c r="A589" s="167"/>
      <c r="B589" s="167"/>
    </row>
    <row r="590" spans="1:2" x14ac:dyDescent="0.25">
      <c r="A590" s="167"/>
      <c r="B590" s="167"/>
    </row>
    <row r="591" spans="1:2" x14ac:dyDescent="0.25">
      <c r="A591" s="167"/>
      <c r="B591" s="167"/>
    </row>
    <row r="592" spans="1:2" x14ac:dyDescent="0.25">
      <c r="A592" s="167"/>
      <c r="B592" s="167"/>
    </row>
    <row r="593" spans="1:2" x14ac:dyDescent="0.25">
      <c r="A593" s="167"/>
      <c r="B593" s="167"/>
    </row>
    <row r="594" spans="1:2" x14ac:dyDescent="0.25">
      <c r="A594" s="167"/>
      <c r="B594" s="167"/>
    </row>
    <row r="595" spans="1:2" x14ac:dyDescent="0.25">
      <c r="A595" s="167"/>
      <c r="B595" s="167"/>
    </row>
    <row r="596" spans="1:2" x14ac:dyDescent="0.25">
      <c r="A596" s="167"/>
      <c r="B596" s="167"/>
    </row>
    <row r="597" spans="1:2" x14ac:dyDescent="0.25">
      <c r="A597" s="167"/>
      <c r="B597" s="167"/>
    </row>
    <row r="598" spans="1:2" x14ac:dyDescent="0.25">
      <c r="A598" s="167"/>
      <c r="B598" s="167"/>
    </row>
    <row r="599" spans="1:2" x14ac:dyDescent="0.25">
      <c r="A599" s="167"/>
      <c r="B599" s="167"/>
    </row>
    <row r="600" spans="1:2" x14ac:dyDescent="0.25">
      <c r="A600" s="167"/>
      <c r="B600" s="167"/>
    </row>
    <row r="601" spans="1:2" x14ac:dyDescent="0.25">
      <c r="A601" s="167"/>
      <c r="B601" s="167"/>
    </row>
    <row r="602" spans="1:2" x14ac:dyDescent="0.25">
      <c r="A602" s="167"/>
      <c r="B602" s="167"/>
    </row>
    <row r="603" spans="1:2" x14ac:dyDescent="0.25">
      <c r="A603" s="167"/>
      <c r="B603" s="167"/>
    </row>
    <row r="604" spans="1:2" x14ac:dyDescent="0.25">
      <c r="A604" s="167"/>
      <c r="B604" s="167"/>
    </row>
    <row r="605" spans="1:2" x14ac:dyDescent="0.25">
      <c r="A605" s="167"/>
      <c r="B605" s="167"/>
    </row>
    <row r="606" spans="1:2" x14ac:dyDescent="0.25">
      <c r="A606" s="167"/>
      <c r="B606" s="167"/>
    </row>
    <row r="607" spans="1:2" x14ac:dyDescent="0.25">
      <c r="A607" s="167"/>
      <c r="B607" s="167"/>
    </row>
    <row r="608" spans="1:2" x14ac:dyDescent="0.25">
      <c r="A608" s="167"/>
      <c r="B608" s="167"/>
    </row>
    <row r="609" spans="1:2" x14ac:dyDescent="0.25">
      <c r="A609" s="167"/>
      <c r="B609" s="167"/>
    </row>
    <row r="610" spans="1:2" x14ac:dyDescent="0.25">
      <c r="A610" s="167"/>
      <c r="B610" s="167"/>
    </row>
    <row r="611" spans="1:2" x14ac:dyDescent="0.25">
      <c r="A611" s="167"/>
      <c r="B611" s="167"/>
    </row>
    <row r="612" spans="1:2" x14ac:dyDescent="0.25">
      <c r="A612" s="167"/>
      <c r="B612" s="167"/>
    </row>
    <row r="613" spans="1:2" x14ac:dyDescent="0.25">
      <c r="A613" s="167"/>
      <c r="B613" s="167"/>
    </row>
    <row r="614" spans="1:2" x14ac:dyDescent="0.25">
      <c r="A614" s="167"/>
      <c r="B614" s="167"/>
    </row>
    <row r="615" spans="1:2" x14ac:dyDescent="0.25">
      <c r="A615" s="167"/>
      <c r="B615" s="167"/>
    </row>
    <row r="616" spans="1:2" x14ac:dyDescent="0.25">
      <c r="A616" s="167"/>
      <c r="B616" s="167"/>
    </row>
    <row r="617" spans="1:2" x14ac:dyDescent="0.25">
      <c r="A617" s="167"/>
      <c r="B617" s="167"/>
    </row>
    <row r="618" spans="1:2" x14ac:dyDescent="0.25">
      <c r="A618" s="167"/>
      <c r="B618" s="167"/>
    </row>
    <row r="619" spans="1:2" x14ac:dyDescent="0.25">
      <c r="A619" s="167"/>
      <c r="B619" s="167"/>
    </row>
    <row r="620" spans="1:2" x14ac:dyDescent="0.25">
      <c r="A620" s="167"/>
      <c r="B620" s="167"/>
    </row>
    <row r="621" spans="1:2" x14ac:dyDescent="0.25">
      <c r="A621" s="167"/>
      <c r="B621" s="167"/>
    </row>
    <row r="622" spans="1:2" x14ac:dyDescent="0.25">
      <c r="A622" s="167"/>
      <c r="B622" s="167"/>
    </row>
    <row r="623" spans="1:2" x14ac:dyDescent="0.25">
      <c r="A623" s="167"/>
      <c r="B623" s="167"/>
    </row>
    <row r="624" spans="1:2" x14ac:dyDescent="0.25">
      <c r="A624" s="167"/>
      <c r="B624" s="167"/>
    </row>
    <row r="625" spans="1:2" x14ac:dyDescent="0.25">
      <c r="A625" s="167"/>
      <c r="B625" s="167"/>
    </row>
    <row r="626" spans="1:2" x14ac:dyDescent="0.25">
      <c r="A626" s="167"/>
      <c r="B626" s="167"/>
    </row>
    <row r="627" spans="1:2" x14ac:dyDescent="0.25">
      <c r="A627" s="167"/>
      <c r="B627" s="167"/>
    </row>
    <row r="628" spans="1:2" x14ac:dyDescent="0.25">
      <c r="A628" s="167"/>
      <c r="B628" s="167"/>
    </row>
    <row r="629" spans="1:2" x14ac:dyDescent="0.25">
      <c r="A629" s="167"/>
      <c r="B629" s="167"/>
    </row>
    <row r="630" spans="1:2" x14ac:dyDescent="0.25">
      <c r="A630" s="167"/>
      <c r="B630" s="167"/>
    </row>
    <row r="631" spans="1:2" x14ac:dyDescent="0.25">
      <c r="A631" s="167"/>
      <c r="B631" s="167"/>
    </row>
    <row r="632" spans="1:2" x14ac:dyDescent="0.25">
      <c r="A632" s="167"/>
      <c r="B632" s="167"/>
    </row>
    <row r="633" spans="1:2" x14ac:dyDescent="0.25">
      <c r="A633" s="167"/>
      <c r="B633" s="167"/>
    </row>
    <row r="634" spans="1:2" x14ac:dyDescent="0.25">
      <c r="A634" s="167"/>
      <c r="B634" s="167"/>
    </row>
    <row r="635" spans="1:2" x14ac:dyDescent="0.25">
      <c r="A635" s="167"/>
      <c r="B635" s="167"/>
    </row>
    <row r="636" spans="1:2" x14ac:dyDescent="0.25">
      <c r="A636" s="167"/>
      <c r="B636" s="167"/>
    </row>
    <row r="637" spans="1:2" x14ac:dyDescent="0.25">
      <c r="A637" s="167"/>
      <c r="B637" s="167"/>
    </row>
    <row r="638" spans="1:2" x14ac:dyDescent="0.25">
      <c r="A638" s="167"/>
      <c r="B638" s="167"/>
    </row>
    <row r="639" spans="1:2" x14ac:dyDescent="0.25">
      <c r="A639" s="167"/>
      <c r="B639" s="167"/>
    </row>
    <row r="640" spans="1:2" x14ac:dyDescent="0.25">
      <c r="A640" s="167"/>
      <c r="B640" s="167"/>
    </row>
    <row r="641" spans="1:2" x14ac:dyDescent="0.25">
      <c r="A641" s="167"/>
      <c r="B641" s="167"/>
    </row>
    <row r="642" spans="1:2" x14ac:dyDescent="0.25">
      <c r="A642" s="167"/>
      <c r="B642" s="167"/>
    </row>
    <row r="643" spans="1:2" x14ac:dyDescent="0.25">
      <c r="A643" s="167"/>
      <c r="B643" s="167"/>
    </row>
    <row r="644" spans="1:2" x14ac:dyDescent="0.25">
      <c r="A644" s="167"/>
      <c r="B644" s="167"/>
    </row>
    <row r="645" spans="1:2" x14ac:dyDescent="0.25">
      <c r="A645" s="167"/>
      <c r="B645" s="167"/>
    </row>
    <row r="646" spans="1:2" x14ac:dyDescent="0.25">
      <c r="A646" s="167"/>
      <c r="B646" s="167"/>
    </row>
    <row r="647" spans="1:2" x14ac:dyDescent="0.25">
      <c r="A647" s="167"/>
      <c r="B647" s="167"/>
    </row>
    <row r="648" spans="1:2" x14ac:dyDescent="0.25">
      <c r="A648" s="167"/>
      <c r="B648" s="167"/>
    </row>
    <row r="649" spans="1:2" x14ac:dyDescent="0.25">
      <c r="A649" s="167"/>
      <c r="B649" s="167"/>
    </row>
    <row r="650" spans="1:2" x14ac:dyDescent="0.25">
      <c r="A650" s="167"/>
      <c r="B650" s="167"/>
    </row>
    <row r="651" spans="1:2" x14ac:dyDescent="0.25">
      <c r="A651" s="167"/>
      <c r="B651" s="167"/>
    </row>
    <row r="652" spans="1:2" x14ac:dyDescent="0.25">
      <c r="A652" s="167"/>
      <c r="B652" s="167"/>
    </row>
    <row r="653" spans="1:2" x14ac:dyDescent="0.25">
      <c r="A653" s="167"/>
      <c r="B653" s="167"/>
    </row>
    <row r="654" spans="1:2" x14ac:dyDescent="0.25">
      <c r="A654" s="167"/>
      <c r="B654" s="167"/>
    </row>
    <row r="655" spans="1:2" x14ac:dyDescent="0.25">
      <c r="A655" s="167"/>
      <c r="B655" s="167"/>
    </row>
    <row r="656" spans="1:2" x14ac:dyDescent="0.25">
      <c r="A656" s="167"/>
      <c r="B656" s="167"/>
    </row>
    <row r="657" spans="1:2" x14ac:dyDescent="0.25">
      <c r="A657" s="167"/>
      <c r="B657" s="167"/>
    </row>
    <row r="658" spans="1:2" x14ac:dyDescent="0.25">
      <c r="A658" s="167"/>
      <c r="B658" s="167"/>
    </row>
    <row r="659" spans="1:2" x14ac:dyDescent="0.25">
      <c r="A659" s="167"/>
      <c r="B659" s="167"/>
    </row>
    <row r="660" spans="1:2" x14ac:dyDescent="0.25">
      <c r="A660" s="167"/>
      <c r="B660" s="167"/>
    </row>
    <row r="661" spans="1:2" x14ac:dyDescent="0.25">
      <c r="A661" s="167"/>
      <c r="B661" s="167"/>
    </row>
    <row r="662" spans="1:2" x14ac:dyDescent="0.25">
      <c r="A662" s="167"/>
      <c r="B662" s="167"/>
    </row>
    <row r="663" spans="1:2" x14ac:dyDescent="0.25">
      <c r="A663" s="167"/>
      <c r="B663" s="167"/>
    </row>
    <row r="664" spans="1:2" x14ac:dyDescent="0.25">
      <c r="A664" s="167"/>
      <c r="B664" s="167"/>
    </row>
    <row r="665" spans="1:2" x14ac:dyDescent="0.25">
      <c r="A665" s="167"/>
      <c r="B665" s="167"/>
    </row>
    <row r="666" spans="1:2" x14ac:dyDescent="0.25">
      <c r="A666" s="167"/>
      <c r="B666" s="167"/>
    </row>
    <row r="667" spans="1:2" x14ac:dyDescent="0.25">
      <c r="A667" s="167"/>
      <c r="B667" s="167"/>
    </row>
    <row r="668" spans="1:2" x14ac:dyDescent="0.25">
      <c r="A668" s="167"/>
      <c r="B668" s="167"/>
    </row>
    <row r="669" spans="1:2" x14ac:dyDescent="0.25">
      <c r="A669" s="167"/>
      <c r="B669" s="167"/>
    </row>
    <row r="670" spans="1:2" x14ac:dyDescent="0.25">
      <c r="A670" s="167"/>
      <c r="B670" s="167"/>
    </row>
    <row r="671" spans="1:2" x14ac:dyDescent="0.25">
      <c r="A671" s="167"/>
      <c r="B671" s="167"/>
    </row>
    <row r="672" spans="1:2" x14ac:dyDescent="0.25">
      <c r="A672" s="167"/>
      <c r="B672" s="167"/>
    </row>
    <row r="673" spans="1:2" x14ac:dyDescent="0.25">
      <c r="A673" s="167"/>
      <c r="B673" s="167"/>
    </row>
    <row r="674" spans="1:2" x14ac:dyDescent="0.25">
      <c r="A674" s="167"/>
      <c r="B674" s="167"/>
    </row>
    <row r="675" spans="1:2" x14ac:dyDescent="0.25">
      <c r="A675" s="167"/>
      <c r="B675" s="167"/>
    </row>
    <row r="676" spans="1:2" x14ac:dyDescent="0.25">
      <c r="A676" s="167"/>
      <c r="B676" s="167"/>
    </row>
    <row r="677" spans="1:2" x14ac:dyDescent="0.25">
      <c r="A677" s="167"/>
      <c r="B677" s="167"/>
    </row>
    <row r="678" spans="1:2" x14ac:dyDescent="0.25">
      <c r="A678" s="167"/>
      <c r="B678" s="167"/>
    </row>
    <row r="679" spans="1:2" x14ac:dyDescent="0.25">
      <c r="A679" s="167"/>
      <c r="B679" s="167"/>
    </row>
    <row r="680" spans="1:2" x14ac:dyDescent="0.25">
      <c r="A680" s="167"/>
      <c r="B680" s="167"/>
    </row>
    <row r="681" spans="1:2" x14ac:dyDescent="0.25">
      <c r="A681" s="167"/>
      <c r="B681" s="167"/>
    </row>
    <row r="682" spans="1:2" x14ac:dyDescent="0.25">
      <c r="A682" s="167"/>
      <c r="B682" s="167"/>
    </row>
    <row r="683" spans="1:2" x14ac:dyDescent="0.25">
      <c r="A683" s="167"/>
      <c r="B683" s="167"/>
    </row>
    <row r="684" spans="1:2" x14ac:dyDescent="0.25">
      <c r="A684" s="167"/>
      <c r="B684" s="167"/>
    </row>
    <row r="685" spans="1:2" x14ac:dyDescent="0.25">
      <c r="A685" s="167"/>
      <c r="B685" s="167"/>
    </row>
    <row r="686" spans="1:2" x14ac:dyDescent="0.25">
      <c r="A686" s="167"/>
      <c r="B686" s="167"/>
    </row>
    <row r="687" spans="1:2" x14ac:dyDescent="0.25">
      <c r="A687" s="167"/>
      <c r="B687" s="167"/>
    </row>
    <row r="688" spans="1:2" x14ac:dyDescent="0.25">
      <c r="A688" s="167"/>
      <c r="B688" s="167"/>
    </row>
    <row r="689" spans="1:2" x14ac:dyDescent="0.25">
      <c r="A689" s="167"/>
      <c r="B689" s="167"/>
    </row>
    <row r="690" spans="1:2" x14ac:dyDescent="0.25">
      <c r="A690" s="167"/>
      <c r="B690" s="167"/>
    </row>
    <row r="691" spans="1:2" x14ac:dyDescent="0.25">
      <c r="A691" s="167"/>
      <c r="B691" s="167"/>
    </row>
    <row r="692" spans="1:2" x14ac:dyDescent="0.25">
      <c r="A692" s="167"/>
      <c r="B692" s="167"/>
    </row>
    <row r="693" spans="1:2" x14ac:dyDescent="0.25">
      <c r="A693" s="167"/>
      <c r="B693" s="167"/>
    </row>
    <row r="694" spans="1:2" x14ac:dyDescent="0.25">
      <c r="A694" s="167"/>
      <c r="B694" s="167"/>
    </row>
    <row r="695" spans="1:2" x14ac:dyDescent="0.25">
      <c r="A695" s="167"/>
      <c r="B695" s="167"/>
    </row>
    <row r="696" spans="1:2" x14ac:dyDescent="0.25">
      <c r="A696" s="167"/>
      <c r="B696" s="167"/>
    </row>
    <row r="697" spans="1:2" x14ac:dyDescent="0.25">
      <c r="A697" s="167"/>
      <c r="B697" s="167"/>
    </row>
    <row r="698" spans="1:2" x14ac:dyDescent="0.25">
      <c r="A698" s="167"/>
      <c r="B698" s="167"/>
    </row>
    <row r="699" spans="1:2" x14ac:dyDescent="0.25">
      <c r="A699" s="167"/>
      <c r="B699" s="167"/>
    </row>
    <row r="700" spans="1:2" x14ac:dyDescent="0.25">
      <c r="A700" s="167"/>
      <c r="B700" s="167"/>
    </row>
    <row r="701" spans="1:2" x14ac:dyDescent="0.25">
      <c r="A701" s="167"/>
      <c r="B701" s="167"/>
    </row>
    <row r="702" spans="1:2" x14ac:dyDescent="0.25">
      <c r="A702" s="167"/>
      <c r="B702" s="167"/>
    </row>
    <row r="703" spans="1:2" x14ac:dyDescent="0.25">
      <c r="A703" s="167"/>
      <c r="B703" s="167"/>
    </row>
    <row r="704" spans="1:2" x14ac:dyDescent="0.25">
      <c r="A704" s="167"/>
      <c r="B704" s="167"/>
    </row>
    <row r="705" spans="1:2" x14ac:dyDescent="0.25">
      <c r="A705" s="167"/>
      <c r="B705" s="167"/>
    </row>
    <row r="706" spans="1:2" x14ac:dyDescent="0.25">
      <c r="A706" s="167"/>
      <c r="B706" s="167"/>
    </row>
    <row r="707" spans="1:2" x14ac:dyDescent="0.25">
      <c r="A707" s="167"/>
      <c r="B707" s="167"/>
    </row>
    <row r="708" spans="1:2" x14ac:dyDescent="0.25">
      <c r="A708" s="167"/>
      <c r="B708" s="167"/>
    </row>
    <row r="709" spans="1:2" x14ac:dyDescent="0.25">
      <c r="A709" s="167"/>
      <c r="B709" s="167"/>
    </row>
    <row r="710" spans="1:2" x14ac:dyDescent="0.25">
      <c r="A710" s="167"/>
      <c r="B710" s="167"/>
    </row>
    <row r="711" spans="1:2" x14ac:dyDescent="0.25">
      <c r="A711" s="167"/>
      <c r="B711" s="167"/>
    </row>
    <row r="712" spans="1:2" x14ac:dyDescent="0.25">
      <c r="A712" s="167"/>
      <c r="B712" s="167"/>
    </row>
    <row r="713" spans="1:2" x14ac:dyDescent="0.25">
      <c r="A713" s="167"/>
      <c r="B713" s="167"/>
    </row>
    <row r="714" spans="1:2" x14ac:dyDescent="0.25">
      <c r="A714" s="167"/>
      <c r="B714" s="167"/>
    </row>
    <row r="715" spans="1:2" x14ac:dyDescent="0.25">
      <c r="A715" s="167"/>
      <c r="B715" s="167"/>
    </row>
    <row r="716" spans="1:2" x14ac:dyDescent="0.25">
      <c r="A716" s="167"/>
      <c r="B716" s="167"/>
    </row>
    <row r="717" spans="1:2" x14ac:dyDescent="0.25">
      <c r="A717" s="167"/>
      <c r="B717" s="167"/>
    </row>
    <row r="718" spans="1:2" x14ac:dyDescent="0.25">
      <c r="A718" s="167"/>
      <c r="B718" s="167"/>
    </row>
    <row r="719" spans="1:2" x14ac:dyDescent="0.25">
      <c r="A719" s="167"/>
      <c r="B719" s="167"/>
    </row>
    <row r="720" spans="1:2" x14ac:dyDescent="0.25">
      <c r="A720" s="167"/>
      <c r="B720" s="167"/>
    </row>
    <row r="721" spans="1:2" x14ac:dyDescent="0.25">
      <c r="A721" s="167"/>
      <c r="B721" s="167"/>
    </row>
    <row r="722" spans="1:2" x14ac:dyDescent="0.25">
      <c r="A722" s="167"/>
      <c r="B722" s="167"/>
    </row>
    <row r="723" spans="1:2" x14ac:dyDescent="0.25">
      <c r="A723" s="167"/>
      <c r="B723" s="167"/>
    </row>
    <row r="724" spans="1:2" x14ac:dyDescent="0.25">
      <c r="A724" s="167"/>
      <c r="B724" s="167"/>
    </row>
    <row r="725" spans="1:2" x14ac:dyDescent="0.25">
      <c r="A725" s="167"/>
      <c r="B725" s="167"/>
    </row>
    <row r="726" spans="1:2" x14ac:dyDescent="0.25">
      <c r="A726" s="167"/>
      <c r="B726" s="167"/>
    </row>
    <row r="727" spans="1:2" x14ac:dyDescent="0.25">
      <c r="A727" s="167"/>
      <c r="B727" s="167"/>
    </row>
    <row r="728" spans="1:2" x14ac:dyDescent="0.25">
      <c r="A728" s="167"/>
      <c r="B728" s="167"/>
    </row>
    <row r="729" spans="1:2" x14ac:dyDescent="0.25">
      <c r="A729" s="167"/>
      <c r="B729" s="167"/>
    </row>
    <row r="730" spans="1:2" x14ac:dyDescent="0.25">
      <c r="A730" s="167"/>
      <c r="B730" s="167"/>
    </row>
    <row r="731" spans="1:2" x14ac:dyDescent="0.25">
      <c r="A731" s="167"/>
      <c r="B731" s="167"/>
    </row>
    <row r="732" spans="1:2" x14ac:dyDescent="0.25">
      <c r="A732" s="167"/>
      <c r="B732" s="167"/>
    </row>
    <row r="733" spans="1:2" x14ac:dyDescent="0.25">
      <c r="A733" s="167"/>
      <c r="B733" s="167"/>
    </row>
    <row r="734" spans="1:2" x14ac:dyDescent="0.25">
      <c r="A734" s="167"/>
      <c r="B734" s="167"/>
    </row>
    <row r="735" spans="1:2" x14ac:dyDescent="0.25">
      <c r="A735" s="167"/>
      <c r="B735" s="167"/>
    </row>
    <row r="736" spans="1:2" x14ac:dyDescent="0.25">
      <c r="A736" s="167"/>
      <c r="B736" s="167"/>
    </row>
    <row r="737" spans="1:2" x14ac:dyDescent="0.25">
      <c r="A737" s="167"/>
      <c r="B737" s="167"/>
    </row>
    <row r="738" spans="1:2" x14ac:dyDescent="0.25">
      <c r="A738" s="167"/>
      <c r="B738" s="167"/>
    </row>
    <row r="739" spans="1:2" x14ac:dyDescent="0.25">
      <c r="A739" s="167"/>
      <c r="B739" s="167"/>
    </row>
    <row r="740" spans="1:2" x14ac:dyDescent="0.25">
      <c r="A740" s="167"/>
      <c r="B740" s="167"/>
    </row>
    <row r="741" spans="1:2" x14ac:dyDescent="0.25">
      <c r="A741" s="167"/>
      <c r="B741" s="167"/>
    </row>
    <row r="742" spans="1:2" x14ac:dyDescent="0.25">
      <c r="A742" s="167"/>
      <c r="B742" s="167"/>
    </row>
    <row r="743" spans="1:2" x14ac:dyDescent="0.25">
      <c r="A743" s="167"/>
      <c r="B743" s="167"/>
    </row>
    <row r="744" spans="1:2" x14ac:dyDescent="0.25">
      <c r="A744" s="167"/>
      <c r="B744" s="167"/>
    </row>
    <row r="745" spans="1:2" x14ac:dyDescent="0.25">
      <c r="A745" s="167"/>
      <c r="B745" s="167"/>
    </row>
    <row r="746" spans="1:2" x14ac:dyDescent="0.25">
      <c r="A746" s="167"/>
      <c r="B746" s="167"/>
    </row>
    <row r="747" spans="1:2" x14ac:dyDescent="0.25">
      <c r="A747" s="167"/>
      <c r="B747" s="167"/>
    </row>
    <row r="748" spans="1:2" x14ac:dyDescent="0.25">
      <c r="A748" s="167"/>
      <c r="B748" s="167"/>
    </row>
    <row r="749" spans="1:2" x14ac:dyDescent="0.25">
      <c r="A749" s="167"/>
      <c r="B749" s="167"/>
    </row>
    <row r="750" spans="1:2" x14ac:dyDescent="0.25">
      <c r="A750" s="167"/>
      <c r="B750" s="167"/>
    </row>
    <row r="751" spans="1:2" x14ac:dyDescent="0.25">
      <c r="A751" s="167"/>
      <c r="B751" s="167"/>
    </row>
    <row r="752" spans="1:2" x14ac:dyDescent="0.25">
      <c r="A752" s="167"/>
      <c r="B752" s="167"/>
    </row>
    <row r="753" spans="1:2" x14ac:dyDescent="0.25">
      <c r="A753" s="167"/>
      <c r="B753" s="167"/>
    </row>
    <row r="754" spans="1:2" x14ac:dyDescent="0.25">
      <c r="A754" s="167"/>
      <c r="B754" s="167"/>
    </row>
    <row r="755" spans="1:2" x14ac:dyDescent="0.25">
      <c r="A755" s="167"/>
      <c r="B755" s="167"/>
    </row>
    <row r="756" spans="1:2" x14ac:dyDescent="0.25">
      <c r="A756" s="167"/>
      <c r="B756" s="167"/>
    </row>
    <row r="757" spans="1:2" x14ac:dyDescent="0.25">
      <c r="A757" s="167"/>
      <c r="B757" s="167"/>
    </row>
    <row r="758" spans="1:2" x14ac:dyDescent="0.25">
      <c r="A758" s="167"/>
      <c r="B758" s="167"/>
    </row>
    <row r="759" spans="1:2" x14ac:dyDescent="0.25">
      <c r="A759" s="167"/>
      <c r="B759" s="167"/>
    </row>
    <row r="760" spans="1:2" x14ac:dyDescent="0.25">
      <c r="A760" s="167"/>
      <c r="B760" s="167"/>
    </row>
    <row r="761" spans="1:2" x14ac:dyDescent="0.25">
      <c r="A761" s="167"/>
      <c r="B761" s="167"/>
    </row>
    <row r="762" spans="1:2" x14ac:dyDescent="0.25">
      <c r="A762" s="167"/>
      <c r="B762" s="167"/>
    </row>
    <row r="763" spans="1:2" x14ac:dyDescent="0.25">
      <c r="A763" s="167"/>
      <c r="B763" s="167"/>
    </row>
    <row r="764" spans="1:2" x14ac:dyDescent="0.25">
      <c r="A764" s="167"/>
      <c r="B764" s="167"/>
    </row>
    <row r="765" spans="1:2" x14ac:dyDescent="0.25">
      <c r="A765" s="167"/>
      <c r="B765" s="167"/>
    </row>
    <row r="766" spans="1:2" x14ac:dyDescent="0.25">
      <c r="A766" s="167"/>
      <c r="B766" s="167"/>
    </row>
    <row r="767" spans="1:2" x14ac:dyDescent="0.25">
      <c r="A767" s="167"/>
      <c r="B767" s="167"/>
    </row>
    <row r="768" spans="1:2" x14ac:dyDescent="0.25">
      <c r="A768" s="167"/>
      <c r="B768" s="167"/>
    </row>
    <row r="769" spans="1:2" x14ac:dyDescent="0.25">
      <c r="A769" s="167"/>
      <c r="B769" s="167"/>
    </row>
    <row r="770" spans="1:2" x14ac:dyDescent="0.25">
      <c r="A770" s="167"/>
      <c r="B770" s="167"/>
    </row>
    <row r="771" spans="1:2" x14ac:dyDescent="0.25">
      <c r="A771" s="167"/>
      <c r="B771" s="167"/>
    </row>
    <row r="772" spans="1:2" x14ac:dyDescent="0.25">
      <c r="A772" s="167"/>
      <c r="B772" s="167"/>
    </row>
    <row r="773" spans="1:2" x14ac:dyDescent="0.25">
      <c r="A773" s="167"/>
      <c r="B773" s="167"/>
    </row>
    <row r="774" spans="1:2" x14ac:dyDescent="0.25">
      <c r="A774" s="167"/>
      <c r="B774" s="167"/>
    </row>
    <row r="775" spans="1:2" x14ac:dyDescent="0.25">
      <c r="A775" s="167"/>
      <c r="B775" s="167"/>
    </row>
    <row r="776" spans="1:2" x14ac:dyDescent="0.25">
      <c r="A776" s="167"/>
      <c r="B776" s="167"/>
    </row>
    <row r="777" spans="1:2" x14ac:dyDescent="0.25">
      <c r="A777" s="167"/>
      <c r="B777" s="167"/>
    </row>
    <row r="778" spans="1:2" x14ac:dyDescent="0.25">
      <c r="A778" s="167"/>
      <c r="B778" s="167"/>
    </row>
    <row r="779" spans="1:2" x14ac:dyDescent="0.25">
      <c r="A779" s="167"/>
      <c r="B779" s="167"/>
    </row>
    <row r="780" spans="1:2" x14ac:dyDescent="0.25">
      <c r="A780" s="167"/>
      <c r="B780" s="167"/>
    </row>
    <row r="781" spans="1:2" x14ac:dyDescent="0.25">
      <c r="A781" s="167"/>
      <c r="B781" s="167"/>
    </row>
    <row r="782" spans="1:2" x14ac:dyDescent="0.25">
      <c r="A782" s="167"/>
      <c r="B782" s="167"/>
    </row>
    <row r="783" spans="1:2" x14ac:dyDescent="0.25">
      <c r="A783" s="167"/>
      <c r="B783" s="167"/>
    </row>
    <row r="784" spans="1:2" x14ac:dyDescent="0.25">
      <c r="A784" s="167"/>
      <c r="B784" s="167"/>
    </row>
    <row r="785" spans="1:2" x14ac:dyDescent="0.25">
      <c r="A785" s="167"/>
      <c r="B785" s="167"/>
    </row>
    <row r="786" spans="1:2" x14ac:dyDescent="0.25">
      <c r="A786" s="167"/>
      <c r="B786" s="167"/>
    </row>
    <row r="787" spans="1:2" x14ac:dyDescent="0.25">
      <c r="A787" s="167"/>
      <c r="B787" s="167"/>
    </row>
    <row r="788" spans="1:2" x14ac:dyDescent="0.25">
      <c r="A788" s="167"/>
      <c r="B788" s="167"/>
    </row>
    <row r="789" spans="1:2" x14ac:dyDescent="0.25">
      <c r="A789" s="167"/>
      <c r="B789" s="167"/>
    </row>
    <row r="790" spans="1:2" x14ac:dyDescent="0.25">
      <c r="A790" s="167"/>
      <c r="B790" s="167"/>
    </row>
    <row r="791" spans="1:2" x14ac:dyDescent="0.25">
      <c r="A791" s="167"/>
      <c r="B791" s="167"/>
    </row>
    <row r="792" spans="1:2" x14ac:dyDescent="0.25">
      <c r="A792" s="167"/>
      <c r="B792" s="167"/>
    </row>
    <row r="793" spans="1:2" x14ac:dyDescent="0.25">
      <c r="A793" s="167"/>
      <c r="B793" s="167"/>
    </row>
    <row r="794" spans="1:2" x14ac:dyDescent="0.25">
      <c r="A794" s="167"/>
      <c r="B794" s="167"/>
    </row>
    <row r="795" spans="1:2" x14ac:dyDescent="0.25">
      <c r="A795" s="167"/>
      <c r="B795" s="167"/>
    </row>
    <row r="796" spans="1:2" x14ac:dyDescent="0.25">
      <c r="A796" s="167"/>
      <c r="B796" s="167"/>
    </row>
    <row r="797" spans="1:2" x14ac:dyDescent="0.25">
      <c r="A797" s="167"/>
      <c r="B797" s="167"/>
    </row>
    <row r="798" spans="1:2" x14ac:dyDescent="0.25">
      <c r="A798" s="167"/>
      <c r="B798" s="167"/>
    </row>
    <row r="799" spans="1:2" x14ac:dyDescent="0.25">
      <c r="A799" s="167"/>
      <c r="B799" s="167"/>
    </row>
    <row r="800" spans="1:2" x14ac:dyDescent="0.25">
      <c r="A800" s="167"/>
      <c r="B800" s="167"/>
    </row>
    <row r="801" spans="1:2" x14ac:dyDescent="0.25">
      <c r="A801" s="167"/>
      <c r="B801" s="167"/>
    </row>
    <row r="802" spans="1:2" x14ac:dyDescent="0.25">
      <c r="A802" s="167"/>
      <c r="B802" s="167"/>
    </row>
    <row r="803" spans="1:2" x14ac:dyDescent="0.25">
      <c r="A803" s="167"/>
      <c r="B803" s="167"/>
    </row>
    <row r="804" spans="1:2" x14ac:dyDescent="0.25">
      <c r="A804" s="167"/>
      <c r="B804" s="167"/>
    </row>
    <row r="805" spans="1:2" x14ac:dyDescent="0.25">
      <c r="A805" s="167"/>
      <c r="B805" s="167"/>
    </row>
    <row r="806" spans="1:2" x14ac:dyDescent="0.25">
      <c r="A806" s="167"/>
      <c r="B806" s="167"/>
    </row>
    <row r="807" spans="1:2" x14ac:dyDescent="0.25">
      <c r="A807" s="167"/>
      <c r="B807" s="167"/>
    </row>
    <row r="808" spans="1:2" x14ac:dyDescent="0.25">
      <c r="A808" s="167"/>
      <c r="B808" s="167"/>
    </row>
    <row r="809" spans="1:2" x14ac:dyDescent="0.25">
      <c r="A809" s="167"/>
      <c r="B809" s="167"/>
    </row>
    <row r="810" spans="1:2" x14ac:dyDescent="0.25">
      <c r="A810" s="167"/>
      <c r="B810" s="167"/>
    </row>
    <row r="811" spans="1:2" x14ac:dyDescent="0.25">
      <c r="A811" s="167"/>
      <c r="B811" s="167"/>
    </row>
    <row r="812" spans="1:2" x14ac:dyDescent="0.25">
      <c r="A812" s="167"/>
      <c r="B812" s="167"/>
    </row>
    <row r="813" spans="1:2" x14ac:dyDescent="0.25">
      <c r="A813" s="167"/>
      <c r="B813" s="167"/>
    </row>
    <row r="814" spans="1:2" x14ac:dyDescent="0.25">
      <c r="A814" s="167"/>
      <c r="B814" s="167"/>
    </row>
    <row r="815" spans="1:2" x14ac:dyDescent="0.25">
      <c r="A815" s="167"/>
      <c r="B815" s="167"/>
    </row>
    <row r="816" spans="1:2" x14ac:dyDescent="0.25">
      <c r="A816" s="167"/>
      <c r="B816" s="167"/>
    </row>
    <row r="817" spans="1:2" x14ac:dyDescent="0.25">
      <c r="A817" s="167"/>
      <c r="B817" s="167"/>
    </row>
    <row r="818" spans="1:2" x14ac:dyDescent="0.25">
      <c r="A818" s="167"/>
      <c r="B818" s="167"/>
    </row>
    <row r="819" spans="1:2" x14ac:dyDescent="0.25">
      <c r="A819" s="167"/>
      <c r="B819" s="167"/>
    </row>
    <row r="820" spans="1:2" x14ac:dyDescent="0.25">
      <c r="A820" s="167"/>
      <c r="B820" s="167"/>
    </row>
    <row r="821" spans="1:2" x14ac:dyDescent="0.25">
      <c r="A821" s="167"/>
      <c r="B821" s="167"/>
    </row>
    <row r="822" spans="1:2" x14ac:dyDescent="0.25">
      <c r="A822" s="167"/>
      <c r="B822" s="167"/>
    </row>
    <row r="823" spans="1:2" x14ac:dyDescent="0.25">
      <c r="A823" s="167"/>
      <c r="B823" s="167"/>
    </row>
    <row r="824" spans="1:2" x14ac:dyDescent="0.25">
      <c r="A824" s="167"/>
      <c r="B824" s="167"/>
    </row>
    <row r="825" spans="1:2" x14ac:dyDescent="0.25">
      <c r="A825" s="167"/>
      <c r="B825" s="167"/>
    </row>
    <row r="826" spans="1:2" x14ac:dyDescent="0.25">
      <c r="A826" s="167"/>
      <c r="B826" s="167"/>
    </row>
    <row r="827" spans="1:2" x14ac:dyDescent="0.25">
      <c r="A827" s="167"/>
      <c r="B827" s="167"/>
    </row>
    <row r="828" spans="1:2" x14ac:dyDescent="0.25">
      <c r="A828" s="167"/>
      <c r="B828" s="167"/>
    </row>
    <row r="829" spans="1:2" x14ac:dyDescent="0.25">
      <c r="A829" s="167"/>
      <c r="B829" s="167"/>
    </row>
    <row r="830" spans="1:2" x14ac:dyDescent="0.25">
      <c r="A830" s="167"/>
      <c r="B830" s="167"/>
    </row>
    <row r="831" spans="1:2" x14ac:dyDescent="0.25">
      <c r="A831" s="167"/>
      <c r="B831" s="167"/>
    </row>
    <row r="832" spans="1:2" x14ac:dyDescent="0.25">
      <c r="A832" s="167"/>
      <c r="B832" s="167"/>
    </row>
    <row r="833" spans="1:2" x14ac:dyDescent="0.25">
      <c r="A833" s="167"/>
      <c r="B833" s="167"/>
    </row>
    <row r="834" spans="1:2" x14ac:dyDescent="0.25">
      <c r="A834" s="167"/>
      <c r="B834" s="167"/>
    </row>
    <row r="835" spans="1:2" x14ac:dyDescent="0.25">
      <c r="A835" s="167"/>
      <c r="B835" s="167"/>
    </row>
    <row r="836" spans="1:2" x14ac:dyDescent="0.25">
      <c r="A836" s="167"/>
      <c r="B836" s="167"/>
    </row>
    <row r="837" spans="1:2" x14ac:dyDescent="0.25">
      <c r="A837" s="167"/>
      <c r="B837" s="167"/>
    </row>
    <row r="838" spans="1:2" x14ac:dyDescent="0.25">
      <c r="A838" s="167"/>
      <c r="B838" s="167"/>
    </row>
    <row r="839" spans="1:2" x14ac:dyDescent="0.25">
      <c r="A839" s="167"/>
      <c r="B839" s="167"/>
    </row>
    <row r="840" spans="1:2" x14ac:dyDescent="0.25">
      <c r="A840" s="167"/>
      <c r="B840" s="167"/>
    </row>
    <row r="841" spans="1:2" x14ac:dyDescent="0.25">
      <c r="A841" s="167"/>
      <c r="B841" s="167"/>
    </row>
    <row r="842" spans="1:2" x14ac:dyDescent="0.25">
      <c r="A842" s="167"/>
      <c r="B842" s="167"/>
    </row>
    <row r="843" spans="1:2" x14ac:dyDescent="0.25">
      <c r="A843" s="167"/>
      <c r="B843" s="167"/>
    </row>
    <row r="844" spans="1:2" x14ac:dyDescent="0.25">
      <c r="A844" s="167"/>
      <c r="B844" s="167"/>
    </row>
    <row r="845" spans="1:2" x14ac:dyDescent="0.25">
      <c r="A845" s="167"/>
      <c r="B845" s="167"/>
    </row>
    <row r="846" spans="1:2" x14ac:dyDescent="0.25">
      <c r="A846" s="167"/>
      <c r="B846" s="167"/>
    </row>
    <row r="847" spans="1:2" x14ac:dyDescent="0.25">
      <c r="A847" s="167"/>
      <c r="B847" s="167"/>
    </row>
    <row r="848" spans="1:2" x14ac:dyDescent="0.25">
      <c r="A848" s="167"/>
      <c r="B848" s="167"/>
    </row>
    <row r="849" spans="1:2" x14ac:dyDescent="0.25">
      <c r="A849" s="167"/>
      <c r="B849" s="167"/>
    </row>
    <row r="850" spans="1:2" x14ac:dyDescent="0.25">
      <c r="A850" s="167"/>
      <c r="B850" s="167"/>
    </row>
    <row r="851" spans="1:2" x14ac:dyDescent="0.25">
      <c r="A851" s="167"/>
      <c r="B851" s="167"/>
    </row>
    <row r="852" spans="1:2" x14ac:dyDescent="0.25">
      <c r="A852" s="167"/>
      <c r="B852" s="167"/>
    </row>
    <row r="853" spans="1:2" x14ac:dyDescent="0.25">
      <c r="A853" s="167"/>
      <c r="B853" s="167"/>
    </row>
    <row r="854" spans="1:2" x14ac:dyDescent="0.25">
      <c r="A854" s="167"/>
      <c r="B854" s="167"/>
    </row>
    <row r="855" spans="1:2" x14ac:dyDescent="0.25">
      <c r="A855" s="167"/>
      <c r="B855" s="167"/>
    </row>
    <row r="856" spans="1:2" x14ac:dyDescent="0.25">
      <c r="A856" s="167"/>
      <c r="B856" s="167"/>
    </row>
    <row r="857" spans="1:2" x14ac:dyDescent="0.25">
      <c r="A857" s="167"/>
      <c r="B857" s="167"/>
    </row>
    <row r="858" spans="1:2" x14ac:dyDescent="0.25">
      <c r="A858" s="167"/>
      <c r="B858" s="167"/>
    </row>
    <row r="859" spans="1:2" x14ac:dyDescent="0.25">
      <c r="A859" s="167"/>
      <c r="B859" s="167"/>
    </row>
    <row r="860" spans="1:2" x14ac:dyDescent="0.25">
      <c r="A860" s="167"/>
      <c r="B860" s="167"/>
    </row>
    <row r="861" spans="1:2" x14ac:dyDescent="0.25">
      <c r="A861" s="167"/>
      <c r="B861" s="167"/>
    </row>
    <row r="862" spans="1:2" x14ac:dyDescent="0.25">
      <c r="A862" s="167"/>
      <c r="B862" s="167"/>
    </row>
    <row r="863" spans="1:2" x14ac:dyDescent="0.25">
      <c r="A863" s="167"/>
      <c r="B863" s="167"/>
    </row>
    <row r="864" spans="1:2" x14ac:dyDescent="0.25">
      <c r="A864" s="167"/>
      <c r="B864" s="167"/>
    </row>
    <row r="865" spans="1:2" x14ac:dyDescent="0.25">
      <c r="A865" s="167"/>
      <c r="B865" s="167"/>
    </row>
    <row r="866" spans="1:2" x14ac:dyDescent="0.25">
      <c r="A866" s="167"/>
      <c r="B866" s="167"/>
    </row>
    <row r="867" spans="1:2" x14ac:dyDescent="0.25">
      <c r="A867" s="167"/>
      <c r="B867" s="167"/>
    </row>
    <row r="868" spans="1:2" x14ac:dyDescent="0.25">
      <c r="A868" s="167"/>
      <c r="B868" s="167"/>
    </row>
    <row r="869" spans="1:2" x14ac:dyDescent="0.25">
      <c r="A869" s="167"/>
      <c r="B869" s="167"/>
    </row>
    <row r="870" spans="1:2" x14ac:dyDescent="0.25">
      <c r="A870" s="167"/>
      <c r="B870" s="167"/>
    </row>
    <row r="871" spans="1:2" x14ac:dyDescent="0.25">
      <c r="A871" s="167"/>
      <c r="B871" s="167"/>
    </row>
    <row r="872" spans="1:2" x14ac:dyDescent="0.25">
      <c r="A872" s="167"/>
      <c r="B872" s="167"/>
    </row>
    <row r="873" spans="1:2" x14ac:dyDescent="0.25">
      <c r="A873" s="167"/>
      <c r="B873" s="167"/>
    </row>
    <row r="874" spans="1:2" x14ac:dyDescent="0.25">
      <c r="A874" s="167"/>
      <c r="B874" s="167"/>
    </row>
    <row r="875" spans="1:2" x14ac:dyDescent="0.25">
      <c r="A875" s="167"/>
      <c r="B875" s="167"/>
    </row>
    <row r="876" spans="1:2" x14ac:dyDescent="0.25">
      <c r="A876" s="167"/>
      <c r="B876" s="167"/>
    </row>
    <row r="877" spans="1:2" x14ac:dyDescent="0.25">
      <c r="A877" s="167"/>
      <c r="B877" s="167"/>
    </row>
    <row r="878" spans="1:2" x14ac:dyDescent="0.25">
      <c r="A878" s="167"/>
      <c r="B878" s="167"/>
    </row>
    <row r="879" spans="1:2" x14ac:dyDescent="0.25">
      <c r="A879" s="167"/>
      <c r="B879" s="167"/>
    </row>
    <row r="880" spans="1:2" x14ac:dyDescent="0.25">
      <c r="A880" s="167"/>
      <c r="B880" s="167"/>
    </row>
    <row r="881" spans="1:2" x14ac:dyDescent="0.25">
      <c r="A881" s="167"/>
      <c r="B881" s="167"/>
    </row>
    <row r="882" spans="1:2" x14ac:dyDescent="0.25">
      <c r="A882" s="167"/>
      <c r="B882" s="167"/>
    </row>
    <row r="883" spans="1:2" x14ac:dyDescent="0.25">
      <c r="A883" s="167"/>
      <c r="B883" s="167"/>
    </row>
    <row r="884" spans="1:2" x14ac:dyDescent="0.25">
      <c r="A884" s="167"/>
      <c r="B884" s="167"/>
    </row>
    <row r="885" spans="1:2" x14ac:dyDescent="0.25">
      <c r="A885" s="167"/>
      <c r="B885" s="167"/>
    </row>
    <row r="886" spans="1:2" x14ac:dyDescent="0.25">
      <c r="A886" s="167"/>
      <c r="B886" s="167"/>
    </row>
    <row r="887" spans="1:2" x14ac:dyDescent="0.25">
      <c r="A887" s="167"/>
      <c r="B887" s="167"/>
    </row>
    <row r="888" spans="1:2" x14ac:dyDescent="0.25">
      <c r="A888" s="167"/>
      <c r="B888" s="167"/>
    </row>
    <row r="889" spans="1:2" x14ac:dyDescent="0.25">
      <c r="A889" s="167"/>
      <c r="B889" s="167"/>
    </row>
    <row r="890" spans="1:2" x14ac:dyDescent="0.25">
      <c r="A890" s="167"/>
      <c r="B890" s="167"/>
    </row>
    <row r="891" spans="1:2" x14ac:dyDescent="0.25">
      <c r="A891" s="167"/>
      <c r="B891" s="167"/>
    </row>
    <row r="892" spans="1:2" x14ac:dyDescent="0.25">
      <c r="A892" s="167"/>
      <c r="B892" s="167"/>
    </row>
    <row r="893" spans="1:2" x14ac:dyDescent="0.25">
      <c r="A893" s="167"/>
      <c r="B893" s="167"/>
    </row>
    <row r="894" spans="1:2" x14ac:dyDescent="0.25">
      <c r="A894" s="167"/>
      <c r="B894" s="167"/>
    </row>
    <row r="895" spans="1:2" x14ac:dyDescent="0.25">
      <c r="A895" s="167"/>
      <c r="B895" s="167"/>
    </row>
    <row r="896" spans="1:2" x14ac:dyDescent="0.25">
      <c r="A896" s="167"/>
      <c r="B896" s="167"/>
    </row>
    <row r="897" spans="1:2" x14ac:dyDescent="0.25">
      <c r="A897" s="167"/>
      <c r="B897" s="167"/>
    </row>
    <row r="898" spans="1:2" x14ac:dyDescent="0.25">
      <c r="A898" s="167"/>
      <c r="B898" s="167"/>
    </row>
    <row r="899" spans="1:2" x14ac:dyDescent="0.25">
      <c r="A899" s="167"/>
      <c r="B899" s="167"/>
    </row>
    <row r="900" spans="1:2" x14ac:dyDescent="0.25">
      <c r="A900" s="167"/>
      <c r="B900" s="167"/>
    </row>
    <row r="901" spans="1:2" x14ac:dyDescent="0.25">
      <c r="A901" s="167"/>
      <c r="B901" s="167"/>
    </row>
    <row r="902" spans="1:2" x14ac:dyDescent="0.25">
      <c r="A902" s="167"/>
      <c r="B902" s="167"/>
    </row>
    <row r="903" spans="1:2" x14ac:dyDescent="0.25">
      <c r="A903" s="167"/>
      <c r="B903" s="167"/>
    </row>
    <row r="904" spans="1:2" x14ac:dyDescent="0.25">
      <c r="A904" s="167"/>
      <c r="B904" s="167"/>
    </row>
    <row r="905" spans="1:2" x14ac:dyDescent="0.25">
      <c r="A905" s="167"/>
      <c r="B905" s="167"/>
    </row>
    <row r="906" spans="1:2" x14ac:dyDescent="0.25">
      <c r="A906" s="167"/>
      <c r="B906" s="167"/>
    </row>
    <row r="907" spans="1:2" x14ac:dyDescent="0.25">
      <c r="A907" s="167"/>
      <c r="B907" s="167"/>
    </row>
    <row r="908" spans="1:2" x14ac:dyDescent="0.25">
      <c r="A908" s="167"/>
      <c r="B908" s="167"/>
    </row>
    <row r="909" spans="1:2" x14ac:dyDescent="0.25">
      <c r="A909" s="167"/>
      <c r="B909" s="167"/>
    </row>
    <row r="910" spans="1:2" x14ac:dyDescent="0.25">
      <c r="A910" s="167"/>
      <c r="B910" s="167"/>
    </row>
    <row r="911" spans="1:2" x14ac:dyDescent="0.25">
      <c r="A911" s="167"/>
      <c r="B911" s="167"/>
    </row>
    <row r="912" spans="1:2" x14ac:dyDescent="0.25">
      <c r="A912" s="167"/>
      <c r="B912" s="167"/>
    </row>
    <row r="913" spans="1:2" x14ac:dyDescent="0.25">
      <c r="A913" s="167"/>
      <c r="B913" s="167"/>
    </row>
    <row r="914" spans="1:2" x14ac:dyDescent="0.25">
      <c r="A914" s="167"/>
      <c r="B914" s="167"/>
    </row>
    <row r="915" spans="1:2" x14ac:dyDescent="0.25">
      <c r="A915" s="167"/>
      <c r="B915" s="167"/>
    </row>
    <row r="916" spans="1:2" x14ac:dyDescent="0.25">
      <c r="A916" s="167"/>
      <c r="B916" s="167"/>
    </row>
    <row r="917" spans="1:2" x14ac:dyDescent="0.25">
      <c r="A917" s="167"/>
      <c r="B917" s="167"/>
    </row>
    <row r="918" spans="1:2" x14ac:dyDescent="0.25">
      <c r="A918" s="167"/>
      <c r="B918" s="167"/>
    </row>
    <row r="919" spans="1:2" x14ac:dyDescent="0.25">
      <c r="A919" s="167"/>
      <c r="B919" s="167"/>
    </row>
    <row r="920" spans="1:2" x14ac:dyDescent="0.25">
      <c r="A920" s="167"/>
      <c r="B920" s="167"/>
    </row>
    <row r="921" spans="1:2" x14ac:dyDescent="0.25">
      <c r="A921" s="167"/>
      <c r="B921" s="167"/>
    </row>
    <row r="922" spans="1:2" x14ac:dyDescent="0.25">
      <c r="A922" s="167"/>
      <c r="B922" s="167"/>
    </row>
    <row r="923" spans="1:2" x14ac:dyDescent="0.25">
      <c r="A923" s="167"/>
      <c r="B923" s="167"/>
    </row>
    <row r="924" spans="1:2" x14ac:dyDescent="0.25">
      <c r="A924" s="167"/>
      <c r="B924" s="167"/>
    </row>
    <row r="925" spans="1:2" x14ac:dyDescent="0.25">
      <c r="A925" s="167"/>
      <c r="B925" s="167"/>
    </row>
    <row r="926" spans="1:2" x14ac:dyDescent="0.25">
      <c r="A926" s="167"/>
      <c r="B926" s="167"/>
    </row>
    <row r="927" spans="1:2" x14ac:dyDescent="0.25">
      <c r="A927" s="167"/>
      <c r="B927" s="167"/>
    </row>
    <row r="928" spans="1:2" x14ac:dyDescent="0.25">
      <c r="A928" s="167"/>
      <c r="B928" s="167"/>
    </row>
    <row r="929" spans="1:2" x14ac:dyDescent="0.25">
      <c r="A929" s="167"/>
      <c r="B929" s="167"/>
    </row>
    <row r="930" spans="1:2" x14ac:dyDescent="0.25">
      <c r="A930" s="167"/>
      <c r="B930" s="167"/>
    </row>
    <row r="931" spans="1:2" x14ac:dyDescent="0.25">
      <c r="A931" s="167"/>
      <c r="B931" s="167"/>
    </row>
    <row r="932" spans="1:2" x14ac:dyDescent="0.25">
      <c r="A932" s="167"/>
      <c r="B932" s="167"/>
    </row>
    <row r="933" spans="1:2" x14ac:dyDescent="0.25">
      <c r="A933" s="167"/>
      <c r="B933" s="167"/>
    </row>
    <row r="934" spans="1:2" x14ac:dyDescent="0.25">
      <c r="A934" s="167"/>
      <c r="B934" s="167"/>
    </row>
    <row r="935" spans="1:2" x14ac:dyDescent="0.25">
      <c r="A935" s="167"/>
      <c r="B935" s="167"/>
    </row>
    <row r="936" spans="1:2" x14ac:dyDescent="0.25">
      <c r="A936" s="167"/>
      <c r="B936" s="167"/>
    </row>
    <row r="937" spans="1:2" x14ac:dyDescent="0.25">
      <c r="A937" s="167"/>
      <c r="B937" s="167"/>
    </row>
    <row r="938" spans="1:2" x14ac:dyDescent="0.25">
      <c r="A938" s="167"/>
      <c r="B938" s="167"/>
    </row>
    <row r="939" spans="1:2" x14ac:dyDescent="0.25">
      <c r="A939" s="167"/>
      <c r="B939" s="167"/>
    </row>
    <row r="940" spans="1:2" x14ac:dyDescent="0.25">
      <c r="A940" s="167"/>
      <c r="B940" s="167"/>
    </row>
    <row r="941" spans="1:2" x14ac:dyDescent="0.25">
      <c r="A941" s="167"/>
      <c r="B941" s="167"/>
    </row>
    <row r="942" spans="1:2" x14ac:dyDescent="0.25">
      <c r="A942" s="167"/>
      <c r="B942" s="167"/>
    </row>
    <row r="943" spans="1:2" x14ac:dyDescent="0.25">
      <c r="A943" s="167"/>
      <c r="B943" s="167"/>
    </row>
    <row r="944" spans="1:2" x14ac:dyDescent="0.25">
      <c r="A944" s="167"/>
      <c r="B944" s="167"/>
    </row>
    <row r="945" spans="1:2" x14ac:dyDescent="0.25">
      <c r="A945" s="167"/>
      <c r="B945" s="167"/>
    </row>
    <row r="946" spans="1:2" x14ac:dyDescent="0.25">
      <c r="A946" s="167"/>
      <c r="B946" s="167"/>
    </row>
    <row r="947" spans="1:2" x14ac:dyDescent="0.25">
      <c r="A947" s="167"/>
      <c r="B947" s="167"/>
    </row>
    <row r="948" spans="1:2" x14ac:dyDescent="0.25">
      <c r="A948" s="167"/>
      <c r="B948" s="167"/>
    </row>
    <row r="949" spans="1:2" x14ac:dyDescent="0.25">
      <c r="A949" s="167"/>
      <c r="B949" s="167"/>
    </row>
    <row r="950" spans="1:2" x14ac:dyDescent="0.25">
      <c r="A950" s="167"/>
      <c r="B950" s="167"/>
    </row>
    <row r="951" spans="1:2" x14ac:dyDescent="0.25">
      <c r="A951" s="167"/>
      <c r="B951" s="167"/>
    </row>
    <row r="952" spans="1:2" x14ac:dyDescent="0.25">
      <c r="A952" s="167"/>
      <c r="B952" s="167"/>
    </row>
    <row r="953" spans="1:2" x14ac:dyDescent="0.25">
      <c r="A953" s="167"/>
      <c r="B953" s="167"/>
    </row>
    <row r="954" spans="1:2" x14ac:dyDescent="0.25">
      <c r="A954" s="167"/>
      <c r="B954" s="167"/>
    </row>
    <row r="955" spans="1:2" x14ac:dyDescent="0.25">
      <c r="A955" s="167"/>
      <c r="B955" s="167"/>
    </row>
    <row r="956" spans="1:2" x14ac:dyDescent="0.25">
      <c r="A956" s="167"/>
      <c r="B956" s="167"/>
    </row>
    <row r="957" spans="1:2" x14ac:dyDescent="0.25">
      <c r="A957" s="167"/>
      <c r="B957" s="167"/>
    </row>
    <row r="958" spans="1:2" x14ac:dyDescent="0.25">
      <c r="A958" s="167"/>
      <c r="B958" s="167"/>
    </row>
    <row r="959" spans="1:2" x14ac:dyDescent="0.25">
      <c r="A959" s="167"/>
      <c r="B959" s="167"/>
    </row>
    <row r="960" spans="1:2" x14ac:dyDescent="0.25">
      <c r="A960" s="167"/>
      <c r="B960" s="167"/>
    </row>
    <row r="961" spans="1:2" x14ac:dyDescent="0.25">
      <c r="A961" s="167"/>
      <c r="B961" s="167"/>
    </row>
    <row r="962" spans="1:2" x14ac:dyDescent="0.25">
      <c r="A962" s="167"/>
      <c r="B962" s="167"/>
    </row>
    <row r="963" spans="1:2" x14ac:dyDescent="0.25">
      <c r="A963" s="167"/>
      <c r="B963" s="167"/>
    </row>
    <row r="964" spans="1:2" x14ac:dyDescent="0.25">
      <c r="A964" s="167"/>
      <c r="B964" s="167"/>
    </row>
    <row r="965" spans="1:2" x14ac:dyDescent="0.25">
      <c r="A965" s="167"/>
      <c r="B965" s="167"/>
    </row>
    <row r="966" spans="1:2" x14ac:dyDescent="0.25">
      <c r="A966" s="167"/>
      <c r="B966" s="167"/>
    </row>
    <row r="967" spans="1:2" x14ac:dyDescent="0.25">
      <c r="A967" s="167"/>
      <c r="B967" s="167"/>
    </row>
    <row r="968" spans="1:2" x14ac:dyDescent="0.25">
      <c r="A968" s="167"/>
      <c r="B968" s="167"/>
    </row>
    <row r="969" spans="1:2" x14ac:dyDescent="0.25">
      <c r="A969" s="167"/>
      <c r="B969" s="167"/>
    </row>
    <row r="970" spans="1:2" x14ac:dyDescent="0.25">
      <c r="A970" s="167"/>
      <c r="B970" s="167"/>
    </row>
    <row r="971" spans="1:2" x14ac:dyDescent="0.25">
      <c r="A971" s="167"/>
      <c r="B971" s="167"/>
    </row>
    <row r="972" spans="1:2" x14ac:dyDescent="0.25">
      <c r="A972" s="167"/>
      <c r="B972" s="167"/>
    </row>
    <row r="973" spans="1:2" x14ac:dyDescent="0.25">
      <c r="A973" s="167"/>
      <c r="B973" s="167"/>
    </row>
    <row r="974" spans="1:2" x14ac:dyDescent="0.25">
      <c r="A974" s="167"/>
      <c r="B974" s="167"/>
    </row>
    <row r="975" spans="1:2" x14ac:dyDescent="0.25">
      <c r="A975" s="167"/>
      <c r="B975" s="167"/>
    </row>
    <row r="976" spans="1:2" x14ac:dyDescent="0.25">
      <c r="A976" s="167"/>
      <c r="B976" s="167"/>
    </row>
    <row r="977" spans="1:2" x14ac:dyDescent="0.25">
      <c r="A977" s="167"/>
      <c r="B977" s="167"/>
    </row>
    <row r="978" spans="1:2" x14ac:dyDescent="0.25">
      <c r="A978" s="167"/>
      <c r="B978" s="167"/>
    </row>
    <row r="979" spans="1:2" x14ac:dyDescent="0.25">
      <c r="A979" s="167"/>
      <c r="B979" s="167"/>
    </row>
    <row r="980" spans="1:2" x14ac:dyDescent="0.25">
      <c r="A980" s="167"/>
      <c r="B980" s="167"/>
    </row>
    <row r="981" spans="1:2" x14ac:dyDescent="0.25">
      <c r="A981" s="167"/>
      <c r="B981" s="167"/>
    </row>
    <row r="982" spans="1:2" x14ac:dyDescent="0.25">
      <c r="A982" s="167"/>
      <c r="B982" s="167"/>
    </row>
    <row r="983" spans="1:2" x14ac:dyDescent="0.25">
      <c r="A983" s="167"/>
      <c r="B983" s="167"/>
    </row>
    <row r="984" spans="1:2" x14ac:dyDescent="0.25">
      <c r="A984" s="167"/>
      <c r="B984" s="167"/>
    </row>
    <row r="985" spans="1:2" x14ac:dyDescent="0.25">
      <c r="A985" s="167"/>
      <c r="B985" s="167"/>
    </row>
    <row r="986" spans="1:2" x14ac:dyDescent="0.25">
      <c r="A986" s="167"/>
      <c r="B986" s="167"/>
    </row>
    <row r="987" spans="1:2" x14ac:dyDescent="0.25">
      <c r="A987" s="167"/>
      <c r="B987" s="167"/>
    </row>
    <row r="988" spans="1:2" x14ac:dyDescent="0.25">
      <c r="A988" s="167"/>
      <c r="B988" s="167"/>
    </row>
    <row r="989" spans="1:2" x14ac:dyDescent="0.25">
      <c r="A989" s="167"/>
      <c r="B989" s="167"/>
    </row>
    <row r="990" spans="1:2" x14ac:dyDescent="0.25">
      <c r="A990" s="167"/>
      <c r="B990" s="167"/>
    </row>
    <row r="991" spans="1:2" x14ac:dyDescent="0.25">
      <c r="A991" s="167"/>
      <c r="B991" s="167"/>
    </row>
    <row r="992" spans="1:2" x14ac:dyDescent="0.25">
      <c r="A992" s="167"/>
      <c r="B992" s="167"/>
    </row>
    <row r="993" spans="1:2" x14ac:dyDescent="0.25">
      <c r="A993" s="167"/>
      <c r="B993" s="167"/>
    </row>
    <row r="994" spans="1:2" x14ac:dyDescent="0.25">
      <c r="A994" s="167"/>
      <c r="B994" s="167"/>
    </row>
    <row r="995" spans="1:2" x14ac:dyDescent="0.25">
      <c r="A995" s="167"/>
      <c r="B995" s="167"/>
    </row>
    <row r="996" spans="1:2" x14ac:dyDescent="0.25">
      <c r="A996" s="167"/>
      <c r="B996" s="167"/>
    </row>
    <row r="997" spans="1:2" x14ac:dyDescent="0.25">
      <c r="A997" s="167"/>
      <c r="B997" s="167"/>
    </row>
    <row r="998" spans="1:2" x14ac:dyDescent="0.25">
      <c r="A998" s="167"/>
      <c r="B998" s="167"/>
    </row>
    <row r="999" spans="1:2" x14ac:dyDescent="0.25">
      <c r="A999" s="167"/>
      <c r="B999" s="167"/>
    </row>
    <row r="1000" spans="1:2" x14ac:dyDescent="0.25">
      <c r="A1000" s="167"/>
      <c r="B1000" s="167"/>
    </row>
    <row r="1001" spans="1:2" x14ac:dyDescent="0.25">
      <c r="A1001" s="167"/>
      <c r="B1001" s="167"/>
    </row>
    <row r="1002" spans="1:2" x14ac:dyDescent="0.25">
      <c r="A1002" s="167"/>
      <c r="B1002" s="167"/>
    </row>
    <row r="1003" spans="1:2" x14ac:dyDescent="0.25">
      <c r="A1003" s="167"/>
      <c r="B1003" s="167"/>
    </row>
    <row r="1004" spans="1:2" x14ac:dyDescent="0.25">
      <c r="A1004" s="167"/>
      <c r="B1004" s="167"/>
    </row>
    <row r="1005" spans="1:2" x14ac:dyDescent="0.25">
      <c r="A1005" s="167"/>
      <c r="B1005" s="167"/>
    </row>
    <row r="1006" spans="1:2" x14ac:dyDescent="0.25">
      <c r="A1006" s="167"/>
      <c r="B1006" s="167"/>
    </row>
    <row r="1007" spans="1:2" x14ac:dyDescent="0.25">
      <c r="A1007" s="167"/>
      <c r="B1007" s="167"/>
    </row>
    <row r="1008" spans="1:2" x14ac:dyDescent="0.25">
      <c r="A1008" s="167"/>
      <c r="B1008" s="167"/>
    </row>
    <row r="1009" spans="1:2" x14ac:dyDescent="0.25">
      <c r="A1009" s="167"/>
      <c r="B1009" s="167"/>
    </row>
    <row r="1010" spans="1:2" x14ac:dyDescent="0.25">
      <c r="A1010" s="167"/>
      <c r="B1010" s="167"/>
    </row>
    <row r="1011" spans="1:2" x14ac:dyDescent="0.25">
      <c r="A1011" s="167"/>
      <c r="B1011" s="167"/>
    </row>
    <row r="1012" spans="1:2" x14ac:dyDescent="0.25">
      <c r="A1012" s="167"/>
      <c r="B1012" s="167"/>
    </row>
    <row r="1013" spans="1:2" x14ac:dyDescent="0.25">
      <c r="A1013" s="167"/>
      <c r="B1013" s="167"/>
    </row>
    <row r="1014" spans="1:2" x14ac:dyDescent="0.25">
      <c r="A1014" s="167"/>
      <c r="B1014" s="167"/>
    </row>
    <row r="1015" spans="1:2" x14ac:dyDescent="0.25">
      <c r="A1015" s="167"/>
      <c r="B1015" s="167"/>
    </row>
    <row r="1016" spans="1:2" x14ac:dyDescent="0.25">
      <c r="A1016" s="167"/>
      <c r="B1016" s="167"/>
    </row>
    <row r="1017" spans="1:2" x14ac:dyDescent="0.25">
      <c r="A1017" s="167"/>
      <c r="B1017" s="167"/>
    </row>
    <row r="1018" spans="1:2" x14ac:dyDescent="0.25">
      <c r="A1018" s="167"/>
      <c r="B1018" s="167"/>
    </row>
    <row r="1019" spans="1:2" x14ac:dyDescent="0.25">
      <c r="A1019" s="167"/>
      <c r="B1019" s="167"/>
    </row>
    <row r="1020" spans="1:2" x14ac:dyDescent="0.25">
      <c r="A1020" s="167"/>
      <c r="B1020" s="167"/>
    </row>
    <row r="1021" spans="1:2" x14ac:dyDescent="0.25">
      <c r="A1021" s="167"/>
      <c r="B1021" s="167"/>
    </row>
    <row r="1022" spans="1:2" x14ac:dyDescent="0.25">
      <c r="A1022" s="167"/>
      <c r="B1022" s="167"/>
    </row>
    <row r="1023" spans="1:2" x14ac:dyDescent="0.25">
      <c r="A1023" s="167"/>
      <c r="B1023" s="167"/>
    </row>
    <row r="1024" spans="1:2" x14ac:dyDescent="0.25">
      <c r="A1024" s="167"/>
      <c r="B1024" s="167"/>
    </row>
    <row r="1025" spans="1:2" x14ac:dyDescent="0.25">
      <c r="A1025" s="167"/>
      <c r="B1025" s="167"/>
    </row>
    <row r="1026" spans="1:2" x14ac:dyDescent="0.25">
      <c r="A1026" s="167"/>
      <c r="B1026" s="167"/>
    </row>
    <row r="1027" spans="1:2" x14ac:dyDescent="0.25">
      <c r="A1027" s="167"/>
      <c r="B1027" s="167"/>
    </row>
    <row r="1028" spans="1:2" x14ac:dyDescent="0.25">
      <c r="A1028" s="167"/>
      <c r="B1028" s="167"/>
    </row>
    <row r="1029" spans="1:2" x14ac:dyDescent="0.25">
      <c r="A1029" s="167"/>
      <c r="B1029" s="167"/>
    </row>
    <row r="1030" spans="1:2" x14ac:dyDescent="0.25">
      <c r="A1030" s="167"/>
      <c r="B1030" s="167"/>
    </row>
    <row r="1031" spans="1:2" x14ac:dyDescent="0.25">
      <c r="A1031" s="167"/>
      <c r="B1031" s="167"/>
    </row>
    <row r="1032" spans="1:2" x14ac:dyDescent="0.25">
      <c r="A1032" s="167"/>
      <c r="B1032" s="167"/>
    </row>
    <row r="1033" spans="1:2" x14ac:dyDescent="0.25">
      <c r="A1033" s="167"/>
      <c r="B1033" s="167"/>
    </row>
    <row r="1034" spans="1:2" x14ac:dyDescent="0.25">
      <c r="A1034" s="167"/>
      <c r="B1034" s="167"/>
    </row>
    <row r="1035" spans="1:2" x14ac:dyDescent="0.25">
      <c r="A1035" s="167"/>
      <c r="B1035" s="167"/>
    </row>
    <row r="1036" spans="1:2" x14ac:dyDescent="0.25">
      <c r="A1036" s="167"/>
      <c r="B1036" s="167"/>
    </row>
    <row r="1037" spans="1:2" x14ac:dyDescent="0.25">
      <c r="A1037" s="167"/>
      <c r="B1037" s="167"/>
    </row>
    <row r="1038" spans="1:2" x14ac:dyDescent="0.25">
      <c r="A1038" s="167"/>
      <c r="B1038" s="167"/>
    </row>
    <row r="1039" spans="1:2" x14ac:dyDescent="0.25">
      <c r="A1039" s="167"/>
      <c r="B1039" s="167"/>
    </row>
    <row r="1040" spans="1:2" x14ac:dyDescent="0.25">
      <c r="A1040" s="167"/>
      <c r="B1040" s="167"/>
    </row>
    <row r="1041" spans="1:2" x14ac:dyDescent="0.25">
      <c r="A1041" s="167"/>
      <c r="B1041" s="167"/>
    </row>
    <row r="1042" spans="1:2" x14ac:dyDescent="0.25">
      <c r="A1042" s="167"/>
      <c r="B1042" s="167"/>
    </row>
    <row r="1043" spans="1:2" x14ac:dyDescent="0.25">
      <c r="A1043" s="167"/>
      <c r="B1043" s="167"/>
    </row>
    <row r="1044" spans="1:2" x14ac:dyDescent="0.25">
      <c r="A1044" s="167"/>
      <c r="B1044" s="167"/>
    </row>
    <row r="1045" spans="1:2" x14ac:dyDescent="0.25">
      <c r="A1045" s="167"/>
      <c r="B1045" s="167"/>
    </row>
    <row r="1046" spans="1:2" x14ac:dyDescent="0.25">
      <c r="A1046" s="167"/>
      <c r="B1046" s="167"/>
    </row>
    <row r="1047" spans="1:2" x14ac:dyDescent="0.25">
      <c r="A1047" s="167"/>
      <c r="B1047" s="167"/>
    </row>
    <row r="1048" spans="1:2" x14ac:dyDescent="0.25">
      <c r="A1048" s="167"/>
      <c r="B1048" s="167"/>
    </row>
    <row r="1049" spans="1:2" x14ac:dyDescent="0.25">
      <c r="A1049" s="167"/>
      <c r="B1049" s="167"/>
    </row>
    <row r="1050" spans="1:2" x14ac:dyDescent="0.25">
      <c r="A1050" s="167"/>
      <c r="B1050" s="167"/>
    </row>
    <row r="1051" spans="1:2" x14ac:dyDescent="0.25">
      <c r="A1051" s="167"/>
      <c r="B1051" s="167"/>
    </row>
    <row r="1052" spans="1:2" x14ac:dyDescent="0.25">
      <c r="A1052" s="167"/>
      <c r="B1052" s="167"/>
    </row>
    <row r="1053" spans="1:2" x14ac:dyDescent="0.25">
      <c r="A1053" s="167"/>
      <c r="B1053" s="167"/>
    </row>
    <row r="1054" spans="1:2" x14ac:dyDescent="0.25">
      <c r="A1054" s="167"/>
      <c r="B1054" s="167"/>
    </row>
    <row r="1055" spans="1:2" x14ac:dyDescent="0.25">
      <c r="A1055" s="167"/>
      <c r="B1055" s="167"/>
    </row>
    <row r="1056" spans="1:2" x14ac:dyDescent="0.25">
      <c r="A1056" s="167"/>
      <c r="B1056" s="167"/>
    </row>
    <row r="1057" spans="1:2" x14ac:dyDescent="0.25">
      <c r="A1057" s="167"/>
      <c r="B1057" s="167"/>
    </row>
    <row r="1058" spans="1:2" x14ac:dyDescent="0.25">
      <c r="A1058" s="167"/>
      <c r="B1058" s="167"/>
    </row>
    <row r="1059" spans="1:2" x14ac:dyDescent="0.25">
      <c r="A1059" s="167"/>
      <c r="B1059" s="167"/>
    </row>
    <row r="1060" spans="1:2" x14ac:dyDescent="0.25">
      <c r="A1060" s="167"/>
      <c r="B1060" s="167"/>
    </row>
    <row r="1061" spans="1:2" x14ac:dyDescent="0.25">
      <c r="A1061" s="167"/>
      <c r="B1061" s="167"/>
    </row>
    <row r="1062" spans="1:2" x14ac:dyDescent="0.25">
      <c r="A1062" s="167"/>
      <c r="B1062" s="167"/>
    </row>
    <row r="1063" spans="1:2" x14ac:dyDescent="0.25">
      <c r="A1063" s="167"/>
      <c r="B1063" s="167"/>
    </row>
    <row r="1064" spans="1:2" x14ac:dyDescent="0.25">
      <c r="A1064" s="167"/>
      <c r="B1064" s="167"/>
    </row>
    <row r="1065" spans="1:2" x14ac:dyDescent="0.25">
      <c r="A1065" s="167"/>
      <c r="B1065" s="167"/>
    </row>
    <row r="1066" spans="1:2" x14ac:dyDescent="0.25">
      <c r="A1066" s="167"/>
      <c r="B1066" s="167"/>
    </row>
    <row r="1067" spans="1:2" x14ac:dyDescent="0.25">
      <c r="A1067" s="167"/>
      <c r="B1067" s="167"/>
    </row>
    <row r="1068" spans="1:2" x14ac:dyDescent="0.25">
      <c r="A1068" s="167"/>
      <c r="B1068" s="167"/>
    </row>
    <row r="1069" spans="1:2" x14ac:dyDescent="0.25">
      <c r="A1069" s="167"/>
      <c r="B1069" s="167"/>
    </row>
    <row r="1070" spans="1:2" x14ac:dyDescent="0.25">
      <c r="A1070" s="167"/>
      <c r="B1070" s="167"/>
    </row>
    <row r="1071" spans="1:2" x14ac:dyDescent="0.25">
      <c r="A1071" s="167"/>
      <c r="B1071" s="167"/>
    </row>
    <row r="1072" spans="1:2" x14ac:dyDescent="0.25">
      <c r="A1072" s="167"/>
      <c r="B1072" s="167"/>
    </row>
    <row r="1073" spans="1:2" x14ac:dyDescent="0.25">
      <c r="A1073" s="167"/>
      <c r="B1073" s="167"/>
    </row>
    <row r="1074" spans="1:2" x14ac:dyDescent="0.25">
      <c r="A1074" s="167"/>
      <c r="B1074" s="167"/>
    </row>
    <row r="1075" spans="1:2" x14ac:dyDescent="0.25">
      <c r="A1075" s="167"/>
      <c r="B1075" s="167"/>
    </row>
    <row r="1076" spans="1:2" x14ac:dyDescent="0.25">
      <c r="A1076" s="167"/>
      <c r="B1076" s="167"/>
    </row>
    <row r="1077" spans="1:2" x14ac:dyDescent="0.25">
      <c r="A1077" s="167"/>
      <c r="B1077" s="167"/>
    </row>
    <row r="1078" spans="1:2" x14ac:dyDescent="0.25">
      <c r="A1078" s="167"/>
      <c r="B1078" s="167"/>
    </row>
    <row r="1079" spans="1:2" x14ac:dyDescent="0.25">
      <c r="A1079" s="167"/>
      <c r="B1079" s="167"/>
    </row>
    <row r="1080" spans="1:2" x14ac:dyDescent="0.25">
      <c r="A1080" s="167"/>
      <c r="B1080" s="167"/>
    </row>
    <row r="1081" spans="1:2" x14ac:dyDescent="0.25">
      <c r="A1081" s="167"/>
      <c r="B1081" s="167"/>
    </row>
    <row r="1082" spans="1:2" x14ac:dyDescent="0.25">
      <c r="A1082" s="167"/>
      <c r="B1082" s="167"/>
    </row>
    <row r="1083" spans="1:2" x14ac:dyDescent="0.25">
      <c r="A1083" s="167"/>
      <c r="B1083" s="167"/>
    </row>
    <row r="1084" spans="1:2" x14ac:dyDescent="0.25">
      <c r="A1084" s="167"/>
      <c r="B1084" s="167"/>
    </row>
    <row r="1085" spans="1:2" x14ac:dyDescent="0.25">
      <c r="A1085" s="167"/>
      <c r="B1085" s="167"/>
    </row>
    <row r="1086" spans="1:2" x14ac:dyDescent="0.25">
      <c r="A1086" s="167"/>
      <c r="B1086" s="167"/>
    </row>
    <row r="1087" spans="1:2" x14ac:dyDescent="0.25">
      <c r="A1087" s="167"/>
      <c r="B1087" s="167"/>
    </row>
    <row r="1088" spans="1:2" x14ac:dyDescent="0.25">
      <c r="A1088" s="167"/>
      <c r="B1088" s="167"/>
    </row>
    <row r="1089" spans="1:2" x14ac:dyDescent="0.25">
      <c r="A1089" s="167"/>
      <c r="B1089" s="167"/>
    </row>
    <row r="1090" spans="1:2" x14ac:dyDescent="0.25">
      <c r="A1090" s="167"/>
      <c r="B1090" s="167"/>
    </row>
    <row r="1091" spans="1:2" x14ac:dyDescent="0.25">
      <c r="A1091" s="167"/>
      <c r="B1091" s="167"/>
    </row>
    <row r="1092" spans="1:2" x14ac:dyDescent="0.25">
      <c r="A1092" s="167"/>
      <c r="B1092" s="167"/>
    </row>
    <row r="1093" spans="1:2" x14ac:dyDescent="0.25">
      <c r="A1093" s="167"/>
      <c r="B1093" s="167"/>
    </row>
    <row r="1094" spans="1:2" x14ac:dyDescent="0.25">
      <c r="A1094" s="167"/>
      <c r="B1094" s="167"/>
    </row>
    <row r="1095" spans="1:2" x14ac:dyDescent="0.25">
      <c r="A1095" s="167"/>
      <c r="B1095" s="167"/>
    </row>
    <row r="1096" spans="1:2" x14ac:dyDescent="0.25">
      <c r="A1096" s="167"/>
      <c r="B1096" s="167"/>
    </row>
    <row r="1097" spans="1:2" x14ac:dyDescent="0.25">
      <c r="A1097" s="167"/>
      <c r="B1097" s="167"/>
    </row>
    <row r="1098" spans="1:2" x14ac:dyDescent="0.25">
      <c r="A1098" s="167"/>
      <c r="B1098" s="167"/>
    </row>
    <row r="1099" spans="1:2" x14ac:dyDescent="0.25">
      <c r="A1099" s="167"/>
      <c r="B1099" s="167"/>
    </row>
    <row r="1100" spans="1:2" x14ac:dyDescent="0.25">
      <c r="A1100" s="167"/>
      <c r="B1100" s="167"/>
    </row>
    <row r="1101" spans="1:2" x14ac:dyDescent="0.25">
      <c r="A1101" s="167"/>
      <c r="B1101" s="167"/>
    </row>
    <row r="1102" spans="1:2" x14ac:dyDescent="0.25">
      <c r="A1102" s="167"/>
      <c r="B1102" s="167"/>
    </row>
    <row r="1103" spans="1:2" x14ac:dyDescent="0.25">
      <c r="A1103" s="167"/>
      <c r="B1103" s="167"/>
    </row>
    <row r="1104" spans="1:2" x14ac:dyDescent="0.25">
      <c r="A1104" s="167"/>
      <c r="B1104" s="167"/>
    </row>
    <row r="1105" spans="1:2" x14ac:dyDescent="0.25">
      <c r="A1105" s="167"/>
      <c r="B1105" s="167"/>
    </row>
    <row r="1106" spans="1:2" x14ac:dyDescent="0.25">
      <c r="A1106" s="167"/>
      <c r="B1106" s="167"/>
    </row>
    <row r="1107" spans="1:2" x14ac:dyDescent="0.25">
      <c r="A1107" s="167"/>
      <c r="B1107" s="167"/>
    </row>
    <row r="1108" spans="1:2" x14ac:dyDescent="0.25">
      <c r="A1108" s="167"/>
      <c r="B1108" s="167"/>
    </row>
    <row r="1109" spans="1:2" x14ac:dyDescent="0.25">
      <c r="A1109" s="167"/>
      <c r="B1109" s="167"/>
    </row>
    <row r="1110" spans="1:2" x14ac:dyDescent="0.25">
      <c r="A1110" s="167"/>
      <c r="B1110" s="167"/>
    </row>
    <row r="1111" spans="1:2" x14ac:dyDescent="0.25">
      <c r="A1111" s="167"/>
      <c r="B1111" s="167"/>
    </row>
    <row r="1112" spans="1:2" x14ac:dyDescent="0.25">
      <c r="A1112" s="167"/>
      <c r="B1112" s="167"/>
    </row>
    <row r="1113" spans="1:2" x14ac:dyDescent="0.25">
      <c r="A1113" s="167"/>
      <c r="B1113" s="167"/>
    </row>
    <row r="1114" spans="1:2" x14ac:dyDescent="0.25">
      <c r="A1114" s="167"/>
      <c r="B1114" s="167"/>
    </row>
    <row r="1115" spans="1:2" x14ac:dyDescent="0.25">
      <c r="A1115" s="167"/>
      <c r="B1115" s="167"/>
    </row>
    <row r="1116" spans="1:2" x14ac:dyDescent="0.25">
      <c r="A1116" s="167"/>
      <c r="B1116" s="167"/>
    </row>
    <row r="1117" spans="1:2" x14ac:dyDescent="0.25">
      <c r="A1117" s="167"/>
      <c r="B1117" s="167"/>
    </row>
    <row r="1118" spans="1:2" x14ac:dyDescent="0.25">
      <c r="A1118" s="167"/>
      <c r="B1118" s="167"/>
    </row>
    <row r="1119" spans="1:2" x14ac:dyDescent="0.25">
      <c r="A1119" s="167"/>
      <c r="B1119" s="167"/>
    </row>
    <row r="1120" spans="1:2" x14ac:dyDescent="0.25">
      <c r="A1120" s="167"/>
      <c r="B1120" s="167"/>
    </row>
    <row r="1121" spans="1:2" x14ac:dyDescent="0.25">
      <c r="A1121" s="167"/>
      <c r="B1121" s="167"/>
    </row>
    <row r="1122" spans="1:2" x14ac:dyDescent="0.25">
      <c r="A1122" s="167"/>
      <c r="B1122" s="167"/>
    </row>
    <row r="1123" spans="1:2" x14ac:dyDescent="0.25">
      <c r="A1123" s="167"/>
      <c r="B1123" s="167"/>
    </row>
    <row r="1124" spans="1:2" x14ac:dyDescent="0.25">
      <c r="A1124" s="167"/>
      <c r="B1124" s="167"/>
    </row>
    <row r="1125" spans="1:2" x14ac:dyDescent="0.25">
      <c r="A1125" s="167"/>
      <c r="B1125" s="167"/>
    </row>
    <row r="1126" spans="1:2" x14ac:dyDescent="0.25">
      <c r="A1126" s="167"/>
      <c r="B1126" s="167"/>
    </row>
    <row r="1127" spans="1:2" x14ac:dyDescent="0.25">
      <c r="A1127" s="167"/>
      <c r="B1127" s="167"/>
    </row>
    <row r="1128" spans="1:2" x14ac:dyDescent="0.25">
      <c r="A1128" s="167"/>
      <c r="B1128" s="167"/>
    </row>
    <row r="1129" spans="1:2" x14ac:dyDescent="0.25">
      <c r="A1129" s="167"/>
      <c r="B1129" s="167"/>
    </row>
    <row r="1130" spans="1:2" x14ac:dyDescent="0.25">
      <c r="A1130" s="167"/>
      <c r="B1130" s="167"/>
    </row>
    <row r="1131" spans="1:2" x14ac:dyDescent="0.25">
      <c r="A1131" s="167"/>
      <c r="B1131" s="167"/>
    </row>
    <row r="1132" spans="1:2" x14ac:dyDescent="0.25">
      <c r="A1132" s="167"/>
      <c r="B1132" s="167"/>
    </row>
    <row r="1133" spans="1:2" x14ac:dyDescent="0.25">
      <c r="A1133" s="167"/>
      <c r="B1133" s="167"/>
    </row>
    <row r="1134" spans="1:2" x14ac:dyDescent="0.25">
      <c r="A1134" s="167"/>
      <c r="B1134" s="167"/>
    </row>
    <row r="1135" spans="1:2" x14ac:dyDescent="0.25">
      <c r="A1135" s="167"/>
      <c r="B1135" s="167"/>
    </row>
    <row r="1136" spans="1:2" x14ac:dyDescent="0.25">
      <c r="A1136" s="167"/>
      <c r="B1136" s="167"/>
    </row>
    <row r="1137" spans="1:2" x14ac:dyDescent="0.25">
      <c r="A1137" s="167"/>
      <c r="B1137" s="167"/>
    </row>
    <row r="1138" spans="1:2" x14ac:dyDescent="0.25">
      <c r="A1138" s="167"/>
      <c r="B1138" s="167"/>
    </row>
    <row r="1139" spans="1:2" x14ac:dyDescent="0.25">
      <c r="A1139" s="167"/>
      <c r="B1139" s="167"/>
    </row>
    <row r="1140" spans="1:2" x14ac:dyDescent="0.25">
      <c r="A1140" s="167"/>
      <c r="B1140" s="167"/>
    </row>
    <row r="1141" spans="1:2" x14ac:dyDescent="0.25">
      <c r="A1141" s="167"/>
      <c r="B1141" s="167"/>
    </row>
    <row r="1142" spans="1:2" x14ac:dyDescent="0.25">
      <c r="A1142" s="167"/>
      <c r="B1142" s="167"/>
    </row>
    <row r="1143" spans="1:2" x14ac:dyDescent="0.25">
      <c r="A1143" s="167"/>
      <c r="B1143" s="167"/>
    </row>
    <row r="1144" spans="1:2" x14ac:dyDescent="0.25">
      <c r="A1144" s="167"/>
      <c r="B1144" s="167"/>
    </row>
    <row r="1145" spans="1:2" x14ac:dyDescent="0.25">
      <c r="A1145" s="167"/>
      <c r="B1145" s="167"/>
    </row>
    <row r="1146" spans="1:2" x14ac:dyDescent="0.25">
      <c r="A1146" s="167"/>
      <c r="B1146" s="167"/>
    </row>
    <row r="1147" spans="1:2" x14ac:dyDescent="0.25">
      <c r="A1147" s="167"/>
      <c r="B1147" s="167"/>
    </row>
    <row r="1148" spans="1:2" x14ac:dyDescent="0.25">
      <c r="A1148" s="167"/>
      <c r="B1148" s="167"/>
    </row>
    <row r="1149" spans="1:2" x14ac:dyDescent="0.25">
      <c r="A1149" s="167"/>
      <c r="B1149" s="167"/>
    </row>
    <row r="1150" spans="1:2" x14ac:dyDescent="0.25">
      <c r="A1150" s="167"/>
      <c r="B1150" s="167"/>
    </row>
    <row r="1151" spans="1:2" x14ac:dyDescent="0.25">
      <c r="A1151" s="167"/>
      <c r="B1151" s="167"/>
    </row>
    <row r="1152" spans="1:2" x14ac:dyDescent="0.25">
      <c r="A1152" s="167"/>
      <c r="B1152" s="167"/>
    </row>
    <row r="1153" spans="1:2" x14ac:dyDescent="0.25">
      <c r="A1153" s="167"/>
      <c r="B1153" s="167"/>
    </row>
    <row r="1154" spans="1:2" x14ac:dyDescent="0.25">
      <c r="A1154" s="167"/>
      <c r="B1154" s="167"/>
    </row>
    <row r="1155" spans="1:2" x14ac:dyDescent="0.25">
      <c r="A1155" s="167"/>
      <c r="B1155" s="167"/>
    </row>
    <row r="1156" spans="1:2" x14ac:dyDescent="0.25">
      <c r="A1156" s="167"/>
      <c r="B1156" s="167"/>
    </row>
    <row r="1157" spans="1:2" x14ac:dyDescent="0.25">
      <c r="A1157" s="167"/>
      <c r="B1157" s="167"/>
    </row>
    <row r="1158" spans="1:2" x14ac:dyDescent="0.25">
      <c r="A1158" s="167"/>
      <c r="B1158" s="167"/>
    </row>
    <row r="1159" spans="1:2" x14ac:dyDescent="0.25">
      <c r="A1159" s="167"/>
      <c r="B1159" s="167"/>
    </row>
    <row r="1160" spans="1:2" x14ac:dyDescent="0.25">
      <c r="A1160" s="167"/>
      <c r="B1160" s="167"/>
    </row>
    <row r="1161" spans="1:2" x14ac:dyDescent="0.25">
      <c r="A1161" s="167"/>
      <c r="B1161" s="167"/>
    </row>
    <row r="1162" spans="1:2" x14ac:dyDescent="0.25">
      <c r="A1162" s="167"/>
      <c r="B1162" s="167"/>
    </row>
    <row r="1163" spans="1:2" x14ac:dyDescent="0.25">
      <c r="A1163" s="167"/>
      <c r="B1163" s="167"/>
    </row>
    <row r="1164" spans="1:2" x14ac:dyDescent="0.25">
      <c r="A1164" s="167"/>
      <c r="B1164" s="167"/>
    </row>
    <row r="1165" spans="1:2" x14ac:dyDescent="0.25">
      <c r="A1165" s="167"/>
      <c r="B1165" s="167"/>
    </row>
    <row r="1166" spans="1:2" x14ac:dyDescent="0.25">
      <c r="A1166" s="167"/>
      <c r="B1166" s="167"/>
    </row>
    <row r="1167" spans="1:2" x14ac:dyDescent="0.25">
      <c r="A1167" s="167"/>
      <c r="B1167" s="167"/>
    </row>
    <row r="1168" spans="1:2" x14ac:dyDescent="0.25">
      <c r="A1168" s="167"/>
      <c r="B1168" s="167"/>
    </row>
    <row r="1169" spans="1:2" x14ac:dyDescent="0.25">
      <c r="A1169" s="167"/>
      <c r="B1169" s="167"/>
    </row>
    <row r="1170" spans="1:2" x14ac:dyDescent="0.25">
      <c r="A1170" s="167"/>
      <c r="B1170" s="167"/>
    </row>
    <row r="1171" spans="1:2" x14ac:dyDescent="0.25">
      <c r="A1171" s="167"/>
      <c r="B1171" s="167"/>
    </row>
    <row r="1172" spans="1:2" x14ac:dyDescent="0.25">
      <c r="A1172" s="167"/>
      <c r="B1172" s="167"/>
    </row>
    <row r="1173" spans="1:2" x14ac:dyDescent="0.25">
      <c r="A1173" s="167"/>
      <c r="B1173" s="167"/>
    </row>
    <row r="1174" spans="1:2" x14ac:dyDescent="0.25">
      <c r="A1174" s="167"/>
      <c r="B1174" s="167"/>
    </row>
    <row r="1175" spans="1:2" x14ac:dyDescent="0.25">
      <c r="A1175" s="167"/>
      <c r="B1175" s="167"/>
    </row>
    <row r="1176" spans="1:2" x14ac:dyDescent="0.25">
      <c r="A1176" s="167"/>
      <c r="B1176" s="167"/>
    </row>
    <row r="1177" spans="1:2" x14ac:dyDescent="0.25">
      <c r="A1177" s="167"/>
      <c r="B1177" s="167"/>
    </row>
    <row r="1178" spans="1:2" x14ac:dyDescent="0.25">
      <c r="A1178" s="167"/>
      <c r="B1178" s="167"/>
    </row>
    <row r="1179" spans="1:2" x14ac:dyDescent="0.25">
      <c r="A1179" s="167"/>
      <c r="B1179" s="167"/>
    </row>
    <row r="1180" spans="1:2" x14ac:dyDescent="0.25">
      <c r="A1180" s="167"/>
      <c r="B1180" s="167"/>
    </row>
    <row r="1181" spans="1:2" x14ac:dyDescent="0.25">
      <c r="A1181" s="167"/>
      <c r="B1181" s="167"/>
    </row>
    <row r="1182" spans="1:2" x14ac:dyDescent="0.25">
      <c r="A1182" s="167"/>
      <c r="B1182" s="167"/>
    </row>
    <row r="1183" spans="1:2" x14ac:dyDescent="0.25">
      <c r="A1183" s="167"/>
      <c r="B1183" s="167"/>
    </row>
    <row r="1184" spans="1:2" x14ac:dyDescent="0.25">
      <c r="A1184" s="167"/>
      <c r="B1184" s="167"/>
    </row>
    <row r="1185" spans="1:2" x14ac:dyDescent="0.25">
      <c r="A1185" s="167"/>
      <c r="B1185" s="167"/>
    </row>
    <row r="1186" spans="1:2" x14ac:dyDescent="0.25">
      <c r="A1186" s="167"/>
      <c r="B1186" s="167"/>
    </row>
    <row r="1187" spans="1:2" x14ac:dyDescent="0.25">
      <c r="A1187" s="167"/>
      <c r="B1187" s="167"/>
    </row>
    <row r="1188" spans="1:2" x14ac:dyDescent="0.25">
      <c r="A1188" s="167"/>
      <c r="B1188" s="167"/>
    </row>
    <row r="1189" spans="1:2" x14ac:dyDescent="0.25">
      <c r="A1189" s="167"/>
      <c r="B1189" s="167"/>
    </row>
    <row r="1190" spans="1:2" x14ac:dyDescent="0.25">
      <c r="A1190" s="167"/>
      <c r="B1190" s="167"/>
    </row>
    <row r="1191" spans="1:2" x14ac:dyDescent="0.25">
      <c r="A1191" s="167"/>
      <c r="B1191" s="167"/>
    </row>
    <row r="1192" spans="1:2" x14ac:dyDescent="0.25">
      <c r="A1192" s="167"/>
      <c r="B1192" s="167"/>
    </row>
    <row r="1193" spans="1:2" x14ac:dyDescent="0.25">
      <c r="A1193" s="167"/>
      <c r="B1193" s="167"/>
    </row>
    <row r="1194" spans="1:2" x14ac:dyDescent="0.25">
      <c r="A1194" s="167"/>
      <c r="B1194" s="167"/>
    </row>
    <row r="1195" spans="1:2" x14ac:dyDescent="0.25">
      <c r="A1195" s="167"/>
      <c r="B1195" s="167"/>
    </row>
    <row r="1196" spans="1:2" x14ac:dyDescent="0.25">
      <c r="A1196" s="167"/>
      <c r="B1196" s="167"/>
    </row>
    <row r="1197" spans="1:2" x14ac:dyDescent="0.25">
      <c r="A1197" s="167"/>
      <c r="B1197" s="167"/>
    </row>
    <row r="1198" spans="1:2" x14ac:dyDescent="0.25">
      <c r="A1198" s="167"/>
      <c r="B1198" s="167"/>
    </row>
    <row r="1199" spans="1:2" x14ac:dyDescent="0.25">
      <c r="A1199" s="167"/>
      <c r="B1199" s="167"/>
    </row>
    <row r="1200" spans="1:2" x14ac:dyDescent="0.25">
      <c r="A1200" s="167"/>
      <c r="B1200" s="167"/>
    </row>
    <row r="1201" spans="1:2" x14ac:dyDescent="0.25">
      <c r="A1201" s="167"/>
      <c r="B1201" s="167"/>
    </row>
    <row r="1202" spans="1:2" x14ac:dyDescent="0.25">
      <c r="A1202" s="167"/>
      <c r="B1202" s="167"/>
    </row>
    <row r="1203" spans="1:2" x14ac:dyDescent="0.25">
      <c r="A1203" s="167"/>
      <c r="B1203" s="167"/>
    </row>
    <row r="1204" spans="1:2" x14ac:dyDescent="0.25">
      <c r="A1204" s="167"/>
      <c r="B1204" s="167"/>
    </row>
    <row r="1205" spans="1:2" x14ac:dyDescent="0.25">
      <c r="A1205" s="167"/>
      <c r="B1205" s="167"/>
    </row>
    <row r="1206" spans="1:2" x14ac:dyDescent="0.25">
      <c r="A1206" s="167"/>
      <c r="B1206" s="167"/>
    </row>
    <row r="1207" spans="1:2" x14ac:dyDescent="0.25">
      <c r="A1207" s="167"/>
      <c r="B1207" s="167"/>
    </row>
    <row r="1208" spans="1:2" x14ac:dyDescent="0.25">
      <c r="A1208" s="167"/>
      <c r="B1208" s="167"/>
    </row>
    <row r="1209" spans="1:2" x14ac:dyDescent="0.25">
      <c r="A1209" s="167"/>
      <c r="B1209" s="167"/>
    </row>
    <row r="1210" spans="1:2" x14ac:dyDescent="0.25">
      <c r="A1210" s="167"/>
      <c r="B1210" s="167"/>
    </row>
    <row r="1211" spans="1:2" x14ac:dyDescent="0.25">
      <c r="A1211" s="167"/>
      <c r="B1211" s="167"/>
    </row>
    <row r="1212" spans="1:2" x14ac:dyDescent="0.25">
      <c r="A1212" s="167"/>
      <c r="B1212" s="167"/>
    </row>
    <row r="1213" spans="1:2" x14ac:dyDescent="0.25">
      <c r="A1213" s="167"/>
      <c r="B1213" s="167"/>
    </row>
    <row r="1214" spans="1:2" x14ac:dyDescent="0.25">
      <c r="A1214" s="167"/>
      <c r="B1214" s="167"/>
    </row>
    <row r="1215" spans="1:2" x14ac:dyDescent="0.25">
      <c r="A1215" s="167"/>
      <c r="B1215" s="167"/>
    </row>
    <row r="1216" spans="1:2" x14ac:dyDescent="0.25">
      <c r="A1216" s="167"/>
      <c r="B1216" s="167"/>
    </row>
    <row r="1217" spans="1:2" x14ac:dyDescent="0.25">
      <c r="A1217" s="167"/>
      <c r="B1217" s="167"/>
    </row>
    <row r="1218" spans="1:2" x14ac:dyDescent="0.25">
      <c r="A1218" s="167"/>
      <c r="B1218" s="167"/>
    </row>
    <row r="1219" spans="1:2" x14ac:dyDescent="0.25">
      <c r="A1219" s="167"/>
      <c r="B1219" s="167"/>
    </row>
    <row r="1220" spans="1:2" x14ac:dyDescent="0.25">
      <c r="A1220" s="167"/>
      <c r="B1220" s="167"/>
    </row>
    <row r="1221" spans="1:2" x14ac:dyDescent="0.25">
      <c r="A1221" s="167"/>
      <c r="B1221" s="167"/>
    </row>
    <row r="1222" spans="1:2" x14ac:dyDescent="0.25">
      <c r="A1222" s="167"/>
      <c r="B1222" s="167"/>
    </row>
    <row r="1223" spans="1:2" x14ac:dyDescent="0.25">
      <c r="A1223" s="167"/>
      <c r="B1223" s="167"/>
    </row>
    <row r="1224" spans="1:2" x14ac:dyDescent="0.25">
      <c r="A1224" s="167"/>
      <c r="B1224" s="167"/>
    </row>
    <row r="1225" spans="1:2" x14ac:dyDescent="0.25">
      <c r="A1225" s="167"/>
      <c r="B1225" s="167"/>
    </row>
    <row r="1226" spans="1:2" x14ac:dyDescent="0.25">
      <c r="A1226" s="167"/>
      <c r="B1226" s="167"/>
    </row>
    <row r="1227" spans="1:2" x14ac:dyDescent="0.25">
      <c r="A1227" s="167"/>
      <c r="B1227" s="167"/>
    </row>
    <row r="1228" spans="1:2" x14ac:dyDescent="0.25">
      <c r="A1228" s="167"/>
      <c r="B1228" s="167"/>
    </row>
    <row r="1229" spans="1:2" x14ac:dyDescent="0.25">
      <c r="A1229" s="167"/>
      <c r="B1229" s="167"/>
    </row>
    <row r="1230" spans="1:2" x14ac:dyDescent="0.25">
      <c r="A1230" s="167"/>
      <c r="B1230" s="167"/>
    </row>
    <row r="1231" spans="1:2" x14ac:dyDescent="0.25">
      <c r="A1231" s="167"/>
      <c r="B1231" s="167"/>
    </row>
    <row r="1232" spans="1:2" x14ac:dyDescent="0.25">
      <c r="A1232" s="167"/>
      <c r="B1232" s="167"/>
    </row>
    <row r="1233" spans="1:2" x14ac:dyDescent="0.25">
      <c r="A1233" s="167"/>
      <c r="B1233" s="167"/>
    </row>
    <row r="1234" spans="1:2" x14ac:dyDescent="0.25">
      <c r="A1234" s="167"/>
      <c r="B1234" s="167"/>
    </row>
    <row r="1235" spans="1:2" x14ac:dyDescent="0.25">
      <c r="A1235" s="167"/>
      <c r="B1235" s="167"/>
    </row>
    <row r="1236" spans="1:2" x14ac:dyDescent="0.25">
      <c r="A1236" s="167"/>
      <c r="B1236" s="167"/>
    </row>
    <row r="1237" spans="1:2" x14ac:dyDescent="0.25">
      <c r="A1237" s="167"/>
      <c r="B1237" s="167"/>
    </row>
    <row r="1238" spans="1:2" x14ac:dyDescent="0.25">
      <c r="A1238" s="167"/>
      <c r="B1238" s="167"/>
    </row>
    <row r="1239" spans="1:2" x14ac:dyDescent="0.25">
      <c r="A1239" s="167"/>
      <c r="B1239" s="167"/>
    </row>
    <row r="1240" spans="1:2" x14ac:dyDescent="0.25">
      <c r="A1240" s="167"/>
      <c r="B1240" s="167"/>
    </row>
    <row r="1241" spans="1:2" x14ac:dyDescent="0.25">
      <c r="A1241" s="167"/>
      <c r="B1241" s="167"/>
    </row>
    <row r="1242" spans="1:2" x14ac:dyDescent="0.25">
      <c r="A1242" s="167"/>
      <c r="B1242" s="167"/>
    </row>
    <row r="1243" spans="1:2" x14ac:dyDescent="0.25">
      <c r="A1243" s="167"/>
      <c r="B1243" s="167"/>
    </row>
    <row r="1244" spans="1:2" x14ac:dyDescent="0.25">
      <c r="A1244" s="167"/>
      <c r="B1244" s="167"/>
    </row>
    <row r="1245" spans="1:2" x14ac:dyDescent="0.25">
      <c r="A1245" s="167"/>
      <c r="B1245" s="167"/>
    </row>
    <row r="1246" spans="1:2" x14ac:dyDescent="0.25">
      <c r="A1246" s="167"/>
      <c r="B1246" s="167"/>
    </row>
    <row r="1247" spans="1:2" x14ac:dyDescent="0.25">
      <c r="A1247" s="167"/>
      <c r="B1247" s="167"/>
    </row>
    <row r="1248" spans="1:2" x14ac:dyDescent="0.25">
      <c r="A1248" s="167"/>
      <c r="B1248" s="167"/>
    </row>
    <row r="1249" spans="1:2" x14ac:dyDescent="0.25">
      <c r="A1249" s="167"/>
      <c r="B1249" s="167"/>
    </row>
    <row r="1250" spans="1:2" x14ac:dyDescent="0.25">
      <c r="A1250" s="167"/>
      <c r="B1250" s="167"/>
    </row>
    <row r="1251" spans="1:2" x14ac:dyDescent="0.25">
      <c r="A1251" s="167"/>
      <c r="B1251" s="167"/>
    </row>
    <row r="1252" spans="1:2" x14ac:dyDescent="0.25">
      <c r="A1252" s="167"/>
      <c r="B1252" s="167"/>
    </row>
    <row r="1253" spans="1:2" x14ac:dyDescent="0.25">
      <c r="A1253" s="167"/>
      <c r="B1253" s="167"/>
    </row>
    <row r="1254" spans="1:2" x14ac:dyDescent="0.25">
      <c r="A1254" s="167"/>
      <c r="B1254" s="167"/>
    </row>
    <row r="1255" spans="1:2" x14ac:dyDescent="0.25">
      <c r="A1255" s="167"/>
      <c r="B1255" s="167"/>
    </row>
    <row r="1256" spans="1:2" x14ac:dyDescent="0.25">
      <c r="A1256" s="167"/>
      <c r="B1256" s="167"/>
    </row>
    <row r="1257" spans="1:2" x14ac:dyDescent="0.25">
      <c r="A1257" s="167"/>
      <c r="B1257" s="167"/>
    </row>
    <row r="1258" spans="1:2" x14ac:dyDescent="0.25">
      <c r="A1258" s="167"/>
      <c r="B1258" s="167"/>
    </row>
    <row r="1259" spans="1:2" x14ac:dyDescent="0.25">
      <c r="A1259" s="167"/>
      <c r="B1259" s="167"/>
    </row>
    <row r="1260" spans="1:2" x14ac:dyDescent="0.25">
      <c r="A1260" s="167"/>
      <c r="B1260" s="167"/>
    </row>
    <row r="1261" spans="1:2" x14ac:dyDescent="0.25">
      <c r="A1261" s="167"/>
      <c r="B1261" s="167"/>
    </row>
    <row r="1262" spans="1:2" x14ac:dyDescent="0.25">
      <c r="A1262" s="167"/>
      <c r="B1262" s="167"/>
    </row>
    <row r="1263" spans="1:2" x14ac:dyDescent="0.25">
      <c r="A1263" s="167"/>
      <c r="B1263" s="167"/>
    </row>
    <row r="1264" spans="1:2" x14ac:dyDescent="0.25">
      <c r="A1264" s="167"/>
      <c r="B1264" s="167"/>
    </row>
    <row r="1265" spans="1:2" x14ac:dyDescent="0.25">
      <c r="A1265" s="167"/>
      <c r="B1265" s="167"/>
    </row>
    <row r="1266" spans="1:2" x14ac:dyDescent="0.25">
      <c r="A1266" s="167"/>
      <c r="B1266" s="167"/>
    </row>
    <row r="1267" spans="1:2" x14ac:dyDescent="0.25">
      <c r="A1267" s="167"/>
      <c r="B1267" s="167"/>
    </row>
    <row r="1268" spans="1:2" x14ac:dyDescent="0.25">
      <c r="A1268" s="167"/>
      <c r="B1268" s="167"/>
    </row>
    <row r="1269" spans="1:2" x14ac:dyDescent="0.25">
      <c r="A1269" s="167"/>
      <c r="B1269" s="167"/>
    </row>
    <row r="1270" spans="1:2" x14ac:dyDescent="0.25">
      <c r="A1270" s="167"/>
      <c r="B1270" s="167"/>
    </row>
    <row r="1271" spans="1:2" x14ac:dyDescent="0.25">
      <c r="A1271" s="167"/>
      <c r="B1271" s="167"/>
    </row>
    <row r="1272" spans="1:2" x14ac:dyDescent="0.25">
      <c r="A1272" s="167"/>
      <c r="B1272" s="167"/>
    </row>
    <row r="1273" spans="1:2" x14ac:dyDescent="0.25">
      <c r="A1273" s="167"/>
      <c r="B1273" s="167"/>
    </row>
    <row r="1274" spans="1:2" x14ac:dyDescent="0.25">
      <c r="A1274" s="167"/>
      <c r="B1274" s="167"/>
    </row>
    <row r="1275" spans="1:2" x14ac:dyDescent="0.25">
      <c r="A1275" s="167"/>
      <c r="B1275" s="167"/>
    </row>
    <row r="1276" spans="1:2" x14ac:dyDescent="0.25">
      <c r="A1276" s="167"/>
      <c r="B1276" s="167"/>
    </row>
    <row r="1277" spans="1:2" x14ac:dyDescent="0.25">
      <c r="A1277" s="167"/>
      <c r="B1277" s="167"/>
    </row>
    <row r="1278" spans="1:2" x14ac:dyDescent="0.25">
      <c r="A1278" s="167"/>
      <c r="B1278" s="167"/>
    </row>
    <row r="1279" spans="1:2" x14ac:dyDescent="0.25">
      <c r="A1279" s="167"/>
      <c r="B1279" s="167"/>
    </row>
    <row r="1280" spans="1:2" x14ac:dyDescent="0.25">
      <c r="A1280" s="167"/>
      <c r="B1280" s="167"/>
    </row>
    <row r="1281" spans="1:2" x14ac:dyDescent="0.25">
      <c r="A1281" s="167"/>
      <c r="B1281" s="167"/>
    </row>
    <row r="1282" spans="1:2" x14ac:dyDescent="0.25">
      <c r="A1282" s="167"/>
      <c r="B1282" s="167"/>
    </row>
    <row r="1283" spans="1:2" x14ac:dyDescent="0.25">
      <c r="A1283" s="167"/>
      <c r="B1283" s="167"/>
    </row>
    <row r="1284" spans="1:2" x14ac:dyDescent="0.25">
      <c r="A1284" s="167"/>
      <c r="B1284" s="167"/>
    </row>
    <row r="1285" spans="1:2" x14ac:dyDescent="0.25">
      <c r="A1285" s="167"/>
      <c r="B1285" s="167"/>
    </row>
    <row r="1286" spans="1:2" x14ac:dyDescent="0.25">
      <c r="A1286" s="167"/>
      <c r="B1286" s="167"/>
    </row>
    <row r="1287" spans="1:2" x14ac:dyDescent="0.25">
      <c r="A1287" s="167"/>
      <c r="B1287" s="167"/>
    </row>
    <row r="1288" spans="1:2" x14ac:dyDescent="0.25">
      <c r="A1288" s="167"/>
      <c r="B1288" s="167"/>
    </row>
    <row r="1289" spans="1:2" x14ac:dyDescent="0.25">
      <c r="A1289" s="167"/>
      <c r="B1289" s="167"/>
    </row>
    <row r="1290" spans="1:2" x14ac:dyDescent="0.25">
      <c r="A1290" s="167"/>
      <c r="B1290" s="167"/>
    </row>
    <row r="1291" spans="1:2" x14ac:dyDescent="0.25">
      <c r="A1291" s="167"/>
      <c r="B1291" s="167"/>
    </row>
    <row r="1292" spans="1:2" x14ac:dyDescent="0.25">
      <c r="A1292" s="167"/>
      <c r="B1292" s="167"/>
    </row>
    <row r="1293" spans="1:2" x14ac:dyDescent="0.25">
      <c r="A1293" s="167"/>
      <c r="B1293" s="167"/>
    </row>
    <row r="1294" spans="1:2" x14ac:dyDescent="0.25">
      <c r="A1294" s="167"/>
      <c r="B1294" s="167"/>
    </row>
    <row r="1295" spans="1:2" x14ac:dyDescent="0.25">
      <c r="A1295" s="167"/>
      <c r="B1295" s="167"/>
    </row>
    <row r="1296" spans="1:2" x14ac:dyDescent="0.25">
      <c r="A1296" s="167"/>
      <c r="B1296" s="167"/>
    </row>
    <row r="1297" spans="1:2" x14ac:dyDescent="0.25">
      <c r="A1297" s="167"/>
      <c r="B1297" s="167"/>
    </row>
    <row r="1298" spans="1:2" x14ac:dyDescent="0.25">
      <c r="A1298" s="167"/>
      <c r="B1298" s="167"/>
    </row>
    <row r="1299" spans="1:2" x14ac:dyDescent="0.25">
      <c r="A1299" s="167"/>
      <c r="B1299" s="167"/>
    </row>
    <row r="1300" spans="1:2" x14ac:dyDescent="0.25">
      <c r="A1300" s="167"/>
      <c r="B1300" s="167"/>
    </row>
    <row r="1301" spans="1:2" x14ac:dyDescent="0.25">
      <c r="A1301" s="167"/>
      <c r="B1301" s="167"/>
    </row>
    <row r="1302" spans="1:2" x14ac:dyDescent="0.25">
      <c r="A1302" s="167"/>
      <c r="B1302" s="167"/>
    </row>
    <row r="1303" spans="1:2" x14ac:dyDescent="0.25">
      <c r="A1303" s="167"/>
      <c r="B1303" s="167"/>
    </row>
    <row r="1304" spans="1:2" x14ac:dyDescent="0.25">
      <c r="A1304" s="167"/>
      <c r="B1304" s="167"/>
    </row>
    <row r="1305" spans="1:2" x14ac:dyDescent="0.25">
      <c r="A1305" s="167"/>
      <c r="B1305" s="167"/>
    </row>
    <row r="1306" spans="1:2" x14ac:dyDescent="0.25">
      <c r="A1306" s="167"/>
      <c r="B1306" s="167"/>
    </row>
    <row r="1307" spans="1:2" x14ac:dyDescent="0.25">
      <c r="A1307" s="167"/>
      <c r="B1307" s="167"/>
    </row>
    <row r="1308" spans="1:2" x14ac:dyDescent="0.25">
      <c r="A1308" s="167"/>
      <c r="B1308" s="167"/>
    </row>
    <row r="1309" spans="1:2" x14ac:dyDescent="0.25">
      <c r="A1309" s="167"/>
      <c r="B1309" s="167"/>
    </row>
    <row r="1310" spans="1:2" x14ac:dyDescent="0.25">
      <c r="A1310" s="167"/>
      <c r="B1310" s="167"/>
    </row>
    <row r="1311" spans="1:2" x14ac:dyDescent="0.25">
      <c r="A1311" s="167"/>
      <c r="B1311" s="167"/>
    </row>
    <row r="1312" spans="1:2" x14ac:dyDescent="0.25">
      <c r="A1312" s="167"/>
      <c r="B1312" s="167"/>
    </row>
    <row r="1313" spans="1:2" x14ac:dyDescent="0.25">
      <c r="A1313" s="167"/>
      <c r="B1313" s="167"/>
    </row>
    <row r="1314" spans="1:2" x14ac:dyDescent="0.25">
      <c r="A1314" s="167"/>
      <c r="B1314" s="167"/>
    </row>
    <row r="1315" spans="1:2" x14ac:dyDescent="0.25">
      <c r="A1315" s="167"/>
      <c r="B1315" s="167"/>
    </row>
    <row r="1316" spans="1:2" x14ac:dyDescent="0.25">
      <c r="A1316" s="167"/>
      <c r="B1316" s="167"/>
    </row>
    <row r="1317" spans="1:2" x14ac:dyDescent="0.25">
      <c r="A1317" s="167"/>
      <c r="B1317" s="167"/>
    </row>
    <row r="1318" spans="1:2" x14ac:dyDescent="0.25">
      <c r="A1318" s="167"/>
      <c r="B1318" s="167"/>
    </row>
    <row r="1319" spans="1:2" x14ac:dyDescent="0.25">
      <c r="A1319" s="167"/>
      <c r="B1319" s="167"/>
    </row>
    <row r="1320" spans="1:2" x14ac:dyDescent="0.25">
      <c r="A1320" s="167"/>
      <c r="B1320" s="167"/>
    </row>
    <row r="1321" spans="1:2" x14ac:dyDescent="0.25">
      <c r="A1321" s="167"/>
      <c r="B1321" s="167"/>
    </row>
    <row r="1322" spans="1:2" x14ac:dyDescent="0.25">
      <c r="A1322" s="167"/>
      <c r="B1322" s="167"/>
    </row>
    <row r="1323" spans="1:2" x14ac:dyDescent="0.25">
      <c r="A1323" s="167"/>
      <c r="B1323" s="167"/>
    </row>
    <row r="1324" spans="1:2" x14ac:dyDescent="0.25">
      <c r="A1324" s="167"/>
      <c r="B1324" s="167"/>
    </row>
    <row r="1325" spans="1:2" x14ac:dyDescent="0.25">
      <c r="A1325" s="167"/>
      <c r="B1325" s="167"/>
    </row>
    <row r="1326" spans="1:2" x14ac:dyDescent="0.25">
      <c r="A1326" s="167"/>
      <c r="B1326" s="167"/>
    </row>
    <row r="1327" spans="1:2" x14ac:dyDescent="0.25">
      <c r="A1327" s="167"/>
      <c r="B1327" s="167"/>
    </row>
    <row r="1328" spans="1:2" x14ac:dyDescent="0.25">
      <c r="A1328" s="167"/>
      <c r="B1328" s="167"/>
    </row>
    <row r="1329" spans="1:2" x14ac:dyDescent="0.25">
      <c r="A1329" s="167"/>
      <c r="B1329" s="167"/>
    </row>
    <row r="1330" spans="1:2" x14ac:dyDescent="0.25">
      <c r="A1330" s="167"/>
      <c r="B1330" s="167"/>
    </row>
    <row r="1331" spans="1:2" x14ac:dyDescent="0.25">
      <c r="A1331" s="167"/>
      <c r="B1331" s="167"/>
    </row>
    <row r="1332" spans="1:2" x14ac:dyDescent="0.25">
      <c r="A1332" s="167"/>
      <c r="B1332" s="167"/>
    </row>
    <row r="1333" spans="1:2" x14ac:dyDescent="0.25">
      <c r="A1333" s="167"/>
      <c r="B1333" s="167"/>
    </row>
    <row r="1334" spans="1:2" x14ac:dyDescent="0.25">
      <c r="A1334" s="167"/>
      <c r="B1334" s="167"/>
    </row>
    <row r="1335" spans="1:2" x14ac:dyDescent="0.25">
      <c r="A1335" s="167"/>
      <c r="B1335" s="167"/>
    </row>
    <row r="1336" spans="1:2" x14ac:dyDescent="0.25">
      <c r="A1336" s="167"/>
      <c r="B1336" s="167"/>
    </row>
    <row r="1337" spans="1:2" x14ac:dyDescent="0.25">
      <c r="A1337" s="167"/>
      <c r="B1337" s="167"/>
    </row>
    <row r="1338" spans="1:2" x14ac:dyDescent="0.25">
      <c r="A1338" s="167"/>
      <c r="B1338" s="167"/>
    </row>
    <row r="1339" spans="1:2" x14ac:dyDescent="0.25">
      <c r="A1339" s="167"/>
      <c r="B1339" s="167"/>
    </row>
    <row r="1340" spans="1:2" x14ac:dyDescent="0.25">
      <c r="A1340" s="167"/>
      <c r="B1340" s="167"/>
    </row>
    <row r="1341" spans="1:2" x14ac:dyDescent="0.25">
      <c r="A1341" s="167"/>
      <c r="B1341" s="167"/>
    </row>
    <row r="1342" spans="1:2" x14ac:dyDescent="0.25">
      <c r="A1342" s="167"/>
      <c r="B1342" s="167"/>
    </row>
    <row r="1343" spans="1:2" x14ac:dyDescent="0.25">
      <c r="A1343" s="167"/>
      <c r="B1343" s="167"/>
    </row>
    <row r="1344" spans="1:2" x14ac:dyDescent="0.25">
      <c r="A1344" s="167"/>
      <c r="B1344" s="167"/>
    </row>
    <row r="1345" spans="1:2" x14ac:dyDescent="0.25">
      <c r="A1345" s="167"/>
      <c r="B1345" s="167"/>
    </row>
    <row r="1346" spans="1:2" x14ac:dyDescent="0.25">
      <c r="A1346" s="167"/>
      <c r="B1346" s="167"/>
    </row>
    <row r="1347" spans="1:2" x14ac:dyDescent="0.25">
      <c r="A1347" s="167"/>
      <c r="B1347" s="167"/>
    </row>
    <row r="1348" spans="1:2" x14ac:dyDescent="0.25">
      <c r="A1348" s="167"/>
      <c r="B1348" s="167"/>
    </row>
    <row r="1349" spans="1:2" x14ac:dyDescent="0.25">
      <c r="A1349" s="167"/>
      <c r="B1349" s="167"/>
    </row>
    <row r="1350" spans="1:2" x14ac:dyDescent="0.25">
      <c r="A1350" s="167"/>
      <c r="B1350" s="167"/>
    </row>
    <row r="1351" spans="1:2" x14ac:dyDescent="0.25">
      <c r="A1351" s="167"/>
      <c r="B1351" s="167"/>
    </row>
    <row r="1352" spans="1:2" x14ac:dyDescent="0.25">
      <c r="A1352" s="167"/>
      <c r="B1352" s="167"/>
    </row>
    <row r="1353" spans="1:2" x14ac:dyDescent="0.25">
      <c r="A1353" s="167"/>
      <c r="B1353" s="167"/>
    </row>
    <row r="1354" spans="1:2" x14ac:dyDescent="0.25">
      <c r="A1354" s="167"/>
      <c r="B1354" s="167"/>
    </row>
    <row r="1355" spans="1:2" x14ac:dyDescent="0.25">
      <c r="A1355" s="167"/>
      <c r="B1355" s="167"/>
    </row>
    <row r="1356" spans="1:2" x14ac:dyDescent="0.25">
      <c r="A1356" s="167"/>
      <c r="B1356" s="167"/>
    </row>
    <row r="1357" spans="1:2" x14ac:dyDescent="0.25">
      <c r="A1357" s="167"/>
      <c r="B1357" s="167"/>
    </row>
    <row r="1358" spans="1:2" x14ac:dyDescent="0.25">
      <c r="A1358" s="167"/>
      <c r="B1358" s="167"/>
    </row>
    <row r="1359" spans="1:2" x14ac:dyDescent="0.25">
      <c r="A1359" s="167"/>
      <c r="B1359" s="167"/>
    </row>
    <row r="1360" spans="1:2" x14ac:dyDescent="0.25">
      <c r="A1360" s="167"/>
      <c r="B1360" s="167"/>
    </row>
    <row r="1361" spans="1:2" x14ac:dyDescent="0.25">
      <c r="A1361" s="167"/>
      <c r="B1361" s="167"/>
    </row>
    <row r="1362" spans="1:2" x14ac:dyDescent="0.25">
      <c r="A1362" s="167"/>
      <c r="B1362" s="167"/>
    </row>
    <row r="1363" spans="1:2" x14ac:dyDescent="0.25">
      <c r="A1363" s="167"/>
      <c r="B1363" s="167"/>
    </row>
    <row r="1364" spans="1:2" x14ac:dyDescent="0.25">
      <c r="A1364" s="167"/>
      <c r="B1364" s="167"/>
    </row>
    <row r="1365" spans="1:2" x14ac:dyDescent="0.25">
      <c r="A1365" s="167"/>
      <c r="B1365" s="167"/>
    </row>
    <row r="1366" spans="1:2" x14ac:dyDescent="0.25">
      <c r="A1366" s="167"/>
      <c r="B1366" s="167"/>
    </row>
    <row r="1367" spans="1:2" x14ac:dyDescent="0.25">
      <c r="A1367" s="167"/>
      <c r="B1367" s="167"/>
    </row>
    <row r="1368" spans="1:2" x14ac:dyDescent="0.25">
      <c r="A1368" s="167"/>
      <c r="B1368" s="167"/>
    </row>
    <row r="1369" spans="1:2" x14ac:dyDescent="0.25">
      <c r="A1369" s="167"/>
      <c r="B1369" s="167"/>
    </row>
    <row r="1370" spans="1:2" x14ac:dyDescent="0.25">
      <c r="A1370" s="167"/>
      <c r="B1370" s="167"/>
    </row>
    <row r="1371" spans="1:2" x14ac:dyDescent="0.25">
      <c r="A1371" s="167"/>
      <c r="B1371" s="167"/>
    </row>
    <row r="1372" spans="1:2" x14ac:dyDescent="0.25">
      <c r="A1372" s="167"/>
      <c r="B1372" s="167"/>
    </row>
    <row r="1373" spans="1:2" x14ac:dyDescent="0.25">
      <c r="A1373" s="167"/>
      <c r="B1373" s="167"/>
    </row>
    <row r="1374" spans="1:2" x14ac:dyDescent="0.25">
      <c r="A1374" s="167"/>
      <c r="B1374" s="167"/>
    </row>
    <row r="1375" spans="1:2" x14ac:dyDescent="0.25">
      <c r="A1375" s="167"/>
      <c r="B1375" s="167"/>
    </row>
    <row r="1376" spans="1:2" x14ac:dyDescent="0.25">
      <c r="A1376" s="167"/>
      <c r="B1376" s="167"/>
    </row>
    <row r="1377" spans="1:2" x14ac:dyDescent="0.25">
      <c r="A1377" s="167"/>
      <c r="B1377" s="167"/>
    </row>
    <row r="1378" spans="1:2" x14ac:dyDescent="0.25">
      <c r="A1378" s="167"/>
      <c r="B1378" s="167"/>
    </row>
    <row r="1379" spans="1:2" x14ac:dyDescent="0.25">
      <c r="A1379" s="167"/>
      <c r="B1379" s="167"/>
    </row>
    <row r="1380" spans="1:2" x14ac:dyDescent="0.25">
      <c r="A1380" s="167"/>
      <c r="B1380" s="167"/>
    </row>
    <row r="1381" spans="1:2" x14ac:dyDescent="0.25">
      <c r="A1381" s="167"/>
      <c r="B1381" s="167"/>
    </row>
    <row r="1382" spans="1:2" x14ac:dyDescent="0.25">
      <c r="A1382" s="167"/>
      <c r="B1382" s="167"/>
    </row>
    <row r="1383" spans="1:2" x14ac:dyDescent="0.25">
      <c r="A1383" s="167"/>
      <c r="B1383" s="167"/>
    </row>
    <row r="1384" spans="1:2" x14ac:dyDescent="0.25">
      <c r="A1384" s="167"/>
      <c r="B1384" s="167"/>
    </row>
    <row r="1385" spans="1:2" x14ac:dyDescent="0.25">
      <c r="A1385" s="167"/>
      <c r="B1385" s="167"/>
    </row>
    <row r="1386" spans="1:2" x14ac:dyDescent="0.25">
      <c r="A1386" s="167"/>
      <c r="B1386" s="167"/>
    </row>
    <row r="1387" spans="1:2" x14ac:dyDescent="0.25">
      <c r="A1387" s="167"/>
      <c r="B1387" s="167"/>
    </row>
    <row r="1388" spans="1:2" x14ac:dyDescent="0.25">
      <c r="A1388" s="167"/>
      <c r="B1388" s="167"/>
    </row>
    <row r="1389" spans="1:2" x14ac:dyDescent="0.25">
      <c r="A1389" s="167"/>
      <c r="B1389" s="167"/>
    </row>
    <row r="1390" spans="1:2" x14ac:dyDescent="0.25">
      <c r="A1390" s="167"/>
      <c r="B1390" s="167"/>
    </row>
    <row r="1391" spans="1:2" x14ac:dyDescent="0.25">
      <c r="A1391" s="167"/>
      <c r="B1391" s="167"/>
    </row>
    <row r="1392" spans="1:2" x14ac:dyDescent="0.25">
      <c r="A1392" s="167"/>
      <c r="B1392" s="167"/>
    </row>
    <row r="1393" spans="1:2" x14ac:dyDescent="0.25">
      <c r="A1393" s="167"/>
      <c r="B1393" s="167"/>
    </row>
    <row r="1394" spans="1:2" x14ac:dyDescent="0.25">
      <c r="A1394" s="167"/>
      <c r="B1394" s="167"/>
    </row>
    <row r="1395" spans="1:2" x14ac:dyDescent="0.25">
      <c r="A1395" s="167"/>
      <c r="B1395" s="167"/>
    </row>
    <row r="1396" spans="1:2" x14ac:dyDescent="0.25">
      <c r="A1396" s="167"/>
      <c r="B1396" s="167"/>
    </row>
    <row r="1397" spans="1:2" x14ac:dyDescent="0.25">
      <c r="A1397" s="167"/>
      <c r="B1397" s="167"/>
    </row>
    <row r="1398" spans="1:2" x14ac:dyDescent="0.25">
      <c r="A1398" s="167"/>
      <c r="B1398" s="167"/>
    </row>
    <row r="1399" spans="1:2" x14ac:dyDescent="0.25">
      <c r="A1399" s="167"/>
      <c r="B1399" s="167"/>
    </row>
    <row r="1400" spans="1:2" x14ac:dyDescent="0.25">
      <c r="A1400" s="167"/>
      <c r="B1400" s="167"/>
    </row>
    <row r="1401" spans="1:2" x14ac:dyDescent="0.25">
      <c r="A1401" s="167"/>
      <c r="B1401" s="167"/>
    </row>
    <row r="1402" spans="1:2" x14ac:dyDescent="0.25">
      <c r="A1402" s="167"/>
      <c r="B1402" s="167"/>
    </row>
    <row r="1403" spans="1:2" x14ac:dyDescent="0.25">
      <c r="A1403" s="167"/>
      <c r="B1403" s="167"/>
    </row>
    <row r="1404" spans="1:2" x14ac:dyDescent="0.25">
      <c r="A1404" s="167"/>
      <c r="B1404" s="167"/>
    </row>
    <row r="1405" spans="1:2" x14ac:dyDescent="0.25">
      <c r="A1405" s="167"/>
      <c r="B1405" s="167"/>
    </row>
    <row r="1406" spans="1:2" x14ac:dyDescent="0.25">
      <c r="A1406" s="167"/>
      <c r="B1406" s="167"/>
    </row>
    <row r="1407" spans="1:2" x14ac:dyDescent="0.25">
      <c r="A1407" s="167"/>
      <c r="B1407" s="167"/>
    </row>
    <row r="1408" spans="1:2" x14ac:dyDescent="0.25">
      <c r="A1408" s="167"/>
      <c r="B1408" s="167"/>
    </row>
    <row r="1409" spans="1:2" x14ac:dyDescent="0.25">
      <c r="A1409" s="167"/>
      <c r="B1409" s="167"/>
    </row>
    <row r="1410" spans="1:2" x14ac:dyDescent="0.25">
      <c r="A1410" s="167"/>
      <c r="B1410" s="167"/>
    </row>
    <row r="1411" spans="1:2" x14ac:dyDescent="0.25">
      <c r="A1411" s="167"/>
      <c r="B1411" s="167"/>
    </row>
    <row r="1412" spans="1:2" x14ac:dyDescent="0.25">
      <c r="A1412" s="167"/>
      <c r="B1412" s="167"/>
    </row>
    <row r="1413" spans="1:2" x14ac:dyDescent="0.25">
      <c r="A1413" s="167"/>
      <c r="B1413" s="167"/>
    </row>
    <row r="1414" spans="1:2" x14ac:dyDescent="0.25">
      <c r="A1414" s="167"/>
      <c r="B1414" s="167"/>
    </row>
    <row r="1415" spans="1:2" x14ac:dyDescent="0.25">
      <c r="A1415" s="167"/>
      <c r="B1415" s="167"/>
    </row>
    <row r="1416" spans="1:2" x14ac:dyDescent="0.25">
      <c r="A1416" s="167"/>
      <c r="B1416" s="167"/>
    </row>
    <row r="1417" spans="1:2" x14ac:dyDescent="0.25">
      <c r="A1417" s="167"/>
      <c r="B1417" s="167"/>
    </row>
    <row r="1418" spans="1:2" x14ac:dyDescent="0.25">
      <c r="A1418" s="167"/>
      <c r="B1418" s="167"/>
    </row>
    <row r="1419" spans="1:2" x14ac:dyDescent="0.25">
      <c r="A1419" s="167"/>
      <c r="B1419" s="167"/>
    </row>
    <row r="1420" spans="1:2" x14ac:dyDescent="0.25">
      <c r="A1420" s="167"/>
      <c r="B1420" s="167"/>
    </row>
    <row r="1421" spans="1:2" x14ac:dyDescent="0.25">
      <c r="A1421" s="167"/>
      <c r="B1421" s="167"/>
    </row>
    <row r="1422" spans="1:2" x14ac:dyDescent="0.25">
      <c r="A1422" s="167"/>
      <c r="B1422" s="167"/>
    </row>
    <row r="1423" spans="1:2" x14ac:dyDescent="0.25">
      <c r="A1423" s="167"/>
      <c r="B1423" s="167"/>
    </row>
    <row r="1424" spans="1:2" x14ac:dyDescent="0.25">
      <c r="A1424" s="167"/>
      <c r="B1424" s="167"/>
    </row>
    <row r="1425" spans="1:2" x14ac:dyDescent="0.25">
      <c r="A1425" s="167"/>
      <c r="B1425" s="167"/>
    </row>
    <row r="1426" spans="1:2" x14ac:dyDescent="0.25">
      <c r="A1426" s="167"/>
      <c r="B1426" s="167"/>
    </row>
    <row r="1427" spans="1:2" x14ac:dyDescent="0.25">
      <c r="A1427" s="167"/>
      <c r="B1427" s="167"/>
    </row>
    <row r="1428" spans="1:2" x14ac:dyDescent="0.25">
      <c r="A1428" s="167"/>
      <c r="B1428" s="167"/>
    </row>
    <row r="1429" spans="1:2" x14ac:dyDescent="0.25">
      <c r="A1429" s="167"/>
      <c r="B1429" s="167"/>
    </row>
    <row r="1430" spans="1:2" x14ac:dyDescent="0.25">
      <c r="A1430" s="167"/>
      <c r="B1430" s="167"/>
    </row>
    <row r="1431" spans="1:2" x14ac:dyDescent="0.25">
      <c r="A1431" s="167"/>
      <c r="B1431" s="167"/>
    </row>
    <row r="1432" spans="1:2" x14ac:dyDescent="0.25">
      <c r="A1432" s="167"/>
      <c r="B1432" s="167"/>
    </row>
    <row r="1433" spans="1:2" x14ac:dyDescent="0.25">
      <c r="A1433" s="167"/>
      <c r="B1433" s="167"/>
    </row>
    <row r="1434" spans="1:2" x14ac:dyDescent="0.25">
      <c r="A1434" s="167"/>
      <c r="B1434" s="167"/>
    </row>
    <row r="1435" spans="1:2" x14ac:dyDescent="0.25">
      <c r="A1435" s="167"/>
      <c r="B1435" s="167"/>
    </row>
    <row r="1436" spans="1:2" x14ac:dyDescent="0.25">
      <c r="A1436" s="167"/>
      <c r="B1436" s="167"/>
    </row>
    <row r="1437" spans="1:2" x14ac:dyDescent="0.25">
      <c r="A1437" s="167"/>
      <c r="B1437" s="167"/>
    </row>
    <row r="1438" spans="1:2" x14ac:dyDescent="0.25">
      <c r="A1438" s="167"/>
      <c r="B1438" s="167"/>
    </row>
    <row r="1439" spans="1:2" x14ac:dyDescent="0.25">
      <c r="A1439" s="167"/>
      <c r="B1439" s="167"/>
    </row>
    <row r="1440" spans="1:2" x14ac:dyDescent="0.25">
      <c r="A1440" s="167"/>
      <c r="B1440" s="167"/>
    </row>
    <row r="1441" spans="1:2" x14ac:dyDescent="0.25">
      <c r="A1441" s="167"/>
      <c r="B1441" s="167"/>
    </row>
    <row r="1442" spans="1:2" x14ac:dyDescent="0.25">
      <c r="A1442" s="167"/>
      <c r="B1442" s="167"/>
    </row>
    <row r="1443" spans="1:2" x14ac:dyDescent="0.25">
      <c r="A1443" s="167"/>
      <c r="B1443" s="167"/>
    </row>
    <row r="1444" spans="1:2" x14ac:dyDescent="0.25">
      <c r="A1444" s="167"/>
      <c r="B1444" s="167"/>
    </row>
    <row r="1445" spans="1:2" x14ac:dyDescent="0.25">
      <c r="A1445" s="167"/>
      <c r="B1445" s="167"/>
    </row>
    <row r="1446" spans="1:2" x14ac:dyDescent="0.25">
      <c r="A1446" s="167"/>
      <c r="B1446" s="167"/>
    </row>
    <row r="1447" spans="1:2" x14ac:dyDescent="0.25">
      <c r="A1447" s="167"/>
      <c r="B1447" s="167"/>
    </row>
    <row r="1448" spans="1:2" x14ac:dyDescent="0.25">
      <c r="A1448" s="167"/>
      <c r="B1448" s="167"/>
    </row>
    <row r="1449" spans="1:2" x14ac:dyDescent="0.25">
      <c r="A1449" s="167"/>
      <c r="B1449" s="167"/>
    </row>
    <row r="1450" spans="1:2" x14ac:dyDescent="0.25">
      <c r="A1450" s="167"/>
      <c r="B1450" s="167"/>
    </row>
    <row r="1451" spans="1:2" x14ac:dyDescent="0.25">
      <c r="A1451" s="167"/>
      <c r="B1451" s="167"/>
    </row>
    <row r="1452" spans="1:2" x14ac:dyDescent="0.25">
      <c r="A1452" s="167"/>
      <c r="B1452" s="167"/>
    </row>
    <row r="1453" spans="1:2" x14ac:dyDescent="0.25">
      <c r="A1453" s="167"/>
      <c r="B1453" s="167"/>
    </row>
    <row r="1454" spans="1:2" x14ac:dyDescent="0.25">
      <c r="A1454" s="167"/>
      <c r="B1454" s="167"/>
    </row>
    <row r="1455" spans="1:2" x14ac:dyDescent="0.25">
      <c r="A1455" s="167"/>
      <c r="B1455" s="167"/>
    </row>
    <row r="1456" spans="1:2" x14ac:dyDescent="0.25">
      <c r="A1456" s="167"/>
      <c r="B1456" s="167"/>
    </row>
    <row r="1457" spans="1:2" x14ac:dyDescent="0.25">
      <c r="A1457" s="167"/>
      <c r="B1457" s="167"/>
    </row>
    <row r="1458" spans="1:2" x14ac:dyDescent="0.25">
      <c r="A1458" s="167"/>
      <c r="B1458" s="167"/>
    </row>
    <row r="1459" spans="1:2" x14ac:dyDescent="0.25">
      <c r="A1459" s="167"/>
      <c r="B1459" s="167"/>
    </row>
    <row r="1460" spans="1:2" x14ac:dyDescent="0.25">
      <c r="A1460" s="167"/>
      <c r="B1460" s="167"/>
    </row>
    <row r="1461" spans="1:2" x14ac:dyDescent="0.25">
      <c r="A1461" s="167"/>
      <c r="B1461" s="167"/>
    </row>
    <row r="1462" spans="1:2" x14ac:dyDescent="0.25">
      <c r="A1462" s="167"/>
      <c r="B1462" s="167"/>
    </row>
    <row r="1463" spans="1:2" x14ac:dyDescent="0.25">
      <c r="A1463" s="167"/>
      <c r="B1463" s="167"/>
    </row>
    <row r="1464" spans="1:2" x14ac:dyDescent="0.25">
      <c r="A1464" s="167"/>
      <c r="B1464" s="167"/>
    </row>
    <row r="1465" spans="1:2" x14ac:dyDescent="0.25">
      <c r="A1465" s="167"/>
      <c r="B1465" s="167"/>
    </row>
    <row r="1466" spans="1:2" x14ac:dyDescent="0.25">
      <c r="A1466" s="167"/>
      <c r="B1466" s="167"/>
    </row>
    <row r="1467" spans="1:2" x14ac:dyDescent="0.25">
      <c r="A1467" s="167"/>
      <c r="B1467" s="167"/>
    </row>
    <row r="1468" spans="1:2" x14ac:dyDescent="0.25">
      <c r="A1468" s="167"/>
      <c r="B1468" s="167"/>
    </row>
    <row r="1469" spans="1:2" x14ac:dyDescent="0.25">
      <c r="A1469" s="167"/>
      <c r="B1469" s="167"/>
    </row>
    <row r="1470" spans="1:2" x14ac:dyDescent="0.25">
      <c r="A1470" s="167"/>
      <c r="B1470" s="167"/>
    </row>
    <row r="1471" spans="1:2" x14ac:dyDescent="0.25">
      <c r="A1471" s="167"/>
      <c r="B1471" s="167"/>
    </row>
    <row r="1472" spans="1:2" x14ac:dyDescent="0.25">
      <c r="A1472" s="167"/>
      <c r="B1472" s="167"/>
    </row>
    <row r="1473" spans="1:2" x14ac:dyDescent="0.25">
      <c r="A1473" s="167"/>
      <c r="B1473" s="167"/>
    </row>
    <row r="1474" spans="1:2" x14ac:dyDescent="0.25">
      <c r="A1474" s="167"/>
      <c r="B1474" s="167"/>
    </row>
    <row r="1475" spans="1:2" x14ac:dyDescent="0.25">
      <c r="A1475" s="167"/>
      <c r="B1475" s="167"/>
    </row>
    <row r="1476" spans="1:2" x14ac:dyDescent="0.25">
      <c r="A1476" s="167"/>
      <c r="B1476" s="167"/>
    </row>
    <row r="1477" spans="1:2" x14ac:dyDescent="0.25">
      <c r="A1477" s="167"/>
      <c r="B1477" s="167"/>
    </row>
    <row r="1478" spans="1:2" x14ac:dyDescent="0.25">
      <c r="A1478" s="167"/>
      <c r="B1478" s="167"/>
    </row>
    <row r="1479" spans="1:2" x14ac:dyDescent="0.25">
      <c r="A1479" s="167"/>
      <c r="B1479" s="167"/>
    </row>
    <row r="1480" spans="1:2" x14ac:dyDescent="0.25">
      <c r="A1480" s="167"/>
      <c r="B1480" s="167"/>
    </row>
    <row r="1481" spans="1:2" x14ac:dyDescent="0.25">
      <c r="A1481" s="167"/>
      <c r="B1481" s="167"/>
    </row>
    <row r="1482" spans="1:2" x14ac:dyDescent="0.25">
      <c r="A1482" s="167"/>
      <c r="B1482" s="167"/>
    </row>
    <row r="1483" spans="1:2" x14ac:dyDescent="0.25">
      <c r="A1483" s="167"/>
      <c r="B1483" s="167"/>
    </row>
    <row r="1484" spans="1:2" x14ac:dyDescent="0.25">
      <c r="A1484" s="167"/>
      <c r="B1484" s="167"/>
    </row>
    <row r="1485" spans="1:2" x14ac:dyDescent="0.25">
      <c r="A1485" s="167"/>
      <c r="B1485" s="167"/>
    </row>
    <row r="1486" spans="1:2" x14ac:dyDescent="0.25">
      <c r="A1486" s="167"/>
      <c r="B1486" s="167"/>
    </row>
    <row r="1487" spans="1:2" x14ac:dyDescent="0.25">
      <c r="A1487" s="167"/>
      <c r="B1487" s="167"/>
    </row>
    <row r="1488" spans="1:2" x14ac:dyDescent="0.25">
      <c r="A1488" s="167"/>
      <c r="B1488" s="167"/>
    </row>
    <row r="1489" spans="1:2" x14ac:dyDescent="0.25">
      <c r="A1489" s="167"/>
      <c r="B1489" s="167"/>
    </row>
    <row r="1490" spans="1:2" x14ac:dyDescent="0.25">
      <c r="A1490" s="167"/>
      <c r="B1490" s="167"/>
    </row>
    <row r="1491" spans="1:2" x14ac:dyDescent="0.25">
      <c r="A1491" s="167"/>
      <c r="B1491" s="167"/>
    </row>
    <row r="1492" spans="1:2" x14ac:dyDescent="0.25">
      <c r="A1492" s="167"/>
      <c r="B1492" s="167"/>
    </row>
    <row r="1493" spans="1:2" x14ac:dyDescent="0.25">
      <c r="A1493" s="167"/>
      <c r="B1493" s="167"/>
    </row>
    <row r="1494" spans="1:2" x14ac:dyDescent="0.25">
      <c r="A1494" s="167"/>
      <c r="B1494" s="167"/>
    </row>
    <row r="1495" spans="1:2" x14ac:dyDescent="0.25">
      <c r="A1495" s="167"/>
      <c r="B1495" s="167"/>
    </row>
    <row r="1496" spans="1:2" x14ac:dyDescent="0.25">
      <c r="A1496" s="167"/>
      <c r="B1496" s="167"/>
    </row>
    <row r="1497" spans="1:2" x14ac:dyDescent="0.25">
      <c r="A1497" s="167"/>
      <c r="B1497" s="167"/>
    </row>
    <row r="1498" spans="1:2" x14ac:dyDescent="0.25">
      <c r="A1498" s="167"/>
      <c r="B1498" s="167"/>
    </row>
    <row r="1499" spans="1:2" x14ac:dyDescent="0.25">
      <c r="A1499" s="167"/>
      <c r="B1499" s="167"/>
    </row>
    <row r="1500" spans="1:2" x14ac:dyDescent="0.25">
      <c r="A1500" s="167"/>
      <c r="B1500" s="167"/>
    </row>
    <row r="1501" spans="1:2" x14ac:dyDescent="0.25">
      <c r="A1501" s="167"/>
      <c r="B1501" s="167"/>
    </row>
    <row r="1502" spans="1:2" x14ac:dyDescent="0.25">
      <c r="A1502" s="167"/>
      <c r="B1502" s="167"/>
    </row>
    <row r="1503" spans="1:2" x14ac:dyDescent="0.25">
      <c r="A1503" s="167"/>
      <c r="B1503" s="167"/>
    </row>
    <row r="1504" spans="1:2" x14ac:dyDescent="0.25">
      <c r="A1504" s="167"/>
      <c r="B1504" s="167"/>
    </row>
    <row r="1505" spans="1:2" x14ac:dyDescent="0.25">
      <c r="A1505" s="167"/>
      <c r="B1505" s="167"/>
    </row>
    <row r="1506" spans="1:2" x14ac:dyDescent="0.25">
      <c r="A1506" s="167"/>
      <c r="B1506" s="167"/>
    </row>
    <row r="1507" spans="1:2" x14ac:dyDescent="0.25">
      <c r="A1507" s="167"/>
      <c r="B1507" s="167"/>
    </row>
    <row r="1508" spans="1:2" x14ac:dyDescent="0.25">
      <c r="A1508" s="167"/>
      <c r="B1508" s="167"/>
    </row>
    <row r="1509" spans="1:2" x14ac:dyDescent="0.25">
      <c r="A1509" s="167"/>
      <c r="B1509" s="167"/>
    </row>
    <row r="1510" spans="1:2" x14ac:dyDescent="0.25">
      <c r="A1510" s="167"/>
      <c r="B1510" s="167"/>
    </row>
    <row r="1511" spans="1:2" x14ac:dyDescent="0.25">
      <c r="A1511" s="167"/>
      <c r="B1511" s="167"/>
    </row>
    <row r="1512" spans="1:2" x14ac:dyDescent="0.25">
      <c r="A1512" s="167"/>
      <c r="B1512" s="167"/>
    </row>
    <row r="1513" spans="1:2" x14ac:dyDescent="0.25">
      <c r="A1513" s="167"/>
      <c r="B1513" s="167"/>
    </row>
    <row r="1514" spans="1:2" x14ac:dyDescent="0.25">
      <c r="A1514" s="167"/>
      <c r="B1514" s="167"/>
    </row>
    <row r="1515" spans="1:2" x14ac:dyDescent="0.25">
      <c r="A1515" s="167"/>
      <c r="B1515" s="167"/>
    </row>
    <row r="1516" spans="1:2" x14ac:dyDescent="0.25">
      <c r="A1516" s="167"/>
      <c r="B1516" s="167"/>
    </row>
    <row r="1517" spans="1:2" x14ac:dyDescent="0.25">
      <c r="A1517" s="167"/>
      <c r="B1517" s="167"/>
    </row>
    <row r="1518" spans="1:2" x14ac:dyDescent="0.25">
      <c r="A1518" s="167"/>
      <c r="B1518" s="167"/>
    </row>
    <row r="1519" spans="1:2" x14ac:dyDescent="0.25">
      <c r="A1519" s="167"/>
      <c r="B1519" s="167"/>
    </row>
    <row r="1520" spans="1:2" x14ac:dyDescent="0.25">
      <c r="A1520" s="167"/>
      <c r="B1520" s="167"/>
    </row>
    <row r="1521" spans="1:2" x14ac:dyDescent="0.25">
      <c r="A1521" s="167"/>
      <c r="B1521" s="167"/>
    </row>
    <row r="1522" spans="1:2" x14ac:dyDescent="0.25">
      <c r="A1522" s="167"/>
      <c r="B1522" s="167"/>
    </row>
    <row r="1523" spans="1:2" x14ac:dyDescent="0.25">
      <c r="A1523" s="167"/>
      <c r="B1523" s="167"/>
    </row>
    <row r="1524" spans="1:2" x14ac:dyDescent="0.25">
      <c r="A1524" s="167"/>
      <c r="B1524" s="167"/>
    </row>
    <row r="1525" spans="1:2" x14ac:dyDescent="0.25">
      <c r="A1525" s="167"/>
      <c r="B1525" s="167"/>
    </row>
    <row r="1526" spans="1:2" x14ac:dyDescent="0.25">
      <c r="A1526" s="167"/>
      <c r="B1526" s="167"/>
    </row>
    <row r="1527" spans="1:2" x14ac:dyDescent="0.25">
      <c r="A1527" s="167"/>
      <c r="B1527" s="167"/>
    </row>
    <row r="1528" spans="1:2" x14ac:dyDescent="0.25">
      <c r="A1528" s="167"/>
      <c r="B1528" s="167"/>
    </row>
    <row r="1529" spans="1:2" x14ac:dyDescent="0.25">
      <c r="A1529" s="167"/>
      <c r="B1529" s="167"/>
    </row>
    <row r="1530" spans="1:2" x14ac:dyDescent="0.25">
      <c r="A1530" s="167"/>
      <c r="B1530" s="167"/>
    </row>
    <row r="1531" spans="1:2" x14ac:dyDescent="0.25">
      <c r="A1531" s="167"/>
      <c r="B1531" s="167"/>
    </row>
    <row r="1532" spans="1:2" x14ac:dyDescent="0.25">
      <c r="A1532" s="167"/>
      <c r="B1532" s="167"/>
    </row>
    <row r="1533" spans="1:2" x14ac:dyDescent="0.25">
      <c r="A1533" s="167"/>
      <c r="B1533" s="167"/>
    </row>
    <row r="1534" spans="1:2" x14ac:dyDescent="0.25">
      <c r="A1534" s="167"/>
      <c r="B1534" s="167"/>
    </row>
    <row r="1535" spans="1:2" x14ac:dyDescent="0.25">
      <c r="A1535" s="167"/>
      <c r="B1535" s="167"/>
    </row>
    <row r="1536" spans="1:2" x14ac:dyDescent="0.25">
      <c r="A1536" s="167"/>
      <c r="B1536" s="167"/>
    </row>
    <row r="1537" spans="1:2" x14ac:dyDescent="0.25">
      <c r="A1537" s="167"/>
      <c r="B1537" s="167"/>
    </row>
    <row r="1538" spans="1:2" x14ac:dyDescent="0.25">
      <c r="A1538" s="167"/>
      <c r="B1538" s="167"/>
    </row>
    <row r="1539" spans="1:2" x14ac:dyDescent="0.25">
      <c r="A1539" s="167"/>
      <c r="B1539" s="167"/>
    </row>
    <row r="1540" spans="1:2" x14ac:dyDescent="0.25">
      <c r="A1540" s="167"/>
      <c r="B1540" s="167"/>
    </row>
    <row r="1541" spans="1:2" x14ac:dyDescent="0.25">
      <c r="A1541" s="167"/>
      <c r="B1541" s="167"/>
    </row>
    <row r="1542" spans="1:2" x14ac:dyDescent="0.25">
      <c r="A1542" s="167"/>
      <c r="B1542" s="167"/>
    </row>
    <row r="1543" spans="1:2" x14ac:dyDescent="0.25">
      <c r="A1543" s="167"/>
      <c r="B1543" s="167"/>
    </row>
    <row r="1544" spans="1:2" x14ac:dyDescent="0.25">
      <c r="A1544" s="167"/>
      <c r="B1544" s="167"/>
    </row>
    <row r="1545" spans="1:2" x14ac:dyDescent="0.25">
      <c r="A1545" s="167"/>
      <c r="B1545" s="167"/>
    </row>
    <row r="1546" spans="1:2" x14ac:dyDescent="0.25">
      <c r="A1546" s="167"/>
      <c r="B1546" s="167"/>
    </row>
    <row r="1547" spans="1:2" x14ac:dyDescent="0.25">
      <c r="A1547" s="167"/>
      <c r="B1547" s="167"/>
    </row>
    <row r="1548" spans="1:2" x14ac:dyDescent="0.25">
      <c r="A1548" s="167"/>
      <c r="B1548" s="167"/>
    </row>
    <row r="1549" spans="1:2" x14ac:dyDescent="0.25">
      <c r="A1549" s="167"/>
      <c r="B1549" s="167"/>
    </row>
    <row r="1550" spans="1:2" x14ac:dyDescent="0.25">
      <c r="A1550" s="167"/>
      <c r="B1550" s="167"/>
    </row>
    <row r="1551" spans="1:2" x14ac:dyDescent="0.25">
      <c r="A1551" s="167"/>
      <c r="B1551" s="167"/>
    </row>
    <row r="1552" spans="1:2" x14ac:dyDescent="0.25">
      <c r="A1552" s="167"/>
      <c r="B1552" s="167"/>
    </row>
    <row r="1553" spans="1:2" x14ac:dyDescent="0.25">
      <c r="A1553" s="167"/>
      <c r="B1553" s="167"/>
    </row>
    <row r="1554" spans="1:2" x14ac:dyDescent="0.25">
      <c r="A1554" s="167"/>
      <c r="B1554" s="167"/>
    </row>
    <row r="1555" spans="1:2" x14ac:dyDescent="0.25">
      <c r="A1555" s="167"/>
      <c r="B1555" s="167"/>
    </row>
    <row r="1556" spans="1:2" x14ac:dyDescent="0.25">
      <c r="A1556" s="167"/>
      <c r="B1556" s="167"/>
    </row>
    <row r="1557" spans="1:2" x14ac:dyDescent="0.25">
      <c r="A1557" s="167"/>
      <c r="B1557" s="167"/>
    </row>
    <row r="1558" spans="1:2" x14ac:dyDescent="0.25">
      <c r="A1558" s="167"/>
      <c r="B1558" s="167"/>
    </row>
    <row r="1559" spans="1:2" x14ac:dyDescent="0.25">
      <c r="A1559" s="167"/>
      <c r="B1559" s="167"/>
    </row>
    <row r="1560" spans="1:2" x14ac:dyDescent="0.25">
      <c r="A1560" s="167"/>
      <c r="B1560" s="167"/>
    </row>
    <row r="1561" spans="1:2" x14ac:dyDescent="0.25">
      <c r="A1561" s="167"/>
      <c r="B1561" s="167"/>
    </row>
    <row r="1562" spans="1:2" x14ac:dyDescent="0.25">
      <c r="A1562" s="167"/>
      <c r="B1562" s="167"/>
    </row>
    <row r="1563" spans="1:2" x14ac:dyDescent="0.25">
      <c r="A1563" s="167"/>
      <c r="B1563" s="167"/>
    </row>
    <row r="1564" spans="1:2" x14ac:dyDescent="0.25">
      <c r="A1564" s="167"/>
      <c r="B1564" s="167"/>
    </row>
    <row r="1565" spans="1:2" x14ac:dyDescent="0.25">
      <c r="A1565" s="167"/>
      <c r="B1565" s="167"/>
    </row>
    <row r="1566" spans="1:2" x14ac:dyDescent="0.25">
      <c r="A1566" s="167"/>
      <c r="B1566" s="167"/>
    </row>
    <row r="1567" spans="1:2" x14ac:dyDescent="0.25">
      <c r="A1567" s="167"/>
      <c r="B1567" s="167"/>
    </row>
    <row r="1568" spans="1:2" x14ac:dyDescent="0.25">
      <c r="A1568" s="167"/>
      <c r="B1568" s="167"/>
    </row>
    <row r="1569" spans="1:2" x14ac:dyDescent="0.25">
      <c r="A1569" s="167"/>
      <c r="B1569" s="167"/>
    </row>
    <row r="1570" spans="1:2" x14ac:dyDescent="0.25">
      <c r="A1570" s="167"/>
      <c r="B1570" s="167"/>
    </row>
    <row r="1571" spans="1:2" x14ac:dyDescent="0.25">
      <c r="A1571" s="167"/>
      <c r="B1571" s="167"/>
    </row>
    <row r="1572" spans="1:2" x14ac:dyDescent="0.25">
      <c r="A1572" s="167"/>
      <c r="B1572" s="167"/>
    </row>
    <row r="1573" spans="1:2" x14ac:dyDescent="0.25">
      <c r="A1573" s="167"/>
      <c r="B1573" s="167"/>
    </row>
    <row r="1574" spans="1:2" x14ac:dyDescent="0.25">
      <c r="A1574" s="167"/>
      <c r="B1574" s="167"/>
    </row>
    <row r="1575" spans="1:2" x14ac:dyDescent="0.25">
      <c r="A1575" s="167"/>
      <c r="B1575" s="167"/>
    </row>
    <row r="1576" spans="1:2" x14ac:dyDescent="0.25">
      <c r="A1576" s="167"/>
      <c r="B1576" s="167"/>
    </row>
    <row r="1577" spans="1:2" x14ac:dyDescent="0.25">
      <c r="A1577" s="167"/>
      <c r="B1577" s="167"/>
    </row>
    <row r="1578" spans="1:2" x14ac:dyDescent="0.25">
      <c r="A1578" s="167"/>
      <c r="B1578" s="167"/>
    </row>
    <row r="1579" spans="1:2" x14ac:dyDescent="0.25">
      <c r="A1579" s="167"/>
      <c r="B1579" s="167"/>
    </row>
    <row r="1580" spans="1:2" x14ac:dyDescent="0.25">
      <c r="A1580" s="167"/>
      <c r="B1580" s="167"/>
    </row>
    <row r="1581" spans="1:2" x14ac:dyDescent="0.25">
      <c r="A1581" s="167"/>
      <c r="B1581" s="167"/>
    </row>
    <row r="1582" spans="1:2" x14ac:dyDescent="0.25">
      <c r="A1582" s="167"/>
      <c r="B1582" s="167"/>
    </row>
    <row r="1583" spans="1:2" x14ac:dyDescent="0.25">
      <c r="A1583" s="167"/>
      <c r="B1583" s="167"/>
    </row>
    <row r="1584" spans="1:2" x14ac:dyDescent="0.25">
      <c r="A1584" s="167"/>
      <c r="B1584" s="167"/>
    </row>
    <row r="1585" spans="1:2" x14ac:dyDescent="0.25">
      <c r="A1585" s="167"/>
      <c r="B1585" s="167"/>
    </row>
    <row r="1586" spans="1:2" x14ac:dyDescent="0.25">
      <c r="A1586" s="167"/>
      <c r="B1586" s="167"/>
    </row>
    <row r="1587" spans="1:2" x14ac:dyDescent="0.25">
      <c r="A1587" s="167"/>
      <c r="B1587" s="167"/>
    </row>
    <row r="1588" spans="1:2" x14ac:dyDescent="0.25">
      <c r="A1588" s="167"/>
      <c r="B1588" s="167"/>
    </row>
    <row r="1589" spans="1:2" x14ac:dyDescent="0.25">
      <c r="A1589" s="167"/>
      <c r="B1589" s="167"/>
    </row>
    <row r="1590" spans="1:2" x14ac:dyDescent="0.25">
      <c r="A1590" s="167"/>
      <c r="B1590" s="167"/>
    </row>
    <row r="1591" spans="1:2" x14ac:dyDescent="0.25">
      <c r="A1591" s="167"/>
      <c r="B1591" s="167"/>
    </row>
    <row r="1592" spans="1:2" x14ac:dyDescent="0.25">
      <c r="A1592" s="167"/>
      <c r="B1592" s="167"/>
    </row>
    <row r="1593" spans="1:2" x14ac:dyDescent="0.25">
      <c r="A1593" s="167"/>
      <c r="B1593" s="167"/>
    </row>
    <row r="1594" spans="1:2" x14ac:dyDescent="0.25">
      <c r="A1594" s="167"/>
      <c r="B1594" s="167"/>
    </row>
    <row r="1595" spans="1:2" x14ac:dyDescent="0.25">
      <c r="A1595" s="167"/>
      <c r="B1595" s="167"/>
    </row>
    <row r="1596" spans="1:2" x14ac:dyDescent="0.25">
      <c r="A1596" s="167"/>
      <c r="B1596" s="167"/>
    </row>
    <row r="1597" spans="1:2" x14ac:dyDescent="0.25">
      <c r="A1597" s="167"/>
      <c r="B1597" s="167"/>
    </row>
    <row r="1598" spans="1:2" x14ac:dyDescent="0.25">
      <c r="A1598" s="167"/>
      <c r="B1598" s="167"/>
    </row>
    <row r="1599" spans="1:2" x14ac:dyDescent="0.25">
      <c r="A1599" s="167"/>
      <c r="B1599" s="167"/>
    </row>
    <row r="1600" spans="1:2" x14ac:dyDescent="0.25">
      <c r="A1600" s="167"/>
      <c r="B1600" s="167"/>
    </row>
    <row r="1601" spans="1:2" x14ac:dyDescent="0.25">
      <c r="A1601" s="167"/>
      <c r="B1601" s="167"/>
    </row>
    <row r="1602" spans="1:2" x14ac:dyDescent="0.25">
      <c r="A1602" s="167"/>
      <c r="B1602" s="167"/>
    </row>
    <row r="1603" spans="1:2" x14ac:dyDescent="0.25">
      <c r="A1603" s="167"/>
      <c r="B1603" s="167"/>
    </row>
    <row r="1604" spans="1:2" x14ac:dyDescent="0.25">
      <c r="A1604" s="167"/>
      <c r="B1604" s="167"/>
    </row>
    <row r="1605" spans="1:2" x14ac:dyDescent="0.25">
      <c r="A1605" s="167"/>
      <c r="B1605" s="167"/>
    </row>
    <row r="1606" spans="1:2" x14ac:dyDescent="0.25">
      <c r="A1606" s="167"/>
      <c r="B1606" s="167"/>
    </row>
    <row r="1607" spans="1:2" x14ac:dyDescent="0.25">
      <c r="A1607" s="167"/>
      <c r="B1607" s="167"/>
    </row>
    <row r="1608" spans="1:2" x14ac:dyDescent="0.25">
      <c r="A1608" s="167"/>
      <c r="B1608" s="167"/>
    </row>
    <row r="1609" spans="1:2" x14ac:dyDescent="0.25">
      <c r="A1609" s="167"/>
      <c r="B1609" s="167"/>
    </row>
    <row r="1610" spans="1:2" x14ac:dyDescent="0.25">
      <c r="A1610" s="167"/>
      <c r="B1610" s="167"/>
    </row>
    <row r="1611" spans="1:2" x14ac:dyDescent="0.25">
      <c r="A1611" s="167"/>
      <c r="B1611" s="167"/>
    </row>
    <row r="1612" spans="1:2" x14ac:dyDescent="0.25">
      <c r="A1612" s="167"/>
      <c r="B1612" s="167"/>
    </row>
    <row r="1613" spans="1:2" x14ac:dyDescent="0.25">
      <c r="A1613" s="167"/>
      <c r="B1613" s="167"/>
    </row>
    <row r="1614" spans="1:2" x14ac:dyDescent="0.25">
      <c r="A1614" s="167"/>
      <c r="B1614" s="167"/>
    </row>
    <row r="1615" spans="1:2" x14ac:dyDescent="0.25">
      <c r="A1615" s="167"/>
      <c r="B1615" s="167"/>
    </row>
    <row r="1616" spans="1:2" x14ac:dyDescent="0.25">
      <c r="A1616" s="167"/>
      <c r="B1616" s="167"/>
    </row>
    <row r="1617" spans="1:2" x14ac:dyDescent="0.25">
      <c r="A1617" s="167"/>
      <c r="B1617" s="167"/>
    </row>
    <row r="1618" spans="1:2" x14ac:dyDescent="0.25">
      <c r="A1618" s="167"/>
      <c r="B1618" s="167"/>
    </row>
    <row r="1619" spans="1:2" x14ac:dyDescent="0.25">
      <c r="A1619" s="167"/>
      <c r="B1619" s="167"/>
    </row>
    <row r="1620" spans="1:2" x14ac:dyDescent="0.25">
      <c r="A1620" s="167"/>
      <c r="B1620" s="167"/>
    </row>
    <row r="1621" spans="1:2" x14ac:dyDescent="0.25">
      <c r="A1621" s="167"/>
      <c r="B1621" s="167"/>
    </row>
    <row r="1622" spans="1:2" x14ac:dyDescent="0.25">
      <c r="A1622" s="167"/>
      <c r="B1622" s="167"/>
    </row>
    <row r="1623" spans="1:2" x14ac:dyDescent="0.25">
      <c r="A1623" s="167"/>
      <c r="B1623" s="167"/>
    </row>
    <row r="1624" spans="1:2" x14ac:dyDescent="0.25">
      <c r="A1624" s="167"/>
      <c r="B1624" s="167"/>
    </row>
    <row r="1625" spans="1:2" x14ac:dyDescent="0.25">
      <c r="A1625" s="167"/>
      <c r="B1625" s="167"/>
    </row>
    <row r="1626" spans="1:2" x14ac:dyDescent="0.25">
      <c r="A1626" s="167"/>
      <c r="B1626" s="167"/>
    </row>
    <row r="1627" spans="1:2" x14ac:dyDescent="0.25">
      <c r="A1627" s="167"/>
      <c r="B1627" s="167"/>
    </row>
    <row r="1628" spans="1:2" x14ac:dyDescent="0.25">
      <c r="A1628" s="167"/>
      <c r="B1628" s="167"/>
    </row>
    <row r="1629" spans="1:2" x14ac:dyDescent="0.25">
      <c r="A1629" s="167"/>
      <c r="B1629" s="167"/>
    </row>
    <row r="1630" spans="1:2" x14ac:dyDescent="0.25">
      <c r="A1630" s="167"/>
      <c r="B1630" s="167"/>
    </row>
    <row r="1631" spans="1:2" x14ac:dyDescent="0.25">
      <c r="A1631" s="167"/>
      <c r="B1631" s="167"/>
    </row>
    <row r="1632" spans="1:2" x14ac:dyDescent="0.25">
      <c r="A1632" s="167"/>
      <c r="B1632" s="167"/>
    </row>
    <row r="1633" spans="1:2" x14ac:dyDescent="0.25">
      <c r="A1633" s="167"/>
      <c r="B1633" s="167"/>
    </row>
    <row r="1634" spans="1:2" x14ac:dyDescent="0.25">
      <c r="A1634" s="167"/>
      <c r="B1634" s="167"/>
    </row>
    <row r="1635" spans="1:2" x14ac:dyDescent="0.25">
      <c r="A1635" s="167"/>
      <c r="B1635" s="167"/>
    </row>
    <row r="1636" spans="1:2" x14ac:dyDescent="0.25">
      <c r="A1636" s="167"/>
      <c r="B1636" s="167"/>
    </row>
    <row r="1637" spans="1:2" x14ac:dyDescent="0.25">
      <c r="A1637" s="167"/>
      <c r="B1637" s="167"/>
    </row>
    <row r="1638" spans="1:2" x14ac:dyDescent="0.25">
      <c r="A1638" s="167"/>
      <c r="B1638" s="167"/>
    </row>
    <row r="1639" spans="1:2" x14ac:dyDescent="0.25">
      <c r="A1639" s="167"/>
      <c r="B1639" s="167"/>
    </row>
    <row r="1640" spans="1:2" x14ac:dyDescent="0.25">
      <c r="A1640" s="167"/>
      <c r="B1640" s="167"/>
    </row>
    <row r="1641" spans="1:2" x14ac:dyDescent="0.25">
      <c r="A1641" s="167"/>
      <c r="B1641" s="167"/>
    </row>
    <row r="1642" spans="1:2" x14ac:dyDescent="0.25">
      <c r="A1642" s="167"/>
      <c r="B1642" s="167"/>
    </row>
    <row r="1643" spans="1:2" x14ac:dyDescent="0.25">
      <c r="A1643" s="167"/>
      <c r="B1643" s="167"/>
    </row>
    <row r="1644" spans="1:2" x14ac:dyDescent="0.25">
      <c r="A1644" s="167"/>
      <c r="B1644" s="167"/>
    </row>
    <row r="1645" spans="1:2" x14ac:dyDescent="0.25">
      <c r="A1645" s="167"/>
      <c r="B1645" s="167"/>
    </row>
    <row r="1646" spans="1:2" x14ac:dyDescent="0.25">
      <c r="A1646" s="167"/>
      <c r="B1646" s="167"/>
    </row>
    <row r="1647" spans="1:2" x14ac:dyDescent="0.25">
      <c r="A1647" s="167"/>
      <c r="B1647" s="167"/>
    </row>
    <row r="1648" spans="1:2" x14ac:dyDescent="0.25">
      <c r="A1648" s="167"/>
      <c r="B1648" s="167"/>
    </row>
    <row r="1649" spans="1:2" x14ac:dyDescent="0.25">
      <c r="A1649" s="167"/>
      <c r="B1649" s="167"/>
    </row>
    <row r="1650" spans="1:2" x14ac:dyDescent="0.25">
      <c r="A1650" s="167"/>
      <c r="B1650" s="167"/>
    </row>
    <row r="1651" spans="1:2" x14ac:dyDescent="0.25">
      <c r="A1651" s="167"/>
      <c r="B1651" s="167"/>
    </row>
    <row r="1652" spans="1:2" x14ac:dyDescent="0.25">
      <c r="A1652" s="167"/>
      <c r="B1652" s="167"/>
    </row>
    <row r="1653" spans="1:2" x14ac:dyDescent="0.25">
      <c r="A1653" s="167"/>
      <c r="B1653" s="167"/>
    </row>
    <row r="1654" spans="1:2" x14ac:dyDescent="0.25">
      <c r="A1654" s="167"/>
      <c r="B1654" s="167"/>
    </row>
    <row r="1655" spans="1:2" x14ac:dyDescent="0.25">
      <c r="A1655" s="167"/>
      <c r="B1655" s="167"/>
    </row>
    <row r="1656" spans="1:2" x14ac:dyDescent="0.25">
      <c r="A1656" s="167"/>
      <c r="B1656" s="167"/>
    </row>
    <row r="1657" spans="1:2" x14ac:dyDescent="0.25">
      <c r="A1657" s="167"/>
      <c r="B1657" s="167"/>
    </row>
    <row r="1658" spans="1:2" x14ac:dyDescent="0.25">
      <c r="A1658" s="167"/>
      <c r="B1658" s="167"/>
    </row>
    <row r="1659" spans="1:2" x14ac:dyDescent="0.25">
      <c r="A1659" s="167"/>
      <c r="B1659" s="167"/>
    </row>
    <row r="1660" spans="1:2" x14ac:dyDescent="0.25">
      <c r="A1660" s="167"/>
      <c r="B1660" s="167"/>
    </row>
    <row r="1661" spans="1:2" x14ac:dyDescent="0.25">
      <c r="A1661" s="167"/>
      <c r="B1661" s="167"/>
    </row>
    <row r="1662" spans="1:2" x14ac:dyDescent="0.25">
      <c r="A1662" s="167"/>
      <c r="B1662" s="167"/>
    </row>
    <row r="1663" spans="1:2" x14ac:dyDescent="0.25">
      <c r="A1663" s="167"/>
      <c r="B1663" s="167"/>
    </row>
    <row r="1664" spans="1:2" x14ac:dyDescent="0.25">
      <c r="A1664" s="167"/>
      <c r="B1664" s="167"/>
    </row>
    <row r="1665" spans="1:2" x14ac:dyDescent="0.25">
      <c r="A1665" s="167"/>
      <c r="B1665" s="167"/>
    </row>
    <row r="1666" spans="1:2" x14ac:dyDescent="0.25">
      <c r="A1666" s="167"/>
      <c r="B1666" s="167"/>
    </row>
    <row r="1667" spans="1:2" x14ac:dyDescent="0.25">
      <c r="A1667" s="167"/>
      <c r="B1667" s="167"/>
    </row>
    <row r="1668" spans="1:2" x14ac:dyDescent="0.25">
      <c r="A1668" s="167"/>
      <c r="B1668" s="167"/>
    </row>
    <row r="1669" spans="1:2" x14ac:dyDescent="0.25">
      <c r="A1669" s="167"/>
      <c r="B1669" s="167"/>
    </row>
    <row r="1670" spans="1:2" x14ac:dyDescent="0.25">
      <c r="A1670" s="167"/>
      <c r="B1670" s="167"/>
    </row>
    <row r="1671" spans="1:2" x14ac:dyDescent="0.25">
      <c r="A1671" s="167"/>
      <c r="B1671" s="167"/>
    </row>
    <row r="1672" spans="1:2" x14ac:dyDescent="0.25">
      <c r="A1672" s="167"/>
      <c r="B1672" s="167"/>
    </row>
    <row r="1673" spans="1:2" x14ac:dyDescent="0.25">
      <c r="A1673" s="167"/>
      <c r="B1673" s="167"/>
    </row>
    <row r="1674" spans="1:2" x14ac:dyDescent="0.25">
      <c r="A1674" s="167"/>
      <c r="B1674" s="167"/>
    </row>
    <row r="1675" spans="1:2" x14ac:dyDescent="0.25">
      <c r="A1675" s="167"/>
      <c r="B1675" s="167"/>
    </row>
    <row r="1676" spans="1:2" x14ac:dyDescent="0.25">
      <c r="A1676" s="167"/>
      <c r="B1676" s="167"/>
    </row>
    <row r="1677" spans="1:2" x14ac:dyDescent="0.25">
      <c r="A1677" s="167"/>
      <c r="B1677" s="167"/>
    </row>
    <row r="1678" spans="1:2" x14ac:dyDescent="0.25">
      <c r="A1678" s="167"/>
      <c r="B1678" s="167"/>
    </row>
    <row r="1679" spans="1:2" x14ac:dyDescent="0.25">
      <c r="A1679" s="167"/>
      <c r="B1679" s="167"/>
    </row>
    <row r="1680" spans="1:2" x14ac:dyDescent="0.25">
      <c r="A1680" s="167"/>
      <c r="B1680" s="167"/>
    </row>
    <row r="1681" spans="1:2" x14ac:dyDescent="0.25">
      <c r="A1681" s="167"/>
      <c r="B1681" s="167"/>
    </row>
    <row r="1682" spans="1:2" x14ac:dyDescent="0.25">
      <c r="A1682" s="167"/>
      <c r="B1682" s="167"/>
    </row>
    <row r="1683" spans="1:2" x14ac:dyDescent="0.25">
      <c r="A1683" s="167"/>
      <c r="B1683" s="167"/>
    </row>
    <row r="1684" spans="1:2" x14ac:dyDescent="0.25">
      <c r="A1684" s="167"/>
      <c r="B1684" s="167"/>
    </row>
    <row r="1685" spans="1:2" x14ac:dyDescent="0.25">
      <c r="A1685" s="167"/>
      <c r="B1685" s="167"/>
    </row>
    <row r="1686" spans="1:2" x14ac:dyDescent="0.25">
      <c r="A1686" s="167"/>
      <c r="B1686" s="167"/>
    </row>
    <row r="1687" spans="1:2" x14ac:dyDescent="0.25">
      <c r="A1687" s="167"/>
      <c r="B1687" s="167"/>
    </row>
    <row r="1688" spans="1:2" x14ac:dyDescent="0.25">
      <c r="A1688" s="167"/>
      <c r="B1688" s="167"/>
    </row>
    <row r="1689" spans="1:2" x14ac:dyDescent="0.25">
      <c r="A1689" s="167"/>
      <c r="B1689" s="167"/>
    </row>
    <row r="1690" spans="1:2" x14ac:dyDescent="0.25">
      <c r="A1690" s="167"/>
      <c r="B1690" s="167"/>
    </row>
    <row r="1691" spans="1:2" x14ac:dyDescent="0.25">
      <c r="A1691" s="167"/>
      <c r="B1691" s="167"/>
    </row>
    <row r="1692" spans="1:2" x14ac:dyDescent="0.25">
      <c r="A1692" s="167"/>
      <c r="B1692" s="167"/>
    </row>
    <row r="1693" spans="1:2" x14ac:dyDescent="0.25">
      <c r="A1693" s="167"/>
      <c r="B1693" s="167"/>
    </row>
    <row r="1694" spans="1:2" x14ac:dyDescent="0.25">
      <c r="A1694" s="167"/>
      <c r="B1694" s="167"/>
    </row>
    <row r="1695" spans="1:2" x14ac:dyDescent="0.25">
      <c r="A1695" s="167"/>
      <c r="B1695" s="167"/>
    </row>
    <row r="1696" spans="1:2" x14ac:dyDescent="0.25">
      <c r="A1696" s="167"/>
      <c r="B1696" s="167"/>
    </row>
    <row r="1697" spans="1:2" x14ac:dyDescent="0.25">
      <c r="A1697" s="167"/>
      <c r="B1697" s="167"/>
    </row>
    <row r="1698" spans="1:2" x14ac:dyDescent="0.25">
      <c r="A1698" s="167"/>
      <c r="B1698" s="167"/>
    </row>
    <row r="1699" spans="1:2" x14ac:dyDescent="0.25">
      <c r="A1699" s="167"/>
      <c r="B1699" s="167"/>
    </row>
    <row r="1700" spans="1:2" x14ac:dyDescent="0.25">
      <c r="A1700" s="167"/>
      <c r="B1700" s="167"/>
    </row>
    <row r="1701" spans="1:2" x14ac:dyDescent="0.25">
      <c r="A1701" s="167"/>
      <c r="B1701" s="167"/>
    </row>
    <row r="1702" spans="1:2" x14ac:dyDescent="0.25">
      <c r="A1702" s="167"/>
      <c r="B1702" s="167"/>
    </row>
    <row r="1703" spans="1:2" x14ac:dyDescent="0.25">
      <c r="A1703" s="167"/>
      <c r="B1703" s="167"/>
    </row>
    <row r="1704" spans="1:2" x14ac:dyDescent="0.25">
      <c r="A1704" s="167"/>
      <c r="B1704" s="167"/>
    </row>
    <row r="1705" spans="1:2" x14ac:dyDescent="0.25">
      <c r="A1705" s="167"/>
      <c r="B1705" s="167"/>
    </row>
    <row r="1706" spans="1:2" x14ac:dyDescent="0.25">
      <c r="A1706" s="167"/>
      <c r="B1706" s="167"/>
    </row>
    <row r="1707" spans="1:2" x14ac:dyDescent="0.25">
      <c r="A1707" s="167"/>
      <c r="B1707" s="167"/>
    </row>
    <row r="1708" spans="1:2" x14ac:dyDescent="0.25">
      <c r="A1708" s="167"/>
      <c r="B1708" s="167"/>
    </row>
    <row r="1709" spans="1:2" x14ac:dyDescent="0.25">
      <c r="A1709" s="167"/>
      <c r="B1709" s="167"/>
    </row>
    <row r="1710" spans="1:2" x14ac:dyDescent="0.25">
      <c r="A1710" s="167"/>
      <c r="B1710" s="167"/>
    </row>
    <row r="1711" spans="1:2" x14ac:dyDescent="0.25">
      <c r="A1711" s="167"/>
      <c r="B1711" s="167"/>
    </row>
    <row r="1712" spans="1:2" x14ac:dyDescent="0.25">
      <c r="A1712" s="167"/>
      <c r="B1712" s="167"/>
    </row>
    <row r="1713" spans="1:2" x14ac:dyDescent="0.25">
      <c r="A1713" s="167"/>
      <c r="B1713" s="167"/>
    </row>
    <row r="1714" spans="1:2" x14ac:dyDescent="0.25">
      <c r="A1714" s="167"/>
      <c r="B1714" s="167"/>
    </row>
    <row r="1715" spans="1:2" x14ac:dyDescent="0.25">
      <c r="A1715" s="167"/>
      <c r="B1715" s="167"/>
    </row>
    <row r="1716" spans="1:2" x14ac:dyDescent="0.25">
      <c r="A1716" s="167"/>
      <c r="B1716" s="167"/>
    </row>
    <row r="1717" spans="1:2" x14ac:dyDescent="0.25">
      <c r="A1717" s="167"/>
      <c r="B1717" s="167"/>
    </row>
    <row r="1718" spans="1:2" x14ac:dyDescent="0.25">
      <c r="A1718" s="167"/>
      <c r="B1718" s="167"/>
    </row>
    <row r="1719" spans="1:2" x14ac:dyDescent="0.25">
      <c r="A1719" s="167"/>
      <c r="B1719" s="167"/>
    </row>
    <row r="1720" spans="1:2" x14ac:dyDescent="0.25">
      <c r="A1720" s="167"/>
      <c r="B1720" s="167"/>
    </row>
    <row r="1721" spans="1:2" x14ac:dyDescent="0.25">
      <c r="A1721" s="167"/>
      <c r="B1721" s="167"/>
    </row>
    <row r="1722" spans="1:2" x14ac:dyDescent="0.25">
      <c r="A1722" s="167"/>
      <c r="B1722" s="167"/>
    </row>
    <row r="1723" spans="1:2" x14ac:dyDescent="0.25">
      <c r="A1723" s="167"/>
      <c r="B1723" s="167"/>
    </row>
    <row r="1724" spans="1:2" x14ac:dyDescent="0.25">
      <c r="A1724" s="167"/>
      <c r="B1724" s="167"/>
    </row>
    <row r="1725" spans="1:2" x14ac:dyDescent="0.25">
      <c r="A1725" s="167"/>
      <c r="B1725" s="167"/>
    </row>
    <row r="1726" spans="1:2" x14ac:dyDescent="0.25">
      <c r="A1726" s="167"/>
      <c r="B1726" s="167"/>
    </row>
    <row r="1727" spans="1:2" x14ac:dyDescent="0.25">
      <c r="A1727" s="167"/>
      <c r="B1727" s="167"/>
    </row>
    <row r="1728" spans="1:2" x14ac:dyDescent="0.25">
      <c r="A1728" s="167"/>
      <c r="B1728" s="167"/>
    </row>
    <row r="1729" spans="1:2" x14ac:dyDescent="0.25">
      <c r="A1729" s="167"/>
      <c r="B1729" s="167"/>
    </row>
    <row r="1730" spans="1:2" x14ac:dyDescent="0.25">
      <c r="A1730" s="167"/>
      <c r="B1730" s="167"/>
    </row>
    <row r="1731" spans="1:2" x14ac:dyDescent="0.25">
      <c r="A1731" s="167"/>
      <c r="B1731" s="167"/>
    </row>
    <row r="1732" spans="1:2" x14ac:dyDescent="0.25">
      <c r="A1732" s="167"/>
      <c r="B1732" s="167"/>
    </row>
    <row r="1733" spans="1:2" x14ac:dyDescent="0.25">
      <c r="A1733" s="167"/>
      <c r="B1733" s="167"/>
    </row>
    <row r="1734" spans="1:2" x14ac:dyDescent="0.25">
      <c r="A1734" s="167"/>
      <c r="B1734" s="167"/>
    </row>
    <row r="1735" spans="1:2" x14ac:dyDescent="0.25">
      <c r="A1735" s="167"/>
      <c r="B1735" s="167"/>
    </row>
    <row r="1736" spans="1:2" x14ac:dyDescent="0.25">
      <c r="A1736" s="167"/>
      <c r="B1736" s="167"/>
    </row>
    <row r="1737" spans="1:2" x14ac:dyDescent="0.25">
      <c r="A1737" s="167"/>
      <c r="B1737" s="167"/>
    </row>
    <row r="1738" spans="1:2" x14ac:dyDescent="0.25">
      <c r="A1738" s="167"/>
      <c r="B1738" s="167"/>
    </row>
    <row r="1739" spans="1:2" x14ac:dyDescent="0.25">
      <c r="A1739" s="167"/>
      <c r="B1739" s="167"/>
    </row>
    <row r="1740" spans="1:2" x14ac:dyDescent="0.25">
      <c r="A1740" s="167"/>
      <c r="B1740" s="167"/>
    </row>
    <row r="1741" spans="1:2" x14ac:dyDescent="0.25">
      <c r="A1741" s="167"/>
      <c r="B1741" s="167"/>
    </row>
    <row r="1742" spans="1:2" x14ac:dyDescent="0.25">
      <c r="A1742" s="167"/>
      <c r="B1742" s="167"/>
    </row>
    <row r="1743" spans="1:2" x14ac:dyDescent="0.25">
      <c r="A1743" s="167"/>
      <c r="B1743" s="167"/>
    </row>
    <row r="1744" spans="1:2" x14ac:dyDescent="0.25">
      <c r="A1744" s="167"/>
      <c r="B1744" s="167"/>
    </row>
    <row r="1745" spans="1:2" x14ac:dyDescent="0.25">
      <c r="A1745" s="167"/>
      <c r="B1745" s="167"/>
    </row>
    <row r="1746" spans="1:2" x14ac:dyDescent="0.25">
      <c r="A1746" s="167"/>
      <c r="B1746" s="167"/>
    </row>
    <row r="1747" spans="1:2" x14ac:dyDescent="0.25">
      <c r="A1747" s="167"/>
      <c r="B1747" s="167"/>
    </row>
    <row r="1748" spans="1:2" x14ac:dyDescent="0.25">
      <c r="A1748" s="167"/>
      <c r="B1748" s="167"/>
    </row>
    <row r="1749" spans="1:2" x14ac:dyDescent="0.25">
      <c r="A1749" s="167"/>
      <c r="B1749" s="167"/>
    </row>
    <row r="1750" spans="1:2" x14ac:dyDescent="0.25">
      <c r="A1750" s="167"/>
      <c r="B1750" s="167"/>
    </row>
    <row r="1751" spans="1:2" x14ac:dyDescent="0.25">
      <c r="A1751" s="167"/>
      <c r="B1751" s="167"/>
    </row>
    <row r="1752" spans="1:2" x14ac:dyDescent="0.25">
      <c r="A1752" s="167"/>
      <c r="B1752" s="167"/>
    </row>
    <row r="1753" spans="1:2" x14ac:dyDescent="0.25">
      <c r="A1753" s="167"/>
      <c r="B1753" s="167"/>
    </row>
    <row r="1754" spans="1:2" x14ac:dyDescent="0.25">
      <c r="A1754" s="167"/>
      <c r="B1754" s="167"/>
    </row>
    <row r="1755" spans="1:2" x14ac:dyDescent="0.25">
      <c r="A1755" s="167"/>
      <c r="B1755" s="167"/>
    </row>
    <row r="1756" spans="1:2" x14ac:dyDescent="0.25">
      <c r="A1756" s="167"/>
      <c r="B1756" s="167"/>
    </row>
    <row r="1757" spans="1:2" x14ac:dyDescent="0.25">
      <c r="A1757" s="167"/>
      <c r="B1757" s="167"/>
    </row>
    <row r="1758" spans="1:2" x14ac:dyDescent="0.25">
      <c r="A1758" s="167"/>
      <c r="B1758" s="167"/>
    </row>
    <row r="1759" spans="1:2" x14ac:dyDescent="0.25">
      <c r="A1759" s="167"/>
      <c r="B1759" s="167"/>
    </row>
    <row r="1760" spans="1:2" x14ac:dyDescent="0.25">
      <c r="A1760" s="167"/>
      <c r="B1760" s="167"/>
    </row>
    <row r="1761" spans="1:2" x14ac:dyDescent="0.25">
      <c r="A1761" s="167"/>
      <c r="B1761" s="167"/>
    </row>
    <row r="1762" spans="1:2" x14ac:dyDescent="0.25">
      <c r="A1762" s="167"/>
      <c r="B1762" s="167"/>
    </row>
    <row r="1763" spans="1:2" x14ac:dyDescent="0.25">
      <c r="A1763" s="167"/>
      <c r="B1763" s="167"/>
    </row>
    <row r="1764" spans="1:2" x14ac:dyDescent="0.25">
      <c r="A1764" s="167"/>
      <c r="B1764" s="167"/>
    </row>
    <row r="1765" spans="1:2" x14ac:dyDescent="0.25">
      <c r="A1765" s="167"/>
      <c r="B1765" s="167"/>
    </row>
    <row r="1766" spans="1:2" x14ac:dyDescent="0.25">
      <c r="A1766" s="167"/>
      <c r="B1766" s="167"/>
    </row>
    <row r="1767" spans="1:2" x14ac:dyDescent="0.25">
      <c r="A1767" s="167"/>
      <c r="B1767" s="167"/>
    </row>
    <row r="1768" spans="1:2" x14ac:dyDescent="0.25">
      <c r="A1768" s="167"/>
      <c r="B1768" s="167"/>
    </row>
    <row r="1769" spans="1:2" x14ac:dyDescent="0.25">
      <c r="A1769" s="167"/>
      <c r="B1769" s="167"/>
    </row>
    <row r="1770" spans="1:2" x14ac:dyDescent="0.25">
      <c r="A1770" s="167"/>
      <c r="B1770" s="167"/>
    </row>
    <row r="1771" spans="1:2" x14ac:dyDescent="0.25">
      <c r="A1771" s="167"/>
      <c r="B1771" s="167"/>
    </row>
    <row r="1772" spans="1:2" x14ac:dyDescent="0.25">
      <c r="A1772" s="167"/>
      <c r="B1772" s="167"/>
    </row>
    <row r="1773" spans="1:2" x14ac:dyDescent="0.25">
      <c r="A1773" s="167"/>
      <c r="B1773" s="167"/>
    </row>
    <row r="1774" spans="1:2" x14ac:dyDescent="0.25">
      <c r="A1774" s="167"/>
      <c r="B1774" s="167"/>
    </row>
    <row r="1775" spans="1:2" x14ac:dyDescent="0.25">
      <c r="A1775" s="167"/>
      <c r="B1775" s="167"/>
    </row>
    <row r="1776" spans="1:2" x14ac:dyDescent="0.25">
      <c r="A1776" s="167"/>
      <c r="B1776" s="167"/>
    </row>
    <row r="1777" spans="1:2" x14ac:dyDescent="0.25">
      <c r="A1777" s="167"/>
      <c r="B1777" s="167"/>
    </row>
    <row r="1778" spans="1:2" x14ac:dyDescent="0.25">
      <c r="A1778" s="167"/>
      <c r="B1778" s="167"/>
    </row>
    <row r="1779" spans="1:2" x14ac:dyDescent="0.25">
      <c r="A1779" s="167"/>
      <c r="B1779" s="167"/>
    </row>
    <row r="1780" spans="1:2" x14ac:dyDescent="0.25">
      <c r="A1780" s="167"/>
      <c r="B1780" s="167"/>
    </row>
    <row r="1781" spans="1:2" x14ac:dyDescent="0.25">
      <c r="A1781" s="167"/>
      <c r="B1781" s="167"/>
    </row>
    <row r="1782" spans="1:2" x14ac:dyDescent="0.25">
      <c r="A1782" s="167"/>
      <c r="B1782" s="167"/>
    </row>
    <row r="1783" spans="1:2" x14ac:dyDescent="0.25">
      <c r="A1783" s="167"/>
      <c r="B1783" s="167"/>
    </row>
    <row r="1784" spans="1:2" x14ac:dyDescent="0.25">
      <c r="A1784" s="167"/>
      <c r="B1784" s="167"/>
    </row>
    <row r="1785" spans="1:2" x14ac:dyDescent="0.25">
      <c r="A1785" s="167"/>
      <c r="B1785" s="167"/>
    </row>
    <row r="1786" spans="1:2" x14ac:dyDescent="0.25">
      <c r="A1786" s="167"/>
      <c r="B1786" s="167"/>
    </row>
    <row r="1787" spans="1:2" x14ac:dyDescent="0.25">
      <c r="A1787" s="167"/>
      <c r="B1787" s="167"/>
    </row>
    <row r="1788" spans="1:2" x14ac:dyDescent="0.25">
      <c r="A1788" s="167"/>
      <c r="B1788" s="167"/>
    </row>
    <row r="1789" spans="1:2" x14ac:dyDescent="0.25">
      <c r="A1789" s="167"/>
      <c r="B1789" s="167"/>
    </row>
    <row r="1790" spans="1:2" x14ac:dyDescent="0.25">
      <c r="A1790" s="167"/>
      <c r="B1790" s="167"/>
    </row>
    <row r="1791" spans="1:2" x14ac:dyDescent="0.25">
      <c r="A1791" s="167"/>
      <c r="B1791" s="167"/>
    </row>
    <row r="1792" spans="1:2" x14ac:dyDescent="0.25">
      <c r="A1792" s="167"/>
      <c r="B1792" s="167"/>
    </row>
    <row r="1793" spans="1:2" x14ac:dyDescent="0.25">
      <c r="A1793" s="167"/>
      <c r="B1793" s="167"/>
    </row>
    <row r="1794" spans="1:2" x14ac:dyDescent="0.25">
      <c r="A1794" s="167"/>
      <c r="B1794" s="167"/>
    </row>
    <row r="1795" spans="1:2" x14ac:dyDescent="0.25">
      <c r="A1795" s="167"/>
      <c r="B1795" s="167"/>
    </row>
    <row r="1796" spans="1:2" x14ac:dyDescent="0.25">
      <c r="A1796" s="167"/>
      <c r="B1796" s="167"/>
    </row>
    <row r="1797" spans="1:2" x14ac:dyDescent="0.25">
      <c r="A1797" s="167"/>
      <c r="B1797" s="167"/>
    </row>
    <row r="1798" spans="1:2" x14ac:dyDescent="0.25">
      <c r="A1798" s="167"/>
      <c r="B1798" s="167"/>
    </row>
    <row r="1799" spans="1:2" x14ac:dyDescent="0.25">
      <c r="A1799" s="167"/>
      <c r="B1799" s="167"/>
    </row>
    <row r="1800" spans="1:2" x14ac:dyDescent="0.25">
      <c r="A1800" s="167"/>
      <c r="B1800" s="167"/>
    </row>
    <row r="1801" spans="1:2" x14ac:dyDescent="0.25">
      <c r="A1801" s="167"/>
      <c r="B1801" s="167"/>
    </row>
    <row r="1802" spans="1:2" x14ac:dyDescent="0.25">
      <c r="A1802" s="167"/>
      <c r="B1802" s="167"/>
    </row>
    <row r="1803" spans="1:2" x14ac:dyDescent="0.25">
      <c r="A1803" s="167"/>
      <c r="B1803" s="167"/>
    </row>
    <row r="1804" spans="1:2" x14ac:dyDescent="0.25">
      <c r="A1804" s="167"/>
      <c r="B1804" s="167"/>
    </row>
    <row r="1805" spans="1:2" x14ac:dyDescent="0.25">
      <c r="A1805" s="167"/>
      <c r="B1805" s="167"/>
    </row>
    <row r="1806" spans="1:2" x14ac:dyDescent="0.25">
      <c r="A1806" s="167"/>
      <c r="B1806" s="167"/>
    </row>
    <row r="1807" spans="1:2" x14ac:dyDescent="0.25">
      <c r="A1807" s="167"/>
      <c r="B1807" s="167"/>
    </row>
    <row r="1808" spans="1:2" x14ac:dyDescent="0.25">
      <c r="A1808" s="167"/>
      <c r="B1808" s="167"/>
    </row>
    <row r="1809" spans="1:2" x14ac:dyDescent="0.25">
      <c r="A1809" s="167"/>
      <c r="B1809" s="167"/>
    </row>
    <row r="1810" spans="1:2" x14ac:dyDescent="0.25">
      <c r="A1810" s="167"/>
      <c r="B1810" s="167"/>
    </row>
    <row r="1811" spans="1:2" x14ac:dyDescent="0.25">
      <c r="A1811" s="167"/>
      <c r="B1811" s="167"/>
    </row>
    <row r="1812" spans="1:2" x14ac:dyDescent="0.25">
      <c r="A1812" s="167"/>
      <c r="B1812" s="167"/>
    </row>
    <row r="1813" spans="1:2" x14ac:dyDescent="0.25">
      <c r="A1813" s="167"/>
      <c r="B1813" s="167"/>
    </row>
    <row r="1814" spans="1:2" x14ac:dyDescent="0.25">
      <c r="A1814" s="167"/>
      <c r="B1814" s="167"/>
    </row>
    <row r="1815" spans="1:2" x14ac:dyDescent="0.25">
      <c r="A1815" s="167"/>
      <c r="B1815" s="167"/>
    </row>
    <row r="1816" spans="1:2" x14ac:dyDescent="0.25">
      <c r="A1816" s="167"/>
      <c r="B1816" s="167"/>
    </row>
    <row r="1817" spans="1:2" x14ac:dyDescent="0.25">
      <c r="A1817" s="167"/>
      <c r="B1817" s="167"/>
    </row>
    <row r="1818" spans="1:2" x14ac:dyDescent="0.25">
      <c r="A1818" s="167"/>
      <c r="B1818" s="167"/>
    </row>
    <row r="1819" spans="1:2" x14ac:dyDescent="0.25">
      <c r="A1819" s="167"/>
      <c r="B1819" s="167"/>
    </row>
    <row r="1820" spans="1:2" x14ac:dyDescent="0.25">
      <c r="A1820" s="167"/>
      <c r="B1820" s="167"/>
    </row>
    <row r="1821" spans="1:2" x14ac:dyDescent="0.25">
      <c r="A1821" s="167"/>
      <c r="B1821" s="167"/>
    </row>
    <row r="1822" spans="1:2" x14ac:dyDescent="0.25">
      <c r="A1822" s="167"/>
      <c r="B1822" s="167"/>
    </row>
    <row r="1823" spans="1:2" x14ac:dyDescent="0.25">
      <c r="A1823" s="167"/>
      <c r="B1823" s="167"/>
    </row>
    <row r="1824" spans="1:2" x14ac:dyDescent="0.25">
      <c r="A1824" s="167"/>
      <c r="B1824" s="167"/>
    </row>
    <row r="1825" spans="1:2" x14ac:dyDescent="0.25">
      <c r="A1825" s="167"/>
      <c r="B1825" s="167"/>
    </row>
    <row r="1826" spans="1:2" x14ac:dyDescent="0.25">
      <c r="A1826" s="167"/>
      <c r="B1826" s="167"/>
    </row>
    <row r="1827" spans="1:2" x14ac:dyDescent="0.25">
      <c r="A1827" s="167"/>
      <c r="B1827" s="167"/>
    </row>
    <row r="1828" spans="1:2" x14ac:dyDescent="0.25">
      <c r="A1828" s="167"/>
      <c r="B1828" s="167"/>
    </row>
    <row r="1829" spans="1:2" x14ac:dyDescent="0.25">
      <c r="A1829" s="167"/>
      <c r="B1829" s="167"/>
    </row>
    <row r="1830" spans="1:2" x14ac:dyDescent="0.25">
      <c r="A1830" s="167"/>
      <c r="B1830" s="167"/>
    </row>
    <row r="1831" spans="1:2" x14ac:dyDescent="0.25">
      <c r="A1831" s="167"/>
      <c r="B1831" s="167"/>
    </row>
    <row r="1832" spans="1:2" x14ac:dyDescent="0.25">
      <c r="A1832" s="167"/>
      <c r="B1832" s="167"/>
    </row>
    <row r="1833" spans="1:2" x14ac:dyDescent="0.25">
      <c r="A1833" s="167"/>
      <c r="B1833" s="167"/>
    </row>
    <row r="1834" spans="1:2" x14ac:dyDescent="0.25">
      <c r="A1834" s="167"/>
      <c r="B1834" s="167"/>
    </row>
    <row r="1835" spans="1:2" x14ac:dyDescent="0.25">
      <c r="A1835" s="167"/>
      <c r="B1835" s="167"/>
    </row>
    <row r="1836" spans="1:2" x14ac:dyDescent="0.25">
      <c r="A1836" s="167"/>
      <c r="B1836" s="167"/>
    </row>
    <row r="1837" spans="1:2" x14ac:dyDescent="0.25">
      <c r="A1837" s="167"/>
      <c r="B1837" s="167"/>
    </row>
    <row r="1838" spans="1:2" x14ac:dyDescent="0.25">
      <c r="A1838" s="167"/>
      <c r="B1838" s="167"/>
    </row>
    <row r="1839" spans="1:2" x14ac:dyDescent="0.25">
      <c r="A1839" s="167"/>
      <c r="B1839" s="167"/>
    </row>
    <row r="1840" spans="1:2" x14ac:dyDescent="0.25">
      <c r="A1840" s="167"/>
      <c r="B1840" s="167"/>
    </row>
    <row r="1841" spans="1:2" x14ac:dyDescent="0.25">
      <c r="A1841" s="167"/>
      <c r="B1841" s="167"/>
    </row>
    <row r="1842" spans="1:2" x14ac:dyDescent="0.25">
      <c r="A1842" s="167"/>
      <c r="B1842" s="167"/>
    </row>
    <row r="1843" spans="1:2" x14ac:dyDescent="0.25">
      <c r="A1843" s="167"/>
      <c r="B1843" s="167"/>
    </row>
    <row r="1844" spans="1:2" x14ac:dyDescent="0.25">
      <c r="A1844" s="167"/>
      <c r="B1844" s="167"/>
    </row>
    <row r="1845" spans="1:2" x14ac:dyDescent="0.25">
      <c r="A1845" s="167"/>
      <c r="B1845" s="167"/>
    </row>
    <row r="1846" spans="1:2" x14ac:dyDescent="0.25">
      <c r="A1846" s="167"/>
      <c r="B1846" s="167"/>
    </row>
    <row r="1847" spans="1:2" x14ac:dyDescent="0.25">
      <c r="A1847" s="167"/>
      <c r="B1847" s="167"/>
    </row>
    <row r="1848" spans="1:2" x14ac:dyDescent="0.25">
      <c r="A1848" s="167"/>
      <c r="B1848" s="167"/>
    </row>
    <row r="1849" spans="1:2" x14ac:dyDescent="0.25">
      <c r="A1849" s="167"/>
      <c r="B1849" s="167"/>
    </row>
    <row r="1850" spans="1:2" x14ac:dyDescent="0.25">
      <c r="A1850" s="167"/>
      <c r="B1850" s="167"/>
    </row>
    <row r="1851" spans="1:2" x14ac:dyDescent="0.25">
      <c r="A1851" s="167"/>
      <c r="B1851" s="167"/>
    </row>
    <row r="1852" spans="1:2" x14ac:dyDescent="0.25">
      <c r="A1852" s="167"/>
      <c r="B1852" s="167"/>
    </row>
    <row r="1853" spans="1:2" x14ac:dyDescent="0.25">
      <c r="A1853" s="167"/>
      <c r="B1853" s="167"/>
    </row>
    <row r="1854" spans="1:2" x14ac:dyDescent="0.25">
      <c r="A1854" s="167"/>
      <c r="B1854" s="167"/>
    </row>
    <row r="1855" spans="1:2" x14ac:dyDescent="0.25">
      <c r="A1855" s="167"/>
      <c r="B1855" s="167"/>
    </row>
    <row r="1856" spans="1:2" x14ac:dyDescent="0.25">
      <c r="A1856" s="167"/>
      <c r="B1856" s="167"/>
    </row>
    <row r="1857" spans="1:2" x14ac:dyDescent="0.25">
      <c r="A1857" s="167"/>
      <c r="B1857" s="167"/>
    </row>
    <row r="1858" spans="1:2" x14ac:dyDescent="0.25">
      <c r="A1858" s="167"/>
      <c r="B1858" s="167"/>
    </row>
    <row r="1859" spans="1:2" x14ac:dyDescent="0.25">
      <c r="A1859" s="167"/>
      <c r="B1859" s="167"/>
    </row>
    <row r="1860" spans="1:2" x14ac:dyDescent="0.25">
      <c r="A1860" s="167"/>
      <c r="B1860" s="167"/>
    </row>
    <row r="1861" spans="1:2" x14ac:dyDescent="0.25">
      <c r="A1861" s="167"/>
      <c r="B1861" s="167"/>
    </row>
    <row r="1862" spans="1:2" x14ac:dyDescent="0.25">
      <c r="A1862" s="167"/>
      <c r="B1862" s="167"/>
    </row>
    <row r="1863" spans="1:2" x14ac:dyDescent="0.25">
      <c r="A1863" s="167"/>
      <c r="B1863" s="167"/>
    </row>
    <row r="1864" spans="1:2" x14ac:dyDescent="0.25">
      <c r="A1864" s="167"/>
      <c r="B1864" s="167"/>
    </row>
    <row r="1865" spans="1:2" x14ac:dyDescent="0.25">
      <c r="A1865" s="167"/>
      <c r="B1865" s="167"/>
    </row>
    <row r="1866" spans="1:2" x14ac:dyDescent="0.25">
      <c r="A1866" s="167"/>
      <c r="B1866" s="167"/>
    </row>
    <row r="1867" spans="1:2" x14ac:dyDescent="0.25">
      <c r="A1867" s="167"/>
      <c r="B1867" s="167"/>
    </row>
    <row r="1868" spans="1:2" x14ac:dyDescent="0.25">
      <c r="A1868" s="167"/>
      <c r="B1868" s="167"/>
    </row>
    <row r="1869" spans="1:2" x14ac:dyDescent="0.25">
      <c r="A1869" s="167"/>
      <c r="B1869" s="167"/>
    </row>
    <row r="1870" spans="1:2" x14ac:dyDescent="0.25">
      <c r="A1870" s="167"/>
      <c r="B1870" s="167"/>
    </row>
    <row r="1871" spans="1:2" x14ac:dyDescent="0.25">
      <c r="A1871" s="167"/>
      <c r="B1871" s="167"/>
    </row>
    <row r="1872" spans="1:2" x14ac:dyDescent="0.25">
      <c r="A1872" s="167"/>
      <c r="B1872" s="167"/>
    </row>
    <row r="1873" spans="1:2" x14ac:dyDescent="0.25">
      <c r="A1873" s="167"/>
      <c r="B1873" s="167"/>
    </row>
    <row r="1874" spans="1:2" x14ac:dyDescent="0.25">
      <c r="A1874" s="167"/>
      <c r="B1874" s="167"/>
    </row>
    <row r="1875" spans="1:2" x14ac:dyDescent="0.25">
      <c r="A1875" s="167"/>
      <c r="B1875" s="167"/>
    </row>
    <row r="1876" spans="1:2" x14ac:dyDescent="0.25">
      <c r="A1876" s="167"/>
      <c r="B1876" s="167"/>
    </row>
    <row r="1877" spans="1:2" x14ac:dyDescent="0.25">
      <c r="A1877" s="167"/>
      <c r="B1877" s="167"/>
    </row>
    <row r="1878" spans="1:2" x14ac:dyDescent="0.25">
      <c r="A1878" s="167"/>
      <c r="B1878" s="167"/>
    </row>
    <row r="1879" spans="1:2" x14ac:dyDescent="0.25">
      <c r="A1879" s="167"/>
      <c r="B1879" s="167"/>
    </row>
    <row r="1880" spans="1:2" x14ac:dyDescent="0.25">
      <c r="A1880" s="167"/>
      <c r="B1880" s="167"/>
    </row>
    <row r="1881" spans="1:2" x14ac:dyDescent="0.25">
      <c r="A1881" s="167"/>
      <c r="B1881" s="167"/>
    </row>
    <row r="1882" spans="1:2" x14ac:dyDescent="0.25">
      <c r="A1882" s="167"/>
      <c r="B1882" s="167"/>
    </row>
    <row r="1883" spans="1:2" x14ac:dyDescent="0.25">
      <c r="A1883" s="167"/>
      <c r="B1883" s="167"/>
    </row>
    <row r="1884" spans="1:2" x14ac:dyDescent="0.25">
      <c r="A1884" s="167"/>
      <c r="B1884" s="167"/>
    </row>
    <row r="1885" spans="1:2" x14ac:dyDescent="0.25">
      <c r="A1885" s="167"/>
      <c r="B1885" s="167"/>
    </row>
    <row r="1886" spans="1:2" x14ac:dyDescent="0.25">
      <c r="A1886" s="167"/>
      <c r="B1886" s="167"/>
    </row>
    <row r="1887" spans="1:2" x14ac:dyDescent="0.25">
      <c r="A1887" s="167"/>
      <c r="B1887" s="167"/>
    </row>
    <row r="1888" spans="1:2" x14ac:dyDescent="0.25">
      <c r="A1888" s="167"/>
      <c r="B1888" s="167"/>
    </row>
    <row r="1889" spans="1:2" x14ac:dyDescent="0.25">
      <c r="A1889" s="167"/>
      <c r="B1889" s="167"/>
    </row>
    <row r="1890" spans="1:2" x14ac:dyDescent="0.25">
      <c r="A1890" s="167"/>
      <c r="B1890" s="167"/>
    </row>
    <row r="1891" spans="1:2" x14ac:dyDescent="0.25">
      <c r="A1891" s="167"/>
      <c r="B1891" s="167"/>
    </row>
    <row r="1892" spans="1:2" x14ac:dyDescent="0.25">
      <c r="A1892" s="167"/>
      <c r="B1892" s="167"/>
    </row>
    <row r="1893" spans="1:2" x14ac:dyDescent="0.25">
      <c r="A1893" s="167"/>
      <c r="B1893" s="167"/>
    </row>
    <row r="1894" spans="1:2" x14ac:dyDescent="0.25">
      <c r="A1894" s="167"/>
      <c r="B1894" s="167"/>
    </row>
    <row r="1895" spans="1:2" x14ac:dyDescent="0.25">
      <c r="A1895" s="167"/>
      <c r="B1895" s="167"/>
    </row>
    <row r="1896" spans="1:2" x14ac:dyDescent="0.25">
      <c r="A1896" s="167"/>
      <c r="B1896" s="167"/>
    </row>
    <row r="1897" spans="1:2" x14ac:dyDescent="0.25">
      <c r="A1897" s="167"/>
      <c r="B1897" s="167"/>
    </row>
    <row r="1898" spans="1:2" x14ac:dyDescent="0.25">
      <c r="A1898" s="167"/>
      <c r="B1898" s="167"/>
    </row>
    <row r="1899" spans="1:2" x14ac:dyDescent="0.25">
      <c r="A1899" s="167"/>
      <c r="B1899" s="167"/>
    </row>
    <row r="1900" spans="1:2" x14ac:dyDescent="0.25">
      <c r="A1900" s="167"/>
      <c r="B1900" s="167"/>
    </row>
    <row r="1901" spans="1:2" x14ac:dyDescent="0.25">
      <c r="A1901" s="167"/>
      <c r="B1901" s="167"/>
    </row>
    <row r="1902" spans="1:2" x14ac:dyDescent="0.25">
      <c r="A1902" s="167"/>
      <c r="B1902" s="167"/>
    </row>
    <row r="1903" spans="1:2" x14ac:dyDescent="0.25">
      <c r="A1903" s="167"/>
      <c r="B1903" s="167"/>
    </row>
    <row r="1904" spans="1:2" x14ac:dyDescent="0.25">
      <c r="A1904" s="167"/>
      <c r="B1904" s="167"/>
    </row>
    <row r="1905" spans="1:2" x14ac:dyDescent="0.25">
      <c r="A1905" s="167"/>
      <c r="B1905" s="167"/>
    </row>
    <row r="1906" spans="1:2" x14ac:dyDescent="0.25">
      <c r="A1906" s="167"/>
      <c r="B1906" s="167"/>
    </row>
    <row r="1907" spans="1:2" x14ac:dyDescent="0.25">
      <c r="A1907" s="167"/>
      <c r="B1907" s="167"/>
    </row>
    <row r="1908" spans="1:2" x14ac:dyDescent="0.25">
      <c r="A1908" s="167"/>
      <c r="B1908" s="167"/>
    </row>
    <row r="1909" spans="1:2" x14ac:dyDescent="0.25">
      <c r="A1909" s="167"/>
      <c r="B1909" s="167"/>
    </row>
    <row r="1910" spans="1:2" x14ac:dyDescent="0.25">
      <c r="A1910" s="167"/>
      <c r="B1910" s="167"/>
    </row>
    <row r="1911" spans="1:2" x14ac:dyDescent="0.25">
      <c r="A1911" s="167"/>
      <c r="B1911" s="167"/>
    </row>
    <row r="1912" spans="1:2" x14ac:dyDescent="0.25">
      <c r="A1912" s="167"/>
      <c r="B1912" s="167"/>
    </row>
    <row r="1913" spans="1:2" x14ac:dyDescent="0.25">
      <c r="A1913" s="167"/>
      <c r="B1913" s="167"/>
    </row>
    <row r="1914" spans="1:2" x14ac:dyDescent="0.25">
      <c r="A1914" s="167"/>
      <c r="B1914" s="167"/>
    </row>
    <row r="1915" spans="1:2" x14ac:dyDescent="0.25">
      <c r="A1915" s="167"/>
      <c r="B1915" s="167"/>
    </row>
    <row r="1916" spans="1:2" x14ac:dyDescent="0.25">
      <c r="A1916" s="167"/>
      <c r="B1916" s="167"/>
    </row>
    <row r="1917" spans="1:2" x14ac:dyDescent="0.25">
      <c r="A1917" s="167"/>
      <c r="B1917" s="167"/>
    </row>
    <row r="1918" spans="1:2" x14ac:dyDescent="0.25">
      <c r="A1918" s="167"/>
      <c r="B1918" s="167"/>
    </row>
    <row r="1919" spans="1:2" x14ac:dyDescent="0.25">
      <c r="A1919" s="167"/>
      <c r="B1919" s="167"/>
    </row>
    <row r="1920" spans="1:2" x14ac:dyDescent="0.25">
      <c r="A1920" s="167"/>
      <c r="B1920" s="167"/>
    </row>
    <row r="1921" spans="1:2" x14ac:dyDescent="0.25">
      <c r="A1921" s="167"/>
      <c r="B1921" s="167"/>
    </row>
    <row r="1922" spans="1:2" x14ac:dyDescent="0.25">
      <c r="A1922" s="167"/>
      <c r="B1922" s="167"/>
    </row>
    <row r="1923" spans="1:2" x14ac:dyDescent="0.25">
      <c r="A1923" s="167"/>
      <c r="B1923" s="167"/>
    </row>
    <row r="1924" spans="1:2" x14ac:dyDescent="0.25">
      <c r="A1924" s="167"/>
      <c r="B1924" s="167"/>
    </row>
    <row r="1925" spans="1:2" x14ac:dyDescent="0.25">
      <c r="A1925" s="167"/>
      <c r="B1925" s="167"/>
    </row>
    <row r="1926" spans="1:2" x14ac:dyDescent="0.25">
      <c r="A1926" s="167"/>
      <c r="B1926" s="167"/>
    </row>
    <row r="1927" spans="1:2" x14ac:dyDescent="0.25">
      <c r="A1927" s="167"/>
      <c r="B1927" s="167"/>
    </row>
    <row r="1928" spans="1:2" x14ac:dyDescent="0.25">
      <c r="A1928" s="167"/>
      <c r="B1928" s="167"/>
    </row>
    <row r="1929" spans="1:2" x14ac:dyDescent="0.25">
      <c r="A1929" s="167"/>
      <c r="B1929" s="167"/>
    </row>
    <row r="1930" spans="1:2" x14ac:dyDescent="0.25">
      <c r="A1930" s="167"/>
      <c r="B1930" s="167"/>
    </row>
    <row r="1931" spans="1:2" x14ac:dyDescent="0.25">
      <c r="A1931" s="167"/>
      <c r="B1931" s="167"/>
    </row>
    <row r="1932" spans="1:2" x14ac:dyDescent="0.25">
      <c r="A1932" s="167"/>
      <c r="B1932" s="167"/>
    </row>
    <row r="1933" spans="1:2" x14ac:dyDescent="0.25">
      <c r="A1933" s="167"/>
      <c r="B1933" s="167"/>
    </row>
    <row r="1934" spans="1:2" x14ac:dyDescent="0.25">
      <c r="A1934" s="167"/>
      <c r="B1934" s="167"/>
    </row>
    <row r="1935" spans="1:2" x14ac:dyDescent="0.25">
      <c r="A1935" s="167"/>
      <c r="B1935" s="167"/>
    </row>
    <row r="1936" spans="1:2" x14ac:dyDescent="0.25">
      <c r="A1936" s="167"/>
      <c r="B1936" s="167"/>
    </row>
    <row r="1937" spans="1:2" x14ac:dyDescent="0.25">
      <c r="A1937" s="167"/>
      <c r="B1937" s="167"/>
    </row>
    <row r="1938" spans="1:2" x14ac:dyDescent="0.25">
      <c r="A1938" s="167"/>
      <c r="B1938" s="167"/>
    </row>
    <row r="1939" spans="1:2" x14ac:dyDescent="0.25">
      <c r="A1939" s="167"/>
      <c r="B1939" s="167"/>
    </row>
    <row r="1940" spans="1:2" x14ac:dyDescent="0.25">
      <c r="A1940" s="167"/>
      <c r="B1940" s="167"/>
    </row>
    <row r="1941" spans="1:2" x14ac:dyDescent="0.25">
      <c r="A1941" s="167"/>
      <c r="B1941" s="167"/>
    </row>
    <row r="1942" spans="1:2" x14ac:dyDescent="0.25">
      <c r="A1942" s="167"/>
      <c r="B1942" s="167"/>
    </row>
    <row r="1943" spans="1:2" x14ac:dyDescent="0.25">
      <c r="A1943" s="167"/>
      <c r="B1943" s="167"/>
    </row>
    <row r="1944" spans="1:2" x14ac:dyDescent="0.25">
      <c r="A1944" s="167"/>
      <c r="B1944" s="167"/>
    </row>
    <row r="1945" spans="1:2" x14ac:dyDescent="0.25">
      <c r="A1945" s="167"/>
      <c r="B1945" s="167"/>
    </row>
    <row r="1946" spans="1:2" x14ac:dyDescent="0.25">
      <c r="A1946" s="167"/>
      <c r="B1946" s="167"/>
    </row>
    <row r="1947" spans="1:2" x14ac:dyDescent="0.25">
      <c r="A1947" s="167"/>
      <c r="B1947" s="167"/>
    </row>
    <row r="1948" spans="1:2" x14ac:dyDescent="0.25">
      <c r="A1948" s="167"/>
      <c r="B1948" s="167"/>
    </row>
    <row r="1949" spans="1:2" x14ac:dyDescent="0.25">
      <c r="A1949" s="167"/>
      <c r="B1949" s="167"/>
    </row>
    <row r="1950" spans="1:2" x14ac:dyDescent="0.25">
      <c r="A1950" s="167"/>
      <c r="B1950" s="167"/>
    </row>
    <row r="1951" spans="1:2" x14ac:dyDescent="0.25">
      <c r="A1951" s="167"/>
      <c r="B1951" s="167"/>
    </row>
    <row r="1952" spans="1:2" x14ac:dyDescent="0.25">
      <c r="A1952" s="167"/>
      <c r="B1952" s="167"/>
    </row>
    <row r="1953" spans="1:2" x14ac:dyDescent="0.25">
      <c r="A1953" s="167"/>
      <c r="B1953" s="167"/>
    </row>
    <row r="1954" spans="1:2" x14ac:dyDescent="0.25">
      <c r="A1954" s="167"/>
      <c r="B1954" s="167"/>
    </row>
    <row r="1955" spans="1:2" x14ac:dyDescent="0.25">
      <c r="A1955" s="167"/>
      <c r="B1955" s="167"/>
    </row>
    <row r="1956" spans="1:2" x14ac:dyDescent="0.25">
      <c r="A1956" s="167"/>
      <c r="B1956" s="167"/>
    </row>
    <row r="1957" spans="1:2" x14ac:dyDescent="0.25">
      <c r="A1957" s="167"/>
      <c r="B1957" s="167"/>
    </row>
    <row r="1958" spans="1:2" x14ac:dyDescent="0.25">
      <c r="A1958" s="167"/>
      <c r="B1958" s="167"/>
    </row>
    <row r="1959" spans="1:2" x14ac:dyDescent="0.25">
      <c r="A1959" s="167"/>
      <c r="B1959" s="167"/>
    </row>
    <row r="1960" spans="1:2" x14ac:dyDescent="0.25">
      <c r="A1960" s="167"/>
      <c r="B1960" s="167"/>
    </row>
    <row r="1961" spans="1:2" x14ac:dyDescent="0.25">
      <c r="A1961" s="167"/>
      <c r="B1961" s="167"/>
    </row>
    <row r="1962" spans="1:2" x14ac:dyDescent="0.25">
      <c r="A1962" s="167"/>
      <c r="B1962" s="167"/>
    </row>
    <row r="1963" spans="1:2" x14ac:dyDescent="0.25">
      <c r="A1963" s="167"/>
      <c r="B1963" s="167"/>
    </row>
    <row r="1964" spans="1:2" x14ac:dyDescent="0.25">
      <c r="A1964" s="167"/>
      <c r="B1964" s="167"/>
    </row>
    <row r="1965" spans="1:2" x14ac:dyDescent="0.25">
      <c r="A1965" s="167"/>
      <c r="B1965" s="167"/>
    </row>
    <row r="1966" spans="1:2" x14ac:dyDescent="0.25">
      <c r="A1966" s="167"/>
      <c r="B1966" s="167"/>
    </row>
    <row r="1967" spans="1:2" x14ac:dyDescent="0.25">
      <c r="A1967" s="167"/>
      <c r="B1967" s="167"/>
    </row>
    <row r="1968" spans="1:2" x14ac:dyDescent="0.25">
      <c r="A1968" s="167"/>
      <c r="B1968" s="167"/>
    </row>
    <row r="1969" spans="1:2" x14ac:dyDescent="0.25">
      <c r="A1969" s="167"/>
      <c r="B1969" s="167"/>
    </row>
    <row r="1970" spans="1:2" x14ac:dyDescent="0.25">
      <c r="A1970" s="167"/>
      <c r="B1970" s="167"/>
    </row>
    <row r="1971" spans="1:2" x14ac:dyDescent="0.25">
      <c r="A1971" s="167"/>
      <c r="B1971" s="167"/>
    </row>
    <row r="1972" spans="1:2" x14ac:dyDescent="0.25">
      <c r="A1972" s="167"/>
      <c r="B1972" s="167"/>
    </row>
    <row r="1973" spans="1:2" x14ac:dyDescent="0.25">
      <c r="A1973" s="167"/>
      <c r="B1973" s="167"/>
    </row>
    <row r="1974" spans="1:2" x14ac:dyDescent="0.25">
      <c r="A1974" s="167"/>
      <c r="B1974" s="167"/>
    </row>
    <row r="1975" spans="1:2" x14ac:dyDescent="0.25">
      <c r="A1975" s="167"/>
      <c r="B1975" s="167"/>
    </row>
    <row r="1976" spans="1:2" x14ac:dyDescent="0.25">
      <c r="A1976" s="167"/>
      <c r="B1976" s="167"/>
    </row>
    <row r="1977" spans="1:2" x14ac:dyDescent="0.25">
      <c r="A1977" s="167"/>
      <c r="B1977" s="167"/>
    </row>
    <row r="1978" spans="1:2" x14ac:dyDescent="0.25">
      <c r="A1978" s="167"/>
      <c r="B1978" s="167"/>
    </row>
    <row r="1979" spans="1:2" x14ac:dyDescent="0.25">
      <c r="A1979" s="167"/>
      <c r="B1979" s="167"/>
    </row>
    <row r="1980" spans="1:2" x14ac:dyDescent="0.25">
      <c r="A1980" s="167"/>
      <c r="B1980" s="167"/>
    </row>
    <row r="1981" spans="1:2" x14ac:dyDescent="0.25">
      <c r="A1981" s="167"/>
      <c r="B1981" s="167"/>
    </row>
    <row r="1982" spans="1:2" x14ac:dyDescent="0.25">
      <c r="A1982" s="167"/>
      <c r="B1982" s="167"/>
    </row>
    <row r="1983" spans="1:2" x14ac:dyDescent="0.25">
      <c r="A1983" s="167"/>
      <c r="B1983" s="167"/>
    </row>
    <row r="1984" spans="1:2" x14ac:dyDescent="0.25">
      <c r="A1984" s="167"/>
      <c r="B1984" s="167"/>
    </row>
    <row r="1985" spans="1:2" x14ac:dyDescent="0.25">
      <c r="A1985" s="167"/>
      <c r="B1985" s="167"/>
    </row>
    <row r="1986" spans="1:2" x14ac:dyDescent="0.25">
      <c r="A1986" s="167"/>
      <c r="B1986" s="167"/>
    </row>
    <row r="1987" spans="1:2" x14ac:dyDescent="0.25">
      <c r="A1987" s="167"/>
      <c r="B1987" s="167"/>
    </row>
    <row r="1988" spans="1:2" x14ac:dyDescent="0.25">
      <c r="A1988" s="167"/>
      <c r="B1988" s="167"/>
    </row>
    <row r="1989" spans="1:2" x14ac:dyDescent="0.25">
      <c r="A1989" s="167"/>
      <c r="B1989" s="167"/>
    </row>
    <row r="1990" spans="1:2" x14ac:dyDescent="0.25">
      <c r="A1990" s="167"/>
      <c r="B1990" s="167"/>
    </row>
    <row r="1991" spans="1:2" x14ac:dyDescent="0.25">
      <c r="A1991" s="167"/>
      <c r="B1991" s="167"/>
    </row>
    <row r="1992" spans="1:2" x14ac:dyDescent="0.25">
      <c r="A1992" s="167"/>
      <c r="B1992" s="167"/>
    </row>
    <row r="1993" spans="1:2" x14ac:dyDescent="0.25">
      <c r="A1993" s="167"/>
      <c r="B1993" s="167"/>
    </row>
    <row r="1994" spans="1:2" x14ac:dyDescent="0.25">
      <c r="A1994" s="167"/>
      <c r="B1994" s="167"/>
    </row>
    <row r="1995" spans="1:2" x14ac:dyDescent="0.25">
      <c r="A1995" s="167"/>
      <c r="B1995" s="167"/>
    </row>
    <row r="1996" spans="1:2" x14ac:dyDescent="0.25">
      <c r="A1996" s="167"/>
      <c r="B1996" s="167"/>
    </row>
    <row r="1997" spans="1:2" x14ac:dyDescent="0.25">
      <c r="A1997" s="167"/>
      <c r="B1997" s="167"/>
    </row>
    <row r="1998" spans="1:2" x14ac:dyDescent="0.25">
      <c r="A1998" s="167"/>
      <c r="B1998" s="167"/>
    </row>
    <row r="1999" spans="1:2" x14ac:dyDescent="0.25">
      <c r="A1999" s="167"/>
      <c r="B1999" s="167"/>
    </row>
    <row r="2000" spans="1:2" x14ac:dyDescent="0.25">
      <c r="A2000" s="167"/>
      <c r="B2000" s="167"/>
    </row>
    <row r="2001" spans="1:2" x14ac:dyDescent="0.25">
      <c r="A2001" s="167"/>
      <c r="B2001" s="167"/>
    </row>
    <row r="2002" spans="1:2" x14ac:dyDescent="0.25">
      <c r="A2002" s="167"/>
      <c r="B2002" s="167"/>
    </row>
    <row r="2003" spans="1:2" x14ac:dyDescent="0.25">
      <c r="A2003" s="167"/>
      <c r="B2003" s="167"/>
    </row>
    <row r="2004" spans="1:2" x14ac:dyDescent="0.25">
      <c r="A2004" s="167"/>
      <c r="B2004" s="167"/>
    </row>
    <row r="2005" spans="1:2" x14ac:dyDescent="0.25">
      <c r="A2005" s="167"/>
      <c r="B2005" s="167"/>
    </row>
    <row r="2006" spans="1:2" x14ac:dyDescent="0.25">
      <c r="A2006" s="167"/>
      <c r="B2006" s="167"/>
    </row>
    <row r="2007" spans="1:2" x14ac:dyDescent="0.25">
      <c r="A2007" s="167"/>
      <c r="B2007" s="167"/>
    </row>
    <row r="2008" spans="1:2" x14ac:dyDescent="0.25">
      <c r="A2008" s="167"/>
      <c r="B2008" s="167"/>
    </row>
    <row r="2009" spans="1:2" x14ac:dyDescent="0.25">
      <c r="A2009" s="167"/>
      <c r="B2009" s="167"/>
    </row>
    <row r="2010" spans="1:2" x14ac:dyDescent="0.25">
      <c r="A2010" s="167"/>
      <c r="B2010" s="167"/>
    </row>
    <row r="2011" spans="1:2" x14ac:dyDescent="0.25">
      <c r="A2011" s="167"/>
      <c r="B2011" s="167"/>
    </row>
    <row r="2012" spans="1:2" x14ac:dyDescent="0.25">
      <c r="A2012" s="167"/>
      <c r="B2012" s="167"/>
    </row>
    <row r="2013" spans="1:2" x14ac:dyDescent="0.25">
      <c r="A2013" s="167"/>
      <c r="B2013" s="167"/>
    </row>
    <row r="2014" spans="1:2" x14ac:dyDescent="0.25">
      <c r="A2014" s="167"/>
      <c r="B2014" s="167"/>
    </row>
    <row r="2015" spans="1:2" x14ac:dyDescent="0.25">
      <c r="A2015" s="167"/>
      <c r="B2015" s="167"/>
    </row>
    <row r="2016" spans="1:2" x14ac:dyDescent="0.25">
      <c r="A2016" s="167"/>
      <c r="B2016" s="167"/>
    </row>
    <row r="2017" spans="1:2" x14ac:dyDescent="0.25">
      <c r="A2017" s="167"/>
      <c r="B2017" s="167"/>
    </row>
    <row r="2018" spans="1:2" x14ac:dyDescent="0.25">
      <c r="A2018" s="167"/>
      <c r="B2018" s="167"/>
    </row>
    <row r="2019" spans="1:2" x14ac:dyDescent="0.25">
      <c r="A2019" s="167"/>
      <c r="B2019" s="167"/>
    </row>
    <row r="2020" spans="1:2" x14ac:dyDescent="0.25">
      <c r="A2020" s="167"/>
      <c r="B2020" s="167"/>
    </row>
    <row r="2021" spans="1:2" x14ac:dyDescent="0.25">
      <c r="A2021" s="167"/>
      <c r="B2021" s="167"/>
    </row>
    <row r="2022" spans="1:2" x14ac:dyDescent="0.25">
      <c r="A2022" s="167"/>
      <c r="B2022" s="167"/>
    </row>
    <row r="2023" spans="1:2" x14ac:dyDescent="0.25">
      <c r="A2023" s="167"/>
      <c r="B2023" s="167"/>
    </row>
    <row r="2024" spans="1:2" x14ac:dyDescent="0.25">
      <c r="A2024" s="167"/>
      <c r="B2024" s="167"/>
    </row>
    <row r="2025" spans="1:2" x14ac:dyDescent="0.25">
      <c r="A2025" s="167"/>
      <c r="B2025" s="167"/>
    </row>
    <row r="2026" spans="1:2" x14ac:dyDescent="0.25">
      <c r="A2026" s="167"/>
      <c r="B2026" s="167"/>
    </row>
    <row r="2027" spans="1:2" x14ac:dyDescent="0.25">
      <c r="A2027" s="167"/>
      <c r="B2027" s="167"/>
    </row>
    <row r="2028" spans="1:2" x14ac:dyDescent="0.25">
      <c r="A2028" s="167"/>
      <c r="B2028" s="167"/>
    </row>
    <row r="2029" spans="1:2" x14ac:dyDescent="0.25">
      <c r="A2029" s="167"/>
      <c r="B2029" s="167"/>
    </row>
    <row r="2030" spans="1:2" x14ac:dyDescent="0.25">
      <c r="A2030" s="167"/>
      <c r="B2030" s="167"/>
    </row>
    <row r="2031" spans="1:2" x14ac:dyDescent="0.25">
      <c r="A2031" s="167"/>
      <c r="B2031" s="167"/>
    </row>
    <row r="2032" spans="1:2" x14ac:dyDescent="0.25">
      <c r="A2032" s="167"/>
      <c r="B2032" s="167"/>
    </row>
    <row r="2033" spans="1:2" x14ac:dyDescent="0.25">
      <c r="A2033" s="167"/>
      <c r="B2033" s="167"/>
    </row>
    <row r="2034" spans="1:2" x14ac:dyDescent="0.25">
      <c r="A2034" s="167"/>
      <c r="B2034" s="167"/>
    </row>
    <row r="2035" spans="1:2" x14ac:dyDescent="0.25">
      <c r="A2035" s="167"/>
      <c r="B2035" s="167"/>
    </row>
    <row r="2036" spans="1:2" x14ac:dyDescent="0.25">
      <c r="A2036" s="167"/>
      <c r="B2036" s="167"/>
    </row>
    <row r="2037" spans="1:2" x14ac:dyDescent="0.25">
      <c r="A2037" s="167"/>
      <c r="B2037" s="167"/>
    </row>
    <row r="2038" spans="1:2" x14ac:dyDescent="0.25">
      <c r="A2038" s="167"/>
      <c r="B2038" s="167"/>
    </row>
    <row r="2039" spans="1:2" x14ac:dyDescent="0.25">
      <c r="A2039" s="167"/>
      <c r="B2039" s="167"/>
    </row>
    <row r="2040" spans="1:2" x14ac:dyDescent="0.25">
      <c r="A2040" s="167"/>
      <c r="B2040" s="167"/>
    </row>
    <row r="2041" spans="1:2" x14ac:dyDescent="0.25">
      <c r="A2041" s="167"/>
      <c r="B2041" s="167"/>
    </row>
    <row r="2042" spans="1:2" x14ac:dyDescent="0.25">
      <c r="A2042" s="167"/>
      <c r="B2042" s="167"/>
    </row>
    <row r="2043" spans="1:2" x14ac:dyDescent="0.25">
      <c r="A2043" s="167"/>
      <c r="B2043" s="167"/>
    </row>
    <row r="2044" spans="1:2" x14ac:dyDescent="0.25">
      <c r="A2044" s="167"/>
      <c r="B2044" s="167"/>
    </row>
    <row r="2045" spans="1:2" x14ac:dyDescent="0.25">
      <c r="A2045" s="167"/>
      <c r="B2045" s="167"/>
    </row>
    <row r="2046" spans="1:2" x14ac:dyDescent="0.25">
      <c r="A2046" s="167"/>
      <c r="B2046" s="167"/>
    </row>
    <row r="2047" spans="1:2" x14ac:dyDescent="0.25">
      <c r="A2047" s="167"/>
      <c r="B2047" s="167"/>
    </row>
    <row r="2048" spans="1:2" x14ac:dyDescent="0.25">
      <c r="A2048" s="167"/>
      <c r="B2048" s="167"/>
    </row>
    <row r="2049" spans="1:2" x14ac:dyDescent="0.25">
      <c r="A2049" s="167"/>
      <c r="B2049" s="167"/>
    </row>
    <row r="2050" spans="1:2" x14ac:dyDescent="0.25">
      <c r="A2050" s="167"/>
      <c r="B2050" s="167"/>
    </row>
    <row r="2051" spans="1:2" x14ac:dyDescent="0.25">
      <c r="A2051" s="167"/>
      <c r="B2051" s="167"/>
    </row>
    <row r="2052" spans="1:2" x14ac:dyDescent="0.25">
      <c r="A2052" s="167"/>
      <c r="B2052" s="167"/>
    </row>
    <row r="2053" spans="1:2" x14ac:dyDescent="0.25">
      <c r="A2053" s="167"/>
      <c r="B2053" s="167"/>
    </row>
    <row r="2054" spans="1:2" x14ac:dyDescent="0.25">
      <c r="A2054" s="167"/>
      <c r="B2054" s="167"/>
    </row>
    <row r="2055" spans="1:2" x14ac:dyDescent="0.25">
      <c r="A2055" s="167"/>
      <c r="B2055" s="167"/>
    </row>
    <row r="2056" spans="1:2" x14ac:dyDescent="0.25">
      <c r="A2056" s="167"/>
      <c r="B2056" s="167"/>
    </row>
    <row r="2057" spans="1:2" x14ac:dyDescent="0.25">
      <c r="A2057" s="167"/>
      <c r="B2057" s="167"/>
    </row>
    <row r="2058" spans="1:2" x14ac:dyDescent="0.25">
      <c r="A2058" s="167"/>
      <c r="B2058" s="167"/>
    </row>
    <row r="2059" spans="1:2" x14ac:dyDescent="0.25">
      <c r="A2059" s="167"/>
      <c r="B2059" s="167"/>
    </row>
    <row r="2060" spans="1:2" x14ac:dyDescent="0.25">
      <c r="A2060" s="167"/>
      <c r="B2060" s="167"/>
    </row>
    <row r="2061" spans="1:2" x14ac:dyDescent="0.25">
      <c r="A2061" s="167"/>
      <c r="B2061" s="167"/>
    </row>
    <row r="2062" spans="1:2" x14ac:dyDescent="0.25">
      <c r="A2062" s="167"/>
      <c r="B2062" s="167"/>
    </row>
    <row r="2063" spans="1:2" x14ac:dyDescent="0.25">
      <c r="A2063" s="167"/>
      <c r="B2063" s="167"/>
    </row>
    <row r="2064" spans="1:2" x14ac:dyDescent="0.25">
      <c r="A2064" s="167"/>
      <c r="B2064" s="167"/>
    </row>
    <row r="2065" spans="1:2" x14ac:dyDescent="0.25">
      <c r="A2065" s="167"/>
      <c r="B2065" s="167"/>
    </row>
    <row r="2066" spans="1:2" x14ac:dyDescent="0.25">
      <c r="A2066" s="167"/>
      <c r="B2066" s="167"/>
    </row>
    <row r="2067" spans="1:2" x14ac:dyDescent="0.25">
      <c r="A2067" s="167"/>
      <c r="B2067" s="167"/>
    </row>
    <row r="2068" spans="1:2" x14ac:dyDescent="0.25">
      <c r="A2068" s="167"/>
      <c r="B2068" s="167"/>
    </row>
    <row r="2069" spans="1:2" x14ac:dyDescent="0.25">
      <c r="A2069" s="167"/>
      <c r="B2069" s="167"/>
    </row>
    <row r="2070" spans="1:2" x14ac:dyDescent="0.25">
      <c r="A2070" s="167"/>
      <c r="B2070" s="167"/>
    </row>
    <row r="2071" spans="1:2" x14ac:dyDescent="0.25">
      <c r="A2071" s="167"/>
      <c r="B2071" s="167"/>
    </row>
    <row r="2072" spans="1:2" x14ac:dyDescent="0.25">
      <c r="A2072" s="167"/>
      <c r="B2072" s="167"/>
    </row>
    <row r="2073" spans="1:2" x14ac:dyDescent="0.25">
      <c r="A2073" s="167"/>
      <c r="B2073" s="167"/>
    </row>
    <row r="2074" spans="1:2" x14ac:dyDescent="0.25">
      <c r="A2074" s="167"/>
      <c r="B2074" s="167"/>
    </row>
    <row r="2075" spans="1:2" x14ac:dyDescent="0.25">
      <c r="A2075" s="167"/>
      <c r="B2075" s="167"/>
    </row>
    <row r="2076" spans="1:2" x14ac:dyDescent="0.25">
      <c r="A2076" s="167"/>
      <c r="B2076" s="167"/>
    </row>
    <row r="2077" spans="1:2" x14ac:dyDescent="0.25">
      <c r="A2077" s="167"/>
      <c r="B2077" s="167"/>
    </row>
    <row r="2078" spans="1:2" x14ac:dyDescent="0.25">
      <c r="A2078" s="167"/>
      <c r="B2078" s="167"/>
    </row>
    <row r="2079" spans="1:2" x14ac:dyDescent="0.25">
      <c r="A2079" s="167"/>
      <c r="B2079" s="167"/>
    </row>
    <row r="2080" spans="1:2" x14ac:dyDescent="0.25">
      <c r="A2080" s="167"/>
      <c r="B2080" s="167"/>
    </row>
    <row r="2081" spans="1:2" x14ac:dyDescent="0.25">
      <c r="A2081" s="167"/>
      <c r="B2081" s="167"/>
    </row>
    <row r="2082" spans="1:2" x14ac:dyDescent="0.25">
      <c r="A2082" s="167"/>
      <c r="B2082" s="167"/>
    </row>
    <row r="2083" spans="1:2" x14ac:dyDescent="0.25">
      <c r="A2083" s="167"/>
      <c r="B2083" s="167"/>
    </row>
    <row r="2084" spans="1:2" x14ac:dyDescent="0.25">
      <c r="A2084" s="167"/>
      <c r="B2084" s="167"/>
    </row>
    <row r="2085" spans="1:2" x14ac:dyDescent="0.25">
      <c r="A2085" s="167"/>
      <c r="B2085" s="167"/>
    </row>
    <row r="2086" spans="1:2" x14ac:dyDescent="0.25">
      <c r="A2086" s="167"/>
      <c r="B2086" s="167"/>
    </row>
    <row r="2087" spans="1:2" x14ac:dyDescent="0.25">
      <c r="A2087" s="167"/>
      <c r="B2087" s="167"/>
    </row>
    <row r="2088" spans="1:2" x14ac:dyDescent="0.25">
      <c r="A2088" s="167"/>
      <c r="B2088" s="167"/>
    </row>
    <row r="2089" spans="1:2" x14ac:dyDescent="0.25">
      <c r="A2089" s="167"/>
      <c r="B2089" s="167"/>
    </row>
    <row r="2090" spans="1:2" x14ac:dyDescent="0.25">
      <c r="A2090" s="167"/>
      <c r="B2090" s="167"/>
    </row>
    <row r="2091" spans="1:2" x14ac:dyDescent="0.25">
      <c r="A2091" s="167"/>
      <c r="B2091" s="167"/>
    </row>
    <row r="2092" spans="1:2" x14ac:dyDescent="0.25">
      <c r="A2092" s="167"/>
      <c r="B2092" s="167"/>
    </row>
    <row r="2093" spans="1:2" x14ac:dyDescent="0.25">
      <c r="A2093" s="167"/>
      <c r="B2093" s="167"/>
    </row>
    <row r="2094" spans="1:2" x14ac:dyDescent="0.25">
      <c r="A2094" s="167"/>
      <c r="B2094" s="167"/>
    </row>
    <row r="2095" spans="1:2" x14ac:dyDescent="0.25">
      <c r="A2095" s="167"/>
      <c r="B2095" s="167"/>
    </row>
    <row r="2096" spans="1:2" x14ac:dyDescent="0.25">
      <c r="A2096" s="167"/>
      <c r="B2096" s="167"/>
    </row>
    <row r="2097" spans="1:2" x14ac:dyDescent="0.25">
      <c r="A2097" s="167"/>
      <c r="B2097" s="167"/>
    </row>
    <row r="2098" spans="1:2" x14ac:dyDescent="0.25">
      <c r="A2098" s="167"/>
      <c r="B2098" s="167"/>
    </row>
    <row r="2099" spans="1:2" x14ac:dyDescent="0.25">
      <c r="A2099" s="167"/>
      <c r="B2099" s="167"/>
    </row>
    <row r="2100" spans="1:2" x14ac:dyDescent="0.25">
      <c r="A2100" s="167"/>
      <c r="B2100" s="167"/>
    </row>
    <row r="2101" spans="1:2" x14ac:dyDescent="0.25">
      <c r="A2101" s="167"/>
      <c r="B2101" s="167"/>
    </row>
    <row r="2102" spans="1:2" x14ac:dyDescent="0.25">
      <c r="A2102" s="167"/>
      <c r="B2102" s="167"/>
    </row>
    <row r="2103" spans="1:2" x14ac:dyDescent="0.25">
      <c r="A2103" s="167"/>
      <c r="B2103" s="167"/>
    </row>
    <row r="2104" spans="1:2" x14ac:dyDescent="0.25">
      <c r="A2104" s="167"/>
      <c r="B2104" s="167"/>
    </row>
    <row r="2105" spans="1:2" x14ac:dyDescent="0.25">
      <c r="A2105" s="167"/>
      <c r="B2105" s="167"/>
    </row>
    <row r="2106" spans="1:2" x14ac:dyDescent="0.25">
      <c r="A2106" s="167"/>
      <c r="B2106" s="167"/>
    </row>
    <row r="2107" spans="1:2" x14ac:dyDescent="0.25">
      <c r="A2107" s="167"/>
      <c r="B2107" s="167"/>
    </row>
    <row r="2108" spans="1:2" x14ac:dyDescent="0.25">
      <c r="A2108" s="167"/>
      <c r="B2108" s="167"/>
    </row>
    <row r="2109" spans="1:2" x14ac:dyDescent="0.25">
      <c r="A2109" s="167"/>
      <c r="B2109" s="167"/>
    </row>
    <row r="2110" spans="1:2" x14ac:dyDescent="0.25">
      <c r="A2110" s="167"/>
      <c r="B2110" s="167"/>
    </row>
    <row r="2111" spans="1:2" x14ac:dyDescent="0.25">
      <c r="A2111" s="167"/>
      <c r="B2111" s="167"/>
    </row>
    <row r="2112" spans="1:2" x14ac:dyDescent="0.25">
      <c r="A2112" s="167"/>
      <c r="B2112" s="167"/>
    </row>
    <row r="2113" spans="1:2" x14ac:dyDescent="0.25">
      <c r="A2113" s="167"/>
      <c r="B2113" s="167"/>
    </row>
    <row r="2114" spans="1:2" x14ac:dyDescent="0.25">
      <c r="A2114" s="167"/>
      <c r="B2114" s="167"/>
    </row>
    <row r="2115" spans="1:2" x14ac:dyDescent="0.25">
      <c r="A2115" s="167"/>
      <c r="B2115" s="167"/>
    </row>
    <row r="2116" spans="1:2" x14ac:dyDescent="0.25">
      <c r="A2116" s="167"/>
      <c r="B2116" s="167"/>
    </row>
    <row r="2117" spans="1:2" x14ac:dyDescent="0.25">
      <c r="A2117" s="167"/>
      <c r="B2117" s="167"/>
    </row>
    <row r="2118" spans="1:2" x14ac:dyDescent="0.25">
      <c r="A2118" s="167"/>
      <c r="B2118" s="167"/>
    </row>
    <row r="2119" spans="1:2" x14ac:dyDescent="0.25">
      <c r="A2119" s="167"/>
      <c r="B2119" s="167"/>
    </row>
    <row r="2120" spans="1:2" x14ac:dyDescent="0.25">
      <c r="A2120" s="167"/>
      <c r="B2120" s="167"/>
    </row>
    <row r="2121" spans="1:2" x14ac:dyDescent="0.25">
      <c r="A2121" s="167"/>
      <c r="B2121" s="167"/>
    </row>
    <row r="2122" spans="1:2" x14ac:dyDescent="0.25">
      <c r="A2122" s="167"/>
      <c r="B2122" s="167"/>
    </row>
    <row r="2123" spans="1:2" x14ac:dyDescent="0.25">
      <c r="A2123" s="167"/>
      <c r="B2123" s="167"/>
    </row>
    <row r="2124" spans="1:2" x14ac:dyDescent="0.25">
      <c r="A2124" s="167"/>
      <c r="B2124" s="167"/>
    </row>
    <row r="2125" spans="1:2" x14ac:dyDescent="0.25">
      <c r="A2125" s="167"/>
      <c r="B2125" s="167"/>
    </row>
    <row r="2126" spans="1:2" x14ac:dyDescent="0.25">
      <c r="A2126" s="167"/>
      <c r="B2126" s="167"/>
    </row>
    <row r="2127" spans="1:2" x14ac:dyDescent="0.25">
      <c r="A2127" s="167"/>
      <c r="B2127" s="167"/>
    </row>
    <row r="2128" spans="1:2" x14ac:dyDescent="0.25">
      <c r="A2128" s="167"/>
      <c r="B2128" s="167"/>
    </row>
    <row r="2129" spans="1:2" x14ac:dyDescent="0.25">
      <c r="A2129" s="167"/>
      <c r="B2129" s="167"/>
    </row>
    <row r="2130" spans="1:2" x14ac:dyDescent="0.25">
      <c r="A2130" s="167"/>
      <c r="B2130" s="167"/>
    </row>
    <row r="2131" spans="1:2" x14ac:dyDescent="0.25">
      <c r="A2131" s="167"/>
      <c r="B2131" s="167"/>
    </row>
    <row r="2132" spans="1:2" x14ac:dyDescent="0.25">
      <c r="A2132" s="167"/>
      <c r="B2132" s="167"/>
    </row>
    <row r="2133" spans="1:2" x14ac:dyDescent="0.25">
      <c r="A2133" s="167"/>
      <c r="B2133" s="167"/>
    </row>
    <row r="2134" spans="1:2" x14ac:dyDescent="0.25">
      <c r="A2134" s="167"/>
      <c r="B2134" s="167"/>
    </row>
    <row r="2135" spans="1:2" x14ac:dyDescent="0.25">
      <c r="A2135" s="167"/>
      <c r="B2135" s="167"/>
    </row>
    <row r="2136" spans="1:2" x14ac:dyDescent="0.25">
      <c r="A2136" s="167"/>
      <c r="B2136" s="167"/>
    </row>
    <row r="2137" spans="1:2" x14ac:dyDescent="0.25">
      <c r="A2137" s="167"/>
      <c r="B2137" s="167"/>
    </row>
    <row r="2138" spans="1:2" x14ac:dyDescent="0.25">
      <c r="A2138" s="167"/>
      <c r="B2138" s="167"/>
    </row>
    <row r="2139" spans="1:2" x14ac:dyDescent="0.25">
      <c r="A2139" s="167"/>
      <c r="B2139" s="167"/>
    </row>
    <row r="2140" spans="1:2" x14ac:dyDescent="0.25">
      <c r="A2140" s="167"/>
      <c r="B2140" s="167"/>
    </row>
    <row r="2141" spans="1:2" x14ac:dyDescent="0.25">
      <c r="A2141" s="167"/>
      <c r="B2141" s="167"/>
    </row>
    <row r="2142" spans="1:2" x14ac:dyDescent="0.25">
      <c r="A2142" s="167"/>
      <c r="B2142" s="167"/>
    </row>
    <row r="2143" spans="1:2" x14ac:dyDescent="0.25">
      <c r="A2143" s="167"/>
      <c r="B2143" s="167"/>
    </row>
    <row r="2144" spans="1:2" x14ac:dyDescent="0.25">
      <c r="A2144" s="167"/>
      <c r="B2144" s="167"/>
    </row>
    <row r="2145" spans="1:2" x14ac:dyDescent="0.25">
      <c r="A2145" s="167"/>
      <c r="B2145" s="167"/>
    </row>
    <row r="2146" spans="1:2" x14ac:dyDescent="0.25">
      <c r="A2146" s="167"/>
      <c r="B2146" s="167"/>
    </row>
    <row r="2147" spans="1:2" x14ac:dyDescent="0.25">
      <c r="A2147" s="167"/>
      <c r="B2147" s="167"/>
    </row>
    <row r="2148" spans="1:2" x14ac:dyDescent="0.25">
      <c r="A2148" s="167"/>
      <c r="B2148" s="167"/>
    </row>
    <row r="2149" spans="1:2" x14ac:dyDescent="0.25">
      <c r="A2149" s="167"/>
      <c r="B2149" s="167"/>
    </row>
    <row r="2150" spans="1:2" x14ac:dyDescent="0.25">
      <c r="A2150" s="167"/>
      <c r="B2150" s="167"/>
    </row>
    <row r="2151" spans="1:2" x14ac:dyDescent="0.25">
      <c r="A2151" s="167"/>
      <c r="B2151" s="167"/>
    </row>
    <row r="2152" spans="1:2" x14ac:dyDescent="0.25">
      <c r="A2152" s="167"/>
      <c r="B2152" s="167"/>
    </row>
    <row r="2153" spans="1:2" x14ac:dyDescent="0.25">
      <c r="A2153" s="167"/>
      <c r="B2153" s="167"/>
    </row>
    <row r="2154" spans="1:2" x14ac:dyDescent="0.25">
      <c r="A2154" s="167"/>
      <c r="B2154" s="167"/>
    </row>
    <row r="2155" spans="1:2" x14ac:dyDescent="0.25">
      <c r="A2155" s="167"/>
      <c r="B2155" s="167"/>
    </row>
    <row r="2156" spans="1:2" x14ac:dyDescent="0.25">
      <c r="A2156" s="167"/>
      <c r="B2156" s="167"/>
    </row>
    <row r="2157" spans="1:2" x14ac:dyDescent="0.25">
      <c r="A2157" s="167"/>
      <c r="B2157" s="167"/>
    </row>
    <row r="2158" spans="1:2" x14ac:dyDescent="0.25">
      <c r="A2158" s="167"/>
      <c r="B2158" s="167"/>
    </row>
    <row r="2159" spans="1:2" x14ac:dyDescent="0.25">
      <c r="A2159" s="167"/>
      <c r="B2159" s="167"/>
    </row>
    <row r="2160" spans="1:2" x14ac:dyDescent="0.25">
      <c r="A2160" s="167"/>
      <c r="B2160" s="167"/>
    </row>
    <row r="2161" spans="1:2" x14ac:dyDescent="0.25">
      <c r="A2161" s="167"/>
      <c r="B2161" s="167"/>
    </row>
    <row r="2162" spans="1:2" x14ac:dyDescent="0.25">
      <c r="A2162" s="167"/>
      <c r="B2162" s="167"/>
    </row>
    <row r="2163" spans="1:2" x14ac:dyDescent="0.25">
      <c r="A2163" s="167"/>
      <c r="B2163" s="167"/>
    </row>
    <row r="2164" spans="1:2" x14ac:dyDescent="0.25">
      <c r="A2164" s="167"/>
      <c r="B2164" s="167"/>
    </row>
    <row r="2165" spans="1:2" x14ac:dyDescent="0.25">
      <c r="A2165" s="167"/>
      <c r="B2165" s="167"/>
    </row>
    <row r="2166" spans="1:2" x14ac:dyDescent="0.25">
      <c r="A2166" s="167"/>
      <c r="B2166" s="167"/>
    </row>
    <row r="2167" spans="1:2" x14ac:dyDescent="0.25">
      <c r="A2167" s="167"/>
      <c r="B2167" s="167"/>
    </row>
    <row r="2168" spans="1:2" x14ac:dyDescent="0.25">
      <c r="A2168" s="167"/>
      <c r="B2168" s="167"/>
    </row>
    <row r="2169" spans="1:2" x14ac:dyDescent="0.25">
      <c r="A2169" s="167"/>
      <c r="B2169" s="167"/>
    </row>
    <row r="2170" spans="1:2" x14ac:dyDescent="0.25">
      <c r="A2170" s="167"/>
      <c r="B2170" s="167"/>
    </row>
    <row r="2171" spans="1:2" x14ac:dyDescent="0.25">
      <c r="A2171" s="167"/>
      <c r="B2171" s="167"/>
    </row>
    <row r="2172" spans="1:2" x14ac:dyDescent="0.25">
      <c r="A2172" s="167"/>
      <c r="B2172" s="167"/>
    </row>
    <row r="2173" spans="1:2" x14ac:dyDescent="0.25">
      <c r="A2173" s="167"/>
      <c r="B2173" s="167"/>
    </row>
    <row r="2174" spans="1:2" x14ac:dyDescent="0.25">
      <c r="A2174" s="167"/>
      <c r="B2174" s="167"/>
    </row>
    <row r="2175" spans="1:2" x14ac:dyDescent="0.25">
      <c r="A2175" s="167"/>
      <c r="B2175" s="167"/>
    </row>
    <row r="2176" spans="1:2" x14ac:dyDescent="0.25">
      <c r="A2176" s="167"/>
      <c r="B2176" s="167"/>
    </row>
    <row r="2177" spans="1:2" x14ac:dyDescent="0.25">
      <c r="A2177" s="167"/>
      <c r="B2177" s="167"/>
    </row>
    <row r="2178" spans="1:2" x14ac:dyDescent="0.25">
      <c r="A2178" s="167"/>
      <c r="B2178" s="167"/>
    </row>
    <row r="2179" spans="1:2" x14ac:dyDescent="0.25">
      <c r="A2179" s="167"/>
      <c r="B2179" s="167"/>
    </row>
    <row r="2180" spans="1:2" x14ac:dyDescent="0.25">
      <c r="A2180" s="167"/>
      <c r="B2180" s="167"/>
    </row>
    <row r="2181" spans="1:2" x14ac:dyDescent="0.25">
      <c r="A2181" s="167"/>
      <c r="B2181" s="167"/>
    </row>
    <row r="2182" spans="1:2" x14ac:dyDescent="0.25">
      <c r="A2182" s="167"/>
      <c r="B2182" s="167"/>
    </row>
    <row r="2183" spans="1:2" x14ac:dyDescent="0.25">
      <c r="A2183" s="167"/>
      <c r="B2183" s="167"/>
    </row>
    <row r="2184" spans="1:2" x14ac:dyDescent="0.25">
      <c r="A2184" s="167"/>
      <c r="B2184" s="167"/>
    </row>
    <row r="2185" spans="1:2" x14ac:dyDescent="0.25">
      <c r="A2185" s="167"/>
      <c r="B2185" s="167"/>
    </row>
    <row r="2186" spans="1:2" x14ac:dyDescent="0.25">
      <c r="A2186" s="167"/>
      <c r="B2186" s="167"/>
    </row>
    <row r="2187" spans="1:2" x14ac:dyDescent="0.25">
      <c r="A2187" s="167"/>
      <c r="B2187" s="167"/>
    </row>
    <row r="2188" spans="1:2" x14ac:dyDescent="0.25">
      <c r="A2188" s="167"/>
      <c r="B2188" s="167"/>
    </row>
    <row r="2189" spans="1:2" x14ac:dyDescent="0.25">
      <c r="A2189" s="167"/>
      <c r="B2189" s="167"/>
    </row>
    <row r="2190" spans="1:2" x14ac:dyDescent="0.25">
      <c r="A2190" s="167"/>
      <c r="B2190" s="167"/>
    </row>
    <row r="2191" spans="1:2" x14ac:dyDescent="0.25">
      <c r="A2191" s="167"/>
      <c r="B2191" s="167"/>
    </row>
    <row r="2192" spans="1:2" x14ac:dyDescent="0.25">
      <c r="A2192" s="167"/>
      <c r="B2192" s="167"/>
    </row>
    <row r="2193" spans="1:2" x14ac:dyDescent="0.25">
      <c r="A2193" s="167"/>
      <c r="B2193" s="167"/>
    </row>
    <row r="2194" spans="1:2" x14ac:dyDescent="0.25">
      <c r="A2194" s="167"/>
      <c r="B2194" s="167"/>
    </row>
    <row r="2195" spans="1:2" x14ac:dyDescent="0.25">
      <c r="A2195" s="167"/>
      <c r="B2195" s="167"/>
    </row>
    <row r="2196" spans="1:2" x14ac:dyDescent="0.25">
      <c r="A2196" s="167"/>
      <c r="B2196" s="167"/>
    </row>
    <row r="2197" spans="1:2" x14ac:dyDescent="0.25">
      <c r="A2197" s="167"/>
      <c r="B2197" s="167"/>
    </row>
    <row r="2198" spans="1:2" x14ac:dyDescent="0.25">
      <c r="A2198" s="167"/>
      <c r="B2198" s="167"/>
    </row>
    <row r="2199" spans="1:2" x14ac:dyDescent="0.25">
      <c r="A2199" s="167"/>
      <c r="B2199" s="167"/>
    </row>
    <row r="2200" spans="1:2" x14ac:dyDescent="0.25">
      <c r="A2200" s="167"/>
      <c r="B2200" s="167"/>
    </row>
    <row r="2201" spans="1:2" x14ac:dyDescent="0.25">
      <c r="A2201" s="167"/>
      <c r="B2201" s="167"/>
    </row>
    <row r="2202" spans="1:2" x14ac:dyDescent="0.25">
      <c r="A2202" s="167"/>
      <c r="B2202" s="167"/>
    </row>
    <row r="2203" spans="1:2" x14ac:dyDescent="0.25">
      <c r="A2203" s="167"/>
      <c r="B2203" s="167"/>
    </row>
    <row r="2204" spans="1:2" x14ac:dyDescent="0.25">
      <c r="A2204" s="167"/>
      <c r="B2204" s="167"/>
    </row>
    <row r="2205" spans="1:2" x14ac:dyDescent="0.25">
      <c r="A2205" s="167"/>
      <c r="B2205" s="167"/>
    </row>
    <row r="2206" spans="1:2" x14ac:dyDescent="0.25">
      <c r="A2206" s="167"/>
      <c r="B2206" s="167"/>
    </row>
    <row r="2207" spans="1:2" x14ac:dyDescent="0.25">
      <c r="A2207" s="167"/>
      <c r="B2207" s="167"/>
    </row>
    <row r="2208" spans="1:2" x14ac:dyDescent="0.25">
      <c r="A2208" s="167"/>
      <c r="B2208" s="167"/>
    </row>
    <row r="2209" spans="1:2" x14ac:dyDescent="0.25">
      <c r="A2209" s="167"/>
      <c r="B2209" s="167"/>
    </row>
    <row r="2210" spans="1:2" x14ac:dyDescent="0.25">
      <c r="A2210" s="167"/>
      <c r="B2210" s="167"/>
    </row>
    <row r="2211" spans="1:2" x14ac:dyDescent="0.25">
      <c r="A2211" s="167"/>
      <c r="B2211" s="167"/>
    </row>
    <row r="2212" spans="1:2" x14ac:dyDescent="0.25">
      <c r="A2212" s="167"/>
      <c r="B2212" s="167"/>
    </row>
    <row r="2213" spans="1:2" x14ac:dyDescent="0.25">
      <c r="A2213" s="167"/>
      <c r="B2213" s="167"/>
    </row>
    <row r="2214" spans="1:2" x14ac:dyDescent="0.25">
      <c r="A2214" s="167"/>
      <c r="B2214" s="167"/>
    </row>
    <row r="2215" spans="1:2" x14ac:dyDescent="0.25">
      <c r="A2215" s="167"/>
      <c r="B2215" s="167"/>
    </row>
    <row r="2216" spans="1:2" x14ac:dyDescent="0.25">
      <c r="A2216" s="167"/>
      <c r="B2216" s="167"/>
    </row>
    <row r="2217" spans="1:2" x14ac:dyDescent="0.25">
      <c r="A2217" s="167"/>
      <c r="B2217" s="167"/>
    </row>
    <row r="2218" spans="1:2" x14ac:dyDescent="0.25">
      <c r="A2218" s="167"/>
      <c r="B2218" s="167"/>
    </row>
    <row r="2219" spans="1:2" x14ac:dyDescent="0.25">
      <c r="A2219" s="167"/>
      <c r="B2219" s="167"/>
    </row>
    <row r="2220" spans="1:2" x14ac:dyDescent="0.25">
      <c r="A2220" s="167"/>
      <c r="B2220" s="167"/>
    </row>
    <row r="2221" spans="1:2" x14ac:dyDescent="0.25">
      <c r="A2221" s="167"/>
      <c r="B2221" s="167"/>
    </row>
    <row r="2222" spans="1:2" x14ac:dyDescent="0.25">
      <c r="A2222" s="167"/>
      <c r="B2222" s="167"/>
    </row>
    <row r="2223" spans="1:2" x14ac:dyDescent="0.25">
      <c r="A2223" s="167"/>
      <c r="B2223" s="167"/>
    </row>
    <row r="2224" spans="1:2" x14ac:dyDescent="0.25">
      <c r="A2224" s="167"/>
      <c r="B2224" s="167"/>
    </row>
    <row r="2225" spans="1:2" x14ac:dyDescent="0.25">
      <c r="A2225" s="167"/>
      <c r="B2225" s="167"/>
    </row>
    <row r="2226" spans="1:2" x14ac:dyDescent="0.25">
      <c r="A2226" s="167"/>
      <c r="B2226" s="167"/>
    </row>
    <row r="2227" spans="1:2" x14ac:dyDescent="0.25">
      <c r="A2227" s="167"/>
      <c r="B2227" s="167"/>
    </row>
    <row r="2228" spans="1:2" x14ac:dyDescent="0.25">
      <c r="A2228" s="167"/>
      <c r="B2228" s="167"/>
    </row>
    <row r="2229" spans="1:2" x14ac:dyDescent="0.25">
      <c r="A2229" s="167"/>
      <c r="B2229" s="167"/>
    </row>
    <row r="2230" spans="1:2" x14ac:dyDescent="0.25">
      <c r="A2230" s="167"/>
      <c r="B2230" s="167"/>
    </row>
    <row r="2231" spans="1:2" x14ac:dyDescent="0.25">
      <c r="A2231" s="167"/>
      <c r="B2231" s="167"/>
    </row>
    <row r="2232" spans="1:2" x14ac:dyDescent="0.25">
      <c r="A2232" s="167"/>
      <c r="B2232" s="167"/>
    </row>
    <row r="2233" spans="1:2" x14ac:dyDescent="0.25">
      <c r="A2233" s="167"/>
      <c r="B2233" s="167"/>
    </row>
    <row r="2234" spans="1:2" x14ac:dyDescent="0.25">
      <c r="A2234" s="167"/>
      <c r="B2234" s="167"/>
    </row>
    <row r="2235" spans="1:2" x14ac:dyDescent="0.25">
      <c r="A2235" s="167"/>
      <c r="B2235" s="167"/>
    </row>
    <row r="2236" spans="1:2" x14ac:dyDescent="0.25">
      <c r="A2236" s="167"/>
      <c r="B2236" s="167"/>
    </row>
    <row r="2237" spans="1:2" x14ac:dyDescent="0.25">
      <c r="A2237" s="167"/>
      <c r="B2237" s="167"/>
    </row>
    <row r="2238" spans="1:2" x14ac:dyDescent="0.25">
      <c r="A2238" s="167"/>
      <c r="B2238" s="167"/>
    </row>
    <row r="2239" spans="1:2" x14ac:dyDescent="0.25">
      <c r="A2239" s="167"/>
      <c r="B2239" s="167"/>
    </row>
    <row r="2240" spans="1:2" x14ac:dyDescent="0.25">
      <c r="A2240" s="167"/>
      <c r="B2240" s="167"/>
    </row>
    <row r="2241" spans="1:2" x14ac:dyDescent="0.25">
      <c r="A2241" s="167"/>
      <c r="B2241" s="167"/>
    </row>
    <row r="2242" spans="1:2" x14ac:dyDescent="0.25">
      <c r="A2242" s="167"/>
      <c r="B2242" s="167"/>
    </row>
    <row r="2243" spans="1:2" x14ac:dyDescent="0.25">
      <c r="A2243" s="167"/>
      <c r="B2243" s="167"/>
    </row>
    <row r="2244" spans="1:2" x14ac:dyDescent="0.25">
      <c r="A2244" s="167"/>
      <c r="B2244" s="167"/>
    </row>
    <row r="2245" spans="1:2" x14ac:dyDescent="0.25">
      <c r="A2245" s="167"/>
      <c r="B2245" s="167"/>
    </row>
    <row r="2246" spans="1:2" x14ac:dyDescent="0.25">
      <c r="A2246" s="167"/>
      <c r="B2246" s="167"/>
    </row>
    <row r="2247" spans="1:2" x14ac:dyDescent="0.25">
      <c r="A2247" s="167"/>
      <c r="B2247" s="167"/>
    </row>
    <row r="2248" spans="1:2" x14ac:dyDescent="0.25">
      <c r="A2248" s="167"/>
      <c r="B2248" s="167"/>
    </row>
    <row r="2249" spans="1:2" x14ac:dyDescent="0.25">
      <c r="A2249" s="167"/>
      <c r="B2249" s="167"/>
    </row>
    <row r="2250" spans="1:2" x14ac:dyDescent="0.25">
      <c r="A2250" s="167"/>
      <c r="B2250" s="167"/>
    </row>
    <row r="2251" spans="1:2" x14ac:dyDescent="0.25">
      <c r="A2251" s="167"/>
      <c r="B2251" s="167"/>
    </row>
    <row r="2252" spans="1:2" x14ac:dyDescent="0.25">
      <c r="A2252" s="167"/>
      <c r="B2252" s="167"/>
    </row>
    <row r="2253" spans="1:2" x14ac:dyDescent="0.25">
      <c r="A2253" s="167"/>
      <c r="B2253" s="167"/>
    </row>
    <row r="2254" spans="1:2" x14ac:dyDescent="0.25">
      <c r="A2254" s="167"/>
      <c r="B2254" s="167"/>
    </row>
    <row r="2255" spans="1:2" x14ac:dyDescent="0.25">
      <c r="A2255" s="167"/>
      <c r="B2255" s="167"/>
    </row>
    <row r="2256" spans="1:2" x14ac:dyDescent="0.25">
      <c r="A2256" s="167"/>
      <c r="B2256" s="167"/>
    </row>
    <row r="2257" spans="1:2" x14ac:dyDescent="0.25">
      <c r="A2257" s="167"/>
      <c r="B2257" s="167"/>
    </row>
    <row r="2258" spans="1:2" x14ac:dyDescent="0.25">
      <c r="A2258" s="167"/>
      <c r="B2258" s="167"/>
    </row>
    <row r="2259" spans="1:2" x14ac:dyDescent="0.25">
      <c r="A2259" s="167"/>
      <c r="B2259" s="167"/>
    </row>
    <row r="2260" spans="1:2" x14ac:dyDescent="0.25">
      <c r="A2260" s="167"/>
      <c r="B2260" s="167"/>
    </row>
    <row r="2261" spans="1:2" x14ac:dyDescent="0.25">
      <c r="A2261" s="167"/>
      <c r="B2261" s="167"/>
    </row>
    <row r="2262" spans="1:2" x14ac:dyDescent="0.25">
      <c r="A2262" s="167"/>
      <c r="B2262" s="167"/>
    </row>
    <row r="2263" spans="1:2" x14ac:dyDescent="0.25">
      <c r="A2263" s="167"/>
      <c r="B2263" s="167"/>
    </row>
    <row r="2264" spans="1:2" x14ac:dyDescent="0.25">
      <c r="A2264" s="167"/>
      <c r="B2264" s="167"/>
    </row>
    <row r="2265" spans="1:2" x14ac:dyDescent="0.25">
      <c r="A2265" s="167"/>
      <c r="B2265" s="167"/>
    </row>
    <row r="2266" spans="1:2" x14ac:dyDescent="0.25">
      <c r="A2266" s="167"/>
      <c r="B2266" s="167"/>
    </row>
    <row r="2267" spans="1:2" x14ac:dyDescent="0.25">
      <c r="A2267" s="167"/>
      <c r="B2267" s="167"/>
    </row>
    <row r="2268" spans="1:2" x14ac:dyDescent="0.25">
      <c r="A2268" s="167"/>
      <c r="B2268" s="167"/>
    </row>
    <row r="2269" spans="1:2" x14ac:dyDescent="0.25">
      <c r="A2269" s="167"/>
      <c r="B2269" s="167"/>
    </row>
    <row r="2270" spans="1:2" x14ac:dyDescent="0.25">
      <c r="A2270" s="167"/>
      <c r="B2270" s="167"/>
    </row>
    <row r="2271" spans="1:2" x14ac:dyDescent="0.25">
      <c r="A2271" s="167"/>
      <c r="B2271" s="167"/>
    </row>
    <row r="2272" spans="1:2" x14ac:dyDescent="0.25">
      <c r="A2272" s="167"/>
      <c r="B2272" s="167"/>
    </row>
    <row r="2273" spans="1:2" x14ac:dyDescent="0.25">
      <c r="A2273" s="167"/>
      <c r="B2273" s="167"/>
    </row>
    <row r="2274" spans="1:2" x14ac:dyDescent="0.25">
      <c r="A2274" s="167"/>
      <c r="B2274" s="167"/>
    </row>
    <row r="2275" spans="1:2" x14ac:dyDescent="0.25">
      <c r="A2275" s="167"/>
      <c r="B2275" s="167"/>
    </row>
    <row r="2276" spans="1:2" x14ac:dyDescent="0.25">
      <c r="A2276" s="167"/>
      <c r="B2276" s="167"/>
    </row>
    <row r="2277" spans="1:2" x14ac:dyDescent="0.25">
      <c r="A2277" s="167"/>
      <c r="B2277" s="167"/>
    </row>
    <row r="2278" spans="1:2" x14ac:dyDescent="0.25">
      <c r="A2278" s="167"/>
      <c r="B2278" s="167"/>
    </row>
    <row r="2279" spans="1:2" x14ac:dyDescent="0.25">
      <c r="A2279" s="167"/>
      <c r="B2279" s="167"/>
    </row>
    <row r="2280" spans="1:2" x14ac:dyDescent="0.25">
      <c r="A2280" s="167"/>
      <c r="B2280" s="167"/>
    </row>
    <row r="2281" spans="1:2" x14ac:dyDescent="0.25">
      <c r="A2281" s="167"/>
      <c r="B2281" s="167"/>
    </row>
    <row r="2282" spans="1:2" x14ac:dyDescent="0.25">
      <c r="A2282" s="167"/>
      <c r="B2282" s="167"/>
    </row>
    <row r="2283" spans="1:2" x14ac:dyDescent="0.25">
      <c r="A2283" s="167"/>
      <c r="B2283" s="167"/>
    </row>
    <row r="2284" spans="1:2" x14ac:dyDescent="0.25">
      <c r="A2284" s="167"/>
      <c r="B2284" s="167"/>
    </row>
    <row r="2285" spans="1:2" x14ac:dyDescent="0.25">
      <c r="A2285" s="167"/>
      <c r="B2285" s="167"/>
    </row>
    <row r="2286" spans="1:2" x14ac:dyDescent="0.25">
      <c r="A2286" s="167"/>
      <c r="B2286" s="167"/>
    </row>
    <row r="2287" spans="1:2" x14ac:dyDescent="0.25">
      <c r="A2287" s="167"/>
      <c r="B2287" s="167"/>
    </row>
    <row r="2288" spans="1:2" x14ac:dyDescent="0.25">
      <c r="A2288" s="167"/>
      <c r="B2288" s="167"/>
    </row>
    <row r="2289" spans="1:2" x14ac:dyDescent="0.25">
      <c r="A2289" s="167"/>
      <c r="B2289" s="167"/>
    </row>
    <row r="2290" spans="1:2" x14ac:dyDescent="0.25">
      <c r="A2290" s="167"/>
      <c r="B2290" s="167"/>
    </row>
    <row r="2291" spans="1:2" x14ac:dyDescent="0.25">
      <c r="A2291" s="167"/>
      <c r="B2291" s="167"/>
    </row>
    <row r="2292" spans="1:2" x14ac:dyDescent="0.25">
      <c r="A2292" s="167"/>
      <c r="B2292" s="167"/>
    </row>
    <row r="2293" spans="1:2" x14ac:dyDescent="0.25">
      <c r="A2293" s="167"/>
      <c r="B2293" s="167"/>
    </row>
    <row r="2294" spans="1:2" x14ac:dyDescent="0.25">
      <c r="A2294" s="167"/>
      <c r="B2294" s="167"/>
    </row>
    <row r="2295" spans="1:2" x14ac:dyDescent="0.25">
      <c r="A2295" s="167"/>
      <c r="B2295" s="167"/>
    </row>
    <row r="2296" spans="1:2" x14ac:dyDescent="0.25">
      <c r="A2296" s="167"/>
      <c r="B2296" s="167"/>
    </row>
    <row r="2297" spans="1:2" x14ac:dyDescent="0.25">
      <c r="A2297" s="167"/>
      <c r="B2297" s="167"/>
    </row>
    <row r="2298" spans="1:2" x14ac:dyDescent="0.25">
      <c r="A2298" s="167"/>
      <c r="B2298" s="167"/>
    </row>
    <row r="2299" spans="1:2" x14ac:dyDescent="0.25">
      <c r="A2299" s="167"/>
      <c r="B2299" s="167"/>
    </row>
    <row r="2300" spans="1:2" x14ac:dyDescent="0.25">
      <c r="A2300" s="167"/>
      <c r="B2300" s="167"/>
    </row>
    <row r="2301" spans="1:2" x14ac:dyDescent="0.25">
      <c r="A2301" s="167"/>
      <c r="B2301" s="167"/>
    </row>
    <row r="2302" spans="1:2" x14ac:dyDescent="0.25">
      <c r="A2302" s="167"/>
      <c r="B2302" s="167"/>
    </row>
    <row r="2303" spans="1:2" x14ac:dyDescent="0.25">
      <c r="A2303" s="167"/>
      <c r="B2303" s="167"/>
    </row>
    <row r="2304" spans="1:2" x14ac:dyDescent="0.25">
      <c r="A2304" s="167"/>
      <c r="B2304" s="167"/>
    </row>
    <row r="2305" spans="1:2" x14ac:dyDescent="0.25">
      <c r="A2305" s="167"/>
      <c r="B2305" s="167"/>
    </row>
    <row r="2306" spans="1:2" x14ac:dyDescent="0.25">
      <c r="A2306" s="167"/>
      <c r="B2306" s="167"/>
    </row>
    <row r="2307" spans="1:2" x14ac:dyDescent="0.25">
      <c r="A2307" s="167"/>
      <c r="B2307" s="167"/>
    </row>
    <row r="2308" spans="1:2" x14ac:dyDescent="0.25">
      <c r="A2308" s="167"/>
      <c r="B2308" s="167"/>
    </row>
    <row r="2309" spans="1:2" x14ac:dyDescent="0.25">
      <c r="A2309" s="167"/>
      <c r="B2309" s="167"/>
    </row>
    <row r="2310" spans="1:2" x14ac:dyDescent="0.25">
      <c r="A2310" s="167"/>
      <c r="B2310" s="167"/>
    </row>
    <row r="2311" spans="1:2" x14ac:dyDescent="0.25">
      <c r="A2311" s="167"/>
      <c r="B2311" s="167"/>
    </row>
    <row r="2312" spans="1:2" x14ac:dyDescent="0.25">
      <c r="A2312" s="167"/>
      <c r="B2312" s="167"/>
    </row>
    <row r="2313" spans="1:2" x14ac:dyDescent="0.25">
      <c r="A2313" s="167"/>
      <c r="B2313" s="167"/>
    </row>
    <row r="2314" spans="1:2" x14ac:dyDescent="0.25">
      <c r="A2314" s="167"/>
      <c r="B2314" s="167"/>
    </row>
    <row r="2315" spans="1:2" x14ac:dyDescent="0.25">
      <c r="A2315" s="167"/>
      <c r="B2315" s="167"/>
    </row>
    <row r="2316" spans="1:2" x14ac:dyDescent="0.25">
      <c r="A2316" s="167"/>
      <c r="B2316" s="167"/>
    </row>
    <row r="2317" spans="1:2" x14ac:dyDescent="0.25">
      <c r="A2317" s="167"/>
      <c r="B2317" s="167"/>
    </row>
    <row r="2318" spans="1:2" x14ac:dyDescent="0.25">
      <c r="A2318" s="167"/>
      <c r="B2318" s="167"/>
    </row>
    <row r="2319" spans="1:2" x14ac:dyDescent="0.25">
      <c r="A2319" s="167"/>
      <c r="B2319" s="167"/>
    </row>
    <row r="2320" spans="1:2" x14ac:dyDescent="0.25">
      <c r="A2320" s="167"/>
      <c r="B2320" s="167"/>
    </row>
    <row r="2321" spans="1:2" x14ac:dyDescent="0.25">
      <c r="A2321" s="167"/>
      <c r="B2321" s="167"/>
    </row>
    <row r="2322" spans="1:2" x14ac:dyDescent="0.25">
      <c r="A2322" s="167"/>
      <c r="B2322" s="167"/>
    </row>
    <row r="2323" spans="1:2" x14ac:dyDescent="0.25">
      <c r="A2323" s="167"/>
      <c r="B2323" s="167"/>
    </row>
    <row r="2324" spans="1:2" x14ac:dyDescent="0.25">
      <c r="A2324" s="167"/>
      <c r="B2324" s="167"/>
    </row>
    <row r="2325" spans="1:2" x14ac:dyDescent="0.25">
      <c r="A2325" s="167"/>
      <c r="B2325" s="167"/>
    </row>
    <row r="2326" spans="1:2" x14ac:dyDescent="0.25">
      <c r="A2326" s="167"/>
      <c r="B2326" s="167"/>
    </row>
    <row r="2327" spans="1:2" x14ac:dyDescent="0.25">
      <c r="A2327" s="167"/>
      <c r="B2327" s="167"/>
    </row>
    <row r="2328" spans="1:2" x14ac:dyDescent="0.25">
      <c r="A2328" s="167"/>
      <c r="B2328" s="167"/>
    </row>
    <row r="2329" spans="1:2" x14ac:dyDescent="0.25">
      <c r="A2329" s="167"/>
      <c r="B2329" s="167"/>
    </row>
    <row r="2330" spans="1:2" x14ac:dyDescent="0.25">
      <c r="A2330" s="167"/>
      <c r="B2330" s="167"/>
    </row>
    <row r="2331" spans="1:2" x14ac:dyDescent="0.25">
      <c r="A2331" s="167"/>
      <c r="B2331" s="167"/>
    </row>
    <row r="2332" spans="1:2" x14ac:dyDescent="0.25">
      <c r="A2332" s="167"/>
      <c r="B2332" s="167"/>
    </row>
    <row r="2333" spans="1:2" x14ac:dyDescent="0.25">
      <c r="A2333" s="167"/>
      <c r="B2333" s="167"/>
    </row>
    <row r="2334" spans="1:2" x14ac:dyDescent="0.25">
      <c r="A2334" s="167"/>
      <c r="B2334" s="167"/>
    </row>
    <row r="2335" spans="1:2" x14ac:dyDescent="0.25">
      <c r="A2335" s="167"/>
      <c r="B2335" s="167"/>
    </row>
    <row r="2336" spans="1:2" x14ac:dyDescent="0.25">
      <c r="A2336" s="167"/>
      <c r="B2336" s="167"/>
    </row>
    <row r="2337" spans="1:2" x14ac:dyDescent="0.25">
      <c r="A2337" s="167"/>
      <c r="B2337" s="167"/>
    </row>
    <row r="2338" spans="1:2" x14ac:dyDescent="0.25">
      <c r="A2338" s="167"/>
      <c r="B2338" s="167"/>
    </row>
    <row r="2339" spans="1:2" x14ac:dyDescent="0.25">
      <c r="A2339" s="167"/>
      <c r="B2339" s="167"/>
    </row>
    <row r="2340" spans="1:2" x14ac:dyDescent="0.25">
      <c r="A2340" s="167"/>
      <c r="B2340" s="167"/>
    </row>
    <row r="2341" spans="1:2" x14ac:dyDescent="0.25">
      <c r="A2341" s="167"/>
      <c r="B2341" s="167"/>
    </row>
    <row r="2342" spans="1:2" x14ac:dyDescent="0.25">
      <c r="A2342" s="167"/>
      <c r="B2342" s="167"/>
    </row>
    <row r="2343" spans="1:2" x14ac:dyDescent="0.25">
      <c r="A2343" s="167"/>
      <c r="B2343" s="167"/>
    </row>
    <row r="2344" spans="1:2" x14ac:dyDescent="0.25">
      <c r="A2344" s="167"/>
      <c r="B2344" s="167"/>
    </row>
    <row r="2345" spans="1:2" x14ac:dyDescent="0.25">
      <c r="A2345" s="167"/>
      <c r="B2345" s="167"/>
    </row>
    <row r="2346" spans="1:2" x14ac:dyDescent="0.25">
      <c r="A2346" s="167"/>
      <c r="B2346" s="167"/>
    </row>
    <row r="2347" spans="1:2" x14ac:dyDescent="0.25">
      <c r="A2347" s="167"/>
      <c r="B2347" s="167"/>
    </row>
    <row r="2348" spans="1:2" x14ac:dyDescent="0.25">
      <c r="A2348" s="167"/>
      <c r="B2348" s="167"/>
    </row>
    <row r="2349" spans="1:2" x14ac:dyDescent="0.25">
      <c r="A2349" s="167"/>
      <c r="B2349" s="167"/>
    </row>
    <row r="2350" spans="1:2" x14ac:dyDescent="0.25">
      <c r="A2350" s="167"/>
      <c r="B2350" s="167"/>
    </row>
    <row r="2351" spans="1:2" x14ac:dyDescent="0.25">
      <c r="A2351" s="167"/>
      <c r="B2351" s="167"/>
    </row>
    <row r="2352" spans="1:2" x14ac:dyDescent="0.25">
      <c r="A2352" s="167"/>
      <c r="B2352" s="167"/>
    </row>
    <row r="2353" spans="1:2" x14ac:dyDescent="0.25">
      <c r="A2353" s="167"/>
      <c r="B2353" s="167"/>
    </row>
    <row r="2354" spans="1:2" x14ac:dyDescent="0.25">
      <c r="A2354" s="167"/>
      <c r="B2354" s="167"/>
    </row>
    <row r="2355" spans="1:2" x14ac:dyDescent="0.25">
      <c r="A2355" s="167"/>
      <c r="B2355" s="167"/>
    </row>
    <row r="2356" spans="1:2" x14ac:dyDescent="0.25">
      <c r="A2356" s="167"/>
      <c r="B2356" s="167"/>
    </row>
    <row r="2357" spans="1:2" x14ac:dyDescent="0.25">
      <c r="A2357" s="167"/>
      <c r="B2357" s="167"/>
    </row>
    <row r="2358" spans="1:2" x14ac:dyDescent="0.25">
      <c r="A2358" s="167"/>
      <c r="B2358" s="167"/>
    </row>
    <row r="2359" spans="1:2" x14ac:dyDescent="0.25">
      <c r="A2359" s="167"/>
      <c r="B2359" s="167"/>
    </row>
    <row r="2360" spans="1:2" x14ac:dyDescent="0.25">
      <c r="A2360" s="167"/>
      <c r="B2360" s="167"/>
    </row>
    <row r="2361" spans="1:2" x14ac:dyDescent="0.25">
      <c r="A2361" s="167"/>
      <c r="B2361" s="167"/>
    </row>
    <row r="2362" spans="1:2" x14ac:dyDescent="0.25">
      <c r="A2362" s="167"/>
      <c r="B2362" s="167"/>
    </row>
    <row r="2363" spans="1:2" x14ac:dyDescent="0.25">
      <c r="A2363" s="167"/>
      <c r="B2363" s="167"/>
    </row>
    <row r="2364" spans="1:2" x14ac:dyDescent="0.25">
      <c r="A2364" s="167"/>
      <c r="B2364" s="167"/>
    </row>
    <row r="2365" spans="1:2" x14ac:dyDescent="0.25">
      <c r="A2365" s="167"/>
      <c r="B2365" s="167"/>
    </row>
    <row r="2366" spans="1:2" x14ac:dyDescent="0.25">
      <c r="A2366" s="167"/>
      <c r="B2366" s="167"/>
    </row>
    <row r="2367" spans="1:2" x14ac:dyDescent="0.25">
      <c r="A2367" s="167"/>
      <c r="B2367" s="167"/>
    </row>
    <row r="2368" spans="1:2" x14ac:dyDescent="0.25">
      <c r="A2368" s="167"/>
      <c r="B2368" s="167"/>
    </row>
    <row r="2369" spans="1:2" x14ac:dyDescent="0.25">
      <c r="A2369" s="167"/>
      <c r="B2369" s="167"/>
    </row>
    <row r="2370" spans="1:2" x14ac:dyDescent="0.25">
      <c r="A2370" s="167"/>
      <c r="B2370" s="167"/>
    </row>
    <row r="2371" spans="1:2" x14ac:dyDescent="0.25">
      <c r="A2371" s="167"/>
      <c r="B2371" s="167"/>
    </row>
    <row r="2372" spans="1:2" x14ac:dyDescent="0.25">
      <c r="A2372" s="167"/>
      <c r="B2372" s="167"/>
    </row>
    <row r="2373" spans="1:2" x14ac:dyDescent="0.25">
      <c r="A2373" s="167"/>
      <c r="B2373" s="167"/>
    </row>
    <row r="2374" spans="1:2" x14ac:dyDescent="0.25">
      <c r="A2374" s="167"/>
      <c r="B2374" s="167"/>
    </row>
    <row r="2375" spans="1:2" x14ac:dyDescent="0.25">
      <c r="A2375" s="167"/>
      <c r="B2375" s="167"/>
    </row>
    <row r="2376" spans="1:2" x14ac:dyDescent="0.25">
      <c r="A2376" s="167"/>
      <c r="B2376" s="167"/>
    </row>
    <row r="2377" spans="1:2" x14ac:dyDescent="0.25">
      <c r="A2377" s="167"/>
      <c r="B2377" s="167"/>
    </row>
    <row r="2378" spans="1:2" x14ac:dyDescent="0.25">
      <c r="A2378" s="167"/>
      <c r="B2378" s="167"/>
    </row>
    <row r="2379" spans="1:2" x14ac:dyDescent="0.25">
      <c r="A2379" s="167"/>
      <c r="B2379" s="167"/>
    </row>
    <row r="2380" spans="1:2" x14ac:dyDescent="0.25">
      <c r="A2380" s="167"/>
      <c r="B2380" s="167"/>
    </row>
    <row r="2381" spans="1:2" x14ac:dyDescent="0.25">
      <c r="A2381" s="167"/>
      <c r="B2381" s="167"/>
    </row>
    <row r="2382" spans="1:2" x14ac:dyDescent="0.25">
      <c r="A2382" s="167"/>
      <c r="B2382" s="167"/>
    </row>
    <row r="2383" spans="1:2" x14ac:dyDescent="0.25">
      <c r="A2383" s="167"/>
      <c r="B2383" s="167"/>
    </row>
    <row r="2384" spans="1:2" x14ac:dyDescent="0.25">
      <c r="A2384" s="167"/>
      <c r="B2384" s="167"/>
    </row>
    <row r="2385" spans="1:2" x14ac:dyDescent="0.25">
      <c r="A2385" s="167"/>
      <c r="B2385" s="167"/>
    </row>
    <row r="2386" spans="1:2" x14ac:dyDescent="0.25">
      <c r="A2386" s="167"/>
      <c r="B2386" s="167"/>
    </row>
    <row r="2387" spans="1:2" x14ac:dyDescent="0.25">
      <c r="A2387" s="167"/>
      <c r="B2387" s="167"/>
    </row>
    <row r="2388" spans="1:2" x14ac:dyDescent="0.25">
      <c r="A2388" s="167"/>
      <c r="B2388" s="167"/>
    </row>
    <row r="2389" spans="1:2" x14ac:dyDescent="0.25">
      <c r="A2389" s="167"/>
      <c r="B2389" s="167"/>
    </row>
    <row r="2390" spans="1:2" x14ac:dyDescent="0.25">
      <c r="A2390" s="167"/>
      <c r="B2390" s="167"/>
    </row>
    <row r="2391" spans="1:2" x14ac:dyDescent="0.25">
      <c r="A2391" s="167"/>
      <c r="B2391" s="167"/>
    </row>
    <row r="2392" spans="1:2" x14ac:dyDescent="0.25">
      <c r="A2392" s="167"/>
      <c r="B2392" s="167"/>
    </row>
    <row r="2393" spans="1:2" x14ac:dyDescent="0.25">
      <c r="A2393" s="167"/>
      <c r="B2393" s="167"/>
    </row>
    <row r="2394" spans="1:2" x14ac:dyDescent="0.25">
      <c r="A2394" s="167"/>
      <c r="B2394" s="167"/>
    </row>
    <row r="2395" spans="1:2" x14ac:dyDescent="0.25">
      <c r="A2395" s="167"/>
      <c r="B2395" s="167"/>
    </row>
    <row r="2396" spans="1:2" x14ac:dyDescent="0.25">
      <c r="A2396" s="167"/>
      <c r="B2396" s="167"/>
    </row>
    <row r="2397" spans="1:2" x14ac:dyDescent="0.25">
      <c r="A2397" s="167"/>
      <c r="B2397" s="167"/>
    </row>
    <row r="2398" spans="1:2" x14ac:dyDescent="0.25">
      <c r="A2398" s="167"/>
      <c r="B2398" s="167"/>
    </row>
    <row r="2399" spans="1:2" x14ac:dyDescent="0.25">
      <c r="A2399" s="167"/>
      <c r="B2399" s="167"/>
    </row>
    <row r="2400" spans="1:2" x14ac:dyDescent="0.25">
      <c r="A2400" s="167"/>
      <c r="B2400" s="167"/>
    </row>
    <row r="2401" spans="1:2" x14ac:dyDescent="0.25">
      <c r="A2401" s="167"/>
      <c r="B2401" s="167"/>
    </row>
    <row r="2402" spans="1:2" x14ac:dyDescent="0.25">
      <c r="A2402" s="167"/>
      <c r="B2402" s="167"/>
    </row>
    <row r="2403" spans="1:2" x14ac:dyDescent="0.25">
      <c r="A2403" s="167"/>
      <c r="B2403" s="167"/>
    </row>
    <row r="2404" spans="1:2" x14ac:dyDescent="0.25">
      <c r="A2404" s="167"/>
      <c r="B2404" s="167"/>
    </row>
    <row r="2405" spans="1:2" x14ac:dyDescent="0.25">
      <c r="A2405" s="167"/>
      <c r="B2405" s="167"/>
    </row>
    <row r="2406" spans="1:2" x14ac:dyDescent="0.25">
      <c r="A2406" s="167"/>
      <c r="B2406" s="167"/>
    </row>
    <row r="2407" spans="1:2" x14ac:dyDescent="0.25">
      <c r="A2407" s="167"/>
      <c r="B2407" s="167"/>
    </row>
    <row r="2408" spans="1:2" x14ac:dyDescent="0.25">
      <c r="A2408" s="167"/>
      <c r="B2408" s="167"/>
    </row>
    <row r="2409" spans="1:2" x14ac:dyDescent="0.25">
      <c r="A2409" s="167"/>
      <c r="B2409" s="167"/>
    </row>
    <row r="2410" spans="1:2" x14ac:dyDescent="0.25">
      <c r="A2410" s="167"/>
      <c r="B2410" s="167"/>
    </row>
    <row r="2411" spans="1:2" x14ac:dyDescent="0.25">
      <c r="A2411" s="167"/>
      <c r="B2411" s="167"/>
    </row>
    <row r="2412" spans="1:2" x14ac:dyDescent="0.25">
      <c r="A2412" s="167"/>
      <c r="B2412" s="167"/>
    </row>
    <row r="2413" spans="1:2" x14ac:dyDescent="0.25">
      <c r="A2413" s="167"/>
      <c r="B2413" s="167"/>
    </row>
    <row r="2414" spans="1:2" x14ac:dyDescent="0.25">
      <c r="A2414" s="167"/>
      <c r="B2414" s="167"/>
    </row>
    <row r="2415" spans="1:2" x14ac:dyDescent="0.25">
      <c r="A2415" s="167"/>
      <c r="B2415" s="167"/>
    </row>
    <row r="2416" spans="1:2" x14ac:dyDescent="0.25">
      <c r="A2416" s="167"/>
      <c r="B2416" s="167"/>
    </row>
    <row r="2417" spans="1:2" x14ac:dyDescent="0.25">
      <c r="A2417" s="167"/>
      <c r="B2417" s="167"/>
    </row>
    <row r="2418" spans="1:2" x14ac:dyDescent="0.25">
      <c r="A2418" s="167"/>
      <c r="B2418" s="167"/>
    </row>
    <row r="2419" spans="1:2" x14ac:dyDescent="0.25">
      <c r="A2419" s="167"/>
      <c r="B2419" s="167"/>
    </row>
    <row r="2420" spans="1:2" x14ac:dyDescent="0.25">
      <c r="A2420" s="167"/>
      <c r="B2420" s="167"/>
    </row>
    <row r="2421" spans="1:2" x14ac:dyDescent="0.25">
      <c r="A2421" s="167"/>
      <c r="B2421" s="167"/>
    </row>
    <row r="2422" spans="1:2" x14ac:dyDescent="0.25">
      <c r="A2422" s="167"/>
      <c r="B2422" s="167"/>
    </row>
    <row r="2423" spans="1:2" x14ac:dyDescent="0.25">
      <c r="A2423" s="167"/>
      <c r="B2423" s="167"/>
    </row>
    <row r="2424" spans="1:2" x14ac:dyDescent="0.25">
      <c r="A2424" s="167"/>
      <c r="B2424" s="167"/>
    </row>
    <row r="2425" spans="1:2" x14ac:dyDescent="0.25">
      <c r="A2425" s="167"/>
      <c r="B2425" s="167"/>
    </row>
    <row r="2426" spans="1:2" x14ac:dyDescent="0.25">
      <c r="A2426" s="167"/>
      <c r="B2426" s="167"/>
    </row>
    <row r="2427" spans="1:2" x14ac:dyDescent="0.25">
      <c r="A2427" s="167"/>
      <c r="B2427" s="167"/>
    </row>
    <row r="2428" spans="1:2" x14ac:dyDescent="0.25">
      <c r="A2428" s="167"/>
      <c r="B2428" s="167"/>
    </row>
    <row r="2429" spans="1:2" x14ac:dyDescent="0.25">
      <c r="A2429" s="167"/>
      <c r="B2429" s="167"/>
    </row>
    <row r="2430" spans="1:2" x14ac:dyDescent="0.25">
      <c r="A2430" s="167"/>
      <c r="B2430" s="167"/>
    </row>
    <row r="2431" spans="1:2" x14ac:dyDescent="0.25">
      <c r="A2431" s="167"/>
      <c r="B2431" s="167"/>
    </row>
    <row r="2432" spans="1:2" x14ac:dyDescent="0.25">
      <c r="A2432" s="167"/>
      <c r="B2432" s="167"/>
    </row>
    <row r="2433" spans="1:2" x14ac:dyDescent="0.25">
      <c r="A2433" s="167"/>
      <c r="B2433" s="167"/>
    </row>
    <row r="2434" spans="1:2" x14ac:dyDescent="0.25">
      <c r="A2434" s="167"/>
      <c r="B2434" s="167"/>
    </row>
    <row r="2435" spans="1:2" x14ac:dyDescent="0.25">
      <c r="A2435" s="167"/>
      <c r="B2435" s="167"/>
    </row>
    <row r="2436" spans="1:2" x14ac:dyDescent="0.25">
      <c r="A2436" s="167"/>
      <c r="B2436" s="167"/>
    </row>
    <row r="2437" spans="1:2" x14ac:dyDescent="0.25">
      <c r="A2437" s="167"/>
      <c r="B2437" s="167"/>
    </row>
    <row r="2438" spans="1:2" x14ac:dyDescent="0.25">
      <c r="A2438" s="167"/>
      <c r="B2438" s="167"/>
    </row>
    <row r="2439" spans="1:2" x14ac:dyDescent="0.25">
      <c r="A2439" s="167"/>
      <c r="B2439" s="167"/>
    </row>
    <row r="2440" spans="1:2" x14ac:dyDescent="0.25">
      <c r="A2440" s="167"/>
      <c r="B2440" s="167"/>
    </row>
    <row r="2441" spans="1:2" x14ac:dyDescent="0.25">
      <c r="A2441" s="167"/>
      <c r="B2441" s="167"/>
    </row>
    <row r="2442" spans="1:2" x14ac:dyDescent="0.25">
      <c r="A2442" s="167"/>
      <c r="B2442" s="167"/>
    </row>
    <row r="2443" spans="1:2" x14ac:dyDescent="0.25">
      <c r="A2443" s="167"/>
      <c r="B2443" s="167"/>
    </row>
    <row r="2444" spans="1:2" x14ac:dyDescent="0.25">
      <c r="A2444" s="167"/>
      <c r="B2444" s="167"/>
    </row>
    <row r="2445" spans="1:2" x14ac:dyDescent="0.25">
      <c r="A2445" s="167"/>
      <c r="B2445" s="167"/>
    </row>
    <row r="2446" spans="1:2" x14ac:dyDescent="0.25">
      <c r="A2446" s="167"/>
      <c r="B2446" s="167"/>
    </row>
    <row r="2447" spans="1:2" x14ac:dyDescent="0.25">
      <c r="A2447" s="167"/>
      <c r="B2447" s="167"/>
    </row>
    <row r="2448" spans="1:2" x14ac:dyDescent="0.25">
      <c r="A2448" s="167"/>
      <c r="B2448" s="167"/>
    </row>
    <row r="2449" spans="1:2" x14ac:dyDescent="0.25">
      <c r="A2449" s="167"/>
      <c r="B2449" s="167"/>
    </row>
    <row r="2450" spans="1:2" x14ac:dyDescent="0.25">
      <c r="A2450" s="167"/>
      <c r="B2450" s="167"/>
    </row>
    <row r="2451" spans="1:2" x14ac:dyDescent="0.25">
      <c r="A2451" s="167"/>
      <c r="B2451" s="167"/>
    </row>
    <row r="2452" spans="1:2" x14ac:dyDescent="0.25">
      <c r="A2452" s="167"/>
      <c r="B2452" s="167"/>
    </row>
    <row r="2453" spans="1:2" x14ac:dyDescent="0.25">
      <c r="A2453" s="167"/>
      <c r="B2453" s="167"/>
    </row>
    <row r="2454" spans="1:2" x14ac:dyDescent="0.25">
      <c r="A2454" s="167"/>
      <c r="B2454" s="167"/>
    </row>
    <row r="2455" spans="1:2" x14ac:dyDescent="0.25">
      <c r="A2455" s="167"/>
      <c r="B2455" s="167"/>
    </row>
    <row r="2456" spans="1:2" x14ac:dyDescent="0.25">
      <c r="A2456" s="167"/>
      <c r="B2456" s="167"/>
    </row>
    <row r="2457" spans="1:2" x14ac:dyDescent="0.25">
      <c r="A2457" s="167"/>
      <c r="B2457" s="167"/>
    </row>
    <row r="2458" spans="1:2" x14ac:dyDescent="0.25">
      <c r="A2458" s="167"/>
      <c r="B2458" s="167"/>
    </row>
    <row r="2459" spans="1:2" x14ac:dyDescent="0.25">
      <c r="A2459" s="167"/>
      <c r="B2459" s="167"/>
    </row>
    <row r="2460" spans="1:2" x14ac:dyDescent="0.25">
      <c r="A2460" s="167"/>
      <c r="B2460" s="167"/>
    </row>
    <row r="2461" spans="1:2" x14ac:dyDescent="0.25">
      <c r="A2461" s="167"/>
      <c r="B2461" s="167"/>
    </row>
    <row r="2462" spans="1:2" x14ac:dyDescent="0.25">
      <c r="A2462" s="167"/>
      <c r="B2462" s="167"/>
    </row>
    <row r="2463" spans="1:2" x14ac:dyDescent="0.25">
      <c r="A2463" s="167"/>
      <c r="B2463" s="167"/>
    </row>
    <row r="2464" spans="1:2" x14ac:dyDescent="0.25">
      <c r="A2464" s="167"/>
      <c r="B2464" s="167"/>
    </row>
    <row r="2465" spans="1:2" x14ac:dyDescent="0.25">
      <c r="A2465" s="167"/>
      <c r="B2465" s="167"/>
    </row>
    <row r="2466" spans="1:2" x14ac:dyDescent="0.25">
      <c r="A2466" s="167"/>
      <c r="B2466" s="167"/>
    </row>
    <row r="2467" spans="1:2" x14ac:dyDescent="0.25">
      <c r="A2467" s="167"/>
      <c r="B2467" s="167"/>
    </row>
    <row r="2468" spans="1:2" x14ac:dyDescent="0.25">
      <c r="A2468" s="167"/>
      <c r="B2468" s="167"/>
    </row>
    <row r="2469" spans="1:2" x14ac:dyDescent="0.25">
      <c r="A2469" s="167"/>
      <c r="B2469" s="167"/>
    </row>
    <row r="2470" spans="1:2" x14ac:dyDescent="0.25">
      <c r="A2470" s="167"/>
      <c r="B2470" s="167"/>
    </row>
    <row r="2471" spans="1:2" x14ac:dyDescent="0.25">
      <c r="A2471" s="167"/>
      <c r="B2471" s="167"/>
    </row>
    <row r="2472" spans="1:2" x14ac:dyDescent="0.25">
      <c r="A2472" s="167"/>
      <c r="B2472" s="167"/>
    </row>
    <row r="2473" spans="1:2" x14ac:dyDescent="0.25">
      <c r="A2473" s="167"/>
      <c r="B2473" s="167"/>
    </row>
    <row r="2474" spans="1:2" x14ac:dyDescent="0.25">
      <c r="A2474" s="167"/>
      <c r="B2474" s="167"/>
    </row>
    <row r="2475" spans="1:2" x14ac:dyDescent="0.25">
      <c r="A2475" s="167"/>
      <c r="B2475" s="167"/>
    </row>
    <row r="2476" spans="1:2" x14ac:dyDescent="0.25">
      <c r="A2476" s="167"/>
      <c r="B2476" s="167"/>
    </row>
    <row r="2477" spans="1:2" x14ac:dyDescent="0.25">
      <c r="A2477" s="167"/>
      <c r="B2477" s="167"/>
    </row>
    <row r="2478" spans="1:2" x14ac:dyDescent="0.25">
      <c r="A2478" s="167"/>
      <c r="B2478" s="167"/>
    </row>
    <row r="2479" spans="1:2" x14ac:dyDescent="0.25">
      <c r="A2479" s="167"/>
      <c r="B2479" s="167"/>
    </row>
    <row r="2480" spans="1:2" x14ac:dyDescent="0.25">
      <c r="A2480" s="167"/>
      <c r="B2480" s="167"/>
    </row>
    <row r="2481" spans="1:2" x14ac:dyDescent="0.25">
      <c r="A2481" s="167"/>
      <c r="B2481" s="167"/>
    </row>
    <row r="2482" spans="1:2" x14ac:dyDescent="0.25">
      <c r="A2482" s="167"/>
      <c r="B2482" s="167"/>
    </row>
    <row r="2483" spans="1:2" x14ac:dyDescent="0.25">
      <c r="A2483" s="167"/>
      <c r="B2483" s="167"/>
    </row>
    <row r="2484" spans="1:2" x14ac:dyDescent="0.25">
      <c r="A2484" s="167"/>
      <c r="B2484" s="167"/>
    </row>
    <row r="2485" spans="1:2" x14ac:dyDescent="0.25">
      <c r="A2485" s="167"/>
      <c r="B2485" s="167"/>
    </row>
    <row r="2486" spans="1:2" x14ac:dyDescent="0.25">
      <c r="A2486" s="167"/>
      <c r="B2486" s="167"/>
    </row>
    <row r="2487" spans="1:2" x14ac:dyDescent="0.25">
      <c r="A2487" s="167"/>
      <c r="B2487" s="167"/>
    </row>
    <row r="2488" spans="1:2" x14ac:dyDescent="0.25">
      <c r="A2488" s="167"/>
      <c r="B2488" s="167"/>
    </row>
    <row r="2489" spans="1:2" x14ac:dyDescent="0.25">
      <c r="A2489" s="167"/>
      <c r="B2489" s="167"/>
    </row>
    <row r="2490" spans="1:2" x14ac:dyDescent="0.25">
      <c r="A2490" s="167"/>
      <c r="B2490" s="167"/>
    </row>
    <row r="2491" spans="1:2" x14ac:dyDescent="0.25">
      <c r="A2491" s="167"/>
      <c r="B2491" s="167"/>
    </row>
    <row r="2492" spans="1:2" x14ac:dyDescent="0.25">
      <c r="A2492" s="167"/>
      <c r="B2492" s="167"/>
    </row>
    <row r="2493" spans="1:2" x14ac:dyDescent="0.25">
      <c r="A2493" s="167"/>
      <c r="B2493" s="167"/>
    </row>
    <row r="2494" spans="1:2" x14ac:dyDescent="0.25">
      <c r="A2494" s="167"/>
      <c r="B2494" s="167"/>
    </row>
    <row r="2495" spans="1:2" x14ac:dyDescent="0.25">
      <c r="A2495" s="167"/>
      <c r="B2495" s="167"/>
    </row>
    <row r="2496" spans="1:2" x14ac:dyDescent="0.25">
      <c r="A2496" s="167"/>
      <c r="B2496" s="167"/>
    </row>
    <row r="2497" spans="1:2" x14ac:dyDescent="0.25">
      <c r="A2497" s="167"/>
      <c r="B2497" s="167"/>
    </row>
    <row r="2498" spans="1:2" x14ac:dyDescent="0.25">
      <c r="A2498" s="167"/>
      <c r="B2498" s="167"/>
    </row>
    <row r="2499" spans="1:2" x14ac:dyDescent="0.25">
      <c r="A2499" s="167"/>
      <c r="B2499" s="167"/>
    </row>
    <row r="2500" spans="1:2" x14ac:dyDescent="0.25">
      <c r="A2500" s="167"/>
      <c r="B2500" s="167"/>
    </row>
    <row r="2501" spans="1:2" x14ac:dyDescent="0.25">
      <c r="A2501" s="167"/>
      <c r="B2501" s="167"/>
    </row>
    <row r="2502" spans="1:2" x14ac:dyDescent="0.25">
      <c r="A2502" s="167"/>
      <c r="B2502" s="167"/>
    </row>
    <row r="2503" spans="1:2" x14ac:dyDescent="0.25">
      <c r="A2503" s="167"/>
      <c r="B2503" s="167"/>
    </row>
    <row r="2504" spans="1:2" x14ac:dyDescent="0.25">
      <c r="A2504" s="167"/>
      <c r="B2504" s="167"/>
    </row>
    <row r="2505" spans="1:2" x14ac:dyDescent="0.25">
      <c r="A2505" s="167"/>
      <c r="B2505" s="167"/>
    </row>
    <row r="2506" spans="1:2" x14ac:dyDescent="0.25">
      <c r="A2506" s="167"/>
      <c r="B2506" s="167"/>
    </row>
    <row r="2507" spans="1:2" x14ac:dyDescent="0.25">
      <c r="A2507" s="167"/>
      <c r="B2507" s="167"/>
    </row>
    <row r="2508" spans="1:2" x14ac:dyDescent="0.25">
      <c r="A2508" s="167"/>
      <c r="B2508" s="167"/>
    </row>
    <row r="2509" spans="1:2" x14ac:dyDescent="0.25">
      <c r="A2509" s="167"/>
      <c r="B2509" s="167"/>
    </row>
    <row r="2510" spans="1:2" x14ac:dyDescent="0.25">
      <c r="A2510" s="167"/>
      <c r="B2510" s="167"/>
    </row>
    <row r="2511" spans="1:2" x14ac:dyDescent="0.25">
      <c r="A2511" s="167"/>
      <c r="B2511" s="167"/>
    </row>
    <row r="2512" spans="1:2" x14ac:dyDescent="0.25">
      <c r="A2512" s="167"/>
      <c r="B2512" s="167"/>
    </row>
    <row r="2513" spans="1:2" x14ac:dyDescent="0.25">
      <c r="A2513" s="167"/>
      <c r="B2513" s="167"/>
    </row>
    <row r="2514" spans="1:2" x14ac:dyDescent="0.25">
      <c r="A2514" s="167"/>
      <c r="B2514" s="167"/>
    </row>
    <row r="2515" spans="1:2" x14ac:dyDescent="0.25">
      <c r="A2515" s="167"/>
      <c r="B2515" s="167"/>
    </row>
    <row r="2516" spans="1:2" x14ac:dyDescent="0.25">
      <c r="A2516" s="167"/>
      <c r="B2516" s="167"/>
    </row>
    <row r="2517" spans="1:2" x14ac:dyDescent="0.25">
      <c r="A2517" s="167"/>
      <c r="B2517" s="167"/>
    </row>
    <row r="2518" spans="1:2" x14ac:dyDescent="0.25">
      <c r="A2518" s="167"/>
      <c r="B2518" s="167"/>
    </row>
    <row r="2519" spans="1:2" x14ac:dyDescent="0.25">
      <c r="A2519" s="167"/>
      <c r="B2519" s="167"/>
    </row>
    <row r="2520" spans="1:2" x14ac:dyDescent="0.25">
      <c r="A2520" s="167"/>
      <c r="B2520" s="167"/>
    </row>
    <row r="2521" spans="1:2" x14ac:dyDescent="0.25">
      <c r="A2521" s="167"/>
      <c r="B2521" s="167"/>
    </row>
    <row r="2522" spans="1:2" x14ac:dyDescent="0.25">
      <c r="A2522" s="167"/>
      <c r="B2522" s="167"/>
    </row>
    <row r="2523" spans="1:2" x14ac:dyDescent="0.25">
      <c r="A2523" s="167"/>
      <c r="B2523" s="167"/>
    </row>
    <row r="2524" spans="1:2" x14ac:dyDescent="0.25">
      <c r="A2524" s="167"/>
      <c r="B2524" s="167"/>
    </row>
    <row r="2525" spans="1:2" x14ac:dyDescent="0.25">
      <c r="A2525" s="167"/>
      <c r="B2525" s="167"/>
    </row>
    <row r="2526" spans="1:2" x14ac:dyDescent="0.25">
      <c r="A2526" s="167"/>
      <c r="B2526" s="167"/>
    </row>
    <row r="2527" spans="1:2" x14ac:dyDescent="0.25">
      <c r="A2527" s="167"/>
      <c r="B2527" s="167"/>
    </row>
    <row r="2528" spans="1:2" x14ac:dyDescent="0.25">
      <c r="A2528" s="167"/>
      <c r="B2528" s="167"/>
    </row>
    <row r="2529" spans="1:2" x14ac:dyDescent="0.25">
      <c r="A2529" s="167"/>
      <c r="B2529" s="167"/>
    </row>
    <row r="2530" spans="1:2" x14ac:dyDescent="0.25">
      <c r="A2530" s="167"/>
      <c r="B2530" s="167"/>
    </row>
    <row r="2531" spans="1:2" x14ac:dyDescent="0.25">
      <c r="A2531" s="167"/>
      <c r="B2531" s="167"/>
    </row>
    <row r="2532" spans="1:2" x14ac:dyDescent="0.25">
      <c r="A2532" s="167"/>
      <c r="B2532" s="167"/>
    </row>
    <row r="2533" spans="1:2" x14ac:dyDescent="0.25">
      <c r="A2533" s="167"/>
      <c r="B2533" s="167"/>
    </row>
    <row r="2534" spans="1:2" x14ac:dyDescent="0.25">
      <c r="A2534" s="167"/>
      <c r="B2534" s="167"/>
    </row>
    <row r="2535" spans="1:2" x14ac:dyDescent="0.25">
      <c r="A2535" s="167"/>
      <c r="B2535" s="167"/>
    </row>
    <row r="2536" spans="1:2" x14ac:dyDescent="0.25">
      <c r="A2536" s="167"/>
      <c r="B2536" s="167"/>
    </row>
    <row r="2537" spans="1:2" x14ac:dyDescent="0.25">
      <c r="A2537" s="167"/>
      <c r="B2537" s="167"/>
    </row>
    <row r="2538" spans="1:2" x14ac:dyDescent="0.25">
      <c r="A2538" s="167"/>
      <c r="B2538" s="167"/>
    </row>
    <row r="2539" spans="1:2" x14ac:dyDescent="0.25">
      <c r="A2539" s="167"/>
      <c r="B2539" s="167"/>
    </row>
    <row r="2540" spans="1:2" x14ac:dyDescent="0.25">
      <c r="A2540" s="167"/>
      <c r="B2540" s="167"/>
    </row>
    <row r="2541" spans="1:2" x14ac:dyDescent="0.25">
      <c r="A2541" s="167"/>
      <c r="B2541" s="167"/>
    </row>
    <row r="2542" spans="1:2" x14ac:dyDescent="0.25">
      <c r="A2542" s="167"/>
      <c r="B2542" s="167"/>
    </row>
    <row r="2543" spans="1:2" x14ac:dyDescent="0.25">
      <c r="A2543" s="167"/>
      <c r="B2543" s="167"/>
    </row>
    <row r="2544" spans="1:2" x14ac:dyDescent="0.25">
      <c r="A2544" s="167"/>
      <c r="B2544" s="167"/>
    </row>
    <row r="2545" spans="1:2" x14ac:dyDescent="0.25">
      <c r="A2545" s="167"/>
      <c r="B2545" s="167"/>
    </row>
    <row r="2546" spans="1:2" x14ac:dyDescent="0.25">
      <c r="A2546" s="167"/>
      <c r="B2546" s="167"/>
    </row>
    <row r="2547" spans="1:2" x14ac:dyDescent="0.25">
      <c r="A2547" s="167"/>
      <c r="B2547" s="167"/>
    </row>
    <row r="2548" spans="1:2" x14ac:dyDescent="0.25">
      <c r="A2548" s="167"/>
      <c r="B2548" s="167"/>
    </row>
    <row r="2549" spans="1:2" x14ac:dyDescent="0.25">
      <c r="A2549" s="167"/>
      <c r="B2549" s="167"/>
    </row>
    <row r="2550" spans="1:2" x14ac:dyDescent="0.25">
      <c r="A2550" s="167"/>
      <c r="B2550" s="167"/>
    </row>
    <row r="2551" spans="1:2" x14ac:dyDescent="0.25">
      <c r="A2551" s="167"/>
      <c r="B2551" s="167"/>
    </row>
    <row r="2552" spans="1:2" x14ac:dyDescent="0.25">
      <c r="A2552" s="167"/>
      <c r="B2552" s="167"/>
    </row>
    <row r="2553" spans="1:2" x14ac:dyDescent="0.25">
      <c r="A2553" s="167"/>
      <c r="B2553" s="167"/>
    </row>
    <row r="2554" spans="1:2" x14ac:dyDescent="0.25">
      <c r="A2554" s="167"/>
      <c r="B2554" s="167"/>
    </row>
    <row r="2555" spans="1:2" x14ac:dyDescent="0.25">
      <c r="A2555" s="167"/>
      <c r="B2555" s="167"/>
    </row>
    <row r="2556" spans="1:2" x14ac:dyDescent="0.25">
      <c r="A2556" s="167"/>
      <c r="B2556" s="167"/>
    </row>
    <row r="2557" spans="1:2" x14ac:dyDescent="0.25">
      <c r="A2557" s="167"/>
      <c r="B2557" s="167"/>
    </row>
    <row r="2558" spans="1:2" x14ac:dyDescent="0.25">
      <c r="A2558" s="167"/>
      <c r="B2558" s="167"/>
    </row>
    <row r="2559" spans="1:2" x14ac:dyDescent="0.25">
      <c r="A2559" s="167"/>
      <c r="B2559" s="167"/>
    </row>
    <row r="2560" spans="1:2" x14ac:dyDescent="0.25">
      <c r="A2560" s="167"/>
      <c r="B2560" s="167"/>
    </row>
    <row r="2561" spans="1:2" x14ac:dyDescent="0.25">
      <c r="A2561" s="167"/>
      <c r="B2561" s="167"/>
    </row>
    <row r="2562" spans="1:2" x14ac:dyDescent="0.25">
      <c r="A2562" s="167"/>
      <c r="B2562" s="167"/>
    </row>
    <row r="2563" spans="1:2" x14ac:dyDescent="0.25">
      <c r="A2563" s="167"/>
      <c r="B2563" s="167"/>
    </row>
    <row r="2564" spans="1:2" x14ac:dyDescent="0.25">
      <c r="A2564" s="167"/>
      <c r="B2564" s="167"/>
    </row>
    <row r="2565" spans="1:2" x14ac:dyDescent="0.25">
      <c r="A2565" s="167"/>
      <c r="B2565" s="167"/>
    </row>
    <row r="2566" spans="1:2" x14ac:dyDescent="0.25">
      <c r="A2566" s="167"/>
      <c r="B2566" s="167"/>
    </row>
    <row r="2567" spans="1:2" x14ac:dyDescent="0.25">
      <c r="A2567" s="167"/>
      <c r="B2567" s="167"/>
    </row>
    <row r="2568" spans="1:2" x14ac:dyDescent="0.25">
      <c r="A2568" s="167"/>
      <c r="B2568" s="167"/>
    </row>
    <row r="2569" spans="1:2" x14ac:dyDescent="0.25">
      <c r="A2569" s="167"/>
      <c r="B2569" s="167"/>
    </row>
    <row r="2570" spans="1:2" x14ac:dyDescent="0.25">
      <c r="A2570" s="167"/>
      <c r="B2570" s="167"/>
    </row>
    <row r="2571" spans="1:2" x14ac:dyDescent="0.25">
      <c r="A2571" s="167"/>
      <c r="B2571" s="167"/>
    </row>
    <row r="2572" spans="1:2" x14ac:dyDescent="0.25">
      <c r="A2572" s="167"/>
      <c r="B2572" s="167"/>
    </row>
    <row r="2573" spans="1:2" x14ac:dyDescent="0.25">
      <c r="A2573" s="167"/>
      <c r="B2573" s="167"/>
    </row>
    <row r="2574" spans="1:2" x14ac:dyDescent="0.25">
      <c r="A2574" s="167"/>
      <c r="B2574" s="167"/>
    </row>
    <row r="2575" spans="1:2" x14ac:dyDescent="0.25">
      <c r="A2575" s="167"/>
      <c r="B2575" s="167"/>
    </row>
    <row r="2576" spans="1:2" x14ac:dyDescent="0.25">
      <c r="A2576" s="167"/>
      <c r="B2576" s="167"/>
    </row>
    <row r="2577" spans="1:2" x14ac:dyDescent="0.25">
      <c r="A2577" s="167"/>
      <c r="B2577" s="167"/>
    </row>
    <row r="2578" spans="1:2" x14ac:dyDescent="0.25">
      <c r="A2578" s="167"/>
      <c r="B2578" s="167"/>
    </row>
    <row r="2579" spans="1:2" x14ac:dyDescent="0.25">
      <c r="A2579" s="167"/>
      <c r="B2579" s="167"/>
    </row>
    <row r="2580" spans="1:2" x14ac:dyDescent="0.25">
      <c r="A2580" s="167"/>
      <c r="B2580" s="167"/>
    </row>
    <row r="2581" spans="1:2" x14ac:dyDescent="0.25">
      <c r="A2581" s="167"/>
      <c r="B2581" s="167"/>
    </row>
    <row r="2582" spans="1:2" x14ac:dyDescent="0.25">
      <c r="A2582" s="167"/>
      <c r="B2582" s="167"/>
    </row>
    <row r="2583" spans="1:2" x14ac:dyDescent="0.25">
      <c r="A2583" s="167"/>
      <c r="B2583" s="167"/>
    </row>
    <row r="2584" spans="1:2" x14ac:dyDescent="0.25">
      <c r="A2584" s="167"/>
      <c r="B2584" s="167"/>
    </row>
    <row r="2585" spans="1:2" x14ac:dyDescent="0.25">
      <c r="A2585" s="167"/>
      <c r="B2585" s="167"/>
    </row>
    <row r="2586" spans="1:2" x14ac:dyDescent="0.25">
      <c r="A2586" s="167"/>
      <c r="B2586" s="167"/>
    </row>
    <row r="2587" spans="1:2" x14ac:dyDescent="0.25">
      <c r="A2587" s="167"/>
      <c r="B2587" s="167"/>
    </row>
    <row r="2588" spans="1:2" x14ac:dyDescent="0.25">
      <c r="A2588" s="167"/>
      <c r="B2588" s="167"/>
    </row>
    <row r="2589" spans="1:2" x14ac:dyDescent="0.25">
      <c r="A2589" s="167"/>
      <c r="B2589" s="167"/>
    </row>
    <row r="2590" spans="1:2" x14ac:dyDescent="0.25">
      <c r="A2590" s="167"/>
      <c r="B2590" s="167"/>
    </row>
    <row r="2591" spans="1:2" x14ac:dyDescent="0.25">
      <c r="A2591" s="167"/>
      <c r="B2591" s="167"/>
    </row>
    <row r="2592" spans="1:2" x14ac:dyDescent="0.25">
      <c r="A2592" s="167"/>
      <c r="B2592" s="167"/>
    </row>
    <row r="2593" spans="1:2" x14ac:dyDescent="0.25">
      <c r="A2593" s="167"/>
      <c r="B2593" s="167"/>
    </row>
    <row r="2594" spans="1:2" x14ac:dyDescent="0.25">
      <c r="A2594" s="167"/>
      <c r="B2594" s="167"/>
    </row>
    <row r="2595" spans="1:2" x14ac:dyDescent="0.25">
      <c r="A2595" s="167"/>
      <c r="B2595" s="167"/>
    </row>
    <row r="2596" spans="1:2" x14ac:dyDescent="0.25">
      <c r="A2596" s="167"/>
      <c r="B2596" s="167"/>
    </row>
    <row r="2597" spans="1:2" x14ac:dyDescent="0.25">
      <c r="A2597" s="167"/>
      <c r="B2597" s="167"/>
    </row>
    <row r="2598" spans="1:2" x14ac:dyDescent="0.25">
      <c r="A2598" s="167"/>
      <c r="B2598" s="167"/>
    </row>
    <row r="2599" spans="1:2" x14ac:dyDescent="0.25">
      <c r="A2599" s="167"/>
      <c r="B2599" s="167"/>
    </row>
    <row r="2600" spans="1:2" x14ac:dyDescent="0.25">
      <c r="A2600" s="167"/>
      <c r="B2600" s="167"/>
    </row>
    <row r="2601" spans="1:2" x14ac:dyDescent="0.25">
      <c r="A2601" s="167"/>
      <c r="B2601" s="167"/>
    </row>
    <row r="2602" spans="1:2" x14ac:dyDescent="0.25">
      <c r="A2602" s="167"/>
      <c r="B2602" s="167"/>
    </row>
    <row r="2603" spans="1:2" x14ac:dyDescent="0.25">
      <c r="A2603" s="167"/>
      <c r="B2603" s="167"/>
    </row>
    <row r="2604" spans="1:2" x14ac:dyDescent="0.25">
      <c r="A2604" s="167"/>
      <c r="B2604" s="167"/>
    </row>
    <row r="2605" spans="1:2" x14ac:dyDescent="0.25">
      <c r="A2605" s="167"/>
      <c r="B2605" s="167"/>
    </row>
    <row r="2606" spans="1:2" x14ac:dyDescent="0.25">
      <c r="A2606" s="167"/>
      <c r="B2606" s="167"/>
    </row>
    <row r="2607" spans="1:2" x14ac:dyDescent="0.25">
      <c r="A2607" s="167"/>
      <c r="B2607" s="167"/>
    </row>
    <row r="2608" spans="1:2" x14ac:dyDescent="0.25">
      <c r="A2608" s="167"/>
      <c r="B2608" s="167"/>
    </row>
    <row r="2609" spans="1:2" x14ac:dyDescent="0.25">
      <c r="A2609" s="167"/>
      <c r="B2609" s="167"/>
    </row>
    <row r="2610" spans="1:2" x14ac:dyDescent="0.25">
      <c r="A2610" s="167"/>
      <c r="B2610" s="167"/>
    </row>
    <row r="2611" spans="1:2" x14ac:dyDescent="0.25">
      <c r="A2611" s="167"/>
      <c r="B2611" s="167"/>
    </row>
    <row r="2612" spans="1:2" x14ac:dyDescent="0.25">
      <c r="A2612" s="167"/>
      <c r="B2612" s="167"/>
    </row>
    <row r="2613" spans="1:2" x14ac:dyDescent="0.25">
      <c r="A2613" s="167"/>
      <c r="B2613" s="167"/>
    </row>
    <row r="2614" spans="1:2" x14ac:dyDescent="0.25">
      <c r="A2614" s="167"/>
      <c r="B2614" s="167"/>
    </row>
    <row r="2615" spans="1:2" x14ac:dyDescent="0.25">
      <c r="A2615" s="167"/>
      <c r="B2615" s="167"/>
    </row>
    <row r="2616" spans="1:2" x14ac:dyDescent="0.25">
      <c r="A2616" s="167"/>
      <c r="B2616" s="167"/>
    </row>
    <row r="2617" spans="1:2" x14ac:dyDescent="0.25">
      <c r="A2617" s="167"/>
      <c r="B2617" s="167"/>
    </row>
    <row r="2618" spans="1:2" x14ac:dyDescent="0.25">
      <c r="A2618" s="167"/>
      <c r="B2618" s="167"/>
    </row>
    <row r="2619" spans="1:2" x14ac:dyDescent="0.25">
      <c r="A2619" s="167"/>
      <c r="B2619" s="167"/>
    </row>
    <row r="2620" spans="1:2" x14ac:dyDescent="0.25">
      <c r="A2620" s="167"/>
      <c r="B2620" s="167"/>
    </row>
    <row r="2621" spans="1:2" x14ac:dyDescent="0.25">
      <c r="A2621" s="167"/>
      <c r="B2621" s="167"/>
    </row>
    <row r="2622" spans="1:2" x14ac:dyDescent="0.25">
      <c r="A2622" s="167"/>
      <c r="B2622" s="167"/>
    </row>
    <row r="2623" spans="1:2" x14ac:dyDescent="0.25">
      <c r="A2623" s="167"/>
      <c r="B2623" s="167"/>
    </row>
    <row r="2624" spans="1:2" x14ac:dyDescent="0.25">
      <c r="A2624" s="167"/>
      <c r="B2624" s="167"/>
    </row>
    <row r="2625" spans="1:2" x14ac:dyDescent="0.25">
      <c r="A2625" s="167"/>
      <c r="B2625" s="167"/>
    </row>
    <row r="2626" spans="1:2" x14ac:dyDescent="0.25">
      <c r="A2626" s="167"/>
      <c r="B2626" s="167"/>
    </row>
    <row r="2627" spans="1:2" x14ac:dyDescent="0.25">
      <c r="A2627" s="167"/>
      <c r="B2627" s="167"/>
    </row>
    <row r="2628" spans="1:2" x14ac:dyDescent="0.25">
      <c r="A2628" s="167"/>
      <c r="B2628" s="167"/>
    </row>
    <row r="2629" spans="1:2" x14ac:dyDescent="0.25">
      <c r="A2629" s="167"/>
      <c r="B2629" s="167"/>
    </row>
    <row r="2630" spans="1:2" x14ac:dyDescent="0.25">
      <c r="A2630" s="167"/>
      <c r="B2630" s="167"/>
    </row>
    <row r="2631" spans="1:2" x14ac:dyDescent="0.25">
      <c r="A2631" s="167"/>
      <c r="B2631" s="167"/>
    </row>
    <row r="2632" spans="1:2" x14ac:dyDescent="0.25">
      <c r="A2632" s="167"/>
      <c r="B2632" s="167"/>
    </row>
    <row r="2633" spans="1:2" x14ac:dyDescent="0.25">
      <c r="A2633" s="167"/>
      <c r="B2633" s="167"/>
    </row>
    <row r="2634" spans="1:2" x14ac:dyDescent="0.25">
      <c r="A2634" s="167"/>
      <c r="B2634" s="167"/>
    </row>
    <row r="2635" spans="1:2" x14ac:dyDescent="0.25">
      <c r="A2635" s="167"/>
      <c r="B2635" s="167"/>
    </row>
    <row r="2636" spans="1:2" x14ac:dyDescent="0.25">
      <c r="A2636" s="167"/>
      <c r="B2636" s="167"/>
    </row>
    <row r="2637" spans="1:2" x14ac:dyDescent="0.25">
      <c r="A2637" s="167"/>
      <c r="B2637" s="167"/>
    </row>
    <row r="2638" spans="1:2" x14ac:dyDescent="0.25">
      <c r="A2638" s="167"/>
      <c r="B2638" s="167"/>
    </row>
    <row r="2639" spans="1:2" x14ac:dyDescent="0.25">
      <c r="A2639" s="167"/>
      <c r="B2639" s="167"/>
    </row>
    <row r="2640" spans="1:2" x14ac:dyDescent="0.25">
      <c r="A2640" s="167"/>
      <c r="B2640" s="167"/>
    </row>
    <row r="2641" spans="1:2" x14ac:dyDescent="0.25">
      <c r="A2641" s="167"/>
      <c r="B2641" s="167"/>
    </row>
    <row r="2642" spans="1:2" x14ac:dyDescent="0.25">
      <c r="A2642" s="167"/>
      <c r="B2642" s="167"/>
    </row>
    <row r="2643" spans="1:2" x14ac:dyDescent="0.25">
      <c r="A2643" s="167"/>
      <c r="B2643" s="167"/>
    </row>
    <row r="2644" spans="1:2" x14ac:dyDescent="0.25">
      <c r="A2644" s="167"/>
      <c r="B2644" s="167"/>
    </row>
    <row r="2645" spans="1:2" x14ac:dyDescent="0.25">
      <c r="A2645" s="167"/>
      <c r="B2645" s="167"/>
    </row>
    <row r="2646" spans="1:2" x14ac:dyDescent="0.25">
      <c r="A2646" s="167"/>
      <c r="B2646" s="167"/>
    </row>
    <row r="2647" spans="1:2" x14ac:dyDescent="0.25">
      <c r="A2647" s="167"/>
      <c r="B2647" s="167"/>
    </row>
    <row r="2648" spans="1:2" x14ac:dyDescent="0.25">
      <c r="A2648" s="167"/>
      <c r="B2648" s="167"/>
    </row>
    <row r="2649" spans="1:2" x14ac:dyDescent="0.25">
      <c r="A2649" s="167"/>
      <c r="B2649" s="167"/>
    </row>
    <row r="2650" spans="1:2" x14ac:dyDescent="0.25">
      <c r="A2650" s="167"/>
      <c r="B2650" s="167"/>
    </row>
    <row r="2651" spans="1:2" x14ac:dyDescent="0.25">
      <c r="A2651" s="167"/>
      <c r="B2651" s="167"/>
    </row>
    <row r="2652" spans="1:2" x14ac:dyDescent="0.25">
      <c r="A2652" s="167"/>
      <c r="B2652" s="167"/>
    </row>
    <row r="2653" spans="1:2" x14ac:dyDescent="0.25">
      <c r="A2653" s="167"/>
      <c r="B2653" s="167"/>
    </row>
    <row r="2654" spans="1:2" x14ac:dyDescent="0.25">
      <c r="A2654" s="167"/>
      <c r="B2654" s="167"/>
    </row>
    <row r="2655" spans="1:2" x14ac:dyDescent="0.25">
      <c r="A2655" s="167"/>
      <c r="B2655" s="167"/>
    </row>
    <row r="2656" spans="1:2" x14ac:dyDescent="0.25">
      <c r="A2656" s="167"/>
      <c r="B2656" s="167"/>
    </row>
    <row r="2657" spans="1:2" x14ac:dyDescent="0.25">
      <c r="A2657" s="167"/>
      <c r="B2657" s="167"/>
    </row>
    <row r="2658" spans="1:2" x14ac:dyDescent="0.25">
      <c r="A2658" s="167"/>
      <c r="B2658" s="167"/>
    </row>
    <row r="2659" spans="1:2" x14ac:dyDescent="0.25">
      <c r="A2659" s="167"/>
      <c r="B2659" s="167"/>
    </row>
    <row r="2660" spans="1:2" x14ac:dyDescent="0.25">
      <c r="A2660" s="167"/>
      <c r="B2660" s="167"/>
    </row>
    <row r="2661" spans="1:2" x14ac:dyDescent="0.25">
      <c r="A2661" s="167"/>
      <c r="B2661" s="167"/>
    </row>
    <row r="2662" spans="1:2" x14ac:dyDescent="0.25">
      <c r="A2662" s="167"/>
      <c r="B2662" s="167"/>
    </row>
    <row r="2663" spans="1:2" x14ac:dyDescent="0.25">
      <c r="A2663" s="167"/>
      <c r="B2663" s="167"/>
    </row>
    <row r="2664" spans="1:2" x14ac:dyDescent="0.25">
      <c r="A2664" s="167"/>
      <c r="B2664" s="167"/>
    </row>
    <row r="2665" spans="1:2" x14ac:dyDescent="0.25">
      <c r="A2665" s="167"/>
      <c r="B2665" s="167"/>
    </row>
    <row r="2666" spans="1:2" x14ac:dyDescent="0.25">
      <c r="A2666" s="167"/>
      <c r="B2666" s="167"/>
    </row>
    <row r="2667" spans="1:2" x14ac:dyDescent="0.25">
      <c r="A2667" s="167"/>
      <c r="B2667" s="167"/>
    </row>
    <row r="2668" spans="1:2" x14ac:dyDescent="0.25">
      <c r="A2668" s="167"/>
      <c r="B2668" s="167"/>
    </row>
    <row r="2669" spans="1:2" x14ac:dyDescent="0.25">
      <c r="A2669" s="167"/>
      <c r="B2669" s="167"/>
    </row>
    <row r="2670" spans="1:2" x14ac:dyDescent="0.25">
      <c r="A2670" s="167"/>
      <c r="B2670" s="167"/>
    </row>
    <row r="2671" spans="1:2" x14ac:dyDescent="0.25">
      <c r="A2671" s="167"/>
      <c r="B2671" s="167"/>
    </row>
    <row r="2672" spans="1:2" x14ac:dyDescent="0.25">
      <c r="A2672" s="167"/>
      <c r="B2672" s="167"/>
    </row>
    <row r="2673" spans="1:2" x14ac:dyDescent="0.25">
      <c r="A2673" s="167"/>
      <c r="B2673" s="167"/>
    </row>
    <row r="2674" spans="1:2" x14ac:dyDescent="0.25">
      <c r="A2674" s="167"/>
      <c r="B2674" s="167"/>
    </row>
    <row r="2675" spans="1:2" x14ac:dyDescent="0.25">
      <c r="A2675" s="167"/>
      <c r="B2675" s="167"/>
    </row>
    <row r="2676" spans="1:2" x14ac:dyDescent="0.25">
      <c r="A2676" s="167"/>
      <c r="B2676" s="167"/>
    </row>
    <row r="2677" spans="1:2" x14ac:dyDescent="0.25">
      <c r="A2677" s="167"/>
      <c r="B2677" s="167"/>
    </row>
    <row r="2678" spans="1:2" x14ac:dyDescent="0.25">
      <c r="A2678" s="167"/>
      <c r="B2678" s="167"/>
    </row>
    <row r="2679" spans="1:2" x14ac:dyDescent="0.25">
      <c r="A2679" s="167"/>
      <c r="B2679" s="167"/>
    </row>
    <row r="2680" spans="1:2" x14ac:dyDescent="0.25">
      <c r="A2680" s="167"/>
      <c r="B2680" s="167"/>
    </row>
    <row r="2681" spans="1:2" x14ac:dyDescent="0.25">
      <c r="A2681" s="167"/>
      <c r="B2681" s="167"/>
    </row>
    <row r="2682" spans="1:2" x14ac:dyDescent="0.25">
      <c r="A2682" s="167"/>
      <c r="B2682" s="167"/>
    </row>
    <row r="2683" spans="1:2" x14ac:dyDescent="0.25">
      <c r="A2683" s="167"/>
      <c r="B2683" s="167"/>
    </row>
    <row r="2684" spans="1:2" x14ac:dyDescent="0.25">
      <c r="A2684" s="167"/>
      <c r="B2684" s="167"/>
    </row>
    <row r="2685" spans="1:2" x14ac:dyDescent="0.25">
      <c r="A2685" s="167"/>
      <c r="B2685" s="167"/>
    </row>
    <row r="2686" spans="1:2" x14ac:dyDescent="0.25">
      <c r="A2686" s="167"/>
      <c r="B2686" s="167"/>
    </row>
    <row r="2687" spans="1:2" x14ac:dyDescent="0.25">
      <c r="A2687" s="167"/>
      <c r="B2687" s="167"/>
    </row>
    <row r="2688" spans="1:2" x14ac:dyDescent="0.25">
      <c r="A2688" s="167"/>
      <c r="B2688" s="167"/>
    </row>
    <row r="2689" spans="1:2" x14ac:dyDescent="0.25">
      <c r="A2689" s="167"/>
      <c r="B2689" s="167"/>
    </row>
    <row r="2690" spans="1:2" x14ac:dyDescent="0.25">
      <c r="A2690" s="167"/>
      <c r="B2690" s="167"/>
    </row>
    <row r="2691" spans="1:2" x14ac:dyDescent="0.25">
      <c r="A2691" s="167"/>
      <c r="B2691" s="167"/>
    </row>
    <row r="2692" spans="1:2" x14ac:dyDescent="0.25">
      <c r="A2692" s="167"/>
      <c r="B2692" s="167"/>
    </row>
    <row r="2693" spans="1:2" x14ac:dyDescent="0.25">
      <c r="A2693" s="167"/>
      <c r="B2693" s="167"/>
    </row>
    <row r="2694" spans="1:2" x14ac:dyDescent="0.25">
      <c r="A2694" s="167"/>
      <c r="B2694" s="167"/>
    </row>
    <row r="2695" spans="1:2" x14ac:dyDescent="0.25">
      <c r="A2695" s="167"/>
      <c r="B2695" s="167"/>
    </row>
    <row r="2696" spans="1:2" x14ac:dyDescent="0.25">
      <c r="A2696" s="167"/>
      <c r="B2696" s="167"/>
    </row>
    <row r="2697" spans="1:2" x14ac:dyDescent="0.25">
      <c r="A2697" s="167"/>
      <c r="B2697" s="167"/>
    </row>
    <row r="2698" spans="1:2" x14ac:dyDescent="0.25">
      <c r="A2698" s="167"/>
      <c r="B2698" s="167"/>
    </row>
    <row r="2699" spans="1:2" x14ac:dyDescent="0.25">
      <c r="A2699" s="167"/>
      <c r="B2699" s="167"/>
    </row>
    <row r="2700" spans="1:2" x14ac:dyDescent="0.25">
      <c r="A2700" s="167"/>
      <c r="B2700" s="167"/>
    </row>
    <row r="2701" spans="1:2" x14ac:dyDescent="0.25">
      <c r="A2701" s="167"/>
      <c r="B2701" s="167"/>
    </row>
    <row r="2702" spans="1:2" x14ac:dyDescent="0.25">
      <c r="A2702" s="167"/>
      <c r="B2702" s="167"/>
    </row>
    <row r="2703" spans="1:2" x14ac:dyDescent="0.25">
      <c r="A2703" s="167"/>
      <c r="B2703" s="167"/>
    </row>
    <row r="2704" spans="1:2" x14ac:dyDescent="0.25">
      <c r="A2704" s="167"/>
      <c r="B2704" s="167"/>
    </row>
    <row r="2705" spans="1:2" x14ac:dyDescent="0.25">
      <c r="A2705" s="167"/>
      <c r="B2705" s="167"/>
    </row>
    <row r="2706" spans="1:2" x14ac:dyDescent="0.25">
      <c r="A2706" s="167"/>
      <c r="B2706" s="167"/>
    </row>
    <row r="2707" spans="1:2" x14ac:dyDescent="0.25">
      <c r="A2707" s="167"/>
      <c r="B2707" s="167"/>
    </row>
    <row r="2708" spans="1:2" x14ac:dyDescent="0.25">
      <c r="A2708" s="167"/>
      <c r="B2708" s="167"/>
    </row>
    <row r="2709" spans="1:2" x14ac:dyDescent="0.25">
      <c r="A2709" s="167"/>
      <c r="B2709" s="167"/>
    </row>
    <row r="2710" spans="1:2" x14ac:dyDescent="0.25">
      <c r="A2710" s="167"/>
      <c r="B2710" s="167"/>
    </row>
    <row r="2711" spans="1:2" x14ac:dyDescent="0.25">
      <c r="A2711" s="167"/>
      <c r="B2711" s="167"/>
    </row>
    <row r="2712" spans="1:2" x14ac:dyDescent="0.25">
      <c r="A2712" s="167"/>
      <c r="B2712" s="167"/>
    </row>
    <row r="2713" spans="1:2" x14ac:dyDescent="0.25">
      <c r="A2713" s="167"/>
      <c r="B2713" s="167"/>
    </row>
    <row r="2714" spans="1:2" x14ac:dyDescent="0.25">
      <c r="A2714" s="167"/>
      <c r="B2714" s="167"/>
    </row>
    <row r="2715" spans="1:2" x14ac:dyDescent="0.25">
      <c r="A2715" s="167"/>
      <c r="B2715" s="167"/>
    </row>
    <row r="2716" spans="1:2" x14ac:dyDescent="0.25">
      <c r="A2716" s="167"/>
      <c r="B2716" s="167"/>
    </row>
    <row r="2717" spans="1:2" x14ac:dyDescent="0.25">
      <c r="A2717" s="167"/>
      <c r="B2717" s="167"/>
    </row>
    <row r="2718" spans="1:2" x14ac:dyDescent="0.25">
      <c r="A2718" s="167"/>
      <c r="B2718" s="167"/>
    </row>
    <row r="2719" spans="1:2" x14ac:dyDescent="0.25">
      <c r="A2719" s="167"/>
      <c r="B2719" s="167"/>
    </row>
    <row r="2720" spans="1:2" x14ac:dyDescent="0.25">
      <c r="A2720" s="167"/>
      <c r="B2720" s="167"/>
    </row>
    <row r="2721" spans="1:2" x14ac:dyDescent="0.25">
      <c r="A2721" s="167"/>
      <c r="B2721" s="167"/>
    </row>
    <row r="2722" spans="1:2" x14ac:dyDescent="0.25">
      <c r="A2722" s="167"/>
      <c r="B2722" s="167"/>
    </row>
    <row r="2723" spans="1:2" x14ac:dyDescent="0.25">
      <c r="A2723" s="167"/>
      <c r="B2723" s="167"/>
    </row>
    <row r="2724" spans="1:2" x14ac:dyDescent="0.25">
      <c r="A2724" s="167"/>
      <c r="B2724" s="167"/>
    </row>
    <row r="2725" spans="1:2" x14ac:dyDescent="0.25">
      <c r="A2725" s="167"/>
      <c r="B2725" s="167"/>
    </row>
    <row r="2726" spans="1:2" x14ac:dyDescent="0.25">
      <c r="A2726" s="167"/>
      <c r="B2726" s="167"/>
    </row>
    <row r="2727" spans="1:2" x14ac:dyDescent="0.25">
      <c r="A2727" s="167"/>
      <c r="B2727" s="167"/>
    </row>
    <row r="2728" spans="1:2" x14ac:dyDescent="0.25">
      <c r="A2728" s="167"/>
      <c r="B2728" s="167"/>
    </row>
    <row r="2729" spans="1:2" x14ac:dyDescent="0.25">
      <c r="A2729" s="167"/>
      <c r="B2729" s="167"/>
    </row>
    <row r="2730" spans="1:2" x14ac:dyDescent="0.25">
      <c r="A2730" s="167"/>
      <c r="B2730" s="167"/>
    </row>
    <row r="2731" spans="1:2" x14ac:dyDescent="0.25">
      <c r="A2731" s="167"/>
      <c r="B2731" s="167"/>
    </row>
    <row r="2732" spans="1:2" x14ac:dyDescent="0.25">
      <c r="A2732" s="167"/>
      <c r="B2732" s="167"/>
    </row>
    <row r="2733" spans="1:2" x14ac:dyDescent="0.25">
      <c r="A2733" s="167"/>
      <c r="B2733" s="167"/>
    </row>
    <row r="2734" spans="1:2" x14ac:dyDescent="0.25">
      <c r="A2734" s="167"/>
      <c r="B2734" s="167"/>
    </row>
    <row r="2735" spans="1:2" x14ac:dyDescent="0.25">
      <c r="A2735" s="167"/>
      <c r="B2735" s="167"/>
    </row>
    <row r="2736" spans="1:2" x14ac:dyDescent="0.25">
      <c r="A2736" s="167"/>
      <c r="B2736" s="167"/>
    </row>
    <row r="2737" spans="1:2" x14ac:dyDescent="0.25">
      <c r="A2737" s="167"/>
      <c r="B2737" s="167"/>
    </row>
    <row r="2738" spans="1:2" x14ac:dyDescent="0.25">
      <c r="A2738" s="167"/>
      <c r="B2738" s="167"/>
    </row>
    <row r="2739" spans="1:2" x14ac:dyDescent="0.25">
      <c r="A2739" s="167"/>
      <c r="B2739" s="167"/>
    </row>
    <row r="2740" spans="1:2" x14ac:dyDescent="0.25">
      <c r="A2740" s="167"/>
      <c r="B2740" s="167"/>
    </row>
    <row r="2741" spans="1:2" x14ac:dyDescent="0.25">
      <c r="A2741" s="167"/>
      <c r="B2741" s="167"/>
    </row>
    <row r="2742" spans="1:2" x14ac:dyDescent="0.25">
      <c r="A2742" s="167"/>
      <c r="B2742" s="167"/>
    </row>
    <row r="2743" spans="1:2" x14ac:dyDescent="0.25">
      <c r="A2743" s="167"/>
      <c r="B2743" s="167"/>
    </row>
    <row r="2744" spans="1:2" x14ac:dyDescent="0.25">
      <c r="A2744" s="167"/>
      <c r="B2744" s="167"/>
    </row>
    <row r="2745" spans="1:2" x14ac:dyDescent="0.25">
      <c r="A2745" s="167"/>
      <c r="B2745" s="167"/>
    </row>
    <row r="2746" spans="1:2" x14ac:dyDescent="0.25">
      <c r="A2746" s="167"/>
      <c r="B2746" s="167"/>
    </row>
    <row r="2747" spans="1:2" x14ac:dyDescent="0.25">
      <c r="A2747" s="167"/>
      <c r="B2747" s="167"/>
    </row>
    <row r="2748" spans="1:2" x14ac:dyDescent="0.25">
      <c r="A2748" s="167"/>
      <c r="B2748" s="167"/>
    </row>
    <row r="2749" spans="1:2" x14ac:dyDescent="0.25">
      <c r="A2749" s="167"/>
      <c r="B2749" s="167"/>
    </row>
    <row r="2750" spans="1:2" x14ac:dyDescent="0.25">
      <c r="A2750" s="167"/>
      <c r="B2750" s="167"/>
    </row>
    <row r="2751" spans="1:2" x14ac:dyDescent="0.25">
      <c r="A2751" s="167"/>
      <c r="B2751" s="167"/>
    </row>
    <row r="2752" spans="1:2" x14ac:dyDescent="0.25">
      <c r="A2752" s="167"/>
      <c r="B2752" s="167"/>
    </row>
    <row r="2753" spans="1:2" x14ac:dyDescent="0.25">
      <c r="A2753" s="167"/>
      <c r="B2753" s="167"/>
    </row>
    <row r="2754" spans="1:2" x14ac:dyDescent="0.25">
      <c r="A2754" s="167"/>
      <c r="B2754" s="167"/>
    </row>
    <row r="2755" spans="1:2" x14ac:dyDescent="0.25">
      <c r="A2755" s="167"/>
      <c r="B2755" s="167"/>
    </row>
    <row r="2756" spans="1:2" x14ac:dyDescent="0.25">
      <c r="A2756" s="167"/>
      <c r="B2756" s="167"/>
    </row>
    <row r="2757" spans="1:2" x14ac:dyDescent="0.25">
      <c r="A2757" s="167"/>
      <c r="B2757" s="167"/>
    </row>
    <row r="2758" spans="1:2" x14ac:dyDescent="0.25">
      <c r="A2758" s="167"/>
      <c r="B2758" s="167"/>
    </row>
    <row r="2759" spans="1:2" x14ac:dyDescent="0.25">
      <c r="A2759" s="167"/>
      <c r="B2759" s="167"/>
    </row>
    <row r="2760" spans="1:2" x14ac:dyDescent="0.25">
      <c r="A2760" s="167"/>
      <c r="B2760" s="167"/>
    </row>
    <row r="2761" spans="1:2" x14ac:dyDescent="0.25">
      <c r="A2761" s="167"/>
      <c r="B2761" s="167"/>
    </row>
    <row r="2762" spans="1:2" x14ac:dyDescent="0.25">
      <c r="A2762" s="167"/>
      <c r="B2762" s="167"/>
    </row>
    <row r="2763" spans="1:2" x14ac:dyDescent="0.25">
      <c r="A2763" s="167"/>
      <c r="B2763" s="167"/>
    </row>
    <row r="2764" spans="1:2" x14ac:dyDescent="0.25">
      <c r="A2764" s="167"/>
      <c r="B2764" s="167"/>
    </row>
    <row r="2765" spans="1:2" x14ac:dyDescent="0.25">
      <c r="A2765" s="167"/>
      <c r="B2765" s="167"/>
    </row>
    <row r="2766" spans="1:2" x14ac:dyDescent="0.25">
      <c r="A2766" s="167"/>
      <c r="B2766" s="167"/>
    </row>
    <row r="2767" spans="1:2" x14ac:dyDescent="0.25">
      <c r="A2767" s="167"/>
      <c r="B2767" s="167"/>
    </row>
    <row r="2768" spans="1:2" x14ac:dyDescent="0.25">
      <c r="A2768" s="167"/>
      <c r="B2768" s="167"/>
    </row>
    <row r="2769" spans="1:2" x14ac:dyDescent="0.25">
      <c r="A2769" s="167"/>
      <c r="B2769" s="167"/>
    </row>
    <row r="2770" spans="1:2" x14ac:dyDescent="0.25">
      <c r="A2770" s="167"/>
      <c r="B2770" s="167"/>
    </row>
    <row r="2771" spans="1:2" x14ac:dyDescent="0.25">
      <c r="A2771" s="167"/>
      <c r="B2771" s="167"/>
    </row>
    <row r="2772" spans="1:2" x14ac:dyDescent="0.25">
      <c r="A2772" s="167"/>
      <c r="B2772" s="167"/>
    </row>
    <row r="2773" spans="1:2" x14ac:dyDescent="0.25">
      <c r="A2773" s="167"/>
      <c r="B2773" s="167"/>
    </row>
    <row r="2774" spans="1:2" x14ac:dyDescent="0.25">
      <c r="A2774" s="167"/>
      <c r="B2774" s="167"/>
    </row>
    <row r="2775" spans="1:2" x14ac:dyDescent="0.25">
      <c r="A2775" s="167"/>
      <c r="B2775" s="167"/>
    </row>
    <row r="2776" spans="1:2" x14ac:dyDescent="0.25">
      <c r="A2776" s="167"/>
      <c r="B2776" s="167"/>
    </row>
    <row r="2777" spans="1:2" x14ac:dyDescent="0.25">
      <c r="A2777" s="167"/>
      <c r="B2777" s="167"/>
    </row>
    <row r="2778" spans="1:2" x14ac:dyDescent="0.25">
      <c r="A2778" s="167"/>
      <c r="B2778" s="167"/>
    </row>
    <row r="2779" spans="1:2" x14ac:dyDescent="0.25">
      <c r="A2779" s="167"/>
      <c r="B2779" s="167"/>
    </row>
    <row r="2780" spans="1:2" x14ac:dyDescent="0.25">
      <c r="A2780" s="167"/>
      <c r="B2780" s="167"/>
    </row>
    <row r="2781" spans="1:2" x14ac:dyDescent="0.25">
      <c r="A2781" s="167"/>
      <c r="B2781" s="167"/>
    </row>
    <row r="2782" spans="1:2" x14ac:dyDescent="0.25">
      <c r="A2782" s="167"/>
      <c r="B2782" s="167"/>
    </row>
    <row r="2783" spans="1:2" x14ac:dyDescent="0.25">
      <c r="A2783" s="167"/>
      <c r="B2783" s="167"/>
    </row>
    <row r="2784" spans="1:2" x14ac:dyDescent="0.25">
      <c r="A2784" s="167"/>
      <c r="B2784" s="167"/>
    </row>
    <row r="2785" spans="1:2" x14ac:dyDescent="0.25">
      <c r="A2785" s="167"/>
      <c r="B2785" s="167"/>
    </row>
    <row r="2786" spans="1:2" x14ac:dyDescent="0.25">
      <c r="A2786" s="167"/>
      <c r="B2786" s="167"/>
    </row>
    <row r="2787" spans="1:2" x14ac:dyDescent="0.25">
      <c r="A2787" s="167"/>
      <c r="B2787" s="167"/>
    </row>
    <row r="2788" spans="1:2" x14ac:dyDescent="0.25">
      <c r="A2788" s="167"/>
      <c r="B2788" s="167"/>
    </row>
    <row r="2789" spans="1:2" x14ac:dyDescent="0.25">
      <c r="A2789" s="167"/>
      <c r="B2789" s="167"/>
    </row>
    <row r="2790" spans="1:2" x14ac:dyDescent="0.25">
      <c r="A2790" s="167"/>
      <c r="B2790" s="167"/>
    </row>
    <row r="2791" spans="1:2" x14ac:dyDescent="0.25">
      <c r="A2791" s="167"/>
      <c r="B2791" s="167"/>
    </row>
    <row r="2792" spans="1:2" x14ac:dyDescent="0.25">
      <c r="A2792" s="167"/>
      <c r="B2792" s="167"/>
    </row>
    <row r="2793" spans="1:2" x14ac:dyDescent="0.25">
      <c r="A2793" s="167"/>
      <c r="B2793" s="167"/>
    </row>
    <row r="2794" spans="1:2" x14ac:dyDescent="0.25">
      <c r="A2794" s="167"/>
      <c r="B2794" s="167"/>
    </row>
    <row r="2795" spans="1:2" x14ac:dyDescent="0.25">
      <c r="A2795" s="167"/>
      <c r="B2795" s="167"/>
    </row>
    <row r="2796" spans="1:2" x14ac:dyDescent="0.25">
      <c r="A2796" s="167"/>
      <c r="B2796" s="167"/>
    </row>
    <row r="2797" spans="1:2" x14ac:dyDescent="0.25">
      <c r="A2797" s="167"/>
      <c r="B2797" s="167"/>
    </row>
    <row r="2798" spans="1:2" x14ac:dyDescent="0.25">
      <c r="A2798" s="167"/>
      <c r="B2798" s="167"/>
    </row>
    <row r="2799" spans="1:2" x14ac:dyDescent="0.25">
      <c r="A2799" s="167"/>
      <c r="B2799" s="167"/>
    </row>
    <row r="2800" spans="1:2" x14ac:dyDescent="0.25">
      <c r="A2800" s="167"/>
      <c r="B2800" s="167"/>
    </row>
    <row r="2801" spans="1:2" x14ac:dyDescent="0.25">
      <c r="A2801" s="167"/>
      <c r="B2801" s="167"/>
    </row>
    <row r="2802" spans="1:2" x14ac:dyDescent="0.25">
      <c r="A2802" s="167"/>
      <c r="B2802" s="167"/>
    </row>
    <row r="2803" spans="1:2" x14ac:dyDescent="0.25">
      <c r="A2803" s="167"/>
      <c r="B2803" s="167"/>
    </row>
    <row r="2804" spans="1:2" x14ac:dyDescent="0.25">
      <c r="A2804" s="167"/>
      <c r="B2804" s="167"/>
    </row>
    <row r="2805" spans="1:2" x14ac:dyDescent="0.25">
      <c r="A2805" s="167"/>
      <c r="B2805" s="167"/>
    </row>
    <row r="2806" spans="1:2" x14ac:dyDescent="0.25">
      <c r="A2806" s="167"/>
      <c r="B2806" s="167"/>
    </row>
    <row r="2807" spans="1:2" x14ac:dyDescent="0.25">
      <c r="A2807" s="167"/>
      <c r="B2807" s="167"/>
    </row>
    <row r="2808" spans="1:2" x14ac:dyDescent="0.25">
      <c r="A2808" s="167"/>
      <c r="B2808" s="167"/>
    </row>
    <row r="2809" spans="1:2" x14ac:dyDescent="0.25">
      <c r="A2809" s="167"/>
      <c r="B2809" s="167"/>
    </row>
    <row r="2810" spans="1:2" x14ac:dyDescent="0.25">
      <c r="A2810" s="167"/>
      <c r="B2810" s="167"/>
    </row>
    <row r="2811" spans="1:2" x14ac:dyDescent="0.25">
      <c r="A2811" s="167"/>
      <c r="B2811" s="167"/>
    </row>
    <row r="2812" spans="1:2" x14ac:dyDescent="0.25">
      <c r="A2812" s="167"/>
      <c r="B2812" s="167"/>
    </row>
    <row r="2813" spans="1:2" x14ac:dyDescent="0.25">
      <c r="A2813" s="167"/>
      <c r="B2813" s="167"/>
    </row>
    <row r="2814" spans="1:2" x14ac:dyDescent="0.25">
      <c r="A2814" s="167"/>
      <c r="B2814" s="167"/>
    </row>
    <row r="2815" spans="1:2" x14ac:dyDescent="0.25">
      <c r="A2815" s="167"/>
      <c r="B2815" s="167"/>
    </row>
    <row r="2816" spans="1:2" x14ac:dyDescent="0.25">
      <c r="A2816" s="167"/>
      <c r="B2816" s="167"/>
    </row>
    <row r="2817" spans="1:2" x14ac:dyDescent="0.25">
      <c r="A2817" s="167"/>
      <c r="B2817" s="167"/>
    </row>
    <row r="2818" spans="1:2" x14ac:dyDescent="0.25">
      <c r="A2818" s="167"/>
      <c r="B2818" s="167"/>
    </row>
    <row r="2819" spans="1:2" x14ac:dyDescent="0.25">
      <c r="A2819" s="167"/>
      <c r="B2819" s="167"/>
    </row>
    <row r="2820" spans="1:2" x14ac:dyDescent="0.25">
      <c r="A2820" s="167"/>
      <c r="B2820" s="167"/>
    </row>
    <row r="2821" spans="1:2" x14ac:dyDescent="0.25">
      <c r="A2821" s="167"/>
      <c r="B2821" s="167"/>
    </row>
    <row r="2822" spans="1:2" x14ac:dyDescent="0.25">
      <c r="A2822" s="167"/>
      <c r="B2822" s="167"/>
    </row>
    <row r="2823" spans="1:2" x14ac:dyDescent="0.25">
      <c r="A2823" s="167"/>
      <c r="B2823" s="167"/>
    </row>
    <row r="2824" spans="1:2" x14ac:dyDescent="0.25">
      <c r="A2824" s="167"/>
      <c r="B2824" s="167"/>
    </row>
    <row r="2825" spans="1:2" x14ac:dyDescent="0.25">
      <c r="A2825" s="167"/>
      <c r="B2825" s="167"/>
    </row>
    <row r="2826" spans="1:2" x14ac:dyDescent="0.25">
      <c r="A2826" s="167"/>
      <c r="B2826" s="167"/>
    </row>
    <row r="2827" spans="1:2" x14ac:dyDescent="0.25">
      <c r="A2827" s="167"/>
      <c r="B2827" s="167"/>
    </row>
    <row r="2828" spans="1:2" x14ac:dyDescent="0.25">
      <c r="A2828" s="167"/>
      <c r="B2828" s="167"/>
    </row>
    <row r="2829" spans="1:2" x14ac:dyDescent="0.25">
      <c r="A2829" s="167"/>
      <c r="B2829" s="167"/>
    </row>
    <row r="2830" spans="1:2" x14ac:dyDescent="0.25">
      <c r="A2830" s="167"/>
      <c r="B2830" s="167"/>
    </row>
    <row r="2831" spans="1:2" x14ac:dyDescent="0.25">
      <c r="A2831" s="167"/>
      <c r="B2831" s="167"/>
    </row>
    <row r="2832" spans="1:2" x14ac:dyDescent="0.25">
      <c r="A2832" s="167"/>
      <c r="B2832" s="167"/>
    </row>
    <row r="2833" spans="1:2" x14ac:dyDescent="0.25">
      <c r="A2833" s="167"/>
      <c r="B2833" s="167"/>
    </row>
    <row r="2834" spans="1:2" x14ac:dyDescent="0.25">
      <c r="A2834" s="167"/>
      <c r="B2834" s="167"/>
    </row>
    <row r="2835" spans="1:2" x14ac:dyDescent="0.25">
      <c r="A2835" s="167"/>
      <c r="B2835" s="167"/>
    </row>
    <row r="2836" spans="1:2" x14ac:dyDescent="0.25">
      <c r="A2836" s="167"/>
      <c r="B2836" s="167"/>
    </row>
    <row r="2837" spans="1:2" x14ac:dyDescent="0.25">
      <c r="A2837" s="167"/>
      <c r="B2837" s="167"/>
    </row>
    <row r="2838" spans="1:2" x14ac:dyDescent="0.25">
      <c r="A2838" s="167"/>
      <c r="B2838" s="167"/>
    </row>
    <row r="2839" spans="1:2" x14ac:dyDescent="0.25">
      <c r="A2839" s="167"/>
      <c r="B2839" s="167"/>
    </row>
    <row r="2840" spans="1:2" x14ac:dyDescent="0.25">
      <c r="A2840" s="167"/>
      <c r="B2840" s="167"/>
    </row>
    <row r="2841" spans="1:2" x14ac:dyDescent="0.25">
      <c r="A2841" s="167"/>
      <c r="B2841" s="167"/>
    </row>
    <row r="2842" spans="1:2" x14ac:dyDescent="0.25">
      <c r="A2842" s="167"/>
      <c r="B2842" s="167"/>
    </row>
    <row r="2843" spans="1:2" x14ac:dyDescent="0.25">
      <c r="A2843" s="167"/>
      <c r="B2843" s="167"/>
    </row>
    <row r="2844" spans="1:2" x14ac:dyDescent="0.25">
      <c r="A2844" s="167"/>
      <c r="B2844" s="167"/>
    </row>
    <row r="2845" spans="1:2" x14ac:dyDescent="0.25">
      <c r="A2845" s="167"/>
      <c r="B2845" s="167"/>
    </row>
    <row r="2846" spans="1:2" x14ac:dyDescent="0.25">
      <c r="A2846" s="167"/>
      <c r="B2846" s="167"/>
    </row>
    <row r="2847" spans="1:2" x14ac:dyDescent="0.25">
      <c r="A2847" s="167"/>
      <c r="B2847" s="167"/>
    </row>
    <row r="2848" spans="1:2" x14ac:dyDescent="0.25">
      <c r="A2848" s="167"/>
      <c r="B2848" s="167"/>
    </row>
    <row r="2849" spans="1:2" x14ac:dyDescent="0.25">
      <c r="A2849" s="167"/>
      <c r="B2849" s="167"/>
    </row>
    <row r="2850" spans="1:2" x14ac:dyDescent="0.25">
      <c r="A2850" s="167"/>
      <c r="B2850" s="167"/>
    </row>
    <row r="2851" spans="1:2" x14ac:dyDescent="0.25">
      <c r="A2851" s="167"/>
      <c r="B2851" s="167"/>
    </row>
    <row r="2852" spans="1:2" x14ac:dyDescent="0.25">
      <c r="A2852" s="167"/>
      <c r="B2852" s="167"/>
    </row>
    <row r="2853" spans="1:2" x14ac:dyDescent="0.25">
      <c r="A2853" s="167"/>
      <c r="B2853" s="167"/>
    </row>
    <row r="2854" spans="1:2" x14ac:dyDescent="0.25">
      <c r="A2854" s="167"/>
      <c r="B2854" s="167"/>
    </row>
    <row r="2855" spans="1:2" x14ac:dyDescent="0.25">
      <c r="A2855" s="167"/>
      <c r="B2855" s="167"/>
    </row>
    <row r="2856" spans="1:2" x14ac:dyDescent="0.25">
      <c r="A2856" s="167"/>
      <c r="B2856" s="167"/>
    </row>
    <row r="2857" spans="1:2" x14ac:dyDescent="0.25">
      <c r="A2857" s="167"/>
      <c r="B2857" s="167"/>
    </row>
    <row r="2858" spans="1:2" x14ac:dyDescent="0.25">
      <c r="A2858" s="167"/>
      <c r="B2858" s="167"/>
    </row>
    <row r="2859" spans="1:2" x14ac:dyDescent="0.25">
      <c r="A2859" s="167"/>
      <c r="B2859" s="167"/>
    </row>
    <row r="2860" spans="1:2" x14ac:dyDescent="0.25">
      <c r="A2860" s="167"/>
      <c r="B2860" s="167"/>
    </row>
    <row r="2861" spans="1:2" x14ac:dyDescent="0.25">
      <c r="A2861" s="167"/>
      <c r="B2861" s="167"/>
    </row>
    <row r="2862" spans="1:2" x14ac:dyDescent="0.25">
      <c r="A2862" s="167"/>
      <c r="B2862" s="167"/>
    </row>
    <row r="2863" spans="1:2" x14ac:dyDescent="0.25">
      <c r="A2863" s="167"/>
      <c r="B2863" s="167"/>
    </row>
    <row r="2864" spans="1:2" x14ac:dyDescent="0.25">
      <c r="A2864" s="167"/>
      <c r="B2864" s="167"/>
    </row>
    <row r="2865" spans="1:2" x14ac:dyDescent="0.25">
      <c r="A2865" s="167"/>
      <c r="B2865" s="167"/>
    </row>
    <row r="2866" spans="1:2" x14ac:dyDescent="0.25">
      <c r="A2866" s="167"/>
      <c r="B2866" s="167"/>
    </row>
    <row r="2867" spans="1:2" x14ac:dyDescent="0.25">
      <c r="A2867" s="167"/>
      <c r="B2867" s="167"/>
    </row>
    <row r="2868" spans="1:2" x14ac:dyDescent="0.25">
      <c r="A2868" s="167"/>
      <c r="B2868" s="167"/>
    </row>
    <row r="2869" spans="1:2" x14ac:dyDescent="0.25">
      <c r="A2869" s="167"/>
      <c r="B2869" s="167"/>
    </row>
    <row r="2870" spans="1:2" x14ac:dyDescent="0.25">
      <c r="A2870" s="167"/>
      <c r="B2870" s="167"/>
    </row>
    <row r="2871" spans="1:2" x14ac:dyDescent="0.25">
      <c r="A2871" s="167"/>
      <c r="B2871" s="167"/>
    </row>
    <row r="2872" spans="1:2" x14ac:dyDescent="0.25">
      <c r="A2872" s="167"/>
      <c r="B2872" s="167"/>
    </row>
    <row r="2873" spans="1:2" x14ac:dyDescent="0.25">
      <c r="A2873" s="167"/>
      <c r="B2873" s="167"/>
    </row>
    <row r="2874" spans="1:2" x14ac:dyDescent="0.25">
      <c r="A2874" s="167"/>
      <c r="B2874" s="167"/>
    </row>
    <row r="2875" spans="1:2" x14ac:dyDescent="0.25">
      <c r="A2875" s="167"/>
      <c r="B2875" s="167"/>
    </row>
    <row r="2876" spans="1:2" x14ac:dyDescent="0.25">
      <c r="A2876" s="167"/>
      <c r="B2876" s="167"/>
    </row>
    <row r="2877" spans="1:2" x14ac:dyDescent="0.25">
      <c r="A2877" s="167"/>
      <c r="B2877" s="167"/>
    </row>
    <row r="2878" spans="1:2" x14ac:dyDescent="0.25">
      <c r="A2878" s="167"/>
      <c r="B2878" s="167"/>
    </row>
    <row r="2879" spans="1:2" x14ac:dyDescent="0.25">
      <c r="A2879" s="167"/>
      <c r="B2879" s="167"/>
    </row>
    <row r="2880" spans="1:2" x14ac:dyDescent="0.25">
      <c r="A2880" s="167"/>
      <c r="B2880" s="167"/>
    </row>
    <row r="2881" spans="1:2" x14ac:dyDescent="0.25">
      <c r="A2881" s="167"/>
      <c r="B2881" s="167"/>
    </row>
    <row r="2882" spans="1:2" x14ac:dyDescent="0.25">
      <c r="A2882" s="167"/>
      <c r="B2882" s="167"/>
    </row>
    <row r="2883" spans="1:2" x14ac:dyDescent="0.25">
      <c r="A2883" s="167"/>
      <c r="B2883" s="167"/>
    </row>
    <row r="2884" spans="1:2" x14ac:dyDescent="0.25">
      <c r="A2884" s="167"/>
      <c r="B2884" s="167"/>
    </row>
    <row r="2885" spans="1:2" x14ac:dyDescent="0.25">
      <c r="A2885" s="167"/>
      <c r="B2885" s="167"/>
    </row>
    <row r="2886" spans="1:2" x14ac:dyDescent="0.25">
      <c r="A2886" s="167"/>
      <c r="B2886" s="167"/>
    </row>
    <row r="2887" spans="1:2" x14ac:dyDescent="0.25">
      <c r="A2887" s="167"/>
      <c r="B2887" s="167"/>
    </row>
    <row r="2888" spans="1:2" x14ac:dyDescent="0.25">
      <c r="A2888" s="167"/>
      <c r="B2888" s="167"/>
    </row>
    <row r="2889" spans="1:2" x14ac:dyDescent="0.25">
      <c r="A2889" s="167"/>
      <c r="B2889" s="167"/>
    </row>
    <row r="2890" spans="1:2" x14ac:dyDescent="0.25">
      <c r="A2890" s="167"/>
      <c r="B2890" s="167"/>
    </row>
    <row r="2891" spans="1:2" x14ac:dyDescent="0.25">
      <c r="A2891" s="167"/>
      <c r="B2891" s="167"/>
    </row>
    <row r="2892" spans="1:2" x14ac:dyDescent="0.25">
      <c r="A2892" s="167"/>
      <c r="B2892" s="167"/>
    </row>
    <row r="2893" spans="1:2" x14ac:dyDescent="0.25">
      <c r="A2893" s="167"/>
      <c r="B2893" s="167"/>
    </row>
    <row r="2894" spans="1:2" x14ac:dyDescent="0.25">
      <c r="A2894" s="167"/>
      <c r="B2894" s="167"/>
    </row>
    <row r="2895" spans="1:2" x14ac:dyDescent="0.25">
      <c r="A2895" s="167"/>
      <c r="B2895" s="167"/>
    </row>
    <row r="2896" spans="1:2" x14ac:dyDescent="0.25">
      <c r="A2896" s="167"/>
      <c r="B2896" s="167"/>
    </row>
    <row r="2897" spans="1:2" x14ac:dyDescent="0.25">
      <c r="A2897" s="167"/>
      <c r="B2897" s="167"/>
    </row>
    <row r="2898" spans="1:2" x14ac:dyDescent="0.25">
      <c r="A2898" s="167"/>
      <c r="B2898" s="167"/>
    </row>
    <row r="2899" spans="1:2" x14ac:dyDescent="0.25">
      <c r="A2899" s="167"/>
      <c r="B2899" s="167"/>
    </row>
    <row r="2900" spans="1:2" x14ac:dyDescent="0.25">
      <c r="A2900" s="167"/>
      <c r="B2900" s="167"/>
    </row>
    <row r="2901" spans="1:2" x14ac:dyDescent="0.25">
      <c r="A2901" s="167"/>
      <c r="B2901" s="167"/>
    </row>
    <row r="2902" spans="1:2" x14ac:dyDescent="0.25">
      <c r="A2902" s="167"/>
      <c r="B2902" s="167"/>
    </row>
    <row r="2903" spans="1:2" x14ac:dyDescent="0.25">
      <c r="A2903" s="167"/>
      <c r="B2903" s="167"/>
    </row>
    <row r="2904" spans="1:2" x14ac:dyDescent="0.25">
      <c r="A2904" s="167"/>
      <c r="B2904" s="167"/>
    </row>
    <row r="2905" spans="1:2" x14ac:dyDescent="0.25">
      <c r="A2905" s="167"/>
      <c r="B2905" s="167"/>
    </row>
    <row r="2906" spans="1:2" x14ac:dyDescent="0.25">
      <c r="A2906" s="167"/>
      <c r="B2906" s="167"/>
    </row>
    <row r="2907" spans="1:2" x14ac:dyDescent="0.25">
      <c r="A2907" s="167"/>
      <c r="B2907" s="167"/>
    </row>
    <row r="2908" spans="1:2" x14ac:dyDescent="0.25">
      <c r="A2908" s="167"/>
      <c r="B2908" s="167"/>
    </row>
    <row r="2909" spans="1:2" x14ac:dyDescent="0.25">
      <c r="A2909" s="167"/>
      <c r="B2909" s="167"/>
    </row>
    <row r="2910" spans="1:2" x14ac:dyDescent="0.25">
      <c r="A2910" s="167"/>
      <c r="B2910" s="167"/>
    </row>
    <row r="2911" spans="1:2" x14ac:dyDescent="0.25">
      <c r="A2911" s="167"/>
      <c r="B2911" s="167"/>
    </row>
    <row r="2912" spans="1:2" x14ac:dyDescent="0.25">
      <c r="A2912" s="167"/>
      <c r="B2912" s="167"/>
    </row>
    <row r="2913" spans="1:2" x14ac:dyDescent="0.25">
      <c r="A2913" s="167"/>
      <c r="B2913" s="167"/>
    </row>
    <row r="2914" spans="1:2" x14ac:dyDescent="0.25">
      <c r="A2914" s="167"/>
      <c r="B2914" s="167"/>
    </row>
    <row r="2915" spans="1:2" x14ac:dyDescent="0.25">
      <c r="A2915" s="167"/>
      <c r="B2915" s="167"/>
    </row>
    <row r="2916" spans="1:2" x14ac:dyDescent="0.25">
      <c r="A2916" s="167"/>
      <c r="B2916" s="167"/>
    </row>
    <row r="2917" spans="1:2" x14ac:dyDescent="0.25">
      <c r="A2917" s="167"/>
      <c r="B2917" s="167"/>
    </row>
    <row r="2918" spans="1:2" x14ac:dyDescent="0.25">
      <c r="A2918" s="167"/>
      <c r="B2918" s="167"/>
    </row>
    <row r="2919" spans="1:2" x14ac:dyDescent="0.25">
      <c r="A2919" s="167"/>
      <c r="B2919" s="167"/>
    </row>
    <row r="2920" spans="1:2" x14ac:dyDescent="0.25">
      <c r="A2920" s="167"/>
      <c r="B2920" s="167"/>
    </row>
    <row r="2921" spans="1:2" x14ac:dyDescent="0.25">
      <c r="A2921" s="167"/>
      <c r="B2921" s="167"/>
    </row>
    <row r="2922" spans="1:2" x14ac:dyDescent="0.25">
      <c r="A2922" s="167"/>
      <c r="B2922" s="167"/>
    </row>
    <row r="2923" spans="1:2" x14ac:dyDescent="0.25">
      <c r="A2923" s="167"/>
      <c r="B2923" s="167"/>
    </row>
    <row r="2924" spans="1:2" x14ac:dyDescent="0.25">
      <c r="A2924" s="167"/>
      <c r="B2924" s="167"/>
    </row>
    <row r="2925" spans="1:2" x14ac:dyDescent="0.25">
      <c r="A2925" s="167"/>
      <c r="B2925" s="167"/>
    </row>
    <row r="2926" spans="1:2" x14ac:dyDescent="0.25">
      <c r="A2926" s="167"/>
      <c r="B2926" s="167"/>
    </row>
    <row r="2927" spans="1:2" x14ac:dyDescent="0.25">
      <c r="A2927" s="167"/>
      <c r="B2927" s="167"/>
    </row>
    <row r="2928" spans="1:2" x14ac:dyDescent="0.25">
      <c r="A2928" s="167"/>
      <c r="B2928" s="167"/>
    </row>
    <row r="2929" spans="1:2" x14ac:dyDescent="0.25">
      <c r="A2929" s="167"/>
      <c r="B2929" s="167"/>
    </row>
    <row r="2930" spans="1:2" x14ac:dyDescent="0.25">
      <c r="A2930" s="167"/>
      <c r="B2930" s="167"/>
    </row>
    <row r="2931" spans="1:2" x14ac:dyDescent="0.25">
      <c r="A2931" s="167"/>
      <c r="B2931" s="167"/>
    </row>
    <row r="2932" spans="1:2" x14ac:dyDescent="0.25">
      <c r="A2932" s="167"/>
      <c r="B2932" s="167"/>
    </row>
    <row r="2933" spans="1:2" x14ac:dyDescent="0.25">
      <c r="A2933" s="167"/>
      <c r="B2933" s="167"/>
    </row>
    <row r="2934" spans="1:2" x14ac:dyDescent="0.25">
      <c r="A2934" s="167"/>
      <c r="B2934" s="167"/>
    </row>
    <row r="2935" spans="1:2" x14ac:dyDescent="0.25">
      <c r="A2935" s="167"/>
      <c r="B2935" s="167"/>
    </row>
    <row r="2936" spans="1:2" x14ac:dyDescent="0.25">
      <c r="A2936" s="167"/>
      <c r="B2936" s="167"/>
    </row>
    <row r="2937" spans="1:2" x14ac:dyDescent="0.25">
      <c r="A2937" s="167"/>
      <c r="B2937" s="167"/>
    </row>
    <row r="2938" spans="1:2" x14ac:dyDescent="0.25">
      <c r="A2938" s="167"/>
      <c r="B2938" s="167"/>
    </row>
    <row r="2939" spans="1:2" x14ac:dyDescent="0.25">
      <c r="A2939" s="167"/>
      <c r="B2939" s="167"/>
    </row>
    <row r="2940" spans="1:2" x14ac:dyDescent="0.25">
      <c r="A2940" s="167"/>
      <c r="B2940" s="167"/>
    </row>
    <row r="2941" spans="1:2" x14ac:dyDescent="0.25">
      <c r="A2941" s="167"/>
      <c r="B2941" s="167"/>
    </row>
    <row r="2942" spans="1:2" x14ac:dyDescent="0.25">
      <c r="A2942" s="167"/>
      <c r="B2942" s="167"/>
    </row>
    <row r="2943" spans="1:2" x14ac:dyDescent="0.25">
      <c r="A2943" s="167"/>
      <c r="B2943" s="167"/>
    </row>
    <row r="2944" spans="1:2" x14ac:dyDescent="0.25">
      <c r="A2944" s="167"/>
      <c r="B2944" s="167"/>
    </row>
    <row r="2945" spans="1:2" x14ac:dyDescent="0.25">
      <c r="A2945" s="167"/>
      <c r="B2945" s="167"/>
    </row>
    <row r="2946" spans="1:2" x14ac:dyDescent="0.25">
      <c r="A2946" s="167"/>
      <c r="B2946" s="167"/>
    </row>
    <row r="2947" spans="1:2" x14ac:dyDescent="0.25">
      <c r="A2947" s="167"/>
      <c r="B2947" s="167"/>
    </row>
    <row r="2948" spans="1:2" x14ac:dyDescent="0.25">
      <c r="A2948" s="167"/>
      <c r="B2948" s="167"/>
    </row>
    <row r="2949" spans="1:2" x14ac:dyDescent="0.25">
      <c r="A2949" s="167"/>
      <c r="B2949" s="167"/>
    </row>
    <row r="2950" spans="1:2" x14ac:dyDescent="0.25">
      <c r="A2950" s="167"/>
      <c r="B2950" s="167"/>
    </row>
    <row r="2951" spans="1:2" x14ac:dyDescent="0.25">
      <c r="A2951" s="167"/>
      <c r="B2951" s="167"/>
    </row>
    <row r="2952" spans="1:2" x14ac:dyDescent="0.25">
      <c r="A2952" s="167"/>
      <c r="B2952" s="167"/>
    </row>
    <row r="2953" spans="1:2" x14ac:dyDescent="0.25">
      <c r="A2953" s="167"/>
      <c r="B2953" s="167"/>
    </row>
    <row r="2954" spans="1:2" x14ac:dyDescent="0.25">
      <c r="A2954" s="167"/>
      <c r="B2954" s="167"/>
    </row>
    <row r="2955" spans="1:2" x14ac:dyDescent="0.25">
      <c r="A2955" s="167"/>
      <c r="B2955" s="167"/>
    </row>
    <row r="2956" spans="1:2" x14ac:dyDescent="0.25">
      <c r="A2956" s="167"/>
      <c r="B2956" s="167"/>
    </row>
    <row r="2957" spans="1:2" x14ac:dyDescent="0.25">
      <c r="A2957" s="167"/>
      <c r="B2957" s="167"/>
    </row>
    <row r="2958" spans="1:2" x14ac:dyDescent="0.25">
      <c r="A2958" s="167"/>
      <c r="B2958" s="167"/>
    </row>
    <row r="2959" spans="1:2" x14ac:dyDescent="0.25">
      <c r="A2959" s="167"/>
      <c r="B2959" s="167"/>
    </row>
    <row r="2960" spans="1:2" x14ac:dyDescent="0.25">
      <c r="A2960" s="167"/>
      <c r="B2960" s="167"/>
    </row>
    <row r="2961" spans="1:2" x14ac:dyDescent="0.25">
      <c r="A2961" s="167"/>
      <c r="B2961" s="167"/>
    </row>
    <row r="2962" spans="1:2" x14ac:dyDescent="0.25">
      <c r="A2962" s="167"/>
      <c r="B2962" s="167"/>
    </row>
    <row r="2963" spans="1:2" x14ac:dyDescent="0.25">
      <c r="A2963" s="167"/>
      <c r="B2963" s="167"/>
    </row>
    <row r="2964" spans="1:2" x14ac:dyDescent="0.25">
      <c r="A2964" s="167"/>
      <c r="B2964" s="167"/>
    </row>
    <row r="2965" spans="1:2" x14ac:dyDescent="0.25">
      <c r="A2965" s="167"/>
      <c r="B2965" s="167"/>
    </row>
    <row r="2966" spans="1:2" x14ac:dyDescent="0.25">
      <c r="A2966" s="167"/>
      <c r="B2966" s="167"/>
    </row>
    <row r="2967" spans="1:2" x14ac:dyDescent="0.25">
      <c r="A2967" s="167"/>
      <c r="B2967" s="167"/>
    </row>
    <row r="2968" spans="1:2" x14ac:dyDescent="0.25">
      <c r="A2968" s="167"/>
      <c r="B2968" s="167"/>
    </row>
    <row r="2969" spans="1:2" x14ac:dyDescent="0.25">
      <c r="A2969" s="167"/>
      <c r="B2969" s="167"/>
    </row>
    <row r="2970" spans="1:2" x14ac:dyDescent="0.25">
      <c r="A2970" s="167"/>
      <c r="B2970" s="167"/>
    </row>
    <row r="2971" spans="1:2" x14ac:dyDescent="0.25">
      <c r="A2971" s="167"/>
      <c r="B2971" s="167"/>
    </row>
    <row r="2972" spans="1:2" x14ac:dyDescent="0.25">
      <c r="A2972" s="167"/>
      <c r="B2972" s="167"/>
    </row>
    <row r="2973" spans="1:2" x14ac:dyDescent="0.25">
      <c r="A2973" s="167"/>
      <c r="B2973" s="167"/>
    </row>
    <row r="2974" spans="1:2" x14ac:dyDescent="0.25">
      <c r="A2974" s="167"/>
      <c r="B2974" s="167"/>
    </row>
    <row r="2975" spans="1:2" x14ac:dyDescent="0.25">
      <c r="A2975" s="167"/>
      <c r="B2975" s="167"/>
    </row>
    <row r="2976" spans="1:2" x14ac:dyDescent="0.25">
      <c r="A2976" s="167"/>
      <c r="B2976" s="167"/>
    </row>
    <row r="2977" spans="1:2" x14ac:dyDescent="0.25">
      <c r="A2977" s="167"/>
      <c r="B2977" s="167"/>
    </row>
    <row r="2978" spans="1:2" x14ac:dyDescent="0.25">
      <c r="A2978" s="167"/>
      <c r="B2978" s="167"/>
    </row>
    <row r="2979" spans="1:2" x14ac:dyDescent="0.25">
      <c r="A2979" s="167"/>
      <c r="B2979" s="167"/>
    </row>
    <row r="2980" spans="1:2" x14ac:dyDescent="0.25">
      <c r="A2980" s="167"/>
      <c r="B2980" s="167"/>
    </row>
    <row r="2981" spans="1:2" x14ac:dyDescent="0.25">
      <c r="A2981" s="167"/>
      <c r="B2981" s="167"/>
    </row>
    <row r="2982" spans="1:2" x14ac:dyDescent="0.25">
      <c r="A2982" s="167"/>
      <c r="B2982" s="167"/>
    </row>
    <row r="2983" spans="1:2" x14ac:dyDescent="0.25">
      <c r="A2983" s="167"/>
      <c r="B2983" s="167"/>
    </row>
    <row r="2984" spans="1:2" x14ac:dyDescent="0.25">
      <c r="A2984" s="167"/>
      <c r="B2984" s="167"/>
    </row>
    <row r="2985" spans="1:2" x14ac:dyDescent="0.25">
      <c r="A2985" s="167"/>
      <c r="B2985" s="167"/>
    </row>
    <row r="2986" spans="1:2" x14ac:dyDescent="0.25">
      <c r="A2986" s="167"/>
      <c r="B2986" s="167"/>
    </row>
    <row r="2987" spans="1:2" x14ac:dyDescent="0.25">
      <c r="A2987" s="167"/>
      <c r="B2987" s="167"/>
    </row>
    <row r="2988" spans="1:2" x14ac:dyDescent="0.25">
      <c r="A2988" s="167"/>
      <c r="B2988" s="167"/>
    </row>
    <row r="2989" spans="1:2" x14ac:dyDescent="0.25">
      <c r="A2989" s="167"/>
      <c r="B2989" s="167"/>
    </row>
    <row r="2990" spans="1:2" x14ac:dyDescent="0.25">
      <c r="A2990" s="167"/>
      <c r="B2990" s="167"/>
    </row>
    <row r="2991" spans="1:2" x14ac:dyDescent="0.25">
      <c r="A2991" s="167"/>
      <c r="B2991" s="167"/>
    </row>
    <row r="2992" spans="1:2" x14ac:dyDescent="0.25">
      <c r="A2992" s="167"/>
      <c r="B2992" s="167"/>
    </row>
    <row r="2993" spans="1:2" x14ac:dyDescent="0.25">
      <c r="A2993" s="167"/>
      <c r="B2993" s="167"/>
    </row>
    <row r="2994" spans="1:2" x14ac:dyDescent="0.25">
      <c r="A2994" s="167"/>
      <c r="B2994" s="167"/>
    </row>
    <row r="2995" spans="1:2" x14ac:dyDescent="0.25">
      <c r="A2995" s="167"/>
      <c r="B2995" s="167"/>
    </row>
    <row r="2996" spans="1:2" x14ac:dyDescent="0.25">
      <c r="A2996" s="167"/>
      <c r="B2996" s="167"/>
    </row>
    <row r="2997" spans="1:2" x14ac:dyDescent="0.25">
      <c r="A2997" s="167"/>
      <c r="B2997" s="167"/>
    </row>
    <row r="2998" spans="1:2" x14ac:dyDescent="0.25">
      <c r="A2998" s="167"/>
      <c r="B2998" s="167"/>
    </row>
    <row r="2999" spans="1:2" x14ac:dyDescent="0.25">
      <c r="A2999" s="167"/>
      <c r="B2999" s="167"/>
    </row>
    <row r="3000" spans="1:2" x14ac:dyDescent="0.25">
      <c r="A3000" s="167"/>
      <c r="B3000" s="167"/>
    </row>
    <row r="3001" spans="1:2" x14ac:dyDescent="0.25">
      <c r="A3001" s="167"/>
      <c r="B3001" s="167"/>
    </row>
    <row r="3002" spans="1:2" x14ac:dyDescent="0.25">
      <c r="A3002" s="167"/>
      <c r="B3002" s="167"/>
    </row>
    <row r="3003" spans="1:2" x14ac:dyDescent="0.25">
      <c r="A3003" s="167"/>
      <c r="B3003" s="167"/>
    </row>
    <row r="3004" spans="1:2" x14ac:dyDescent="0.25">
      <c r="A3004" s="167"/>
      <c r="B3004" s="167"/>
    </row>
    <row r="3005" spans="1:2" x14ac:dyDescent="0.25">
      <c r="A3005" s="167"/>
      <c r="B3005" s="167"/>
    </row>
    <row r="3006" spans="1:2" x14ac:dyDescent="0.25">
      <c r="A3006" s="167"/>
      <c r="B3006" s="167"/>
    </row>
    <row r="3007" spans="1:2" x14ac:dyDescent="0.25">
      <c r="A3007" s="167"/>
      <c r="B3007" s="167"/>
    </row>
    <row r="3008" spans="1:2" x14ac:dyDescent="0.25">
      <c r="A3008" s="167"/>
      <c r="B3008" s="167"/>
    </row>
    <row r="3009" spans="1:2" x14ac:dyDescent="0.25">
      <c r="A3009" s="167"/>
      <c r="B3009" s="167"/>
    </row>
    <row r="3010" spans="1:2" x14ac:dyDescent="0.25">
      <c r="A3010" s="167"/>
      <c r="B3010" s="167"/>
    </row>
    <row r="3011" spans="1:2" x14ac:dyDescent="0.25">
      <c r="A3011" s="167"/>
      <c r="B3011" s="167"/>
    </row>
    <row r="3012" spans="1:2" x14ac:dyDescent="0.25">
      <c r="A3012" s="167"/>
      <c r="B3012" s="167"/>
    </row>
    <row r="3013" spans="1:2" x14ac:dyDescent="0.25">
      <c r="A3013" s="167"/>
      <c r="B3013" s="167"/>
    </row>
    <row r="3014" spans="1:2" x14ac:dyDescent="0.25">
      <c r="A3014" s="167"/>
      <c r="B3014" s="167"/>
    </row>
    <row r="3015" spans="1:2" x14ac:dyDescent="0.25">
      <c r="A3015" s="167"/>
      <c r="B3015" s="167"/>
    </row>
    <row r="3016" spans="1:2" x14ac:dyDescent="0.25">
      <c r="A3016" s="167"/>
      <c r="B3016" s="167"/>
    </row>
    <row r="3017" spans="1:2" x14ac:dyDescent="0.25">
      <c r="A3017" s="167"/>
      <c r="B3017" s="167"/>
    </row>
    <row r="3018" spans="1:2" x14ac:dyDescent="0.25">
      <c r="A3018" s="167"/>
      <c r="B3018" s="167"/>
    </row>
    <row r="3019" spans="1:2" x14ac:dyDescent="0.25">
      <c r="A3019" s="167"/>
      <c r="B3019" s="167"/>
    </row>
    <row r="3020" spans="1:2" x14ac:dyDescent="0.25">
      <c r="A3020" s="167"/>
      <c r="B3020" s="167"/>
    </row>
    <row r="3021" spans="1:2" x14ac:dyDescent="0.25">
      <c r="A3021" s="167"/>
      <c r="B3021" s="167"/>
    </row>
    <row r="3022" spans="1:2" x14ac:dyDescent="0.25">
      <c r="A3022" s="167"/>
      <c r="B3022" s="167"/>
    </row>
    <row r="3023" spans="1:2" x14ac:dyDescent="0.25">
      <c r="A3023" s="167"/>
      <c r="B3023" s="167"/>
    </row>
    <row r="3024" spans="1:2" x14ac:dyDescent="0.25">
      <c r="A3024" s="167"/>
      <c r="B3024" s="167"/>
    </row>
    <row r="3025" spans="1:2" x14ac:dyDescent="0.25">
      <c r="A3025" s="167"/>
      <c r="B3025" s="167"/>
    </row>
    <row r="3026" spans="1:2" x14ac:dyDescent="0.25">
      <c r="A3026" s="167"/>
      <c r="B3026" s="167"/>
    </row>
    <row r="3027" spans="1:2" x14ac:dyDescent="0.25">
      <c r="A3027" s="167"/>
      <c r="B3027" s="167"/>
    </row>
    <row r="3028" spans="1:2" x14ac:dyDescent="0.25">
      <c r="A3028" s="167"/>
      <c r="B3028" s="167"/>
    </row>
    <row r="3029" spans="1:2" x14ac:dyDescent="0.25">
      <c r="A3029" s="167"/>
      <c r="B3029" s="167"/>
    </row>
    <row r="3030" spans="1:2" x14ac:dyDescent="0.25">
      <c r="A3030" s="167"/>
      <c r="B3030" s="167"/>
    </row>
    <row r="3031" spans="1:2" x14ac:dyDescent="0.25">
      <c r="A3031" s="167"/>
      <c r="B3031" s="167"/>
    </row>
    <row r="3032" spans="1:2" x14ac:dyDescent="0.25">
      <c r="A3032" s="167"/>
      <c r="B3032" s="167"/>
    </row>
    <row r="3033" spans="1:2" x14ac:dyDescent="0.25">
      <c r="A3033" s="167"/>
      <c r="B3033" s="167"/>
    </row>
    <row r="3034" spans="1:2" x14ac:dyDescent="0.25">
      <c r="A3034" s="167"/>
      <c r="B3034" s="167"/>
    </row>
    <row r="3035" spans="1:2" x14ac:dyDescent="0.25">
      <c r="A3035" s="167"/>
      <c r="B3035" s="167"/>
    </row>
    <row r="3036" spans="1:2" x14ac:dyDescent="0.25">
      <c r="A3036" s="167"/>
      <c r="B3036" s="167"/>
    </row>
    <row r="3037" spans="1:2" x14ac:dyDescent="0.25">
      <c r="A3037" s="167"/>
      <c r="B3037" s="167"/>
    </row>
    <row r="3038" spans="1:2" x14ac:dyDescent="0.25">
      <c r="A3038" s="167"/>
      <c r="B3038" s="167"/>
    </row>
    <row r="3039" spans="1:2" x14ac:dyDescent="0.25">
      <c r="A3039" s="167"/>
      <c r="B3039" s="167"/>
    </row>
    <row r="3040" spans="1:2" x14ac:dyDescent="0.25">
      <c r="A3040" s="167"/>
      <c r="B3040" s="167"/>
    </row>
    <row r="3041" spans="1:2" x14ac:dyDescent="0.25">
      <c r="A3041" s="167"/>
      <c r="B3041" s="167"/>
    </row>
    <row r="3042" spans="1:2" x14ac:dyDescent="0.25">
      <c r="A3042" s="167"/>
      <c r="B3042" s="167"/>
    </row>
    <row r="3043" spans="1:2" x14ac:dyDescent="0.25">
      <c r="A3043" s="167"/>
      <c r="B3043" s="167"/>
    </row>
    <row r="3044" spans="1:2" x14ac:dyDescent="0.25">
      <c r="A3044" s="167"/>
      <c r="B3044" s="167"/>
    </row>
    <row r="3045" spans="1:2" x14ac:dyDescent="0.25">
      <c r="A3045" s="167"/>
      <c r="B3045" s="167"/>
    </row>
    <row r="3046" spans="1:2" x14ac:dyDescent="0.25">
      <c r="A3046" s="167"/>
      <c r="B3046" s="167"/>
    </row>
    <row r="3047" spans="1:2" x14ac:dyDescent="0.25">
      <c r="A3047" s="167"/>
      <c r="B3047" s="167"/>
    </row>
    <row r="3048" spans="1:2" x14ac:dyDescent="0.25">
      <c r="A3048" s="167"/>
      <c r="B3048" s="167"/>
    </row>
    <row r="3049" spans="1:2" x14ac:dyDescent="0.25">
      <c r="A3049" s="167"/>
      <c r="B3049" s="167"/>
    </row>
    <row r="3050" spans="1:2" x14ac:dyDescent="0.25">
      <c r="A3050" s="167"/>
      <c r="B3050" s="167"/>
    </row>
    <row r="3051" spans="1:2" x14ac:dyDescent="0.25">
      <c r="A3051" s="167"/>
      <c r="B3051" s="167"/>
    </row>
    <row r="3052" spans="1:2" x14ac:dyDescent="0.25">
      <c r="A3052" s="167"/>
      <c r="B3052" s="167"/>
    </row>
    <row r="3053" spans="1:2" x14ac:dyDescent="0.25">
      <c r="A3053" s="167"/>
      <c r="B3053" s="167"/>
    </row>
    <row r="3054" spans="1:2" x14ac:dyDescent="0.25">
      <c r="A3054" s="167"/>
      <c r="B3054" s="167"/>
    </row>
    <row r="3055" spans="1:2" x14ac:dyDescent="0.25">
      <c r="A3055" s="167"/>
      <c r="B3055" s="167"/>
    </row>
    <row r="3056" spans="1:2" x14ac:dyDescent="0.25">
      <c r="A3056" s="167"/>
      <c r="B3056" s="167"/>
    </row>
    <row r="3057" spans="1:2" x14ac:dyDescent="0.25">
      <c r="A3057" s="167"/>
      <c r="B3057" s="167"/>
    </row>
    <row r="3058" spans="1:2" x14ac:dyDescent="0.25">
      <c r="A3058" s="167"/>
      <c r="B3058" s="167"/>
    </row>
    <row r="3059" spans="1:2" x14ac:dyDescent="0.25">
      <c r="A3059" s="167"/>
      <c r="B3059" s="167"/>
    </row>
    <row r="3060" spans="1:2" x14ac:dyDescent="0.25">
      <c r="A3060" s="167"/>
      <c r="B3060" s="167"/>
    </row>
    <row r="3061" spans="1:2" x14ac:dyDescent="0.25">
      <c r="A3061" s="167"/>
      <c r="B3061" s="167"/>
    </row>
    <row r="3062" spans="1:2" x14ac:dyDescent="0.25">
      <c r="A3062" s="167"/>
      <c r="B3062" s="167"/>
    </row>
    <row r="3063" spans="1:2" x14ac:dyDescent="0.25">
      <c r="A3063" s="167"/>
      <c r="B3063" s="167"/>
    </row>
    <row r="3064" spans="1:2" x14ac:dyDescent="0.25">
      <c r="A3064" s="167"/>
      <c r="B3064" s="167"/>
    </row>
    <row r="3065" spans="1:2" x14ac:dyDescent="0.25">
      <c r="A3065" s="167"/>
      <c r="B3065" s="167"/>
    </row>
    <row r="3066" spans="1:2" x14ac:dyDescent="0.25">
      <c r="A3066" s="167"/>
      <c r="B3066" s="167"/>
    </row>
    <row r="3067" spans="1:2" x14ac:dyDescent="0.25">
      <c r="A3067" s="167"/>
      <c r="B3067" s="167"/>
    </row>
    <row r="3068" spans="1:2" x14ac:dyDescent="0.25">
      <c r="A3068" s="167"/>
      <c r="B3068" s="167"/>
    </row>
    <row r="3069" spans="1:2" x14ac:dyDescent="0.25">
      <c r="A3069" s="167"/>
      <c r="B3069" s="167"/>
    </row>
    <row r="3070" spans="1:2" x14ac:dyDescent="0.25">
      <c r="A3070" s="167"/>
      <c r="B3070" s="167"/>
    </row>
    <row r="3071" spans="1:2" x14ac:dyDescent="0.25">
      <c r="A3071" s="167"/>
      <c r="B3071" s="167"/>
    </row>
    <row r="3072" spans="1:2" x14ac:dyDescent="0.25">
      <c r="A3072" s="167"/>
      <c r="B3072" s="167"/>
    </row>
    <row r="3073" spans="1:2" x14ac:dyDescent="0.25">
      <c r="A3073" s="167"/>
      <c r="B3073" s="167"/>
    </row>
    <row r="3074" spans="1:2" x14ac:dyDescent="0.25">
      <c r="A3074" s="167"/>
      <c r="B3074" s="167"/>
    </row>
    <row r="3075" spans="1:2" x14ac:dyDescent="0.25">
      <c r="A3075" s="167"/>
      <c r="B3075" s="167"/>
    </row>
    <row r="3076" spans="1:2" x14ac:dyDescent="0.25">
      <c r="A3076" s="167"/>
      <c r="B3076" s="167"/>
    </row>
    <row r="3077" spans="1:2" x14ac:dyDescent="0.25">
      <c r="A3077" s="167"/>
      <c r="B3077" s="167"/>
    </row>
    <row r="3078" spans="1:2" x14ac:dyDescent="0.25">
      <c r="A3078" s="167"/>
      <c r="B3078" s="167"/>
    </row>
    <row r="3079" spans="1:2" x14ac:dyDescent="0.25">
      <c r="A3079" s="167"/>
      <c r="B3079" s="167"/>
    </row>
    <row r="3080" spans="1:2" x14ac:dyDescent="0.25">
      <c r="A3080" s="167"/>
      <c r="B3080" s="167"/>
    </row>
    <row r="3081" spans="1:2" x14ac:dyDescent="0.25">
      <c r="A3081" s="167"/>
      <c r="B3081" s="167"/>
    </row>
    <row r="3082" spans="1:2" x14ac:dyDescent="0.25">
      <c r="A3082" s="167"/>
      <c r="B3082" s="167"/>
    </row>
    <row r="3083" spans="1:2" x14ac:dyDescent="0.25">
      <c r="A3083" s="167"/>
      <c r="B3083" s="167"/>
    </row>
    <row r="3084" spans="1:2" x14ac:dyDescent="0.25">
      <c r="A3084" s="167"/>
      <c r="B3084" s="167"/>
    </row>
    <row r="3085" spans="1:2" x14ac:dyDescent="0.25">
      <c r="A3085" s="167"/>
      <c r="B3085" s="167"/>
    </row>
    <row r="3086" spans="1:2" x14ac:dyDescent="0.25">
      <c r="A3086" s="167"/>
      <c r="B3086" s="167"/>
    </row>
    <row r="3087" spans="1:2" x14ac:dyDescent="0.25">
      <c r="A3087" s="167"/>
      <c r="B3087" s="167"/>
    </row>
    <row r="3088" spans="1:2" x14ac:dyDescent="0.25">
      <c r="A3088" s="167"/>
      <c r="B3088" s="167"/>
    </row>
    <row r="3089" spans="1:2" x14ac:dyDescent="0.25">
      <c r="A3089" s="167"/>
      <c r="B3089" s="167"/>
    </row>
    <row r="3090" spans="1:2" x14ac:dyDescent="0.25">
      <c r="A3090" s="167"/>
      <c r="B3090" s="167"/>
    </row>
    <row r="3091" spans="1:2" x14ac:dyDescent="0.25">
      <c r="A3091" s="167"/>
      <c r="B3091" s="167"/>
    </row>
    <row r="3092" spans="1:2" x14ac:dyDescent="0.25">
      <c r="A3092" s="167"/>
      <c r="B3092" s="167"/>
    </row>
    <row r="3093" spans="1:2" x14ac:dyDescent="0.25">
      <c r="A3093" s="167"/>
      <c r="B3093" s="167"/>
    </row>
    <row r="3094" spans="1:2" x14ac:dyDescent="0.25">
      <c r="A3094" s="167"/>
      <c r="B3094" s="167"/>
    </row>
    <row r="3095" spans="1:2" x14ac:dyDescent="0.25">
      <c r="A3095" s="167"/>
      <c r="B3095" s="167"/>
    </row>
    <row r="3096" spans="1:2" x14ac:dyDescent="0.25">
      <c r="A3096" s="167"/>
      <c r="B3096" s="167"/>
    </row>
    <row r="3097" spans="1:2" x14ac:dyDescent="0.25">
      <c r="A3097" s="167"/>
      <c r="B3097" s="167"/>
    </row>
    <row r="3098" spans="1:2" x14ac:dyDescent="0.25">
      <c r="A3098" s="167"/>
      <c r="B3098" s="167"/>
    </row>
    <row r="3099" spans="1:2" x14ac:dyDescent="0.25">
      <c r="A3099" s="167"/>
      <c r="B3099" s="167"/>
    </row>
    <row r="3100" spans="1:2" x14ac:dyDescent="0.25">
      <c r="A3100" s="167"/>
      <c r="B3100" s="167"/>
    </row>
    <row r="3101" spans="1:2" x14ac:dyDescent="0.25">
      <c r="A3101" s="167"/>
      <c r="B3101" s="167"/>
    </row>
    <row r="3102" spans="1:2" x14ac:dyDescent="0.25">
      <c r="A3102" s="167"/>
      <c r="B3102" s="167"/>
    </row>
    <row r="3103" spans="1:2" x14ac:dyDescent="0.25">
      <c r="A3103" s="167"/>
      <c r="B3103" s="167"/>
    </row>
    <row r="3104" spans="1:2" x14ac:dyDescent="0.25">
      <c r="A3104" s="167"/>
      <c r="B3104" s="167"/>
    </row>
    <row r="3105" spans="1:2" x14ac:dyDescent="0.25">
      <c r="A3105" s="167"/>
      <c r="B3105" s="167"/>
    </row>
    <row r="3106" spans="1:2" x14ac:dyDescent="0.25">
      <c r="A3106" s="167"/>
      <c r="B3106" s="167"/>
    </row>
    <row r="3107" spans="1:2" x14ac:dyDescent="0.25">
      <c r="A3107" s="167"/>
      <c r="B3107" s="167"/>
    </row>
    <row r="3108" spans="1:2" x14ac:dyDescent="0.25">
      <c r="A3108" s="167"/>
      <c r="B3108" s="167"/>
    </row>
    <row r="3109" spans="1:2" x14ac:dyDescent="0.25">
      <c r="A3109" s="167"/>
      <c r="B3109" s="167"/>
    </row>
    <row r="3110" spans="1:2" x14ac:dyDescent="0.25">
      <c r="A3110" s="167"/>
      <c r="B3110" s="167"/>
    </row>
    <row r="3111" spans="1:2" x14ac:dyDescent="0.25">
      <c r="A3111" s="167"/>
      <c r="B3111" s="167"/>
    </row>
    <row r="3112" spans="1:2" x14ac:dyDescent="0.25">
      <c r="A3112" s="167"/>
      <c r="B3112" s="167"/>
    </row>
    <row r="3113" spans="1:2" x14ac:dyDescent="0.25">
      <c r="A3113" s="167"/>
      <c r="B3113" s="167"/>
    </row>
    <row r="3114" spans="1:2" x14ac:dyDescent="0.25">
      <c r="A3114" s="167"/>
      <c r="B3114" s="167"/>
    </row>
    <row r="3115" spans="1:2" x14ac:dyDescent="0.25">
      <c r="A3115" s="167"/>
      <c r="B3115" s="167"/>
    </row>
    <row r="3116" spans="1:2" x14ac:dyDescent="0.25">
      <c r="A3116" s="167"/>
      <c r="B3116" s="167"/>
    </row>
    <row r="3117" spans="1:2" x14ac:dyDescent="0.25">
      <c r="A3117" s="167"/>
      <c r="B3117" s="167"/>
    </row>
    <row r="3118" spans="1:2" x14ac:dyDescent="0.25">
      <c r="A3118" s="167"/>
      <c r="B3118" s="167"/>
    </row>
    <row r="3119" spans="1:2" x14ac:dyDescent="0.25">
      <c r="A3119" s="167"/>
      <c r="B3119" s="167"/>
    </row>
    <row r="3120" spans="1:2" x14ac:dyDescent="0.25">
      <c r="A3120" s="167"/>
      <c r="B3120" s="167"/>
    </row>
    <row r="3121" spans="1:2" x14ac:dyDescent="0.25">
      <c r="A3121" s="167"/>
      <c r="B3121" s="167"/>
    </row>
    <row r="3122" spans="1:2" x14ac:dyDescent="0.25">
      <c r="A3122" s="167"/>
      <c r="B3122" s="167"/>
    </row>
    <row r="3123" spans="1:2" x14ac:dyDescent="0.25">
      <c r="A3123" s="167"/>
      <c r="B3123" s="167"/>
    </row>
    <row r="3124" spans="1:2" x14ac:dyDescent="0.25">
      <c r="A3124" s="167"/>
      <c r="B3124" s="167"/>
    </row>
    <row r="3125" spans="1:2" x14ac:dyDescent="0.25">
      <c r="A3125" s="167"/>
      <c r="B3125" s="167"/>
    </row>
    <row r="3126" spans="1:2" x14ac:dyDescent="0.25">
      <c r="A3126" s="167"/>
      <c r="B3126" s="167"/>
    </row>
    <row r="3127" spans="1:2" x14ac:dyDescent="0.25">
      <c r="A3127" s="167"/>
      <c r="B3127" s="167"/>
    </row>
    <row r="3128" spans="1:2" x14ac:dyDescent="0.25">
      <c r="A3128" s="167"/>
      <c r="B3128" s="167"/>
    </row>
    <row r="3129" spans="1:2" x14ac:dyDescent="0.25">
      <c r="A3129" s="167"/>
      <c r="B3129" s="167"/>
    </row>
    <row r="3130" spans="1:2" x14ac:dyDescent="0.25">
      <c r="A3130" s="167"/>
      <c r="B3130" s="167"/>
    </row>
    <row r="3131" spans="1:2" x14ac:dyDescent="0.25">
      <c r="A3131" s="167"/>
      <c r="B3131" s="167"/>
    </row>
    <row r="3132" spans="1:2" x14ac:dyDescent="0.25">
      <c r="A3132" s="167"/>
      <c r="B3132" s="167"/>
    </row>
    <row r="3133" spans="1:2" x14ac:dyDescent="0.25">
      <c r="A3133" s="167"/>
      <c r="B3133" s="167"/>
    </row>
    <row r="3134" spans="1:2" x14ac:dyDescent="0.25">
      <c r="A3134" s="167"/>
      <c r="B3134" s="167"/>
    </row>
    <row r="3135" spans="1:2" x14ac:dyDescent="0.25">
      <c r="A3135" s="167"/>
      <c r="B3135" s="167"/>
    </row>
    <row r="3136" spans="1:2" x14ac:dyDescent="0.25">
      <c r="A3136" s="167"/>
      <c r="B3136" s="167"/>
    </row>
    <row r="3137" spans="1:2" x14ac:dyDescent="0.25">
      <c r="A3137" s="167"/>
      <c r="B3137" s="167"/>
    </row>
    <row r="3138" spans="1:2" x14ac:dyDescent="0.25">
      <c r="A3138" s="167"/>
      <c r="B3138" s="167"/>
    </row>
    <row r="3139" spans="1:2" x14ac:dyDescent="0.25">
      <c r="A3139" s="167"/>
      <c r="B3139" s="167"/>
    </row>
    <row r="3140" spans="1:2" x14ac:dyDescent="0.25">
      <c r="A3140" s="167"/>
      <c r="B3140" s="167"/>
    </row>
    <row r="3141" spans="1:2" x14ac:dyDescent="0.25">
      <c r="A3141" s="167"/>
      <c r="B3141" s="167"/>
    </row>
    <row r="3142" spans="1:2" x14ac:dyDescent="0.25">
      <c r="A3142" s="167"/>
      <c r="B3142" s="167"/>
    </row>
    <row r="3143" spans="1:2" x14ac:dyDescent="0.25">
      <c r="A3143" s="167"/>
      <c r="B3143" s="167"/>
    </row>
    <row r="3144" spans="1:2" x14ac:dyDescent="0.25">
      <c r="A3144" s="167"/>
      <c r="B3144" s="167"/>
    </row>
    <row r="3145" spans="1:2" x14ac:dyDescent="0.25">
      <c r="A3145" s="167"/>
      <c r="B3145" s="167"/>
    </row>
    <row r="3146" spans="1:2" x14ac:dyDescent="0.25">
      <c r="A3146" s="167"/>
      <c r="B3146" s="167"/>
    </row>
    <row r="3147" spans="1:2" x14ac:dyDescent="0.25">
      <c r="A3147" s="167"/>
      <c r="B3147" s="167"/>
    </row>
    <row r="3148" spans="1:2" x14ac:dyDescent="0.25">
      <c r="A3148" s="167"/>
      <c r="B3148" s="167"/>
    </row>
    <row r="3149" spans="1:2" x14ac:dyDescent="0.25">
      <c r="A3149" s="167"/>
      <c r="B3149" s="167"/>
    </row>
    <row r="3150" spans="1:2" x14ac:dyDescent="0.25">
      <c r="A3150" s="167"/>
      <c r="B3150" s="167"/>
    </row>
    <row r="3151" spans="1:2" x14ac:dyDescent="0.25">
      <c r="A3151" s="167"/>
      <c r="B3151" s="167"/>
    </row>
    <row r="3152" spans="1:2" x14ac:dyDescent="0.25">
      <c r="A3152" s="167"/>
      <c r="B3152" s="167"/>
    </row>
    <row r="3153" spans="1:2" x14ac:dyDescent="0.25">
      <c r="A3153" s="167"/>
      <c r="B3153" s="167"/>
    </row>
    <row r="3154" spans="1:2" x14ac:dyDescent="0.25">
      <c r="A3154" s="167"/>
      <c r="B3154" s="167"/>
    </row>
    <row r="3155" spans="1:2" x14ac:dyDescent="0.25">
      <c r="A3155" s="167"/>
      <c r="B3155" s="167"/>
    </row>
    <row r="3156" spans="1:2" x14ac:dyDescent="0.25">
      <c r="A3156" s="167"/>
      <c r="B3156" s="167"/>
    </row>
    <row r="3157" spans="1:2" x14ac:dyDescent="0.25">
      <c r="A3157" s="167"/>
      <c r="B3157" s="167"/>
    </row>
    <row r="3158" spans="1:2" x14ac:dyDescent="0.25">
      <c r="A3158" s="167"/>
      <c r="B3158" s="167"/>
    </row>
    <row r="3159" spans="1:2" x14ac:dyDescent="0.25">
      <c r="A3159" s="167"/>
      <c r="B3159" s="167"/>
    </row>
    <row r="3160" spans="1:2" x14ac:dyDescent="0.25">
      <c r="A3160" s="167"/>
      <c r="B3160" s="167"/>
    </row>
    <row r="3161" spans="1:2" x14ac:dyDescent="0.25">
      <c r="A3161" s="167"/>
      <c r="B3161" s="167"/>
    </row>
    <row r="3162" spans="1:2" x14ac:dyDescent="0.25">
      <c r="A3162" s="167"/>
      <c r="B3162" s="167"/>
    </row>
    <row r="3163" spans="1:2" x14ac:dyDescent="0.25">
      <c r="A3163" s="167"/>
      <c r="B3163" s="167"/>
    </row>
    <row r="3164" spans="1:2" x14ac:dyDescent="0.25">
      <c r="A3164" s="167"/>
      <c r="B3164" s="167"/>
    </row>
    <row r="3165" spans="1:2" x14ac:dyDescent="0.25">
      <c r="A3165" s="167"/>
      <c r="B3165" s="167"/>
    </row>
    <row r="3166" spans="1:2" x14ac:dyDescent="0.25">
      <c r="A3166" s="167"/>
      <c r="B3166" s="167"/>
    </row>
    <row r="3167" spans="1:2" x14ac:dyDescent="0.25">
      <c r="A3167" s="167"/>
      <c r="B3167" s="167"/>
    </row>
    <row r="3168" spans="1:2" x14ac:dyDescent="0.25">
      <c r="A3168" s="167"/>
      <c r="B3168" s="167"/>
    </row>
    <row r="3169" spans="1:2" x14ac:dyDescent="0.25">
      <c r="A3169" s="167"/>
      <c r="B3169" s="167"/>
    </row>
    <row r="3170" spans="1:2" x14ac:dyDescent="0.25">
      <c r="A3170" s="167"/>
      <c r="B3170" s="167"/>
    </row>
    <row r="3171" spans="1:2" x14ac:dyDescent="0.25">
      <c r="A3171" s="167"/>
      <c r="B3171" s="167"/>
    </row>
    <row r="3172" spans="1:2" x14ac:dyDescent="0.25">
      <c r="A3172" s="167"/>
      <c r="B3172" s="167"/>
    </row>
    <row r="3173" spans="1:2" x14ac:dyDescent="0.25">
      <c r="A3173" s="167"/>
      <c r="B3173" s="167"/>
    </row>
    <row r="3174" spans="1:2" x14ac:dyDescent="0.25">
      <c r="A3174" s="167"/>
      <c r="B3174" s="167"/>
    </row>
    <row r="3175" spans="1:2" x14ac:dyDescent="0.25">
      <c r="A3175" s="167"/>
      <c r="B3175" s="167"/>
    </row>
    <row r="3176" spans="1:2" x14ac:dyDescent="0.25">
      <c r="A3176" s="167"/>
      <c r="B3176" s="167"/>
    </row>
    <row r="3177" spans="1:2" x14ac:dyDescent="0.25">
      <c r="A3177" s="167"/>
      <c r="B3177" s="167"/>
    </row>
    <row r="3178" spans="1:2" x14ac:dyDescent="0.25">
      <c r="A3178" s="167"/>
      <c r="B3178" s="167"/>
    </row>
    <row r="3179" spans="1:2" x14ac:dyDescent="0.25">
      <c r="A3179" s="167"/>
      <c r="B3179" s="167"/>
    </row>
    <row r="3180" spans="1:2" x14ac:dyDescent="0.25">
      <c r="A3180" s="167"/>
      <c r="B3180" s="167"/>
    </row>
    <row r="3181" spans="1:2" x14ac:dyDescent="0.25">
      <c r="A3181" s="167"/>
      <c r="B3181" s="167"/>
    </row>
    <row r="3182" spans="1:2" x14ac:dyDescent="0.25">
      <c r="A3182" s="167"/>
      <c r="B3182" s="167"/>
    </row>
    <row r="3183" spans="1:2" x14ac:dyDescent="0.25">
      <c r="A3183" s="167"/>
      <c r="B3183" s="167"/>
    </row>
    <row r="3184" spans="1:2" x14ac:dyDescent="0.25">
      <c r="A3184" s="167"/>
      <c r="B3184" s="167"/>
    </row>
    <row r="3185" spans="1:2" x14ac:dyDescent="0.25">
      <c r="A3185" s="167"/>
      <c r="B3185" s="167"/>
    </row>
    <row r="3186" spans="1:2" x14ac:dyDescent="0.25">
      <c r="A3186" s="167"/>
      <c r="B3186" s="167"/>
    </row>
    <row r="3187" spans="1:2" x14ac:dyDescent="0.25">
      <c r="A3187" s="167"/>
      <c r="B3187" s="167"/>
    </row>
    <row r="3188" spans="1:2" x14ac:dyDescent="0.25">
      <c r="A3188" s="167"/>
      <c r="B3188" s="167"/>
    </row>
    <row r="3189" spans="1:2" x14ac:dyDescent="0.25">
      <c r="A3189" s="167"/>
      <c r="B3189" s="167"/>
    </row>
    <row r="3190" spans="1:2" x14ac:dyDescent="0.25">
      <c r="A3190" s="167"/>
      <c r="B3190" s="167"/>
    </row>
    <row r="3191" spans="1:2" x14ac:dyDescent="0.25">
      <c r="A3191" s="167"/>
      <c r="B3191" s="167"/>
    </row>
    <row r="3192" spans="1:2" x14ac:dyDescent="0.25">
      <c r="A3192" s="167"/>
      <c r="B3192" s="167"/>
    </row>
    <row r="3193" spans="1:2" x14ac:dyDescent="0.25">
      <c r="A3193" s="167"/>
      <c r="B3193" s="167"/>
    </row>
    <row r="3194" spans="1:2" x14ac:dyDescent="0.25">
      <c r="A3194" s="167"/>
      <c r="B3194" s="167"/>
    </row>
    <row r="3195" spans="1:2" x14ac:dyDescent="0.25">
      <c r="A3195" s="167"/>
      <c r="B3195" s="167"/>
    </row>
    <row r="3196" spans="1:2" x14ac:dyDescent="0.25">
      <c r="A3196" s="167"/>
      <c r="B3196" s="167"/>
    </row>
    <row r="3197" spans="1:2" x14ac:dyDescent="0.25">
      <c r="A3197" s="167"/>
      <c r="B3197" s="167"/>
    </row>
    <row r="3198" spans="1:2" x14ac:dyDescent="0.25">
      <c r="A3198" s="167"/>
      <c r="B3198" s="167"/>
    </row>
    <row r="3199" spans="1:2" x14ac:dyDescent="0.25">
      <c r="A3199" s="167"/>
      <c r="B3199" s="167"/>
    </row>
    <row r="3200" spans="1:2" x14ac:dyDescent="0.25">
      <c r="A3200" s="167"/>
      <c r="B3200" s="167"/>
    </row>
    <row r="3201" spans="1:2" x14ac:dyDescent="0.25">
      <c r="A3201" s="167"/>
      <c r="B3201" s="167"/>
    </row>
    <row r="3202" spans="1:2" x14ac:dyDescent="0.25">
      <c r="A3202" s="167"/>
      <c r="B3202" s="167"/>
    </row>
    <row r="3203" spans="1:2" x14ac:dyDescent="0.25">
      <c r="A3203" s="167"/>
      <c r="B3203" s="167"/>
    </row>
    <row r="3204" spans="1:2" x14ac:dyDescent="0.25">
      <c r="A3204" s="167"/>
      <c r="B3204" s="167"/>
    </row>
    <row r="3205" spans="1:2" x14ac:dyDescent="0.25">
      <c r="A3205" s="167"/>
      <c r="B3205" s="167"/>
    </row>
    <row r="3206" spans="1:2" x14ac:dyDescent="0.25">
      <c r="A3206" s="167"/>
      <c r="B3206" s="167"/>
    </row>
    <row r="3207" spans="1:2" x14ac:dyDescent="0.25">
      <c r="A3207" s="167"/>
      <c r="B3207" s="167"/>
    </row>
    <row r="3208" spans="1:2" x14ac:dyDescent="0.25">
      <c r="A3208" s="167"/>
      <c r="B3208" s="167"/>
    </row>
    <row r="3209" spans="1:2" x14ac:dyDescent="0.25">
      <c r="A3209" s="167"/>
      <c r="B3209" s="167"/>
    </row>
    <row r="3210" spans="1:2" x14ac:dyDescent="0.25">
      <c r="A3210" s="167"/>
      <c r="B3210" s="167"/>
    </row>
    <row r="3211" spans="1:2" x14ac:dyDescent="0.25">
      <c r="A3211" s="167"/>
      <c r="B3211" s="167"/>
    </row>
    <row r="3212" spans="1:2" x14ac:dyDescent="0.25">
      <c r="A3212" s="167"/>
      <c r="B3212" s="167"/>
    </row>
    <row r="3213" spans="1:2" x14ac:dyDescent="0.25">
      <c r="A3213" s="167"/>
      <c r="B3213" s="167"/>
    </row>
    <row r="3214" spans="1:2" x14ac:dyDescent="0.25">
      <c r="A3214" s="167"/>
      <c r="B3214" s="167"/>
    </row>
    <row r="3215" spans="1:2" x14ac:dyDescent="0.25">
      <c r="A3215" s="167"/>
      <c r="B3215" s="167"/>
    </row>
    <row r="3216" spans="1:2" x14ac:dyDescent="0.25">
      <c r="A3216" s="167"/>
      <c r="B3216" s="167"/>
    </row>
    <row r="3217" spans="1:2" x14ac:dyDescent="0.25">
      <c r="A3217" s="167"/>
      <c r="B3217" s="167"/>
    </row>
    <row r="3218" spans="1:2" x14ac:dyDescent="0.25">
      <c r="A3218" s="167"/>
      <c r="B3218" s="167"/>
    </row>
    <row r="3219" spans="1:2" x14ac:dyDescent="0.25">
      <c r="A3219" s="167"/>
      <c r="B3219" s="167"/>
    </row>
    <row r="3220" spans="1:2" x14ac:dyDescent="0.25">
      <c r="A3220" s="167"/>
      <c r="B3220" s="167"/>
    </row>
    <row r="3221" spans="1:2" x14ac:dyDescent="0.25">
      <c r="A3221" s="167"/>
      <c r="B3221" s="167"/>
    </row>
    <row r="3222" spans="1:2" x14ac:dyDescent="0.25">
      <c r="A3222" s="167"/>
      <c r="B3222" s="167"/>
    </row>
    <row r="3223" spans="1:2" x14ac:dyDescent="0.25">
      <c r="A3223" s="167"/>
      <c r="B3223" s="167"/>
    </row>
    <row r="3224" spans="1:2" x14ac:dyDescent="0.25">
      <c r="A3224" s="167"/>
      <c r="B3224" s="167"/>
    </row>
    <row r="3225" spans="1:2" x14ac:dyDescent="0.25">
      <c r="A3225" s="167"/>
      <c r="B3225" s="167"/>
    </row>
    <row r="3226" spans="1:2" x14ac:dyDescent="0.25">
      <c r="A3226" s="167"/>
      <c r="B3226" s="167"/>
    </row>
    <row r="3227" spans="1:2" x14ac:dyDescent="0.25">
      <c r="A3227" s="167"/>
      <c r="B3227" s="167"/>
    </row>
    <row r="3228" spans="1:2" x14ac:dyDescent="0.25">
      <c r="A3228" s="167"/>
      <c r="B3228" s="167"/>
    </row>
    <row r="3229" spans="1:2" x14ac:dyDescent="0.25">
      <c r="A3229" s="167"/>
      <c r="B3229" s="167"/>
    </row>
    <row r="3230" spans="1:2" x14ac:dyDescent="0.25">
      <c r="A3230" s="167"/>
      <c r="B3230" s="167"/>
    </row>
    <row r="3231" spans="1:2" x14ac:dyDescent="0.25">
      <c r="A3231" s="167"/>
      <c r="B3231" s="167"/>
    </row>
    <row r="3232" spans="1:2" x14ac:dyDescent="0.25">
      <c r="A3232" s="167"/>
      <c r="B3232" s="167"/>
    </row>
    <row r="3233" spans="1:2" x14ac:dyDescent="0.25">
      <c r="A3233" s="167"/>
      <c r="B3233" s="167"/>
    </row>
    <row r="3234" spans="1:2" x14ac:dyDescent="0.25">
      <c r="A3234" s="167"/>
      <c r="B3234" s="167"/>
    </row>
    <row r="3235" spans="1:2" x14ac:dyDescent="0.25">
      <c r="A3235" s="167"/>
      <c r="B3235" s="167"/>
    </row>
    <row r="3236" spans="1:2" x14ac:dyDescent="0.25">
      <c r="A3236" s="167"/>
      <c r="B3236" s="167"/>
    </row>
    <row r="3237" spans="1:2" x14ac:dyDescent="0.25">
      <c r="A3237" s="167"/>
      <c r="B3237" s="167"/>
    </row>
    <row r="3238" spans="1:2" x14ac:dyDescent="0.25">
      <c r="A3238" s="167"/>
      <c r="B3238" s="167"/>
    </row>
    <row r="3239" spans="1:2" x14ac:dyDescent="0.25">
      <c r="A3239" s="167"/>
      <c r="B3239" s="167"/>
    </row>
    <row r="3240" spans="1:2" x14ac:dyDescent="0.25">
      <c r="A3240" s="167"/>
      <c r="B3240" s="167"/>
    </row>
    <row r="3241" spans="1:2" x14ac:dyDescent="0.25">
      <c r="A3241" s="167"/>
      <c r="B3241" s="167"/>
    </row>
    <row r="3242" spans="1:2" x14ac:dyDescent="0.25">
      <c r="A3242" s="167"/>
      <c r="B3242" s="167"/>
    </row>
    <row r="3243" spans="1:2" x14ac:dyDescent="0.25">
      <c r="A3243" s="167"/>
      <c r="B3243" s="167"/>
    </row>
    <row r="3244" spans="1:2" x14ac:dyDescent="0.25">
      <c r="A3244" s="167"/>
      <c r="B3244" s="167"/>
    </row>
    <row r="3245" spans="1:2" x14ac:dyDescent="0.25">
      <c r="A3245" s="167"/>
      <c r="B3245" s="167"/>
    </row>
    <row r="3246" spans="1:2" x14ac:dyDescent="0.25">
      <c r="A3246" s="167"/>
      <c r="B3246" s="167"/>
    </row>
    <row r="3247" spans="1:2" x14ac:dyDescent="0.25">
      <c r="A3247" s="167"/>
      <c r="B3247" s="167"/>
    </row>
    <row r="3248" spans="1:2" x14ac:dyDescent="0.25">
      <c r="A3248" s="167"/>
      <c r="B3248" s="167"/>
    </row>
    <row r="3249" spans="1:2" x14ac:dyDescent="0.25">
      <c r="A3249" s="167"/>
      <c r="B3249" s="167"/>
    </row>
    <row r="3250" spans="1:2" x14ac:dyDescent="0.25">
      <c r="A3250" s="167"/>
      <c r="B3250" s="167"/>
    </row>
    <row r="3251" spans="1:2" x14ac:dyDescent="0.25">
      <c r="A3251" s="167"/>
      <c r="B3251" s="167"/>
    </row>
    <row r="3252" spans="1:2" x14ac:dyDescent="0.25">
      <c r="A3252" s="167"/>
      <c r="B3252" s="167"/>
    </row>
    <row r="3253" spans="1:2" x14ac:dyDescent="0.25">
      <c r="A3253" s="167"/>
      <c r="B3253" s="167"/>
    </row>
    <row r="3254" spans="1:2" x14ac:dyDescent="0.25">
      <c r="A3254" s="167"/>
      <c r="B3254" s="167"/>
    </row>
    <row r="3255" spans="1:2" x14ac:dyDescent="0.25">
      <c r="A3255" s="167"/>
      <c r="B3255" s="167"/>
    </row>
    <row r="3256" spans="1:2" x14ac:dyDescent="0.25">
      <c r="A3256" s="167"/>
      <c r="B3256" s="167"/>
    </row>
    <row r="3257" spans="1:2" x14ac:dyDescent="0.25">
      <c r="A3257" s="167"/>
      <c r="B3257" s="167"/>
    </row>
    <row r="3258" spans="1:2" x14ac:dyDescent="0.25">
      <c r="A3258" s="167"/>
      <c r="B3258" s="167"/>
    </row>
    <row r="3259" spans="1:2" x14ac:dyDescent="0.25">
      <c r="A3259" s="167"/>
      <c r="B3259" s="167"/>
    </row>
    <row r="3260" spans="1:2" x14ac:dyDescent="0.25">
      <c r="A3260" s="167"/>
      <c r="B3260" s="167"/>
    </row>
    <row r="3261" spans="1:2" x14ac:dyDescent="0.25">
      <c r="A3261" s="167"/>
      <c r="B3261" s="167"/>
    </row>
    <row r="3262" spans="1:2" x14ac:dyDescent="0.25">
      <c r="A3262" s="167"/>
      <c r="B3262" s="167"/>
    </row>
    <row r="3263" spans="1:2" x14ac:dyDescent="0.25">
      <c r="A3263" s="167"/>
      <c r="B3263" s="167"/>
    </row>
    <row r="3264" spans="1:2" x14ac:dyDescent="0.25">
      <c r="A3264" s="167"/>
      <c r="B3264" s="167"/>
    </row>
    <row r="3265" spans="1:2" x14ac:dyDescent="0.25">
      <c r="A3265" s="167"/>
      <c r="B3265" s="167"/>
    </row>
    <row r="3266" spans="1:2" x14ac:dyDescent="0.25">
      <c r="A3266" s="167"/>
      <c r="B3266" s="167"/>
    </row>
    <row r="3267" spans="1:2" x14ac:dyDescent="0.25">
      <c r="A3267" s="167"/>
      <c r="B3267" s="167"/>
    </row>
    <row r="3268" spans="1:2" x14ac:dyDescent="0.25">
      <c r="A3268" s="167"/>
      <c r="B3268" s="167"/>
    </row>
    <row r="3269" spans="1:2" x14ac:dyDescent="0.25">
      <c r="A3269" s="167"/>
      <c r="B3269" s="167"/>
    </row>
    <row r="3270" spans="1:2" x14ac:dyDescent="0.25">
      <c r="A3270" s="167"/>
      <c r="B3270" s="167"/>
    </row>
    <row r="3271" spans="1:2" x14ac:dyDescent="0.25">
      <c r="A3271" s="167"/>
      <c r="B3271" s="167"/>
    </row>
    <row r="3272" spans="1:2" x14ac:dyDescent="0.25">
      <c r="A3272" s="167"/>
      <c r="B3272" s="167"/>
    </row>
    <row r="3273" spans="1:2" x14ac:dyDescent="0.25">
      <c r="A3273" s="167"/>
      <c r="B3273" s="167"/>
    </row>
    <row r="3274" spans="1:2" x14ac:dyDescent="0.25">
      <c r="A3274" s="167"/>
      <c r="B3274" s="167"/>
    </row>
    <row r="3275" spans="1:2" x14ac:dyDescent="0.25">
      <c r="A3275" s="167"/>
      <c r="B3275" s="167"/>
    </row>
    <row r="3276" spans="1:2" x14ac:dyDescent="0.25">
      <c r="A3276" s="167"/>
      <c r="B3276" s="167"/>
    </row>
    <row r="3277" spans="1:2" x14ac:dyDescent="0.25">
      <c r="A3277" s="167"/>
      <c r="B3277" s="167"/>
    </row>
    <row r="3278" spans="1:2" x14ac:dyDescent="0.25">
      <c r="A3278" s="167"/>
      <c r="B3278" s="167"/>
    </row>
    <row r="3279" spans="1:2" x14ac:dyDescent="0.25">
      <c r="A3279" s="167"/>
      <c r="B3279" s="167"/>
    </row>
    <row r="3280" spans="1:2" x14ac:dyDescent="0.25">
      <c r="A3280" s="167"/>
      <c r="B3280" s="167"/>
    </row>
    <row r="3281" spans="1:2" x14ac:dyDescent="0.25">
      <c r="A3281" s="167"/>
      <c r="B3281" s="167"/>
    </row>
    <row r="3282" spans="1:2" x14ac:dyDescent="0.25">
      <c r="A3282" s="167"/>
      <c r="B3282" s="167"/>
    </row>
    <row r="3283" spans="1:2" x14ac:dyDescent="0.25">
      <c r="A3283" s="167"/>
      <c r="B3283" s="167"/>
    </row>
    <row r="3284" spans="1:2" x14ac:dyDescent="0.25">
      <c r="A3284" s="167"/>
      <c r="B3284" s="167"/>
    </row>
    <row r="3285" spans="1:2" x14ac:dyDescent="0.25">
      <c r="A3285" s="167"/>
      <c r="B3285" s="167"/>
    </row>
    <row r="3286" spans="1:2" x14ac:dyDescent="0.25">
      <c r="A3286" s="167"/>
      <c r="B3286" s="167"/>
    </row>
    <row r="3287" spans="1:2" x14ac:dyDescent="0.25">
      <c r="A3287" s="167"/>
      <c r="B3287" s="167"/>
    </row>
    <row r="3288" spans="1:2" x14ac:dyDescent="0.25">
      <c r="A3288" s="167"/>
      <c r="B3288" s="167"/>
    </row>
    <row r="3289" spans="1:2" x14ac:dyDescent="0.25">
      <c r="A3289" s="167"/>
      <c r="B3289" s="167"/>
    </row>
    <row r="3290" spans="1:2" x14ac:dyDescent="0.25">
      <c r="A3290" s="167"/>
      <c r="B3290" s="167"/>
    </row>
    <row r="3291" spans="1:2" x14ac:dyDescent="0.25">
      <c r="A3291" s="167"/>
      <c r="B3291" s="167"/>
    </row>
    <row r="3292" spans="1:2" x14ac:dyDescent="0.25">
      <c r="A3292" s="167"/>
      <c r="B3292" s="167"/>
    </row>
    <row r="3293" spans="1:2" x14ac:dyDescent="0.25">
      <c r="A3293" s="167"/>
      <c r="B3293" s="167"/>
    </row>
    <row r="3294" spans="1:2" x14ac:dyDescent="0.25">
      <c r="A3294" s="167"/>
      <c r="B3294" s="167"/>
    </row>
    <row r="3295" spans="1:2" x14ac:dyDescent="0.25">
      <c r="A3295" s="167"/>
      <c r="B3295" s="167"/>
    </row>
    <row r="3296" spans="1:2" x14ac:dyDescent="0.25">
      <c r="A3296" s="167"/>
      <c r="B3296" s="167"/>
    </row>
    <row r="3297" spans="1:2" x14ac:dyDescent="0.25">
      <c r="A3297" s="167"/>
      <c r="B3297" s="167"/>
    </row>
    <row r="3298" spans="1:2" x14ac:dyDescent="0.25">
      <c r="A3298" s="167"/>
      <c r="B3298" s="167"/>
    </row>
    <row r="3299" spans="1:2" x14ac:dyDescent="0.25">
      <c r="A3299" s="167"/>
      <c r="B3299" s="167"/>
    </row>
    <row r="3300" spans="1:2" x14ac:dyDescent="0.25">
      <c r="A3300" s="167"/>
      <c r="B3300" s="167"/>
    </row>
    <row r="3301" spans="1:2" x14ac:dyDescent="0.25">
      <c r="A3301" s="167"/>
      <c r="B3301" s="167"/>
    </row>
    <row r="3302" spans="1:2" x14ac:dyDescent="0.25">
      <c r="A3302" s="167"/>
      <c r="B3302" s="167"/>
    </row>
    <row r="3303" spans="1:2" x14ac:dyDescent="0.25">
      <c r="A3303" s="167"/>
      <c r="B3303" s="167"/>
    </row>
    <row r="3304" spans="1:2" x14ac:dyDescent="0.25">
      <c r="A3304" s="167"/>
      <c r="B3304" s="167"/>
    </row>
    <row r="3305" spans="1:2" x14ac:dyDescent="0.25">
      <c r="A3305" s="167"/>
      <c r="B3305" s="167"/>
    </row>
    <row r="3306" spans="1:2" x14ac:dyDescent="0.25">
      <c r="A3306" s="167"/>
      <c r="B3306" s="167"/>
    </row>
    <row r="3307" spans="1:2" x14ac:dyDescent="0.25">
      <c r="A3307" s="167"/>
      <c r="B3307" s="167"/>
    </row>
    <row r="3308" spans="1:2" x14ac:dyDescent="0.25">
      <c r="A3308" s="167"/>
      <c r="B3308" s="167"/>
    </row>
    <row r="3309" spans="1:2" x14ac:dyDescent="0.25">
      <c r="A3309" s="167"/>
      <c r="B3309" s="167"/>
    </row>
    <row r="3310" spans="1:2" x14ac:dyDescent="0.25">
      <c r="A3310" s="167"/>
      <c r="B3310" s="167"/>
    </row>
    <row r="3311" spans="1:2" x14ac:dyDescent="0.25">
      <c r="A3311" s="167"/>
      <c r="B3311" s="167"/>
    </row>
    <row r="3312" spans="1:2" x14ac:dyDescent="0.25">
      <c r="A3312" s="167"/>
      <c r="B3312" s="167"/>
    </row>
    <row r="3313" spans="1:2" x14ac:dyDescent="0.25">
      <c r="A3313" s="167"/>
      <c r="B3313" s="167"/>
    </row>
    <row r="3314" spans="1:2" x14ac:dyDescent="0.25">
      <c r="A3314" s="167"/>
      <c r="B3314" s="167"/>
    </row>
    <row r="3315" spans="1:2" x14ac:dyDescent="0.25">
      <c r="A3315" s="167"/>
      <c r="B3315" s="167"/>
    </row>
    <row r="3316" spans="1:2" x14ac:dyDescent="0.25">
      <c r="A3316" s="167"/>
      <c r="B3316" s="167"/>
    </row>
    <row r="3317" spans="1:2" x14ac:dyDescent="0.25">
      <c r="A3317" s="167"/>
      <c r="B3317" s="167"/>
    </row>
    <row r="3318" spans="1:2" x14ac:dyDescent="0.25">
      <c r="A3318" s="167"/>
      <c r="B3318" s="167"/>
    </row>
    <row r="3319" spans="1:2" x14ac:dyDescent="0.25">
      <c r="A3319" s="167"/>
      <c r="B3319" s="167"/>
    </row>
    <row r="3320" spans="1:2" x14ac:dyDescent="0.25">
      <c r="A3320" s="167"/>
      <c r="B3320" s="167"/>
    </row>
    <row r="3321" spans="1:2" x14ac:dyDescent="0.25">
      <c r="A3321" s="167"/>
      <c r="B3321" s="167"/>
    </row>
    <row r="3322" spans="1:2" x14ac:dyDescent="0.25">
      <c r="A3322" s="167"/>
      <c r="B3322" s="167"/>
    </row>
    <row r="3323" spans="1:2" x14ac:dyDescent="0.25">
      <c r="A3323" s="167"/>
      <c r="B3323" s="167"/>
    </row>
    <row r="3324" spans="1:2" x14ac:dyDescent="0.25">
      <c r="A3324" s="167"/>
      <c r="B3324" s="167"/>
    </row>
    <row r="3325" spans="1:2" x14ac:dyDescent="0.25">
      <c r="A3325" s="167"/>
      <c r="B3325" s="167"/>
    </row>
    <row r="3326" spans="1:2" x14ac:dyDescent="0.25">
      <c r="A3326" s="167"/>
      <c r="B3326" s="167"/>
    </row>
    <row r="3327" spans="1:2" x14ac:dyDescent="0.25">
      <c r="A3327" s="167"/>
      <c r="B3327" s="167"/>
    </row>
    <row r="3328" spans="1:2" x14ac:dyDescent="0.25">
      <c r="A3328" s="167"/>
      <c r="B3328" s="167"/>
    </row>
    <row r="3329" spans="1:2" x14ac:dyDescent="0.25">
      <c r="A3329" s="167"/>
      <c r="B3329" s="167"/>
    </row>
    <row r="3330" spans="1:2" x14ac:dyDescent="0.25">
      <c r="A3330" s="167"/>
      <c r="B3330" s="167"/>
    </row>
    <row r="3331" spans="1:2" x14ac:dyDescent="0.25">
      <c r="A3331" s="167"/>
      <c r="B3331" s="167"/>
    </row>
    <row r="3332" spans="1:2" x14ac:dyDescent="0.25">
      <c r="A3332" s="167"/>
      <c r="B3332" s="167"/>
    </row>
    <row r="3333" spans="1:2" x14ac:dyDescent="0.25">
      <c r="A3333" s="167"/>
      <c r="B3333" s="167"/>
    </row>
    <row r="3334" spans="1:2" x14ac:dyDescent="0.25">
      <c r="A3334" s="167"/>
      <c r="B3334" s="167"/>
    </row>
    <row r="3335" spans="1:2" x14ac:dyDescent="0.25">
      <c r="A3335" s="167"/>
      <c r="B3335" s="167"/>
    </row>
    <row r="3336" spans="1:2" x14ac:dyDescent="0.25">
      <c r="A3336" s="167"/>
      <c r="B3336" s="167"/>
    </row>
    <row r="3337" spans="1:2" x14ac:dyDescent="0.25">
      <c r="A3337" s="167"/>
      <c r="B3337" s="167"/>
    </row>
    <row r="3338" spans="1:2" x14ac:dyDescent="0.25">
      <c r="A3338" s="167"/>
      <c r="B3338" s="167"/>
    </row>
    <row r="3339" spans="1:2" x14ac:dyDescent="0.25">
      <c r="A3339" s="167"/>
      <c r="B3339" s="167"/>
    </row>
    <row r="3340" spans="1:2" x14ac:dyDescent="0.25">
      <c r="A3340" s="167"/>
      <c r="B3340" s="167"/>
    </row>
    <row r="3341" spans="1:2" x14ac:dyDescent="0.25">
      <c r="A3341" s="167"/>
      <c r="B3341" s="167"/>
    </row>
    <row r="3342" spans="1:2" x14ac:dyDescent="0.25">
      <c r="A3342" s="167"/>
      <c r="B3342" s="167"/>
    </row>
    <row r="3343" spans="1:2" x14ac:dyDescent="0.25">
      <c r="A3343" s="167"/>
      <c r="B3343" s="167"/>
    </row>
    <row r="3344" spans="1:2" x14ac:dyDescent="0.25">
      <c r="A3344" s="167"/>
      <c r="B3344" s="167"/>
    </row>
    <row r="3345" spans="1:2" x14ac:dyDescent="0.25">
      <c r="A3345" s="167"/>
      <c r="B3345" s="167"/>
    </row>
    <row r="3346" spans="1:2" x14ac:dyDescent="0.25">
      <c r="A3346" s="167"/>
      <c r="B3346" s="167"/>
    </row>
    <row r="3347" spans="1:2" x14ac:dyDescent="0.25">
      <c r="A3347" s="167"/>
      <c r="B3347" s="167"/>
    </row>
    <row r="3348" spans="1:2" x14ac:dyDescent="0.25">
      <c r="A3348" s="167"/>
      <c r="B3348" s="167"/>
    </row>
    <row r="3349" spans="1:2" x14ac:dyDescent="0.25">
      <c r="A3349" s="167"/>
      <c r="B3349" s="167"/>
    </row>
    <row r="3350" spans="1:2" x14ac:dyDescent="0.25">
      <c r="A3350" s="167"/>
      <c r="B3350" s="167"/>
    </row>
    <row r="3351" spans="1:2" x14ac:dyDescent="0.25">
      <c r="A3351" s="167"/>
      <c r="B3351" s="167"/>
    </row>
    <row r="3352" spans="1:2" x14ac:dyDescent="0.25">
      <c r="A3352" s="167"/>
      <c r="B3352" s="167"/>
    </row>
    <row r="3353" spans="1:2" x14ac:dyDescent="0.25">
      <c r="A3353" s="167"/>
      <c r="B3353" s="167"/>
    </row>
    <row r="3354" spans="1:2" x14ac:dyDescent="0.25">
      <c r="A3354" s="167"/>
      <c r="B3354" s="167"/>
    </row>
    <row r="3355" spans="1:2" x14ac:dyDescent="0.25">
      <c r="A3355" s="167"/>
      <c r="B3355" s="167"/>
    </row>
    <row r="3356" spans="1:2" x14ac:dyDescent="0.25">
      <c r="A3356" s="167"/>
      <c r="B3356" s="167"/>
    </row>
    <row r="3357" spans="1:2" x14ac:dyDescent="0.25">
      <c r="A3357" s="167"/>
      <c r="B3357" s="167"/>
    </row>
    <row r="3358" spans="1:2" x14ac:dyDescent="0.25">
      <c r="A3358" s="167"/>
      <c r="B3358" s="167"/>
    </row>
    <row r="3359" spans="1:2" x14ac:dyDescent="0.25">
      <c r="A3359" s="167"/>
      <c r="B3359" s="167"/>
    </row>
    <row r="3360" spans="1:2" x14ac:dyDescent="0.25">
      <c r="A3360" s="167"/>
      <c r="B3360" s="167"/>
    </row>
    <row r="3361" spans="1:2" x14ac:dyDescent="0.25">
      <c r="A3361" s="167"/>
      <c r="B3361" s="167"/>
    </row>
    <row r="3362" spans="1:2" x14ac:dyDescent="0.25">
      <c r="A3362" s="167"/>
      <c r="B3362" s="167"/>
    </row>
    <row r="3363" spans="1:2" x14ac:dyDescent="0.25">
      <c r="A3363" s="167"/>
      <c r="B3363" s="167"/>
    </row>
    <row r="3364" spans="1:2" x14ac:dyDescent="0.25">
      <c r="A3364" s="167"/>
      <c r="B3364" s="167"/>
    </row>
    <row r="3365" spans="1:2" x14ac:dyDescent="0.25">
      <c r="A3365" s="167"/>
      <c r="B3365" s="167"/>
    </row>
    <row r="3366" spans="1:2" x14ac:dyDescent="0.25">
      <c r="A3366" s="167"/>
      <c r="B3366" s="167"/>
    </row>
    <row r="3367" spans="1:2" x14ac:dyDescent="0.25">
      <c r="A3367" s="167"/>
      <c r="B3367" s="167"/>
    </row>
    <row r="3368" spans="1:2" x14ac:dyDescent="0.25">
      <c r="A3368" s="167"/>
      <c r="B3368" s="167"/>
    </row>
    <row r="3369" spans="1:2" x14ac:dyDescent="0.25">
      <c r="A3369" s="167"/>
      <c r="B3369" s="167"/>
    </row>
    <row r="3370" spans="1:2" x14ac:dyDescent="0.25">
      <c r="A3370" s="167"/>
      <c r="B3370" s="167"/>
    </row>
    <row r="3371" spans="1:2" x14ac:dyDescent="0.25">
      <c r="A3371" s="167"/>
      <c r="B3371" s="167"/>
    </row>
    <row r="3372" spans="1:2" x14ac:dyDescent="0.25">
      <c r="A3372" s="167"/>
      <c r="B3372" s="167"/>
    </row>
    <row r="3373" spans="1:2" x14ac:dyDescent="0.25">
      <c r="A3373" s="167"/>
      <c r="B3373" s="167"/>
    </row>
    <row r="3374" spans="1:2" x14ac:dyDescent="0.25">
      <c r="A3374" s="167"/>
      <c r="B3374" s="167"/>
    </row>
    <row r="3375" spans="1:2" x14ac:dyDescent="0.25">
      <c r="A3375" s="167"/>
      <c r="B3375" s="167"/>
    </row>
    <row r="3376" spans="1:2" x14ac:dyDescent="0.25">
      <c r="A3376" s="167"/>
      <c r="B3376" s="167"/>
    </row>
    <row r="3377" spans="1:2" x14ac:dyDescent="0.25">
      <c r="A3377" s="167"/>
      <c r="B3377" s="167"/>
    </row>
    <row r="3378" spans="1:2" x14ac:dyDescent="0.25">
      <c r="A3378" s="167"/>
      <c r="B3378" s="167"/>
    </row>
    <row r="3379" spans="1:2" x14ac:dyDescent="0.25">
      <c r="A3379" s="167"/>
      <c r="B3379" s="167"/>
    </row>
    <row r="3380" spans="1:2" x14ac:dyDescent="0.25">
      <c r="A3380" s="167"/>
      <c r="B3380" s="167"/>
    </row>
    <row r="3381" spans="1:2" x14ac:dyDescent="0.25">
      <c r="A3381" s="167"/>
      <c r="B3381" s="167"/>
    </row>
    <row r="3382" spans="1:2" x14ac:dyDescent="0.25">
      <c r="A3382" s="167"/>
      <c r="B3382" s="167"/>
    </row>
    <row r="3383" spans="1:2" x14ac:dyDescent="0.25">
      <c r="A3383" s="167"/>
      <c r="B3383" s="167"/>
    </row>
    <row r="3384" spans="1:2" x14ac:dyDescent="0.25">
      <c r="A3384" s="167"/>
      <c r="B3384" s="167"/>
    </row>
    <row r="3385" spans="1:2" x14ac:dyDescent="0.25">
      <c r="A3385" s="167"/>
      <c r="B3385" s="167"/>
    </row>
    <row r="3386" spans="1:2" x14ac:dyDescent="0.25">
      <c r="A3386" s="167"/>
      <c r="B3386" s="167"/>
    </row>
    <row r="3387" spans="1:2" x14ac:dyDescent="0.25">
      <c r="A3387" s="167"/>
      <c r="B3387" s="167"/>
    </row>
    <row r="3388" spans="1:2" x14ac:dyDescent="0.25">
      <c r="A3388" s="167"/>
      <c r="B3388" s="167"/>
    </row>
    <row r="3389" spans="1:2" x14ac:dyDescent="0.25">
      <c r="A3389" s="167"/>
      <c r="B3389" s="167"/>
    </row>
    <row r="3390" spans="1:2" x14ac:dyDescent="0.25">
      <c r="A3390" s="167"/>
      <c r="B3390" s="167"/>
    </row>
    <row r="3391" spans="1:2" x14ac:dyDescent="0.25">
      <c r="A3391" s="167"/>
      <c r="B3391" s="167"/>
    </row>
    <row r="3392" spans="1:2" x14ac:dyDescent="0.25">
      <c r="A3392" s="167"/>
      <c r="B3392" s="167"/>
    </row>
    <row r="3393" spans="1:2" x14ac:dyDescent="0.25">
      <c r="A3393" s="167"/>
      <c r="B3393" s="167"/>
    </row>
    <row r="3394" spans="1:2" x14ac:dyDescent="0.25">
      <c r="A3394" s="167"/>
      <c r="B3394" s="167"/>
    </row>
    <row r="3395" spans="1:2" x14ac:dyDescent="0.25">
      <c r="A3395" s="167"/>
      <c r="B3395" s="167"/>
    </row>
    <row r="3396" spans="1:2" x14ac:dyDescent="0.25">
      <c r="A3396" s="167"/>
      <c r="B3396" s="167"/>
    </row>
    <row r="3397" spans="1:2" x14ac:dyDescent="0.25">
      <c r="A3397" s="167"/>
      <c r="B3397" s="167"/>
    </row>
    <row r="3398" spans="1:2" x14ac:dyDescent="0.25">
      <c r="A3398" s="167"/>
      <c r="B3398" s="167"/>
    </row>
    <row r="3399" spans="1:2" x14ac:dyDescent="0.25">
      <c r="A3399" s="167"/>
      <c r="B3399" s="167"/>
    </row>
    <row r="3400" spans="1:2" x14ac:dyDescent="0.25">
      <c r="A3400" s="167"/>
      <c r="B3400" s="167"/>
    </row>
    <row r="3401" spans="1:2" x14ac:dyDescent="0.25">
      <c r="A3401" s="167"/>
      <c r="B3401" s="167"/>
    </row>
    <row r="3402" spans="1:2" x14ac:dyDescent="0.25">
      <c r="A3402" s="167"/>
      <c r="B3402" s="167"/>
    </row>
    <row r="3403" spans="1:2" x14ac:dyDescent="0.25">
      <c r="A3403" s="167"/>
      <c r="B3403" s="167"/>
    </row>
    <row r="3404" spans="1:2" x14ac:dyDescent="0.25">
      <c r="A3404" s="167"/>
      <c r="B3404" s="167"/>
    </row>
    <row r="3405" spans="1:2" x14ac:dyDescent="0.25">
      <c r="A3405" s="167"/>
      <c r="B3405" s="167"/>
    </row>
    <row r="3406" spans="1:2" x14ac:dyDescent="0.25">
      <c r="A3406" s="167"/>
      <c r="B3406" s="167"/>
    </row>
    <row r="3407" spans="1:2" x14ac:dyDescent="0.25">
      <c r="A3407" s="167"/>
      <c r="B3407" s="167"/>
    </row>
    <row r="3408" spans="1:2" x14ac:dyDescent="0.25">
      <c r="A3408" s="167"/>
      <c r="B3408" s="167"/>
    </row>
    <row r="3409" spans="1:2" x14ac:dyDescent="0.25">
      <c r="A3409" s="167"/>
      <c r="B3409" s="167"/>
    </row>
    <row r="3410" spans="1:2" x14ac:dyDescent="0.25">
      <c r="A3410" s="167"/>
      <c r="B3410" s="167"/>
    </row>
    <row r="3411" spans="1:2" x14ac:dyDescent="0.25">
      <c r="A3411" s="167"/>
      <c r="B3411" s="167"/>
    </row>
    <row r="3412" spans="1:2" x14ac:dyDescent="0.25">
      <c r="A3412" s="167"/>
      <c r="B3412" s="167"/>
    </row>
    <row r="3413" spans="1:2" x14ac:dyDescent="0.25">
      <c r="A3413" s="167"/>
      <c r="B3413" s="167"/>
    </row>
    <row r="3414" spans="1:2" x14ac:dyDescent="0.25">
      <c r="A3414" s="167"/>
      <c r="B3414" s="167"/>
    </row>
    <row r="3415" spans="1:2" x14ac:dyDescent="0.25">
      <c r="A3415" s="167"/>
      <c r="B3415" s="167"/>
    </row>
    <row r="3416" spans="1:2" x14ac:dyDescent="0.25">
      <c r="A3416" s="167"/>
      <c r="B3416" s="167"/>
    </row>
    <row r="3417" spans="1:2" x14ac:dyDescent="0.25">
      <c r="A3417" s="167"/>
      <c r="B3417" s="167"/>
    </row>
    <row r="3418" spans="1:2" x14ac:dyDescent="0.25">
      <c r="A3418" s="167"/>
      <c r="B3418" s="167"/>
    </row>
    <row r="3419" spans="1:2" x14ac:dyDescent="0.25">
      <c r="A3419" s="167"/>
      <c r="B3419" s="167"/>
    </row>
    <row r="3420" spans="1:2" x14ac:dyDescent="0.25">
      <c r="A3420" s="167"/>
      <c r="B3420" s="167"/>
    </row>
    <row r="3421" spans="1:2" x14ac:dyDescent="0.25">
      <c r="A3421" s="167"/>
      <c r="B3421" s="167"/>
    </row>
    <row r="3422" spans="1:2" x14ac:dyDescent="0.25">
      <c r="A3422" s="167"/>
      <c r="B3422" s="167"/>
    </row>
    <row r="3423" spans="1:2" x14ac:dyDescent="0.25">
      <c r="A3423" s="167"/>
      <c r="B3423" s="167"/>
    </row>
    <row r="3424" spans="1:2" x14ac:dyDescent="0.25">
      <c r="A3424" s="167"/>
      <c r="B3424" s="167"/>
    </row>
    <row r="3425" spans="1:2" x14ac:dyDescent="0.25">
      <c r="A3425" s="167"/>
      <c r="B3425" s="167"/>
    </row>
    <row r="3426" spans="1:2" x14ac:dyDescent="0.25">
      <c r="A3426" s="167"/>
      <c r="B3426" s="167"/>
    </row>
    <row r="3427" spans="1:2" x14ac:dyDescent="0.25">
      <c r="A3427" s="167"/>
      <c r="B3427" s="167"/>
    </row>
    <row r="3428" spans="1:2" x14ac:dyDescent="0.25">
      <c r="A3428" s="167"/>
      <c r="B3428" s="167"/>
    </row>
    <row r="3429" spans="1:2" x14ac:dyDescent="0.25">
      <c r="A3429" s="167"/>
      <c r="B3429" s="167"/>
    </row>
    <row r="3430" spans="1:2" x14ac:dyDescent="0.25">
      <c r="A3430" s="167"/>
      <c r="B3430" s="167"/>
    </row>
    <row r="3431" spans="1:2" x14ac:dyDescent="0.25">
      <c r="A3431" s="167"/>
      <c r="B3431" s="167"/>
    </row>
    <row r="3432" spans="1:2" x14ac:dyDescent="0.25">
      <c r="A3432" s="167"/>
      <c r="B3432" s="167"/>
    </row>
    <row r="3433" spans="1:2" x14ac:dyDescent="0.25">
      <c r="A3433" s="167"/>
      <c r="B3433" s="167"/>
    </row>
    <row r="3434" spans="1:2" x14ac:dyDescent="0.25">
      <c r="A3434" s="167"/>
      <c r="B3434" s="167"/>
    </row>
    <row r="3435" spans="1:2" x14ac:dyDescent="0.25">
      <c r="A3435" s="167"/>
      <c r="B3435" s="167"/>
    </row>
    <row r="3436" spans="1:2" x14ac:dyDescent="0.25">
      <c r="A3436" s="167"/>
      <c r="B3436" s="167"/>
    </row>
    <row r="3437" spans="1:2" x14ac:dyDescent="0.25">
      <c r="A3437" s="167"/>
      <c r="B3437" s="167"/>
    </row>
    <row r="3438" spans="1:2" x14ac:dyDescent="0.25">
      <c r="A3438" s="167"/>
      <c r="B3438" s="167"/>
    </row>
    <row r="3439" spans="1:2" x14ac:dyDescent="0.25">
      <c r="A3439" s="167"/>
      <c r="B3439" s="167"/>
    </row>
    <row r="3440" spans="1:2" x14ac:dyDescent="0.25">
      <c r="A3440" s="167"/>
      <c r="B3440" s="167"/>
    </row>
    <row r="3441" spans="1:2" x14ac:dyDescent="0.25">
      <c r="A3441" s="167"/>
      <c r="B3441" s="167"/>
    </row>
    <row r="3442" spans="1:2" x14ac:dyDescent="0.25">
      <c r="A3442" s="167"/>
      <c r="B3442" s="167"/>
    </row>
    <row r="3443" spans="1:2" x14ac:dyDescent="0.25">
      <c r="A3443" s="167"/>
      <c r="B3443" s="167"/>
    </row>
    <row r="3444" spans="1:2" x14ac:dyDescent="0.25">
      <c r="A3444" s="167"/>
      <c r="B3444" s="167"/>
    </row>
    <row r="3445" spans="1:2" x14ac:dyDescent="0.25">
      <c r="A3445" s="167"/>
      <c r="B3445" s="167"/>
    </row>
    <row r="3446" spans="1:2" x14ac:dyDescent="0.25">
      <c r="A3446" s="167"/>
      <c r="B3446" s="167"/>
    </row>
    <row r="3447" spans="1:2" x14ac:dyDescent="0.25">
      <c r="A3447" s="167"/>
      <c r="B3447" s="167"/>
    </row>
    <row r="3448" spans="1:2" x14ac:dyDescent="0.25">
      <c r="A3448" s="167"/>
      <c r="B3448" s="167"/>
    </row>
    <row r="3449" spans="1:2" x14ac:dyDescent="0.25">
      <c r="A3449" s="167"/>
      <c r="B3449" s="167"/>
    </row>
    <row r="3450" spans="1:2" x14ac:dyDescent="0.25">
      <c r="A3450" s="167"/>
      <c r="B3450" s="167"/>
    </row>
    <row r="3451" spans="1:2" x14ac:dyDescent="0.25">
      <c r="A3451" s="167"/>
      <c r="B3451" s="167"/>
    </row>
    <row r="3452" spans="1:2" x14ac:dyDescent="0.25">
      <c r="A3452" s="167"/>
      <c r="B3452" s="167"/>
    </row>
    <row r="3453" spans="1:2" x14ac:dyDescent="0.25">
      <c r="A3453" s="167"/>
      <c r="B3453" s="167"/>
    </row>
    <row r="3454" spans="1:2" x14ac:dyDescent="0.25">
      <c r="A3454" s="167"/>
      <c r="B3454" s="167"/>
    </row>
    <row r="3455" spans="1:2" x14ac:dyDescent="0.25">
      <c r="A3455" s="167"/>
      <c r="B3455" s="167"/>
    </row>
    <row r="3456" spans="1:2" x14ac:dyDescent="0.25">
      <c r="A3456" s="167"/>
      <c r="B3456" s="167"/>
    </row>
    <row r="3457" spans="1:2" x14ac:dyDescent="0.25">
      <c r="A3457" s="167"/>
      <c r="B3457" s="167"/>
    </row>
    <row r="3458" spans="1:2" x14ac:dyDescent="0.25">
      <c r="A3458" s="167"/>
      <c r="B3458" s="167"/>
    </row>
    <row r="3459" spans="1:2" x14ac:dyDescent="0.25">
      <c r="A3459" s="167"/>
      <c r="B3459" s="167"/>
    </row>
    <row r="3460" spans="1:2" x14ac:dyDescent="0.25">
      <c r="A3460" s="167"/>
      <c r="B3460" s="167"/>
    </row>
    <row r="3461" spans="1:2" x14ac:dyDescent="0.25">
      <c r="A3461" s="167"/>
      <c r="B3461" s="167"/>
    </row>
    <row r="3462" spans="1:2" x14ac:dyDescent="0.25">
      <c r="A3462" s="167"/>
      <c r="B3462" s="167"/>
    </row>
    <row r="3463" spans="1:2" x14ac:dyDescent="0.25">
      <c r="A3463" s="167"/>
      <c r="B3463" s="167"/>
    </row>
    <row r="3464" spans="1:2" x14ac:dyDescent="0.25">
      <c r="A3464" s="167"/>
      <c r="B3464" s="167"/>
    </row>
    <row r="3465" spans="1:2" x14ac:dyDescent="0.25">
      <c r="A3465" s="167"/>
      <c r="B3465" s="167"/>
    </row>
    <row r="3466" spans="1:2" x14ac:dyDescent="0.25">
      <c r="A3466" s="167"/>
      <c r="B3466" s="167"/>
    </row>
    <row r="3467" spans="1:2" x14ac:dyDescent="0.25">
      <c r="A3467" s="167"/>
      <c r="B3467" s="167"/>
    </row>
    <row r="3468" spans="1:2" x14ac:dyDescent="0.25">
      <c r="A3468" s="167"/>
      <c r="B3468" s="167"/>
    </row>
    <row r="3469" spans="1:2" x14ac:dyDescent="0.25">
      <c r="A3469" s="167"/>
      <c r="B3469" s="167"/>
    </row>
    <row r="3470" spans="1:2" x14ac:dyDescent="0.25">
      <c r="A3470" s="167"/>
      <c r="B3470" s="167"/>
    </row>
    <row r="3471" spans="1:2" x14ac:dyDescent="0.25">
      <c r="A3471" s="167"/>
      <c r="B3471" s="167"/>
    </row>
    <row r="3472" spans="1:2" x14ac:dyDescent="0.25">
      <c r="A3472" s="167"/>
      <c r="B3472" s="167"/>
    </row>
    <row r="3473" spans="1:2" x14ac:dyDescent="0.25">
      <c r="A3473" s="167"/>
      <c r="B3473" s="167"/>
    </row>
    <row r="3474" spans="1:2" x14ac:dyDescent="0.25">
      <c r="A3474" s="167"/>
      <c r="B3474" s="167"/>
    </row>
    <row r="3475" spans="1:2" x14ac:dyDescent="0.25">
      <c r="A3475" s="167"/>
      <c r="B3475" s="167"/>
    </row>
    <row r="3476" spans="1:2" x14ac:dyDescent="0.25">
      <c r="A3476" s="167"/>
      <c r="B3476" s="167"/>
    </row>
    <row r="3477" spans="1:2" x14ac:dyDescent="0.25">
      <c r="A3477" s="167"/>
      <c r="B3477" s="167"/>
    </row>
    <row r="3478" spans="1:2" x14ac:dyDescent="0.25">
      <c r="A3478" s="167"/>
      <c r="B3478" s="167"/>
    </row>
    <row r="3479" spans="1:2" x14ac:dyDescent="0.25">
      <c r="A3479" s="167"/>
      <c r="B3479" s="167"/>
    </row>
    <row r="3480" spans="1:2" x14ac:dyDescent="0.25">
      <c r="A3480" s="167"/>
      <c r="B3480" s="167"/>
    </row>
    <row r="3481" spans="1:2" x14ac:dyDescent="0.25">
      <c r="A3481" s="167"/>
      <c r="B3481" s="167"/>
    </row>
    <row r="3482" spans="1:2" x14ac:dyDescent="0.25">
      <c r="A3482" s="167"/>
      <c r="B3482" s="167"/>
    </row>
    <row r="3483" spans="1:2" x14ac:dyDescent="0.25">
      <c r="A3483" s="167"/>
      <c r="B3483" s="167"/>
    </row>
    <row r="3484" spans="1:2" x14ac:dyDescent="0.25">
      <c r="A3484" s="167"/>
      <c r="B3484" s="167"/>
    </row>
    <row r="3485" spans="1:2" x14ac:dyDescent="0.25">
      <c r="A3485" s="167"/>
      <c r="B3485" s="167"/>
    </row>
    <row r="3486" spans="1:2" x14ac:dyDescent="0.25">
      <c r="A3486" s="167"/>
      <c r="B3486" s="167"/>
    </row>
    <row r="3487" spans="1:2" x14ac:dyDescent="0.25">
      <c r="A3487" s="167"/>
      <c r="B3487" s="167"/>
    </row>
    <row r="3488" spans="1:2" x14ac:dyDescent="0.25">
      <c r="A3488" s="167"/>
      <c r="B3488" s="167"/>
    </row>
    <row r="3489" spans="1:2" x14ac:dyDescent="0.25">
      <c r="A3489" s="167"/>
      <c r="B3489" s="167"/>
    </row>
    <row r="3490" spans="1:2" x14ac:dyDescent="0.25">
      <c r="A3490" s="167"/>
      <c r="B3490" s="167"/>
    </row>
    <row r="3491" spans="1:2" x14ac:dyDescent="0.25">
      <c r="A3491" s="167"/>
      <c r="B3491" s="167"/>
    </row>
    <row r="3492" spans="1:2" x14ac:dyDescent="0.25">
      <c r="A3492" s="167"/>
      <c r="B3492" s="167"/>
    </row>
    <row r="3493" spans="1:2" x14ac:dyDescent="0.25">
      <c r="A3493" s="167"/>
      <c r="B3493" s="167"/>
    </row>
    <row r="3494" spans="1:2" x14ac:dyDescent="0.25">
      <c r="A3494" s="167"/>
      <c r="B3494" s="167"/>
    </row>
    <row r="3495" spans="1:2" x14ac:dyDescent="0.25">
      <c r="A3495" s="167"/>
      <c r="B3495" s="167"/>
    </row>
    <row r="3496" spans="1:2" x14ac:dyDescent="0.25">
      <c r="A3496" s="167"/>
      <c r="B3496" s="167"/>
    </row>
    <row r="3497" spans="1:2" x14ac:dyDescent="0.25">
      <c r="A3497" s="167"/>
      <c r="B3497" s="167"/>
    </row>
    <row r="3498" spans="1:2" x14ac:dyDescent="0.25">
      <c r="A3498" s="167"/>
      <c r="B3498" s="167"/>
    </row>
    <row r="3499" spans="1:2" x14ac:dyDescent="0.25">
      <c r="A3499" s="167"/>
      <c r="B3499" s="167"/>
    </row>
    <row r="3500" spans="1:2" x14ac:dyDescent="0.25">
      <c r="A3500" s="167"/>
      <c r="B3500" s="167"/>
    </row>
    <row r="3501" spans="1:2" x14ac:dyDescent="0.25">
      <c r="A3501" s="167"/>
      <c r="B3501" s="167"/>
    </row>
    <row r="3502" spans="1:2" x14ac:dyDescent="0.25">
      <c r="A3502" s="167"/>
      <c r="B3502" s="167"/>
    </row>
    <row r="3503" spans="1:2" x14ac:dyDescent="0.25">
      <c r="A3503" s="167"/>
      <c r="B3503" s="167"/>
    </row>
    <row r="3504" spans="1:2" x14ac:dyDescent="0.25">
      <c r="A3504" s="167"/>
      <c r="B3504" s="167"/>
    </row>
    <row r="3505" spans="1:2" x14ac:dyDescent="0.25">
      <c r="A3505" s="167"/>
      <c r="B3505" s="167"/>
    </row>
    <row r="3506" spans="1:2" x14ac:dyDescent="0.25">
      <c r="A3506" s="167"/>
      <c r="B3506" s="167"/>
    </row>
    <row r="3507" spans="1:2" x14ac:dyDescent="0.25">
      <c r="A3507" s="167"/>
      <c r="B3507" s="167"/>
    </row>
    <row r="3508" spans="1:2" x14ac:dyDescent="0.25">
      <c r="A3508" s="167"/>
      <c r="B3508" s="167"/>
    </row>
    <row r="3509" spans="1:2" x14ac:dyDescent="0.25">
      <c r="A3509" s="167"/>
      <c r="B3509" s="167"/>
    </row>
    <row r="3510" spans="1:2" x14ac:dyDescent="0.25">
      <c r="A3510" s="167"/>
      <c r="B3510" s="167"/>
    </row>
    <row r="3511" spans="1:2" x14ac:dyDescent="0.25">
      <c r="A3511" s="167"/>
      <c r="B3511" s="167"/>
    </row>
    <row r="3512" spans="1:2" x14ac:dyDescent="0.25">
      <c r="A3512" s="167"/>
      <c r="B3512" s="167"/>
    </row>
    <row r="3513" spans="1:2" x14ac:dyDescent="0.25">
      <c r="A3513" s="167"/>
      <c r="B3513" s="167"/>
    </row>
    <row r="3514" spans="1:2" x14ac:dyDescent="0.25">
      <c r="A3514" s="167"/>
      <c r="B3514" s="167"/>
    </row>
    <row r="3515" spans="1:2" x14ac:dyDescent="0.25">
      <c r="A3515" s="167"/>
      <c r="B3515" s="167"/>
    </row>
    <row r="3516" spans="1:2" x14ac:dyDescent="0.25">
      <c r="A3516" s="167"/>
      <c r="B3516" s="167"/>
    </row>
    <row r="3517" spans="1:2" x14ac:dyDescent="0.25">
      <c r="A3517" s="167"/>
      <c r="B3517" s="167"/>
    </row>
    <row r="3518" spans="1:2" x14ac:dyDescent="0.25">
      <c r="A3518" s="167"/>
      <c r="B3518" s="167"/>
    </row>
    <row r="3519" spans="1:2" x14ac:dyDescent="0.25">
      <c r="A3519" s="167"/>
      <c r="B3519" s="167"/>
    </row>
    <row r="3520" spans="1:2" x14ac:dyDescent="0.25">
      <c r="A3520" s="167"/>
      <c r="B3520" s="167"/>
    </row>
    <row r="3521" spans="1:2" x14ac:dyDescent="0.25">
      <c r="A3521" s="167"/>
      <c r="B3521" s="167"/>
    </row>
    <row r="3522" spans="1:2" x14ac:dyDescent="0.25">
      <c r="A3522" s="167"/>
      <c r="B3522" s="167"/>
    </row>
    <row r="3523" spans="1:2" x14ac:dyDescent="0.25">
      <c r="A3523" s="167"/>
      <c r="B3523" s="167"/>
    </row>
    <row r="3524" spans="1:2" x14ac:dyDescent="0.25">
      <c r="A3524" s="167"/>
      <c r="B3524" s="167"/>
    </row>
    <row r="3525" spans="1:2" x14ac:dyDescent="0.25">
      <c r="A3525" s="167"/>
      <c r="B3525" s="167"/>
    </row>
    <row r="3526" spans="1:2" x14ac:dyDescent="0.25">
      <c r="A3526" s="167"/>
      <c r="B3526" s="167"/>
    </row>
    <row r="3527" spans="1:2" x14ac:dyDescent="0.25">
      <c r="A3527" s="167"/>
      <c r="B3527" s="167"/>
    </row>
    <row r="3528" spans="1:2" x14ac:dyDescent="0.25">
      <c r="A3528" s="167"/>
      <c r="B3528" s="167"/>
    </row>
    <row r="3529" spans="1:2" x14ac:dyDescent="0.25">
      <c r="A3529" s="167"/>
      <c r="B3529" s="167"/>
    </row>
    <row r="3530" spans="1:2" x14ac:dyDescent="0.25">
      <c r="A3530" s="167"/>
      <c r="B3530" s="167"/>
    </row>
    <row r="3531" spans="1:2" x14ac:dyDescent="0.25">
      <c r="A3531" s="167"/>
      <c r="B3531" s="167"/>
    </row>
    <row r="3532" spans="1:2" x14ac:dyDescent="0.25">
      <c r="A3532" s="167"/>
      <c r="B3532" s="167"/>
    </row>
    <row r="3533" spans="1:2" x14ac:dyDescent="0.25">
      <c r="A3533" s="167"/>
      <c r="B3533" s="167"/>
    </row>
    <row r="3534" spans="1:2" x14ac:dyDescent="0.25">
      <c r="A3534" s="167"/>
      <c r="B3534" s="167"/>
    </row>
    <row r="3535" spans="1:2" x14ac:dyDescent="0.25">
      <c r="A3535" s="167"/>
      <c r="B3535" s="167"/>
    </row>
    <row r="3536" spans="1:2" x14ac:dyDescent="0.25">
      <c r="A3536" s="167"/>
      <c r="B3536" s="167"/>
    </row>
    <row r="3537" spans="1:2" x14ac:dyDescent="0.25">
      <c r="A3537" s="167"/>
      <c r="B3537" s="167"/>
    </row>
    <row r="3538" spans="1:2" x14ac:dyDescent="0.25">
      <c r="A3538" s="167"/>
      <c r="B3538" s="167"/>
    </row>
    <row r="3539" spans="1:2" x14ac:dyDescent="0.25">
      <c r="A3539" s="167"/>
      <c r="B3539" s="167"/>
    </row>
    <row r="3540" spans="1:2" x14ac:dyDescent="0.25">
      <c r="A3540" s="167"/>
      <c r="B3540" s="167"/>
    </row>
    <row r="3541" spans="1:2" x14ac:dyDescent="0.25">
      <c r="A3541" s="167"/>
      <c r="B3541" s="167"/>
    </row>
    <row r="3542" spans="1:2" x14ac:dyDescent="0.25">
      <c r="A3542" s="167"/>
      <c r="B3542" s="167"/>
    </row>
    <row r="3543" spans="1:2" x14ac:dyDescent="0.25">
      <c r="A3543" s="167"/>
      <c r="B3543" s="167"/>
    </row>
    <row r="3544" spans="1:2" x14ac:dyDescent="0.25">
      <c r="A3544" s="167"/>
      <c r="B3544" s="167"/>
    </row>
    <row r="3545" spans="1:2" x14ac:dyDescent="0.25">
      <c r="A3545" s="167"/>
      <c r="B3545" s="167"/>
    </row>
    <row r="3546" spans="1:2" x14ac:dyDescent="0.25">
      <c r="A3546" s="167"/>
      <c r="B3546" s="167"/>
    </row>
    <row r="3547" spans="1:2" x14ac:dyDescent="0.25">
      <c r="A3547" s="167"/>
      <c r="B3547" s="167"/>
    </row>
    <row r="3548" spans="1:2" x14ac:dyDescent="0.25">
      <c r="A3548" s="167"/>
      <c r="B3548" s="167"/>
    </row>
    <row r="3549" spans="1:2" x14ac:dyDescent="0.25">
      <c r="A3549" s="167"/>
      <c r="B3549" s="167"/>
    </row>
    <row r="3550" spans="1:2" x14ac:dyDescent="0.25">
      <c r="A3550" s="167"/>
      <c r="B3550" s="167"/>
    </row>
    <row r="3551" spans="1:2" x14ac:dyDescent="0.25">
      <c r="A3551" s="167"/>
      <c r="B3551" s="167"/>
    </row>
    <row r="3552" spans="1:2" x14ac:dyDescent="0.25">
      <c r="A3552" s="167"/>
      <c r="B3552" s="167"/>
    </row>
    <row r="3553" spans="1:2" x14ac:dyDescent="0.25">
      <c r="A3553" s="167"/>
      <c r="B3553" s="167"/>
    </row>
    <row r="3554" spans="1:2" x14ac:dyDescent="0.25">
      <c r="A3554" s="167"/>
      <c r="B3554" s="167"/>
    </row>
    <row r="3555" spans="1:2" x14ac:dyDescent="0.25">
      <c r="A3555" s="167"/>
      <c r="B3555" s="167"/>
    </row>
    <row r="3556" spans="1:2" x14ac:dyDescent="0.25">
      <c r="A3556" s="167"/>
      <c r="B3556" s="167"/>
    </row>
    <row r="3557" spans="1:2" x14ac:dyDescent="0.25">
      <c r="A3557" s="167"/>
      <c r="B3557" s="167"/>
    </row>
    <row r="3558" spans="1:2" x14ac:dyDescent="0.25">
      <c r="A3558" s="167"/>
      <c r="B3558" s="167"/>
    </row>
    <row r="3559" spans="1:2" x14ac:dyDescent="0.25">
      <c r="A3559" s="167"/>
      <c r="B3559" s="167"/>
    </row>
    <row r="3560" spans="1:2" x14ac:dyDescent="0.25">
      <c r="A3560" s="167"/>
      <c r="B3560" s="167"/>
    </row>
    <row r="3561" spans="1:2" x14ac:dyDescent="0.25">
      <c r="A3561" s="167"/>
      <c r="B3561" s="167"/>
    </row>
    <row r="3562" spans="1:2" x14ac:dyDescent="0.25">
      <c r="A3562" s="167"/>
      <c r="B3562" s="167"/>
    </row>
    <row r="3563" spans="1:2" x14ac:dyDescent="0.25">
      <c r="A3563" s="167"/>
      <c r="B3563" s="167"/>
    </row>
    <row r="3564" spans="1:2" x14ac:dyDescent="0.25">
      <c r="A3564" s="167"/>
      <c r="B3564" s="167"/>
    </row>
    <row r="3565" spans="1:2" x14ac:dyDescent="0.25">
      <c r="A3565" s="167"/>
      <c r="B3565" s="167"/>
    </row>
    <row r="3566" spans="1:2" x14ac:dyDescent="0.25">
      <c r="A3566" s="167"/>
      <c r="B3566" s="167"/>
    </row>
    <row r="3567" spans="1:2" x14ac:dyDescent="0.25">
      <c r="A3567" s="167"/>
      <c r="B3567" s="167"/>
    </row>
    <row r="3568" spans="1:2" x14ac:dyDescent="0.25">
      <c r="A3568" s="167"/>
      <c r="B3568" s="167"/>
    </row>
    <row r="3569" spans="1:2" x14ac:dyDescent="0.25">
      <c r="A3569" s="167"/>
      <c r="B3569" s="167"/>
    </row>
    <row r="3570" spans="1:2" x14ac:dyDescent="0.25">
      <c r="A3570" s="167"/>
      <c r="B3570" s="167"/>
    </row>
    <row r="3571" spans="1:2" x14ac:dyDescent="0.25">
      <c r="A3571" s="167"/>
      <c r="B3571" s="167"/>
    </row>
    <row r="3572" spans="1:2" x14ac:dyDescent="0.25">
      <c r="A3572" s="167"/>
      <c r="B3572" s="167"/>
    </row>
    <row r="3573" spans="1:2" x14ac:dyDescent="0.25">
      <c r="A3573" s="167"/>
      <c r="B3573" s="167"/>
    </row>
    <row r="3574" spans="1:2" x14ac:dyDescent="0.25">
      <c r="A3574" s="167"/>
      <c r="B3574" s="167"/>
    </row>
    <row r="3575" spans="1:2" x14ac:dyDescent="0.25">
      <c r="A3575" s="167"/>
      <c r="B3575" s="167"/>
    </row>
    <row r="3576" spans="1:2" x14ac:dyDescent="0.25">
      <c r="A3576" s="167"/>
      <c r="B3576" s="167"/>
    </row>
    <row r="3577" spans="1:2" x14ac:dyDescent="0.25">
      <c r="A3577" s="167"/>
      <c r="B3577" s="167"/>
    </row>
    <row r="3578" spans="1:2" x14ac:dyDescent="0.25">
      <c r="A3578" s="167"/>
      <c r="B3578" s="167"/>
    </row>
    <row r="3579" spans="1:2" x14ac:dyDescent="0.25">
      <c r="A3579" s="167"/>
      <c r="B3579" s="167"/>
    </row>
    <row r="3580" spans="1:2" x14ac:dyDescent="0.25">
      <c r="A3580" s="167"/>
      <c r="B3580" s="167"/>
    </row>
    <row r="3581" spans="1:2" x14ac:dyDescent="0.25">
      <c r="A3581" s="167"/>
      <c r="B3581" s="167"/>
    </row>
    <row r="3582" spans="1:2" x14ac:dyDescent="0.25">
      <c r="A3582" s="167"/>
      <c r="B3582" s="167"/>
    </row>
    <row r="3583" spans="1:2" x14ac:dyDescent="0.25">
      <c r="A3583" s="167"/>
      <c r="B3583" s="167"/>
    </row>
    <row r="3584" spans="1:2" x14ac:dyDescent="0.25">
      <c r="A3584" s="167"/>
      <c r="B3584" s="167"/>
    </row>
    <row r="3585" spans="1:2" x14ac:dyDescent="0.25">
      <c r="A3585" s="167"/>
      <c r="B3585" s="167"/>
    </row>
    <row r="3586" spans="1:2" x14ac:dyDescent="0.25">
      <c r="A3586" s="167"/>
      <c r="B3586" s="167"/>
    </row>
    <row r="3587" spans="1:2" x14ac:dyDescent="0.25">
      <c r="A3587" s="167"/>
      <c r="B3587" s="167"/>
    </row>
    <row r="3588" spans="1:2" x14ac:dyDescent="0.25">
      <c r="A3588" s="167"/>
      <c r="B3588" s="167"/>
    </row>
    <row r="3589" spans="1:2" x14ac:dyDescent="0.25">
      <c r="A3589" s="167"/>
      <c r="B3589" s="167"/>
    </row>
    <row r="3590" spans="1:2" x14ac:dyDescent="0.25">
      <c r="A3590" s="167"/>
      <c r="B3590" s="167"/>
    </row>
    <row r="3591" spans="1:2" x14ac:dyDescent="0.25">
      <c r="A3591" s="167"/>
      <c r="B3591" s="167"/>
    </row>
    <row r="3592" spans="1:2" x14ac:dyDescent="0.25">
      <c r="A3592" s="167"/>
      <c r="B3592" s="167"/>
    </row>
    <row r="3593" spans="1:2" x14ac:dyDescent="0.25">
      <c r="A3593" s="167"/>
      <c r="B3593" s="167"/>
    </row>
    <row r="3594" spans="1:2" x14ac:dyDescent="0.25">
      <c r="A3594" s="167"/>
      <c r="B3594" s="167"/>
    </row>
    <row r="3595" spans="1:2" x14ac:dyDescent="0.25">
      <c r="A3595" s="167"/>
      <c r="B3595" s="167"/>
    </row>
    <row r="3596" spans="1:2" x14ac:dyDescent="0.25">
      <c r="A3596" s="167"/>
      <c r="B3596" s="167"/>
    </row>
    <row r="3597" spans="1:2" x14ac:dyDescent="0.25">
      <c r="A3597" s="167"/>
      <c r="B3597" s="167"/>
    </row>
    <row r="3598" spans="1:2" x14ac:dyDescent="0.25">
      <c r="A3598" s="167"/>
      <c r="B3598" s="167"/>
    </row>
    <row r="3599" spans="1:2" x14ac:dyDescent="0.25">
      <c r="A3599" s="167"/>
      <c r="B3599" s="167"/>
    </row>
    <row r="3600" spans="1:2" x14ac:dyDescent="0.25">
      <c r="A3600" s="167"/>
      <c r="B3600" s="167"/>
    </row>
    <row r="3601" spans="1:2" x14ac:dyDescent="0.25">
      <c r="A3601" s="167"/>
      <c r="B3601" s="167"/>
    </row>
    <row r="3602" spans="1:2" x14ac:dyDescent="0.25">
      <c r="A3602" s="167"/>
      <c r="B3602" s="167"/>
    </row>
    <row r="3603" spans="1:2" x14ac:dyDescent="0.25">
      <c r="A3603" s="167"/>
      <c r="B3603" s="167"/>
    </row>
    <row r="3604" spans="1:2" x14ac:dyDescent="0.25">
      <c r="A3604" s="167"/>
      <c r="B3604" s="167"/>
    </row>
    <row r="3605" spans="1:2" x14ac:dyDescent="0.25">
      <c r="A3605" s="167"/>
      <c r="B3605" s="167"/>
    </row>
    <row r="3606" spans="1:2" x14ac:dyDescent="0.25">
      <c r="A3606" s="167"/>
      <c r="B3606" s="167"/>
    </row>
    <row r="3607" spans="1:2" x14ac:dyDescent="0.25">
      <c r="A3607" s="167"/>
      <c r="B3607" s="167"/>
    </row>
    <row r="3608" spans="1:2" x14ac:dyDescent="0.25">
      <c r="A3608" s="167"/>
      <c r="B3608" s="167"/>
    </row>
    <row r="3609" spans="1:2" x14ac:dyDescent="0.25">
      <c r="A3609" s="167"/>
      <c r="B3609" s="167"/>
    </row>
    <row r="3610" spans="1:2" x14ac:dyDescent="0.25">
      <c r="A3610" s="167"/>
      <c r="B3610" s="167"/>
    </row>
    <row r="3611" spans="1:2" x14ac:dyDescent="0.25">
      <c r="A3611" s="167"/>
      <c r="B3611" s="167"/>
    </row>
    <row r="3612" spans="1:2" x14ac:dyDescent="0.25">
      <c r="A3612" s="167"/>
      <c r="B3612" s="167"/>
    </row>
    <row r="3613" spans="1:2" x14ac:dyDescent="0.25">
      <c r="A3613" s="167"/>
      <c r="B3613" s="167"/>
    </row>
    <row r="3614" spans="1:2" x14ac:dyDescent="0.25">
      <c r="A3614" s="167"/>
      <c r="B3614" s="167"/>
    </row>
    <row r="3615" spans="1:2" x14ac:dyDescent="0.25">
      <c r="A3615" s="167"/>
      <c r="B3615" s="167"/>
    </row>
    <row r="3616" spans="1:2" x14ac:dyDescent="0.25">
      <c r="A3616" s="167"/>
      <c r="B3616" s="167"/>
    </row>
    <row r="3617" spans="1:2" x14ac:dyDescent="0.25">
      <c r="A3617" s="167"/>
      <c r="B3617" s="167"/>
    </row>
    <row r="3618" spans="1:2" x14ac:dyDescent="0.25">
      <c r="A3618" s="167"/>
      <c r="B3618" s="167"/>
    </row>
    <row r="3619" spans="1:2" x14ac:dyDescent="0.25">
      <c r="A3619" s="167"/>
      <c r="B3619" s="167"/>
    </row>
    <row r="3620" spans="1:2" x14ac:dyDescent="0.25">
      <c r="A3620" s="167"/>
      <c r="B3620" s="167"/>
    </row>
    <row r="3621" spans="1:2" x14ac:dyDescent="0.25">
      <c r="A3621" s="167"/>
      <c r="B3621" s="167"/>
    </row>
    <row r="3622" spans="1:2" x14ac:dyDescent="0.25">
      <c r="A3622" s="167"/>
      <c r="B3622" s="167"/>
    </row>
    <row r="3623" spans="1:2" x14ac:dyDescent="0.25">
      <c r="A3623" s="167"/>
      <c r="B3623" s="167"/>
    </row>
    <row r="3624" spans="1:2" x14ac:dyDescent="0.25">
      <c r="A3624" s="167"/>
      <c r="B3624" s="167"/>
    </row>
    <row r="3625" spans="1:2" x14ac:dyDescent="0.25">
      <c r="A3625" s="167"/>
      <c r="B3625" s="167"/>
    </row>
    <row r="3626" spans="1:2" x14ac:dyDescent="0.25">
      <c r="A3626" s="167"/>
      <c r="B3626" s="167"/>
    </row>
    <row r="3627" spans="1:2" x14ac:dyDescent="0.25">
      <c r="A3627" s="167"/>
      <c r="B3627" s="167"/>
    </row>
    <row r="3628" spans="1:2" x14ac:dyDescent="0.25">
      <c r="A3628" s="167"/>
      <c r="B3628" s="167"/>
    </row>
    <row r="3629" spans="1:2" x14ac:dyDescent="0.25">
      <c r="A3629" s="167"/>
      <c r="B3629" s="167"/>
    </row>
    <row r="3630" spans="1:2" x14ac:dyDescent="0.25">
      <c r="A3630" s="167"/>
      <c r="B3630" s="167"/>
    </row>
    <row r="3631" spans="1:2" x14ac:dyDescent="0.25">
      <c r="A3631" s="167"/>
      <c r="B3631" s="167"/>
    </row>
    <row r="3632" spans="1:2" x14ac:dyDescent="0.25">
      <c r="A3632" s="167"/>
      <c r="B3632" s="167"/>
    </row>
    <row r="3633" spans="1:2" x14ac:dyDescent="0.25">
      <c r="A3633" s="167"/>
      <c r="B3633" s="167"/>
    </row>
    <row r="3634" spans="1:2" x14ac:dyDescent="0.25">
      <c r="A3634" s="167"/>
      <c r="B3634" s="167"/>
    </row>
    <row r="3635" spans="1:2" x14ac:dyDescent="0.25">
      <c r="A3635" s="167"/>
      <c r="B3635" s="167"/>
    </row>
    <row r="3636" spans="1:2" x14ac:dyDescent="0.25">
      <c r="A3636" s="167"/>
      <c r="B3636" s="167"/>
    </row>
    <row r="3637" spans="1:2" x14ac:dyDescent="0.25">
      <c r="A3637" s="167"/>
      <c r="B3637" s="167"/>
    </row>
    <row r="3638" spans="1:2" x14ac:dyDescent="0.25">
      <c r="A3638" s="167"/>
      <c r="B3638" s="167"/>
    </row>
    <row r="3639" spans="1:2" x14ac:dyDescent="0.25">
      <c r="A3639" s="167"/>
      <c r="B3639" s="167"/>
    </row>
    <row r="3640" spans="1:2" x14ac:dyDescent="0.25">
      <c r="A3640" s="167"/>
      <c r="B3640" s="167"/>
    </row>
    <row r="3641" spans="1:2" x14ac:dyDescent="0.25">
      <c r="A3641" s="167"/>
      <c r="B3641" s="167"/>
    </row>
    <row r="3642" spans="1:2" x14ac:dyDescent="0.25">
      <c r="A3642" s="167"/>
      <c r="B3642" s="167"/>
    </row>
    <row r="3643" spans="1:2" x14ac:dyDescent="0.25">
      <c r="A3643" s="167"/>
      <c r="B3643" s="167"/>
    </row>
    <row r="3644" spans="1:2" x14ac:dyDescent="0.25">
      <c r="A3644" s="167"/>
      <c r="B3644" s="167"/>
    </row>
    <row r="3645" spans="1:2" x14ac:dyDescent="0.25">
      <c r="A3645" s="167"/>
      <c r="B3645" s="167"/>
    </row>
    <row r="3646" spans="1:2" x14ac:dyDescent="0.25">
      <c r="A3646" s="167"/>
      <c r="B3646" s="167"/>
    </row>
    <row r="3647" spans="1:2" x14ac:dyDescent="0.25">
      <c r="A3647" s="167"/>
      <c r="B3647" s="167"/>
    </row>
    <row r="3648" spans="1:2" x14ac:dyDescent="0.25">
      <c r="A3648" s="167"/>
      <c r="B3648" s="167"/>
    </row>
    <row r="3649" spans="1:2" x14ac:dyDescent="0.25">
      <c r="A3649" s="167"/>
      <c r="B3649" s="167"/>
    </row>
    <row r="3650" spans="1:2" x14ac:dyDescent="0.25">
      <c r="A3650" s="167"/>
      <c r="B3650" s="167"/>
    </row>
    <row r="3651" spans="1:2" x14ac:dyDescent="0.25">
      <c r="A3651" s="167"/>
      <c r="B3651" s="167"/>
    </row>
    <row r="3652" spans="1:2" x14ac:dyDescent="0.25">
      <c r="A3652" s="167"/>
      <c r="B3652" s="167"/>
    </row>
    <row r="3653" spans="1:2" x14ac:dyDescent="0.25">
      <c r="A3653" s="167"/>
      <c r="B3653" s="167"/>
    </row>
    <row r="3654" spans="1:2" x14ac:dyDescent="0.25">
      <c r="A3654" s="167"/>
      <c r="B3654" s="167"/>
    </row>
    <row r="3655" spans="1:2" x14ac:dyDescent="0.25">
      <c r="A3655" s="167"/>
      <c r="B3655" s="167"/>
    </row>
    <row r="3656" spans="1:2" x14ac:dyDescent="0.25">
      <c r="A3656" s="167"/>
      <c r="B3656" s="167"/>
    </row>
    <row r="3657" spans="1:2" x14ac:dyDescent="0.25">
      <c r="A3657" s="167"/>
      <c r="B3657" s="167"/>
    </row>
    <row r="3658" spans="1:2" x14ac:dyDescent="0.25">
      <c r="A3658" s="167"/>
      <c r="B3658" s="167"/>
    </row>
    <row r="3659" spans="1:2" x14ac:dyDescent="0.25">
      <c r="A3659" s="167"/>
      <c r="B3659" s="167"/>
    </row>
    <row r="3660" spans="1:2" x14ac:dyDescent="0.25">
      <c r="A3660" s="167"/>
      <c r="B3660" s="167"/>
    </row>
    <row r="3661" spans="1:2" x14ac:dyDescent="0.25">
      <c r="A3661" s="167"/>
      <c r="B3661" s="167"/>
    </row>
    <row r="3662" spans="1:2" x14ac:dyDescent="0.25">
      <c r="A3662" s="167"/>
      <c r="B3662" s="167"/>
    </row>
    <row r="3663" spans="1:2" x14ac:dyDescent="0.25">
      <c r="A3663" s="167"/>
      <c r="B3663" s="167"/>
    </row>
    <row r="3664" spans="1:2" x14ac:dyDescent="0.25">
      <c r="A3664" s="167"/>
      <c r="B3664" s="167"/>
    </row>
    <row r="3665" spans="1:2" x14ac:dyDescent="0.25">
      <c r="A3665" s="167"/>
      <c r="B3665" s="167"/>
    </row>
    <row r="3666" spans="1:2" x14ac:dyDescent="0.25">
      <c r="A3666" s="167"/>
      <c r="B3666" s="167"/>
    </row>
    <row r="3667" spans="1:2" x14ac:dyDescent="0.25">
      <c r="A3667" s="167"/>
      <c r="B3667" s="167"/>
    </row>
    <row r="3668" spans="1:2" x14ac:dyDescent="0.25">
      <c r="A3668" s="167"/>
      <c r="B3668" s="167"/>
    </row>
    <row r="3669" spans="1:2" x14ac:dyDescent="0.25">
      <c r="A3669" s="167"/>
      <c r="B3669" s="167"/>
    </row>
    <row r="3670" spans="1:2" x14ac:dyDescent="0.25">
      <c r="A3670" s="167"/>
      <c r="B3670" s="167"/>
    </row>
    <row r="3671" spans="1:2" x14ac:dyDescent="0.25">
      <c r="A3671" s="167"/>
      <c r="B3671" s="167"/>
    </row>
    <row r="3672" spans="1:2" x14ac:dyDescent="0.25">
      <c r="A3672" s="167"/>
      <c r="B3672" s="167"/>
    </row>
    <row r="3673" spans="1:2" x14ac:dyDescent="0.25">
      <c r="A3673" s="167"/>
      <c r="B3673" s="167"/>
    </row>
    <row r="3674" spans="1:2" x14ac:dyDescent="0.25">
      <c r="A3674" s="167"/>
      <c r="B3674" s="167"/>
    </row>
    <row r="3675" spans="1:2" x14ac:dyDescent="0.25">
      <c r="A3675" s="167"/>
      <c r="B3675" s="167"/>
    </row>
    <row r="3676" spans="1:2" x14ac:dyDescent="0.25">
      <c r="A3676" s="167"/>
      <c r="B3676" s="167"/>
    </row>
    <row r="3677" spans="1:2" x14ac:dyDescent="0.25">
      <c r="A3677" s="167"/>
      <c r="B3677" s="167"/>
    </row>
    <row r="3678" spans="1:2" x14ac:dyDescent="0.25">
      <c r="A3678" s="167"/>
      <c r="B3678" s="167"/>
    </row>
    <row r="3679" spans="1:2" x14ac:dyDescent="0.25">
      <c r="A3679" s="167"/>
      <c r="B3679" s="167"/>
    </row>
    <row r="3680" spans="1:2" x14ac:dyDescent="0.25">
      <c r="A3680" s="167"/>
      <c r="B3680" s="167"/>
    </row>
    <row r="3681" spans="1:2" x14ac:dyDescent="0.25">
      <c r="A3681" s="167"/>
      <c r="B3681" s="167"/>
    </row>
    <row r="3682" spans="1:2" x14ac:dyDescent="0.25">
      <c r="A3682" s="167"/>
      <c r="B3682" s="167"/>
    </row>
    <row r="3683" spans="1:2" x14ac:dyDescent="0.25">
      <c r="A3683" s="167"/>
      <c r="B3683" s="167"/>
    </row>
    <row r="3684" spans="1:2" x14ac:dyDescent="0.25">
      <c r="A3684" s="167"/>
      <c r="B3684" s="167"/>
    </row>
    <row r="3685" spans="1:2" x14ac:dyDescent="0.25">
      <c r="A3685" s="167"/>
      <c r="B3685" s="167"/>
    </row>
    <row r="3686" spans="1:2" x14ac:dyDescent="0.25">
      <c r="A3686" s="167"/>
      <c r="B3686" s="167"/>
    </row>
    <row r="3687" spans="1:2" x14ac:dyDescent="0.25">
      <c r="A3687" s="167"/>
      <c r="B3687" s="167"/>
    </row>
    <row r="3688" spans="1:2" x14ac:dyDescent="0.25">
      <c r="A3688" s="167"/>
      <c r="B3688" s="167"/>
    </row>
    <row r="3689" spans="1:2" x14ac:dyDescent="0.25">
      <c r="A3689" s="167"/>
      <c r="B3689" s="167"/>
    </row>
    <row r="3690" spans="1:2" x14ac:dyDescent="0.25">
      <c r="A3690" s="167"/>
      <c r="B3690" s="167"/>
    </row>
    <row r="3691" spans="1:2" x14ac:dyDescent="0.25">
      <c r="A3691" s="167"/>
      <c r="B3691" s="167"/>
    </row>
    <row r="3692" spans="1:2" x14ac:dyDescent="0.25">
      <c r="A3692" s="167"/>
      <c r="B3692" s="167"/>
    </row>
    <row r="3693" spans="1:2" x14ac:dyDescent="0.25">
      <c r="A3693" s="167"/>
      <c r="B3693" s="167"/>
    </row>
    <row r="3694" spans="1:2" x14ac:dyDescent="0.25">
      <c r="A3694" s="167"/>
      <c r="B3694" s="167"/>
    </row>
    <row r="3695" spans="1:2" x14ac:dyDescent="0.25">
      <c r="A3695" s="167"/>
      <c r="B3695" s="167"/>
    </row>
    <row r="3696" spans="1:2" x14ac:dyDescent="0.25">
      <c r="A3696" s="167"/>
      <c r="B3696" s="167"/>
    </row>
    <row r="3697" spans="1:2" x14ac:dyDescent="0.25">
      <c r="A3697" s="167"/>
      <c r="B3697" s="167"/>
    </row>
    <row r="3698" spans="1:2" x14ac:dyDescent="0.25">
      <c r="A3698" s="167"/>
      <c r="B3698" s="167"/>
    </row>
    <row r="3699" spans="1:2" x14ac:dyDescent="0.25">
      <c r="A3699" s="167"/>
      <c r="B3699" s="167"/>
    </row>
    <row r="3700" spans="1:2" x14ac:dyDescent="0.25">
      <c r="A3700" s="167"/>
      <c r="B3700" s="167"/>
    </row>
    <row r="3701" spans="1:2" x14ac:dyDescent="0.25">
      <c r="A3701" s="167"/>
      <c r="B3701" s="167"/>
    </row>
    <row r="3702" spans="1:2" x14ac:dyDescent="0.25">
      <c r="A3702" s="167"/>
      <c r="B3702" s="167"/>
    </row>
    <row r="3703" spans="1:2" x14ac:dyDescent="0.25">
      <c r="A3703" s="167"/>
      <c r="B3703" s="167"/>
    </row>
    <row r="3704" spans="1:2" x14ac:dyDescent="0.25">
      <c r="A3704" s="167"/>
      <c r="B3704" s="167"/>
    </row>
    <row r="3705" spans="1:2" x14ac:dyDescent="0.25">
      <c r="A3705" s="167"/>
      <c r="B3705" s="167"/>
    </row>
    <row r="3706" spans="1:2" x14ac:dyDescent="0.25">
      <c r="A3706" s="167"/>
      <c r="B3706" s="167"/>
    </row>
    <row r="3707" spans="1:2" x14ac:dyDescent="0.25">
      <c r="A3707" s="167"/>
      <c r="B3707" s="167"/>
    </row>
    <row r="3708" spans="1:2" x14ac:dyDescent="0.25">
      <c r="A3708" s="167"/>
      <c r="B3708" s="167"/>
    </row>
    <row r="3709" spans="1:2" x14ac:dyDescent="0.25">
      <c r="A3709" s="167"/>
      <c r="B3709" s="167"/>
    </row>
    <row r="3710" spans="1:2" x14ac:dyDescent="0.25">
      <c r="A3710" s="167"/>
      <c r="B3710" s="167"/>
    </row>
    <row r="3711" spans="1:2" x14ac:dyDescent="0.25">
      <c r="A3711" s="167"/>
      <c r="B3711" s="167"/>
    </row>
    <row r="3712" spans="1:2" x14ac:dyDescent="0.25">
      <c r="A3712" s="167"/>
      <c r="B3712" s="167"/>
    </row>
    <row r="3713" spans="1:2" x14ac:dyDescent="0.25">
      <c r="A3713" s="167"/>
      <c r="B3713" s="167"/>
    </row>
    <row r="3714" spans="1:2" x14ac:dyDescent="0.25">
      <c r="A3714" s="167"/>
      <c r="B3714" s="167"/>
    </row>
    <row r="3715" spans="1:2" x14ac:dyDescent="0.25">
      <c r="A3715" s="167"/>
      <c r="B3715" s="167"/>
    </row>
    <row r="3716" spans="1:2" x14ac:dyDescent="0.25">
      <c r="A3716" s="167"/>
      <c r="B3716" s="167"/>
    </row>
    <row r="3717" spans="1:2" x14ac:dyDescent="0.25">
      <c r="A3717" s="167"/>
      <c r="B3717" s="167"/>
    </row>
    <row r="3718" spans="1:2" x14ac:dyDescent="0.25">
      <c r="A3718" s="167"/>
      <c r="B3718" s="167"/>
    </row>
    <row r="3719" spans="1:2" x14ac:dyDescent="0.25">
      <c r="A3719" s="167"/>
      <c r="B3719" s="167"/>
    </row>
    <row r="3720" spans="1:2" x14ac:dyDescent="0.25">
      <c r="A3720" s="167"/>
      <c r="B3720" s="167"/>
    </row>
    <row r="3721" spans="1:2" x14ac:dyDescent="0.25">
      <c r="A3721" s="167"/>
      <c r="B3721" s="167"/>
    </row>
    <row r="3722" spans="1:2" x14ac:dyDescent="0.25">
      <c r="A3722" s="167"/>
      <c r="B3722" s="167"/>
    </row>
    <row r="3723" spans="1:2" x14ac:dyDescent="0.25">
      <c r="A3723" s="167"/>
      <c r="B3723" s="167"/>
    </row>
    <row r="3724" spans="1:2" x14ac:dyDescent="0.25">
      <c r="A3724" s="167"/>
      <c r="B3724" s="167"/>
    </row>
    <row r="3725" spans="1:2" x14ac:dyDescent="0.25">
      <c r="A3725" s="167"/>
      <c r="B3725" s="167"/>
    </row>
    <row r="3726" spans="1:2" x14ac:dyDescent="0.25">
      <c r="A3726" s="167"/>
      <c r="B3726" s="167"/>
    </row>
    <row r="3727" spans="1:2" x14ac:dyDescent="0.25">
      <c r="A3727" s="167"/>
      <c r="B3727" s="167"/>
    </row>
    <row r="3728" spans="1:2" x14ac:dyDescent="0.25">
      <c r="A3728" s="167"/>
      <c r="B3728" s="167"/>
    </row>
    <row r="3729" spans="1:2" x14ac:dyDescent="0.25">
      <c r="A3729" s="167"/>
      <c r="B3729" s="167"/>
    </row>
    <row r="3730" spans="1:2" x14ac:dyDescent="0.25">
      <c r="A3730" s="167"/>
      <c r="B3730" s="167"/>
    </row>
    <row r="3731" spans="1:2" x14ac:dyDescent="0.25">
      <c r="A3731" s="167"/>
      <c r="B3731" s="167"/>
    </row>
    <row r="3732" spans="1:2" x14ac:dyDescent="0.25">
      <c r="A3732" s="167"/>
      <c r="B3732" s="167"/>
    </row>
    <row r="3733" spans="1:2" x14ac:dyDescent="0.25">
      <c r="A3733" s="167"/>
      <c r="B3733" s="167"/>
    </row>
    <row r="3734" spans="1:2" x14ac:dyDescent="0.25">
      <c r="A3734" s="167"/>
      <c r="B3734" s="167"/>
    </row>
    <row r="3735" spans="1:2" x14ac:dyDescent="0.25">
      <c r="A3735" s="167"/>
      <c r="B3735" s="167"/>
    </row>
    <row r="3736" spans="1:2" x14ac:dyDescent="0.25">
      <c r="A3736" s="167"/>
      <c r="B3736" s="167"/>
    </row>
    <row r="3737" spans="1:2" x14ac:dyDescent="0.25">
      <c r="A3737" s="167"/>
      <c r="B3737" s="167"/>
    </row>
    <row r="3738" spans="1:2" x14ac:dyDescent="0.25">
      <c r="A3738" s="167"/>
      <c r="B3738" s="167"/>
    </row>
    <row r="3739" spans="1:2" x14ac:dyDescent="0.25">
      <c r="A3739" s="167"/>
      <c r="B3739" s="167"/>
    </row>
    <row r="3740" spans="1:2" x14ac:dyDescent="0.25">
      <c r="A3740" s="167"/>
      <c r="B3740" s="167"/>
    </row>
    <row r="3741" spans="1:2" x14ac:dyDescent="0.25">
      <c r="A3741" s="167"/>
      <c r="B3741" s="167"/>
    </row>
    <row r="3742" spans="1:2" x14ac:dyDescent="0.25">
      <c r="A3742" s="167"/>
      <c r="B3742" s="167"/>
    </row>
    <row r="3743" spans="1:2" x14ac:dyDescent="0.25">
      <c r="A3743" s="167"/>
      <c r="B3743" s="167"/>
    </row>
    <row r="3744" spans="1:2" x14ac:dyDescent="0.25">
      <c r="A3744" s="167"/>
      <c r="B3744" s="167"/>
    </row>
    <row r="3745" spans="1:2" x14ac:dyDescent="0.25">
      <c r="A3745" s="167"/>
      <c r="B3745" s="167"/>
    </row>
    <row r="3746" spans="1:2" x14ac:dyDescent="0.25">
      <c r="A3746" s="167"/>
      <c r="B3746" s="167"/>
    </row>
    <row r="3747" spans="1:2" x14ac:dyDescent="0.25">
      <c r="A3747" s="167"/>
      <c r="B3747" s="167"/>
    </row>
    <row r="3748" spans="1:2" x14ac:dyDescent="0.25">
      <c r="A3748" s="167"/>
      <c r="B3748" s="167"/>
    </row>
    <row r="3749" spans="1:2" x14ac:dyDescent="0.25">
      <c r="A3749" s="167"/>
      <c r="B3749" s="167"/>
    </row>
    <row r="3750" spans="1:2" x14ac:dyDescent="0.25">
      <c r="A3750" s="167"/>
      <c r="B3750" s="167"/>
    </row>
    <row r="3751" spans="1:2" x14ac:dyDescent="0.25">
      <c r="A3751" s="167"/>
      <c r="B3751" s="167"/>
    </row>
    <row r="3752" spans="1:2" x14ac:dyDescent="0.25">
      <c r="A3752" s="167"/>
      <c r="B3752" s="167"/>
    </row>
    <row r="3753" spans="1:2" x14ac:dyDescent="0.25">
      <c r="A3753" s="167"/>
      <c r="B3753" s="167"/>
    </row>
    <row r="3754" spans="1:2" x14ac:dyDescent="0.25">
      <c r="A3754" s="167"/>
      <c r="B3754" s="167"/>
    </row>
    <row r="3755" spans="1:2" x14ac:dyDescent="0.25">
      <c r="A3755" s="167"/>
      <c r="B3755" s="167"/>
    </row>
    <row r="3756" spans="1:2" x14ac:dyDescent="0.25">
      <c r="A3756" s="167"/>
      <c r="B3756" s="167"/>
    </row>
    <row r="3757" spans="1:2" x14ac:dyDescent="0.25">
      <c r="A3757" s="167"/>
      <c r="B3757" s="167"/>
    </row>
    <row r="3758" spans="1:2" x14ac:dyDescent="0.25">
      <c r="A3758" s="167"/>
      <c r="B3758" s="167"/>
    </row>
    <row r="3759" spans="1:2" x14ac:dyDescent="0.25">
      <c r="A3759" s="167"/>
      <c r="B3759" s="167"/>
    </row>
    <row r="3760" spans="1:2" x14ac:dyDescent="0.25">
      <c r="A3760" s="167"/>
      <c r="B3760" s="167"/>
    </row>
    <row r="3761" spans="1:2" x14ac:dyDescent="0.25">
      <c r="A3761" s="167"/>
      <c r="B3761" s="167"/>
    </row>
    <row r="3762" spans="1:2" x14ac:dyDescent="0.25">
      <c r="A3762" s="167"/>
      <c r="B3762" s="167"/>
    </row>
    <row r="3763" spans="1:2" x14ac:dyDescent="0.25">
      <c r="A3763" s="167"/>
      <c r="B3763" s="167"/>
    </row>
    <row r="3764" spans="1:2" x14ac:dyDescent="0.25">
      <c r="A3764" s="167"/>
      <c r="B3764" s="167"/>
    </row>
    <row r="3765" spans="1:2" x14ac:dyDescent="0.25">
      <c r="A3765" s="167"/>
      <c r="B3765" s="167"/>
    </row>
    <row r="3766" spans="1:2" x14ac:dyDescent="0.25">
      <c r="A3766" s="167"/>
      <c r="B3766" s="167"/>
    </row>
    <row r="3767" spans="1:2" x14ac:dyDescent="0.25">
      <c r="A3767" s="167"/>
      <c r="B3767" s="167"/>
    </row>
    <row r="3768" spans="1:2" x14ac:dyDescent="0.25">
      <c r="A3768" s="167"/>
      <c r="B3768" s="167"/>
    </row>
    <row r="3769" spans="1:2" x14ac:dyDescent="0.25">
      <c r="A3769" s="167"/>
      <c r="B3769" s="167"/>
    </row>
    <row r="3770" spans="1:2" x14ac:dyDescent="0.25">
      <c r="A3770" s="167"/>
      <c r="B3770" s="167"/>
    </row>
    <row r="3771" spans="1:2" x14ac:dyDescent="0.25">
      <c r="A3771" s="167"/>
      <c r="B3771" s="167"/>
    </row>
    <row r="3772" spans="1:2" x14ac:dyDescent="0.25">
      <c r="A3772" s="167"/>
      <c r="B3772" s="167"/>
    </row>
    <row r="3773" spans="1:2" x14ac:dyDescent="0.25">
      <c r="A3773" s="167"/>
      <c r="B3773" s="167"/>
    </row>
    <row r="3774" spans="1:2" x14ac:dyDescent="0.25">
      <c r="A3774" s="167"/>
      <c r="B3774" s="167"/>
    </row>
    <row r="3775" spans="1:2" x14ac:dyDescent="0.25">
      <c r="A3775" s="167"/>
      <c r="B3775" s="167"/>
    </row>
    <row r="3776" spans="1:2" x14ac:dyDescent="0.25">
      <c r="A3776" s="167"/>
      <c r="B3776" s="167"/>
    </row>
    <row r="3777" spans="1:2" x14ac:dyDescent="0.25">
      <c r="A3777" s="167"/>
      <c r="B3777" s="167"/>
    </row>
    <row r="3778" spans="1:2" x14ac:dyDescent="0.25">
      <c r="A3778" s="167"/>
      <c r="B3778" s="167"/>
    </row>
    <row r="3779" spans="1:2" x14ac:dyDescent="0.25">
      <c r="A3779" s="167"/>
      <c r="B3779" s="167"/>
    </row>
    <row r="3780" spans="1:2" x14ac:dyDescent="0.25">
      <c r="A3780" s="167"/>
      <c r="B3780" s="167"/>
    </row>
    <row r="3781" spans="1:2" x14ac:dyDescent="0.25">
      <c r="A3781" s="167"/>
      <c r="B3781" s="167"/>
    </row>
    <row r="3782" spans="1:2" x14ac:dyDescent="0.25">
      <c r="A3782" s="167"/>
      <c r="B3782" s="167"/>
    </row>
    <row r="3783" spans="1:2" x14ac:dyDescent="0.25">
      <c r="A3783" s="167"/>
      <c r="B3783" s="167"/>
    </row>
    <row r="3784" spans="1:2" x14ac:dyDescent="0.25">
      <c r="A3784" s="167"/>
      <c r="B3784" s="167"/>
    </row>
    <row r="3785" spans="1:2" x14ac:dyDescent="0.25">
      <c r="A3785" s="167"/>
      <c r="B3785" s="167"/>
    </row>
    <row r="3786" spans="1:2" x14ac:dyDescent="0.25">
      <c r="A3786" s="167"/>
      <c r="B3786" s="167"/>
    </row>
    <row r="3787" spans="1:2" x14ac:dyDescent="0.25">
      <c r="A3787" s="167"/>
      <c r="B3787" s="167"/>
    </row>
    <row r="3788" spans="1:2" x14ac:dyDescent="0.25">
      <c r="A3788" s="167"/>
      <c r="B3788" s="167"/>
    </row>
    <row r="3789" spans="1:2" x14ac:dyDescent="0.25">
      <c r="A3789" s="167"/>
      <c r="B3789" s="167"/>
    </row>
    <row r="3790" spans="1:2" x14ac:dyDescent="0.25">
      <c r="A3790" s="167"/>
      <c r="B3790" s="167"/>
    </row>
    <row r="3791" spans="1:2" x14ac:dyDescent="0.25">
      <c r="A3791" s="167"/>
      <c r="B3791" s="167"/>
    </row>
    <row r="3792" spans="1:2" x14ac:dyDescent="0.25">
      <c r="A3792" s="167"/>
      <c r="B3792" s="167"/>
    </row>
    <row r="3793" spans="1:2" x14ac:dyDescent="0.25">
      <c r="A3793" s="167"/>
      <c r="B3793" s="167"/>
    </row>
    <row r="3794" spans="1:2" x14ac:dyDescent="0.25">
      <c r="A3794" s="167"/>
      <c r="B3794" s="167"/>
    </row>
    <row r="3795" spans="1:2" x14ac:dyDescent="0.25">
      <c r="A3795" s="167"/>
      <c r="B3795" s="167"/>
    </row>
    <row r="3796" spans="1:2" x14ac:dyDescent="0.25">
      <c r="A3796" s="167"/>
      <c r="B3796" s="167"/>
    </row>
    <row r="3797" spans="1:2" x14ac:dyDescent="0.25">
      <c r="A3797" s="167"/>
      <c r="B3797" s="167"/>
    </row>
    <row r="3798" spans="1:2" x14ac:dyDescent="0.25">
      <c r="A3798" s="167"/>
      <c r="B3798" s="167"/>
    </row>
    <row r="3799" spans="1:2" x14ac:dyDescent="0.25">
      <c r="A3799" s="167"/>
      <c r="B3799" s="167"/>
    </row>
    <row r="3800" spans="1:2" x14ac:dyDescent="0.25">
      <c r="A3800" s="167"/>
      <c r="B3800" s="167"/>
    </row>
    <row r="3801" spans="1:2" x14ac:dyDescent="0.25">
      <c r="A3801" s="167"/>
      <c r="B3801" s="167"/>
    </row>
    <row r="3802" spans="1:2" x14ac:dyDescent="0.25">
      <c r="A3802" s="167"/>
      <c r="B3802" s="167"/>
    </row>
    <row r="3803" spans="1:2" x14ac:dyDescent="0.25">
      <c r="A3803" s="167"/>
      <c r="B3803" s="167"/>
    </row>
    <row r="3804" spans="1:2" x14ac:dyDescent="0.25">
      <c r="A3804" s="167"/>
      <c r="B3804" s="167"/>
    </row>
    <row r="3805" spans="1:2" x14ac:dyDescent="0.25">
      <c r="A3805" s="167"/>
      <c r="B3805" s="167"/>
    </row>
    <row r="3806" spans="1:2" x14ac:dyDescent="0.25">
      <c r="A3806" s="167"/>
      <c r="B3806" s="167"/>
    </row>
    <row r="3807" spans="1:2" x14ac:dyDescent="0.25">
      <c r="A3807" s="167"/>
      <c r="B3807" s="167"/>
    </row>
    <row r="3808" spans="1:2" x14ac:dyDescent="0.25">
      <c r="A3808" s="167"/>
      <c r="B3808" s="167"/>
    </row>
    <row r="3809" spans="1:2" x14ac:dyDescent="0.25">
      <c r="A3809" s="167"/>
      <c r="B3809" s="167"/>
    </row>
    <row r="3810" spans="1:2" x14ac:dyDescent="0.25">
      <c r="A3810" s="167"/>
      <c r="B3810" s="167"/>
    </row>
    <row r="3811" spans="1:2" x14ac:dyDescent="0.25">
      <c r="A3811" s="167"/>
      <c r="B3811" s="167"/>
    </row>
    <row r="3812" spans="1:2" x14ac:dyDescent="0.25">
      <c r="A3812" s="167"/>
      <c r="B3812" s="167"/>
    </row>
    <row r="3813" spans="1:2" x14ac:dyDescent="0.25">
      <c r="A3813" s="167"/>
      <c r="B3813" s="167"/>
    </row>
    <row r="3814" spans="1:2" x14ac:dyDescent="0.25">
      <c r="A3814" s="167"/>
      <c r="B3814" s="167"/>
    </row>
    <row r="3815" spans="1:2" x14ac:dyDescent="0.25">
      <c r="A3815" s="167"/>
      <c r="B3815" s="167"/>
    </row>
    <row r="3816" spans="1:2" x14ac:dyDescent="0.25">
      <c r="A3816" s="167"/>
      <c r="B3816" s="167"/>
    </row>
    <row r="3817" spans="1:2" x14ac:dyDescent="0.25">
      <c r="A3817" s="167"/>
      <c r="B3817" s="167"/>
    </row>
    <row r="3818" spans="1:2" x14ac:dyDescent="0.25">
      <c r="A3818" s="167"/>
      <c r="B3818" s="167"/>
    </row>
    <row r="3819" spans="1:2" x14ac:dyDescent="0.25">
      <c r="A3819" s="167"/>
      <c r="B3819" s="167"/>
    </row>
    <row r="3820" spans="1:2" x14ac:dyDescent="0.25">
      <c r="A3820" s="167"/>
      <c r="B3820" s="167"/>
    </row>
    <row r="3821" spans="1:2" x14ac:dyDescent="0.25">
      <c r="A3821" s="167"/>
      <c r="B3821" s="167"/>
    </row>
    <row r="3822" spans="1:2" x14ac:dyDescent="0.25">
      <c r="A3822" s="167"/>
      <c r="B3822" s="167"/>
    </row>
    <row r="3823" spans="1:2" x14ac:dyDescent="0.25">
      <c r="A3823" s="167"/>
      <c r="B3823" s="167"/>
    </row>
    <row r="3824" spans="1:2" x14ac:dyDescent="0.25">
      <c r="A3824" s="167"/>
      <c r="B3824" s="167"/>
    </row>
    <row r="3825" spans="1:2" x14ac:dyDescent="0.25">
      <c r="A3825" s="167"/>
      <c r="B3825" s="167"/>
    </row>
    <row r="3826" spans="1:2" x14ac:dyDescent="0.25">
      <c r="A3826" s="167"/>
      <c r="B3826" s="167"/>
    </row>
    <row r="3827" spans="1:2" x14ac:dyDescent="0.25">
      <c r="A3827" s="167"/>
      <c r="B3827" s="167"/>
    </row>
    <row r="3828" spans="1:2" x14ac:dyDescent="0.25">
      <c r="A3828" s="167"/>
      <c r="B3828" s="167"/>
    </row>
    <row r="3829" spans="1:2" x14ac:dyDescent="0.25">
      <c r="A3829" s="167"/>
      <c r="B3829" s="167"/>
    </row>
    <row r="3830" spans="1:2" x14ac:dyDescent="0.25">
      <c r="A3830" s="167"/>
      <c r="B3830" s="167"/>
    </row>
    <row r="3831" spans="1:2" x14ac:dyDescent="0.25">
      <c r="A3831" s="167"/>
      <c r="B3831" s="167"/>
    </row>
    <row r="3832" spans="1:2" x14ac:dyDescent="0.25">
      <c r="A3832" s="167"/>
      <c r="B3832" s="167"/>
    </row>
    <row r="3833" spans="1:2" x14ac:dyDescent="0.25">
      <c r="A3833" s="167"/>
      <c r="B3833" s="167"/>
    </row>
    <row r="3834" spans="1:2" x14ac:dyDescent="0.25">
      <c r="A3834" s="167"/>
      <c r="B3834" s="167"/>
    </row>
    <row r="3835" spans="1:2" x14ac:dyDescent="0.25">
      <c r="A3835" s="167"/>
      <c r="B3835" s="167"/>
    </row>
    <row r="3836" spans="1:2" x14ac:dyDescent="0.25">
      <c r="A3836" s="167"/>
      <c r="B3836" s="167"/>
    </row>
    <row r="3837" spans="1:2" x14ac:dyDescent="0.25">
      <c r="A3837" s="167"/>
      <c r="B3837" s="167"/>
    </row>
    <row r="3838" spans="1:2" x14ac:dyDescent="0.25">
      <c r="A3838" s="167"/>
      <c r="B3838" s="167"/>
    </row>
    <row r="3839" spans="1:2" x14ac:dyDescent="0.25">
      <c r="A3839" s="167"/>
      <c r="B3839" s="167"/>
    </row>
    <row r="3840" spans="1:2" x14ac:dyDescent="0.25">
      <c r="A3840" s="167"/>
      <c r="B3840" s="167"/>
    </row>
    <row r="3841" spans="1:2" x14ac:dyDescent="0.25">
      <c r="A3841" s="167"/>
      <c r="B3841" s="167"/>
    </row>
    <row r="3842" spans="1:2" x14ac:dyDescent="0.25">
      <c r="A3842" s="167"/>
      <c r="B3842" s="167"/>
    </row>
    <row r="3843" spans="1:2" x14ac:dyDescent="0.25">
      <c r="A3843" s="167"/>
      <c r="B3843" s="167"/>
    </row>
    <row r="3844" spans="1:2" x14ac:dyDescent="0.25">
      <c r="A3844" s="167"/>
      <c r="B3844" s="167"/>
    </row>
    <row r="3845" spans="1:2" x14ac:dyDescent="0.25">
      <c r="A3845" s="167"/>
      <c r="B3845" s="167"/>
    </row>
    <row r="3846" spans="1:2" x14ac:dyDescent="0.25">
      <c r="A3846" s="167"/>
      <c r="B3846" s="167"/>
    </row>
    <row r="3847" spans="1:2" x14ac:dyDescent="0.25">
      <c r="A3847" s="167"/>
      <c r="B3847" s="167"/>
    </row>
    <row r="3848" spans="1:2" x14ac:dyDescent="0.25">
      <c r="A3848" s="167"/>
      <c r="B3848" s="167"/>
    </row>
    <row r="3849" spans="1:2" x14ac:dyDescent="0.25">
      <c r="A3849" s="167"/>
      <c r="B3849" s="167"/>
    </row>
    <row r="3850" spans="1:2" x14ac:dyDescent="0.25">
      <c r="A3850" s="167"/>
      <c r="B3850" s="167"/>
    </row>
    <row r="3851" spans="1:2" x14ac:dyDescent="0.25">
      <c r="A3851" s="167"/>
      <c r="B3851" s="167"/>
    </row>
    <row r="3852" spans="1:2" x14ac:dyDescent="0.25">
      <c r="A3852" s="167"/>
      <c r="B3852" s="167"/>
    </row>
    <row r="3853" spans="1:2" x14ac:dyDescent="0.25">
      <c r="A3853" s="167"/>
      <c r="B3853" s="167"/>
    </row>
    <row r="3854" spans="1:2" x14ac:dyDescent="0.25">
      <c r="A3854" s="167"/>
      <c r="B3854" s="167"/>
    </row>
    <row r="3855" spans="1:2" x14ac:dyDescent="0.25">
      <c r="A3855" s="167"/>
      <c r="B3855" s="167"/>
    </row>
    <row r="3856" spans="1:2" x14ac:dyDescent="0.25">
      <c r="A3856" s="167"/>
      <c r="B3856" s="167"/>
    </row>
    <row r="3857" spans="1:2" x14ac:dyDescent="0.25">
      <c r="A3857" s="167"/>
      <c r="B3857" s="167"/>
    </row>
    <row r="3858" spans="1:2" x14ac:dyDescent="0.25">
      <c r="A3858" s="167"/>
      <c r="B3858" s="167"/>
    </row>
    <row r="3859" spans="1:2" x14ac:dyDescent="0.25">
      <c r="A3859" s="167"/>
      <c r="B3859" s="167"/>
    </row>
    <row r="3860" spans="1:2" x14ac:dyDescent="0.25">
      <c r="A3860" s="167"/>
      <c r="B3860" s="167"/>
    </row>
    <row r="3861" spans="1:2" x14ac:dyDescent="0.25">
      <c r="A3861" s="167"/>
      <c r="B3861" s="167"/>
    </row>
    <row r="3862" spans="1:2" x14ac:dyDescent="0.25">
      <c r="A3862" s="167"/>
      <c r="B3862" s="167"/>
    </row>
    <row r="3863" spans="1:2" x14ac:dyDescent="0.25">
      <c r="A3863" s="167"/>
      <c r="B3863" s="167"/>
    </row>
    <row r="3864" spans="1:2" x14ac:dyDescent="0.25">
      <c r="A3864" s="167"/>
      <c r="B3864" s="167"/>
    </row>
    <row r="3865" spans="1:2" x14ac:dyDescent="0.25">
      <c r="A3865" s="167"/>
      <c r="B3865" s="167"/>
    </row>
    <row r="3866" spans="1:2" x14ac:dyDescent="0.25">
      <c r="A3866" s="167"/>
      <c r="B3866" s="167"/>
    </row>
    <row r="3867" spans="1:2" x14ac:dyDescent="0.25">
      <c r="A3867" s="167"/>
      <c r="B3867" s="167"/>
    </row>
    <row r="3868" spans="1:2" x14ac:dyDescent="0.25">
      <c r="A3868" s="167"/>
      <c r="B3868" s="167"/>
    </row>
    <row r="3869" spans="1:2" x14ac:dyDescent="0.25">
      <c r="A3869" s="167"/>
      <c r="B3869" s="167"/>
    </row>
    <row r="3870" spans="1:2" x14ac:dyDescent="0.25">
      <c r="A3870" s="167"/>
      <c r="B3870" s="167"/>
    </row>
    <row r="3871" spans="1:2" x14ac:dyDescent="0.25">
      <c r="A3871" s="167"/>
      <c r="B3871" s="167"/>
    </row>
    <row r="3872" spans="1:2" x14ac:dyDescent="0.25">
      <c r="A3872" s="167"/>
      <c r="B3872" s="167"/>
    </row>
    <row r="3873" spans="1:2" x14ac:dyDescent="0.25">
      <c r="A3873" s="167"/>
      <c r="B3873" s="167"/>
    </row>
    <row r="3874" spans="1:2" x14ac:dyDescent="0.25">
      <c r="A3874" s="167"/>
      <c r="B3874" s="167"/>
    </row>
    <row r="3875" spans="1:2" x14ac:dyDescent="0.25">
      <c r="A3875" s="167"/>
      <c r="B3875" s="167"/>
    </row>
    <row r="3876" spans="1:2" x14ac:dyDescent="0.25">
      <c r="A3876" s="167"/>
      <c r="B3876" s="167"/>
    </row>
    <row r="3877" spans="1:2" x14ac:dyDescent="0.25">
      <c r="A3877" s="167"/>
      <c r="B3877" s="167"/>
    </row>
    <row r="3878" spans="1:2" x14ac:dyDescent="0.25">
      <c r="A3878" s="167"/>
      <c r="B3878" s="167"/>
    </row>
    <row r="3879" spans="1:2" x14ac:dyDescent="0.25">
      <c r="A3879" s="167"/>
      <c r="B3879" s="167"/>
    </row>
    <row r="3880" spans="1:2" x14ac:dyDescent="0.25">
      <c r="A3880" s="167"/>
      <c r="B3880" s="167"/>
    </row>
    <row r="3881" spans="1:2" x14ac:dyDescent="0.25">
      <c r="A3881" s="167"/>
      <c r="B3881" s="167"/>
    </row>
    <row r="3882" spans="1:2" x14ac:dyDescent="0.25">
      <c r="A3882" s="167"/>
      <c r="B3882" s="167"/>
    </row>
    <row r="3883" spans="1:2" x14ac:dyDescent="0.25">
      <c r="A3883" s="167"/>
      <c r="B3883" s="167"/>
    </row>
    <row r="3884" spans="1:2" x14ac:dyDescent="0.25">
      <c r="A3884" s="167"/>
      <c r="B3884" s="167"/>
    </row>
    <row r="3885" spans="1:2" x14ac:dyDescent="0.25">
      <c r="A3885" s="167"/>
      <c r="B3885" s="167"/>
    </row>
    <row r="3886" spans="1:2" x14ac:dyDescent="0.25">
      <c r="A3886" s="167"/>
      <c r="B3886" s="167"/>
    </row>
    <row r="3887" spans="1:2" x14ac:dyDescent="0.25">
      <c r="A3887" s="167"/>
      <c r="B3887" s="167"/>
    </row>
    <row r="3888" spans="1:2" x14ac:dyDescent="0.25">
      <c r="A3888" s="167"/>
      <c r="B3888" s="167"/>
    </row>
    <row r="3889" spans="1:2" x14ac:dyDescent="0.25">
      <c r="A3889" s="167"/>
      <c r="B3889" s="167"/>
    </row>
    <row r="3890" spans="1:2" x14ac:dyDescent="0.25">
      <c r="A3890" s="167"/>
      <c r="B3890" s="167"/>
    </row>
    <row r="3891" spans="1:2" x14ac:dyDescent="0.25">
      <c r="A3891" s="167"/>
      <c r="B3891" s="167"/>
    </row>
    <row r="3892" spans="1:2" x14ac:dyDescent="0.25">
      <c r="A3892" s="167"/>
      <c r="B3892" s="167"/>
    </row>
    <row r="3893" spans="1:2" x14ac:dyDescent="0.25">
      <c r="A3893" s="167"/>
      <c r="B3893" s="167"/>
    </row>
    <row r="3894" spans="1:2" x14ac:dyDescent="0.25">
      <c r="A3894" s="167"/>
      <c r="B3894" s="167"/>
    </row>
    <row r="3895" spans="1:2" x14ac:dyDescent="0.25">
      <c r="A3895" s="167"/>
      <c r="B3895" s="167"/>
    </row>
    <row r="3896" spans="1:2" x14ac:dyDescent="0.25">
      <c r="A3896" s="167"/>
      <c r="B3896" s="167"/>
    </row>
    <row r="3897" spans="1:2" x14ac:dyDescent="0.25">
      <c r="A3897" s="167"/>
      <c r="B3897" s="167"/>
    </row>
    <row r="3898" spans="1:2" x14ac:dyDescent="0.25">
      <c r="A3898" s="167"/>
      <c r="B3898" s="167"/>
    </row>
    <row r="3899" spans="1:2" x14ac:dyDescent="0.25">
      <c r="A3899" s="167"/>
      <c r="B3899" s="167"/>
    </row>
    <row r="3900" spans="1:2" x14ac:dyDescent="0.25">
      <c r="A3900" s="167"/>
      <c r="B3900" s="167"/>
    </row>
    <row r="3901" spans="1:2" x14ac:dyDescent="0.25">
      <c r="A3901" s="167"/>
      <c r="B3901" s="167"/>
    </row>
    <row r="3902" spans="1:2" x14ac:dyDescent="0.25">
      <c r="A3902" s="167"/>
      <c r="B3902" s="167"/>
    </row>
    <row r="3903" spans="1:2" x14ac:dyDescent="0.25">
      <c r="A3903" s="167"/>
      <c r="B3903" s="167"/>
    </row>
    <row r="3904" spans="1:2" x14ac:dyDescent="0.25">
      <c r="A3904" s="167"/>
      <c r="B3904" s="167"/>
    </row>
    <row r="3905" spans="1:2" x14ac:dyDescent="0.25">
      <c r="A3905" s="167"/>
      <c r="B3905" s="167"/>
    </row>
    <row r="3906" spans="1:2" x14ac:dyDescent="0.25">
      <c r="A3906" s="167"/>
      <c r="B3906" s="167"/>
    </row>
    <row r="3907" spans="1:2" x14ac:dyDescent="0.25">
      <c r="A3907" s="167"/>
      <c r="B3907" s="167"/>
    </row>
    <row r="3908" spans="1:2" x14ac:dyDescent="0.25">
      <c r="A3908" s="167"/>
      <c r="B3908" s="167"/>
    </row>
    <row r="3909" spans="1:2" x14ac:dyDescent="0.25">
      <c r="A3909" s="167"/>
      <c r="B3909" s="167"/>
    </row>
    <row r="3910" spans="1:2" x14ac:dyDescent="0.25">
      <c r="A3910" s="167"/>
      <c r="B3910" s="167"/>
    </row>
    <row r="3911" spans="1:2" x14ac:dyDescent="0.25">
      <c r="A3911" s="167"/>
      <c r="B3911" s="167"/>
    </row>
    <row r="3912" spans="1:2" x14ac:dyDescent="0.25">
      <c r="A3912" s="167"/>
      <c r="B3912" s="167"/>
    </row>
    <row r="3913" spans="1:2" x14ac:dyDescent="0.25">
      <c r="A3913" s="167"/>
      <c r="B3913" s="167"/>
    </row>
    <row r="3914" spans="1:2" x14ac:dyDescent="0.25">
      <c r="A3914" s="167"/>
      <c r="B3914" s="167"/>
    </row>
    <row r="3915" spans="1:2" x14ac:dyDescent="0.25">
      <c r="A3915" s="167"/>
      <c r="B3915" s="167"/>
    </row>
    <row r="3916" spans="1:2" x14ac:dyDescent="0.25">
      <c r="A3916" s="167"/>
      <c r="B3916" s="167"/>
    </row>
    <row r="3917" spans="1:2" x14ac:dyDescent="0.25">
      <c r="A3917" s="167"/>
      <c r="B3917" s="167"/>
    </row>
    <row r="3918" spans="1:2" x14ac:dyDescent="0.25">
      <c r="A3918" s="167"/>
      <c r="B3918" s="167"/>
    </row>
    <row r="3919" spans="1:2" x14ac:dyDescent="0.25">
      <c r="A3919" s="167"/>
      <c r="B3919" s="167"/>
    </row>
    <row r="3920" spans="1:2" x14ac:dyDescent="0.25">
      <c r="A3920" s="167"/>
      <c r="B3920" s="167"/>
    </row>
    <row r="3921" spans="1:2" x14ac:dyDescent="0.25">
      <c r="A3921" s="167"/>
      <c r="B3921" s="167"/>
    </row>
    <row r="3922" spans="1:2" x14ac:dyDescent="0.25">
      <c r="A3922" s="167"/>
      <c r="B3922" s="167"/>
    </row>
    <row r="3923" spans="1:2" x14ac:dyDescent="0.25">
      <c r="A3923" s="167"/>
      <c r="B3923" s="167"/>
    </row>
    <row r="3924" spans="1:2" x14ac:dyDescent="0.25">
      <c r="A3924" s="167"/>
      <c r="B3924" s="167"/>
    </row>
    <row r="3925" spans="1:2" x14ac:dyDescent="0.25">
      <c r="A3925" s="167"/>
      <c r="B3925" s="167"/>
    </row>
    <row r="3926" spans="1:2" x14ac:dyDescent="0.25">
      <c r="A3926" s="167"/>
      <c r="B3926" s="167"/>
    </row>
    <row r="3927" spans="1:2" x14ac:dyDescent="0.25">
      <c r="A3927" s="167"/>
      <c r="B3927" s="167"/>
    </row>
    <row r="3928" spans="1:2" x14ac:dyDescent="0.25">
      <c r="A3928" s="167"/>
      <c r="B3928" s="167"/>
    </row>
    <row r="3929" spans="1:2" x14ac:dyDescent="0.25">
      <c r="A3929" s="167"/>
      <c r="B3929" s="167"/>
    </row>
    <row r="3930" spans="1:2" x14ac:dyDescent="0.25">
      <c r="A3930" s="167"/>
      <c r="B3930" s="167"/>
    </row>
    <row r="3931" spans="1:2" x14ac:dyDescent="0.25">
      <c r="A3931" s="167"/>
      <c r="B3931" s="167"/>
    </row>
    <row r="3932" spans="1:2" x14ac:dyDescent="0.25">
      <c r="A3932" s="167"/>
      <c r="B3932" s="167"/>
    </row>
    <row r="3933" spans="1:2" x14ac:dyDescent="0.25">
      <c r="A3933" s="167"/>
      <c r="B3933" s="167"/>
    </row>
    <row r="3934" spans="1:2" x14ac:dyDescent="0.25">
      <c r="A3934" s="167"/>
      <c r="B3934" s="167"/>
    </row>
    <row r="3935" spans="1:2" x14ac:dyDescent="0.25">
      <c r="A3935" s="167"/>
      <c r="B3935" s="167"/>
    </row>
    <row r="3936" spans="1:2" x14ac:dyDescent="0.25">
      <c r="A3936" s="167"/>
      <c r="B3936" s="167"/>
    </row>
    <row r="3937" spans="1:2" x14ac:dyDescent="0.25">
      <c r="A3937" s="167"/>
      <c r="B3937" s="167"/>
    </row>
    <row r="3938" spans="1:2" x14ac:dyDescent="0.25">
      <c r="A3938" s="167"/>
      <c r="B3938" s="167"/>
    </row>
    <row r="3939" spans="1:2" x14ac:dyDescent="0.25">
      <c r="A3939" s="167"/>
      <c r="B3939" s="167"/>
    </row>
    <row r="3940" spans="1:2" x14ac:dyDescent="0.25">
      <c r="A3940" s="167"/>
      <c r="B3940" s="167"/>
    </row>
    <row r="3941" spans="1:2" x14ac:dyDescent="0.25">
      <c r="A3941" s="167"/>
      <c r="B3941" s="167"/>
    </row>
    <row r="3942" spans="1:2" x14ac:dyDescent="0.25">
      <c r="A3942" s="167"/>
      <c r="B3942" s="167"/>
    </row>
    <row r="3943" spans="1:2" x14ac:dyDescent="0.25">
      <c r="A3943" s="167"/>
      <c r="B3943" s="167"/>
    </row>
    <row r="3944" spans="1:2" x14ac:dyDescent="0.25">
      <c r="A3944" s="167"/>
      <c r="B3944" s="167"/>
    </row>
    <row r="3945" spans="1:2" x14ac:dyDescent="0.25">
      <c r="A3945" s="167"/>
      <c r="B3945" s="167"/>
    </row>
    <row r="3946" spans="1:2" x14ac:dyDescent="0.25">
      <c r="A3946" s="167"/>
      <c r="B3946" s="167"/>
    </row>
    <row r="3947" spans="1:2" x14ac:dyDescent="0.25">
      <c r="A3947" s="167"/>
      <c r="B3947" s="167"/>
    </row>
    <row r="3948" spans="1:2" x14ac:dyDescent="0.25">
      <c r="A3948" s="167"/>
      <c r="B3948" s="167"/>
    </row>
    <row r="3949" spans="1:2" x14ac:dyDescent="0.25">
      <c r="A3949" s="167"/>
      <c r="B3949" s="167"/>
    </row>
    <row r="3950" spans="1:2" x14ac:dyDescent="0.25">
      <c r="A3950" s="167"/>
      <c r="B3950" s="167"/>
    </row>
    <row r="3951" spans="1:2" x14ac:dyDescent="0.25">
      <c r="A3951" s="167"/>
      <c r="B3951" s="167"/>
    </row>
    <row r="3952" spans="1:2" x14ac:dyDescent="0.25">
      <c r="A3952" s="167"/>
      <c r="B3952" s="167"/>
    </row>
    <row r="3953" spans="1:2" x14ac:dyDescent="0.25">
      <c r="A3953" s="167"/>
      <c r="B3953" s="167"/>
    </row>
    <row r="3954" spans="1:2" x14ac:dyDescent="0.25">
      <c r="A3954" s="167"/>
      <c r="B3954" s="167"/>
    </row>
    <row r="3955" spans="1:2" x14ac:dyDescent="0.25">
      <c r="A3955" s="167"/>
      <c r="B3955" s="167"/>
    </row>
    <row r="3956" spans="1:2" x14ac:dyDescent="0.25">
      <c r="A3956" s="167"/>
      <c r="B3956" s="167"/>
    </row>
    <row r="3957" spans="1:2" x14ac:dyDescent="0.25">
      <c r="A3957" s="167"/>
      <c r="B3957" s="167"/>
    </row>
    <row r="3958" spans="1:2" x14ac:dyDescent="0.25">
      <c r="A3958" s="167"/>
      <c r="B3958" s="167"/>
    </row>
    <row r="3959" spans="1:2" x14ac:dyDescent="0.25">
      <c r="A3959" s="167"/>
      <c r="B3959" s="167"/>
    </row>
    <row r="3960" spans="1:2" x14ac:dyDescent="0.25">
      <c r="A3960" s="167"/>
      <c r="B3960" s="167"/>
    </row>
    <row r="3961" spans="1:2" x14ac:dyDescent="0.25">
      <c r="A3961" s="167"/>
      <c r="B3961" s="167"/>
    </row>
    <row r="3962" spans="1:2" x14ac:dyDescent="0.25">
      <c r="A3962" s="167"/>
      <c r="B3962" s="167"/>
    </row>
    <row r="3963" spans="1:2" x14ac:dyDescent="0.25">
      <c r="A3963" s="167"/>
      <c r="B3963" s="167"/>
    </row>
    <row r="3964" spans="1:2" x14ac:dyDescent="0.25">
      <c r="A3964" s="167"/>
      <c r="B3964" s="167"/>
    </row>
    <row r="3965" spans="1:2" x14ac:dyDescent="0.25">
      <c r="A3965" s="167"/>
      <c r="B3965" s="167"/>
    </row>
    <row r="3966" spans="1:2" x14ac:dyDescent="0.25">
      <c r="A3966" s="167"/>
      <c r="B3966" s="167"/>
    </row>
    <row r="3967" spans="1:2" x14ac:dyDescent="0.25">
      <c r="A3967" s="167"/>
      <c r="B3967" s="167"/>
    </row>
    <row r="3968" spans="1:2" x14ac:dyDescent="0.25">
      <c r="A3968" s="167"/>
      <c r="B3968" s="167"/>
    </row>
    <row r="3969" spans="1:2" x14ac:dyDescent="0.25">
      <c r="A3969" s="167"/>
      <c r="B3969" s="167"/>
    </row>
    <row r="3970" spans="1:2" x14ac:dyDescent="0.25">
      <c r="A3970" s="167"/>
      <c r="B3970" s="167"/>
    </row>
    <row r="3971" spans="1:2" x14ac:dyDescent="0.25">
      <c r="A3971" s="167"/>
      <c r="B3971" s="167"/>
    </row>
    <row r="3972" spans="1:2" x14ac:dyDescent="0.25">
      <c r="A3972" s="167"/>
      <c r="B3972" s="167"/>
    </row>
    <row r="3973" spans="1:2" x14ac:dyDescent="0.25">
      <c r="A3973" s="167"/>
      <c r="B3973" s="167"/>
    </row>
    <row r="3974" spans="1:2" x14ac:dyDescent="0.25">
      <c r="A3974" s="167"/>
      <c r="B3974" s="167"/>
    </row>
    <row r="3975" spans="1:2" x14ac:dyDescent="0.25">
      <c r="A3975" s="167"/>
      <c r="B3975" s="167"/>
    </row>
    <row r="3976" spans="1:2" x14ac:dyDescent="0.25">
      <c r="A3976" s="167"/>
      <c r="B3976" s="167"/>
    </row>
    <row r="3977" spans="1:2" x14ac:dyDescent="0.25">
      <c r="A3977" s="167"/>
      <c r="B3977" s="167"/>
    </row>
    <row r="3978" spans="1:2" x14ac:dyDescent="0.25">
      <c r="A3978" s="167"/>
      <c r="B3978" s="167"/>
    </row>
    <row r="3979" spans="1:2" x14ac:dyDescent="0.25">
      <c r="A3979" s="167"/>
      <c r="B3979" s="167"/>
    </row>
    <row r="3980" spans="1:2" x14ac:dyDescent="0.25">
      <c r="A3980" s="167"/>
      <c r="B3980" s="167"/>
    </row>
    <row r="3981" spans="1:2" x14ac:dyDescent="0.25">
      <c r="A3981" s="167"/>
      <c r="B3981" s="167"/>
    </row>
    <row r="3982" spans="1:2" x14ac:dyDescent="0.25">
      <c r="A3982" s="167"/>
      <c r="B3982" s="167"/>
    </row>
    <row r="3983" spans="1:2" x14ac:dyDescent="0.25">
      <c r="A3983" s="167"/>
      <c r="B3983" s="167"/>
    </row>
    <row r="3984" spans="1:2" x14ac:dyDescent="0.25">
      <c r="A3984" s="167"/>
      <c r="B3984" s="167"/>
    </row>
    <row r="3985" spans="1:2" x14ac:dyDescent="0.25">
      <c r="A3985" s="167"/>
      <c r="B3985" s="167"/>
    </row>
    <row r="3986" spans="1:2" x14ac:dyDescent="0.25">
      <c r="A3986" s="167"/>
      <c r="B3986" s="167"/>
    </row>
    <row r="3987" spans="1:2" x14ac:dyDescent="0.25">
      <c r="A3987" s="167"/>
      <c r="B3987" s="167"/>
    </row>
    <row r="3988" spans="1:2" x14ac:dyDescent="0.25">
      <c r="A3988" s="167"/>
      <c r="B3988" s="167"/>
    </row>
    <row r="3989" spans="1:2" x14ac:dyDescent="0.25">
      <c r="A3989" s="167"/>
      <c r="B3989" s="167"/>
    </row>
    <row r="3990" spans="1:2" x14ac:dyDescent="0.25">
      <c r="A3990" s="167"/>
      <c r="B3990" s="167"/>
    </row>
    <row r="3991" spans="1:2" x14ac:dyDescent="0.25">
      <c r="A3991" s="167"/>
      <c r="B3991" s="167"/>
    </row>
    <row r="3992" spans="1:2" x14ac:dyDescent="0.25">
      <c r="A3992" s="167"/>
      <c r="B3992" s="167"/>
    </row>
    <row r="3993" spans="1:2" x14ac:dyDescent="0.25">
      <c r="A3993" s="167"/>
      <c r="B3993" s="167"/>
    </row>
    <row r="3994" spans="1:2" x14ac:dyDescent="0.25">
      <c r="A3994" s="167"/>
      <c r="B3994" s="167"/>
    </row>
    <row r="3995" spans="1:2" x14ac:dyDescent="0.25">
      <c r="A3995" s="167"/>
      <c r="B3995" s="167"/>
    </row>
    <row r="3996" spans="1:2" x14ac:dyDescent="0.25">
      <c r="A3996" s="167"/>
      <c r="B3996" s="167"/>
    </row>
    <row r="3997" spans="1:2" x14ac:dyDescent="0.25">
      <c r="A3997" s="167"/>
      <c r="B3997" s="167"/>
    </row>
    <row r="3998" spans="1:2" x14ac:dyDescent="0.25">
      <c r="A3998" s="167"/>
      <c r="B3998" s="167"/>
    </row>
    <row r="3999" spans="1:2" x14ac:dyDescent="0.25">
      <c r="A3999" s="167"/>
      <c r="B3999" s="167"/>
    </row>
    <row r="4000" spans="1:2" x14ac:dyDescent="0.25">
      <c r="A4000" s="167"/>
      <c r="B4000" s="167"/>
    </row>
    <row r="4001" spans="1:2" x14ac:dyDescent="0.25">
      <c r="A4001" s="167"/>
      <c r="B4001" s="167"/>
    </row>
    <row r="4002" spans="1:2" x14ac:dyDescent="0.25">
      <c r="A4002" s="167"/>
      <c r="B4002" s="167"/>
    </row>
    <row r="4003" spans="1:2" x14ac:dyDescent="0.25">
      <c r="A4003" s="167"/>
      <c r="B4003" s="167"/>
    </row>
    <row r="4004" spans="1:2" x14ac:dyDescent="0.25">
      <c r="A4004" s="167"/>
      <c r="B4004" s="167"/>
    </row>
    <row r="4005" spans="1:2" x14ac:dyDescent="0.25">
      <c r="A4005" s="167"/>
      <c r="B4005" s="167"/>
    </row>
    <row r="4006" spans="1:2" x14ac:dyDescent="0.25">
      <c r="A4006" s="167"/>
      <c r="B4006" s="167"/>
    </row>
    <row r="4007" spans="1:2" x14ac:dyDescent="0.25">
      <c r="A4007" s="167"/>
      <c r="B4007" s="167"/>
    </row>
    <row r="4008" spans="1:2" x14ac:dyDescent="0.25">
      <c r="A4008" s="167"/>
      <c r="B4008" s="167"/>
    </row>
    <row r="4009" spans="1:2" x14ac:dyDescent="0.25">
      <c r="A4009" s="167"/>
      <c r="B4009" s="167"/>
    </row>
    <row r="4010" spans="1:2" x14ac:dyDescent="0.25">
      <c r="A4010" s="167"/>
      <c r="B4010" s="167"/>
    </row>
    <row r="4011" spans="1:2" x14ac:dyDescent="0.25">
      <c r="A4011" s="167"/>
      <c r="B4011" s="167"/>
    </row>
    <row r="4012" spans="1:2" x14ac:dyDescent="0.25">
      <c r="A4012" s="167"/>
      <c r="B4012" s="167"/>
    </row>
    <row r="4013" spans="1:2" x14ac:dyDescent="0.25">
      <c r="A4013" s="167"/>
      <c r="B4013" s="167"/>
    </row>
    <row r="4014" spans="1:2" x14ac:dyDescent="0.25">
      <c r="A4014" s="167"/>
      <c r="B4014" s="167"/>
    </row>
    <row r="4015" spans="1:2" x14ac:dyDescent="0.25">
      <c r="A4015" s="167"/>
      <c r="B4015" s="167"/>
    </row>
    <row r="4016" spans="1:2" x14ac:dyDescent="0.25">
      <c r="A4016" s="167"/>
      <c r="B4016" s="167"/>
    </row>
    <row r="4017" spans="1:2" x14ac:dyDescent="0.25">
      <c r="A4017" s="167"/>
      <c r="B4017" s="167"/>
    </row>
    <row r="4018" spans="1:2" x14ac:dyDescent="0.25">
      <c r="A4018" s="167"/>
      <c r="B4018" s="167"/>
    </row>
    <row r="4019" spans="1:2" x14ac:dyDescent="0.25">
      <c r="A4019" s="167"/>
      <c r="B4019" s="167"/>
    </row>
    <row r="4020" spans="1:2" x14ac:dyDescent="0.25">
      <c r="A4020" s="167"/>
      <c r="B4020" s="167"/>
    </row>
    <row r="4021" spans="1:2" x14ac:dyDescent="0.25">
      <c r="A4021" s="167"/>
      <c r="B4021" s="167"/>
    </row>
    <row r="4022" spans="1:2" x14ac:dyDescent="0.25">
      <c r="A4022" s="167"/>
      <c r="B4022" s="167"/>
    </row>
    <row r="4023" spans="1:2" x14ac:dyDescent="0.25">
      <c r="A4023" s="167"/>
      <c r="B4023" s="167"/>
    </row>
    <row r="4024" spans="1:2" x14ac:dyDescent="0.25">
      <c r="A4024" s="167"/>
      <c r="B4024" s="167"/>
    </row>
    <row r="4025" spans="1:2" x14ac:dyDescent="0.25">
      <c r="A4025" s="167"/>
      <c r="B4025" s="167"/>
    </row>
    <row r="4026" spans="1:2" x14ac:dyDescent="0.25">
      <c r="A4026" s="167"/>
      <c r="B4026" s="167"/>
    </row>
    <row r="4027" spans="1:2" x14ac:dyDescent="0.25">
      <c r="A4027" s="167"/>
      <c r="B4027" s="167"/>
    </row>
    <row r="4028" spans="1:2" x14ac:dyDescent="0.25">
      <c r="A4028" s="167"/>
      <c r="B4028" s="167"/>
    </row>
    <row r="4029" spans="1:2" x14ac:dyDescent="0.25">
      <c r="A4029" s="167"/>
      <c r="B4029" s="167"/>
    </row>
    <row r="4030" spans="1:2" x14ac:dyDescent="0.25">
      <c r="A4030" s="167"/>
      <c r="B4030" s="167"/>
    </row>
    <row r="4031" spans="1:2" x14ac:dyDescent="0.25">
      <c r="A4031" s="167"/>
      <c r="B4031" s="167"/>
    </row>
    <row r="4032" spans="1:2" x14ac:dyDescent="0.25">
      <c r="A4032" s="167"/>
      <c r="B4032" s="167"/>
    </row>
    <row r="4033" spans="1:2" x14ac:dyDescent="0.25">
      <c r="A4033" s="167"/>
      <c r="B4033" s="167"/>
    </row>
    <row r="4034" spans="1:2" x14ac:dyDescent="0.25">
      <c r="A4034" s="167"/>
      <c r="B4034" s="167"/>
    </row>
    <row r="4035" spans="1:2" x14ac:dyDescent="0.25">
      <c r="A4035" s="167"/>
      <c r="B4035" s="167"/>
    </row>
    <row r="4036" spans="1:2" x14ac:dyDescent="0.25">
      <c r="A4036" s="167"/>
      <c r="B4036" s="167"/>
    </row>
    <row r="4037" spans="1:2" x14ac:dyDescent="0.25">
      <c r="A4037" s="167"/>
      <c r="B4037" s="167"/>
    </row>
    <row r="4038" spans="1:2" x14ac:dyDescent="0.25">
      <c r="A4038" s="167"/>
      <c r="B4038" s="167"/>
    </row>
    <row r="4039" spans="1:2" x14ac:dyDescent="0.25">
      <c r="A4039" s="167"/>
      <c r="B4039" s="167"/>
    </row>
    <row r="4040" spans="1:2" x14ac:dyDescent="0.25">
      <c r="A4040" s="167"/>
      <c r="B4040" s="167"/>
    </row>
    <row r="4041" spans="1:2" x14ac:dyDescent="0.25">
      <c r="A4041" s="167"/>
      <c r="B4041" s="167"/>
    </row>
    <row r="4042" spans="1:2" x14ac:dyDescent="0.25">
      <c r="A4042" s="167"/>
      <c r="B4042" s="167"/>
    </row>
    <row r="4043" spans="1:2" x14ac:dyDescent="0.25">
      <c r="A4043" s="167"/>
      <c r="B4043" s="167"/>
    </row>
    <row r="4044" spans="1:2" x14ac:dyDescent="0.25">
      <c r="A4044" s="167"/>
      <c r="B4044" s="167"/>
    </row>
    <row r="4045" spans="1:2" x14ac:dyDescent="0.25">
      <c r="A4045" s="167"/>
      <c r="B4045" s="167"/>
    </row>
    <row r="4046" spans="1:2" x14ac:dyDescent="0.25">
      <c r="A4046" s="167"/>
      <c r="B4046" s="167"/>
    </row>
    <row r="4047" spans="1:2" x14ac:dyDescent="0.25">
      <c r="A4047" s="167"/>
      <c r="B4047" s="167"/>
    </row>
    <row r="4048" spans="1:2" x14ac:dyDescent="0.25">
      <c r="A4048" s="167"/>
      <c r="B4048" s="167"/>
    </row>
    <row r="4049" spans="1:2" x14ac:dyDescent="0.25">
      <c r="A4049" s="167"/>
      <c r="B4049" s="167"/>
    </row>
    <row r="4050" spans="1:2" x14ac:dyDescent="0.25">
      <c r="A4050" s="167"/>
      <c r="B4050" s="167"/>
    </row>
    <row r="4051" spans="1:2" x14ac:dyDescent="0.25">
      <c r="A4051" s="167"/>
      <c r="B4051" s="167"/>
    </row>
    <row r="4052" spans="1:2" x14ac:dyDescent="0.25">
      <c r="A4052" s="167"/>
      <c r="B4052" s="167"/>
    </row>
    <row r="4053" spans="1:2" x14ac:dyDescent="0.25">
      <c r="A4053" s="167"/>
      <c r="B4053" s="167"/>
    </row>
    <row r="4054" spans="1:2" x14ac:dyDescent="0.25">
      <c r="A4054" s="167"/>
      <c r="B4054" s="167"/>
    </row>
    <row r="4055" spans="1:2" x14ac:dyDescent="0.25">
      <c r="A4055" s="167"/>
      <c r="B4055" s="167"/>
    </row>
    <row r="4056" spans="1:2" x14ac:dyDescent="0.25">
      <c r="A4056" s="167"/>
      <c r="B4056" s="167"/>
    </row>
    <row r="4057" spans="1:2" x14ac:dyDescent="0.25">
      <c r="A4057" s="167"/>
      <c r="B4057" s="167"/>
    </row>
    <row r="4058" spans="1:2" x14ac:dyDescent="0.25">
      <c r="A4058" s="167"/>
      <c r="B4058" s="167"/>
    </row>
    <row r="4059" spans="1:2" x14ac:dyDescent="0.25">
      <c r="A4059" s="167"/>
      <c r="B4059" s="167"/>
    </row>
    <row r="4060" spans="1:2" x14ac:dyDescent="0.25">
      <c r="A4060" s="167"/>
      <c r="B4060" s="167"/>
    </row>
    <row r="4061" spans="1:2" x14ac:dyDescent="0.25">
      <c r="A4061" s="167"/>
      <c r="B4061" s="167"/>
    </row>
    <row r="4062" spans="1:2" x14ac:dyDescent="0.25">
      <c r="A4062" s="167"/>
      <c r="B4062" s="167"/>
    </row>
    <row r="4063" spans="1:2" x14ac:dyDescent="0.25">
      <c r="A4063" s="167"/>
      <c r="B4063" s="167"/>
    </row>
    <row r="4064" spans="1:2" x14ac:dyDescent="0.25">
      <c r="A4064" s="167"/>
      <c r="B4064" s="167"/>
    </row>
    <row r="4065" spans="1:2" x14ac:dyDescent="0.25">
      <c r="A4065" s="167"/>
      <c r="B4065" s="167"/>
    </row>
    <row r="4066" spans="1:2" x14ac:dyDescent="0.25">
      <c r="A4066" s="167"/>
      <c r="B4066" s="167"/>
    </row>
    <row r="4067" spans="1:2" x14ac:dyDescent="0.25">
      <c r="A4067" s="167"/>
      <c r="B4067" s="167"/>
    </row>
    <row r="4068" spans="1:2" x14ac:dyDescent="0.25">
      <c r="A4068" s="167"/>
      <c r="B4068" s="167"/>
    </row>
    <row r="4069" spans="1:2" x14ac:dyDescent="0.25">
      <c r="A4069" s="167"/>
      <c r="B4069" s="167"/>
    </row>
    <row r="4070" spans="1:2" x14ac:dyDescent="0.25">
      <c r="A4070" s="167"/>
      <c r="B4070" s="167"/>
    </row>
    <row r="4071" spans="1:2" x14ac:dyDescent="0.25">
      <c r="A4071" s="167"/>
      <c r="B4071" s="167"/>
    </row>
    <row r="4072" spans="1:2" x14ac:dyDescent="0.25">
      <c r="A4072" s="167"/>
      <c r="B4072" s="167"/>
    </row>
    <row r="4073" spans="1:2" x14ac:dyDescent="0.25">
      <c r="A4073" s="167"/>
      <c r="B4073" s="167"/>
    </row>
    <row r="4074" spans="1:2" x14ac:dyDescent="0.25">
      <c r="A4074" s="167"/>
      <c r="B4074" s="167"/>
    </row>
    <row r="4075" spans="1:2" x14ac:dyDescent="0.25">
      <c r="A4075" s="167"/>
      <c r="B4075" s="167"/>
    </row>
    <row r="4076" spans="1:2" x14ac:dyDescent="0.25">
      <c r="A4076" s="167"/>
      <c r="B4076" s="167"/>
    </row>
    <row r="4077" spans="1:2" x14ac:dyDescent="0.25">
      <c r="A4077" s="167"/>
      <c r="B4077" s="167"/>
    </row>
    <row r="4078" spans="1:2" x14ac:dyDescent="0.25">
      <c r="A4078" s="167"/>
      <c r="B4078" s="167"/>
    </row>
    <row r="4079" spans="1:2" x14ac:dyDescent="0.25">
      <c r="A4079" s="167"/>
      <c r="B4079" s="167"/>
    </row>
    <row r="4080" spans="1:2" x14ac:dyDescent="0.25">
      <c r="A4080" s="167"/>
      <c r="B4080" s="167"/>
    </row>
    <row r="4081" spans="1:2" x14ac:dyDescent="0.25">
      <c r="A4081" s="167"/>
      <c r="B4081" s="167"/>
    </row>
    <row r="4082" spans="1:2" x14ac:dyDescent="0.25">
      <c r="A4082" s="167"/>
      <c r="B4082" s="167"/>
    </row>
    <row r="4083" spans="1:2" x14ac:dyDescent="0.25">
      <c r="A4083" s="167"/>
      <c r="B4083" s="167"/>
    </row>
    <row r="4084" spans="1:2" x14ac:dyDescent="0.25">
      <c r="A4084" s="167"/>
      <c r="B4084" s="167"/>
    </row>
    <row r="4085" spans="1:2" x14ac:dyDescent="0.25">
      <c r="A4085" s="167"/>
      <c r="B4085" s="167"/>
    </row>
    <row r="4086" spans="1:2" x14ac:dyDescent="0.25">
      <c r="A4086" s="167"/>
      <c r="B4086" s="167"/>
    </row>
    <row r="4087" spans="1:2" x14ac:dyDescent="0.25">
      <c r="A4087" s="167"/>
      <c r="B4087" s="167"/>
    </row>
    <row r="4088" spans="1:2" x14ac:dyDescent="0.25">
      <c r="A4088" s="167"/>
      <c r="B4088" s="167"/>
    </row>
    <row r="4089" spans="1:2" x14ac:dyDescent="0.25">
      <c r="A4089" s="167"/>
      <c r="B4089" s="167"/>
    </row>
    <row r="4090" spans="1:2" x14ac:dyDescent="0.25">
      <c r="A4090" s="167"/>
      <c r="B4090" s="167"/>
    </row>
    <row r="4091" spans="1:2" x14ac:dyDescent="0.25">
      <c r="A4091" s="167"/>
      <c r="B4091" s="167"/>
    </row>
    <row r="4092" spans="1:2" x14ac:dyDescent="0.25">
      <c r="A4092" s="167"/>
      <c r="B4092" s="167"/>
    </row>
    <row r="4093" spans="1:2" x14ac:dyDescent="0.25">
      <c r="A4093" s="167"/>
      <c r="B4093" s="167"/>
    </row>
    <row r="4094" spans="1:2" x14ac:dyDescent="0.25">
      <c r="A4094" s="167"/>
      <c r="B4094" s="167"/>
    </row>
    <row r="4095" spans="1:2" x14ac:dyDescent="0.25">
      <c r="A4095" s="167"/>
      <c r="B4095" s="167"/>
    </row>
    <row r="4096" spans="1:2" x14ac:dyDescent="0.25">
      <c r="A4096" s="167"/>
      <c r="B4096" s="167"/>
    </row>
    <row r="4097" spans="1:2" x14ac:dyDescent="0.25">
      <c r="A4097" s="167"/>
      <c r="B4097" s="167"/>
    </row>
    <row r="4098" spans="1:2" x14ac:dyDescent="0.25">
      <c r="A4098" s="167"/>
      <c r="B4098" s="167"/>
    </row>
    <row r="4099" spans="1:2" x14ac:dyDescent="0.25">
      <c r="A4099" s="167"/>
      <c r="B4099" s="167"/>
    </row>
    <row r="4100" spans="1:2" x14ac:dyDescent="0.25">
      <c r="A4100" s="167"/>
      <c r="B4100" s="167"/>
    </row>
    <row r="4101" spans="1:2" x14ac:dyDescent="0.25">
      <c r="A4101" s="167"/>
      <c r="B4101" s="167"/>
    </row>
    <row r="4102" spans="1:2" x14ac:dyDescent="0.25">
      <c r="A4102" s="167"/>
      <c r="B4102" s="167"/>
    </row>
    <row r="4103" spans="1:2" x14ac:dyDescent="0.25">
      <c r="A4103" s="167"/>
      <c r="B4103" s="167"/>
    </row>
    <row r="4104" spans="1:2" x14ac:dyDescent="0.25">
      <c r="A4104" s="167"/>
      <c r="B4104" s="167"/>
    </row>
    <row r="4105" spans="1:2" x14ac:dyDescent="0.25">
      <c r="A4105" s="167"/>
      <c r="B4105" s="167"/>
    </row>
    <row r="4106" spans="1:2" x14ac:dyDescent="0.25">
      <c r="A4106" s="167"/>
      <c r="B4106" s="167"/>
    </row>
    <row r="4107" spans="1:2" x14ac:dyDescent="0.25">
      <c r="A4107" s="167"/>
      <c r="B4107" s="167"/>
    </row>
    <row r="4108" spans="1:2" x14ac:dyDescent="0.25">
      <c r="A4108" s="167"/>
      <c r="B4108" s="167"/>
    </row>
    <row r="4109" spans="1:2" x14ac:dyDescent="0.25">
      <c r="A4109" s="167"/>
      <c r="B4109" s="167"/>
    </row>
    <row r="4110" spans="1:2" x14ac:dyDescent="0.25">
      <c r="A4110" s="167"/>
      <c r="B4110" s="167"/>
    </row>
    <row r="4111" spans="1:2" x14ac:dyDescent="0.25">
      <c r="A4111" s="167"/>
      <c r="B4111" s="167"/>
    </row>
    <row r="4112" spans="1:2" x14ac:dyDescent="0.25">
      <c r="A4112" s="167"/>
      <c r="B4112" s="167"/>
    </row>
    <row r="4113" spans="1:2" x14ac:dyDescent="0.25">
      <c r="A4113" s="167"/>
      <c r="B4113" s="167"/>
    </row>
    <row r="4114" spans="1:2" x14ac:dyDescent="0.25">
      <c r="A4114" s="167"/>
      <c r="B4114" s="167"/>
    </row>
    <row r="4115" spans="1:2" x14ac:dyDescent="0.25">
      <c r="A4115" s="167"/>
      <c r="B4115" s="167"/>
    </row>
    <row r="4116" spans="1:2" x14ac:dyDescent="0.25">
      <c r="A4116" s="167"/>
      <c r="B4116" s="167"/>
    </row>
    <row r="4117" spans="1:2" x14ac:dyDescent="0.25">
      <c r="A4117" s="167"/>
      <c r="B4117" s="167"/>
    </row>
    <row r="4118" spans="1:2" x14ac:dyDescent="0.25">
      <c r="A4118" s="167"/>
      <c r="B4118" s="167"/>
    </row>
    <row r="4119" spans="1:2" x14ac:dyDescent="0.25">
      <c r="A4119" s="167"/>
      <c r="B4119" s="167"/>
    </row>
    <row r="4120" spans="1:2" x14ac:dyDescent="0.25">
      <c r="A4120" s="167"/>
      <c r="B4120" s="167"/>
    </row>
    <row r="4121" spans="1:2" x14ac:dyDescent="0.25">
      <c r="A4121" s="167"/>
      <c r="B4121" s="167"/>
    </row>
    <row r="4122" spans="1:2" x14ac:dyDescent="0.25">
      <c r="A4122" s="167"/>
      <c r="B4122" s="167"/>
    </row>
    <row r="4123" spans="1:2" x14ac:dyDescent="0.25">
      <c r="A4123" s="167"/>
      <c r="B4123" s="167"/>
    </row>
    <row r="4124" spans="1:2" x14ac:dyDescent="0.25">
      <c r="A4124" s="167"/>
      <c r="B4124" s="167"/>
    </row>
    <row r="4125" spans="1:2" x14ac:dyDescent="0.25">
      <c r="A4125" s="167"/>
      <c r="B4125" s="167"/>
    </row>
    <row r="4126" spans="1:2" x14ac:dyDescent="0.25">
      <c r="A4126" s="167"/>
      <c r="B4126" s="167"/>
    </row>
    <row r="4127" spans="1:2" x14ac:dyDescent="0.25">
      <c r="A4127" s="167"/>
      <c r="B4127" s="167"/>
    </row>
    <row r="4128" spans="1:2" x14ac:dyDescent="0.25">
      <c r="A4128" s="167"/>
      <c r="B4128" s="167"/>
    </row>
    <row r="4129" spans="1:2" x14ac:dyDescent="0.25">
      <c r="A4129" s="167"/>
      <c r="B4129" s="167"/>
    </row>
    <row r="4130" spans="1:2" x14ac:dyDescent="0.25">
      <c r="A4130" s="167"/>
      <c r="B4130" s="167"/>
    </row>
    <row r="4131" spans="1:2" x14ac:dyDescent="0.25">
      <c r="A4131" s="167"/>
      <c r="B4131" s="167"/>
    </row>
    <row r="4132" spans="1:2" x14ac:dyDescent="0.25">
      <c r="A4132" s="167"/>
      <c r="B4132" s="167"/>
    </row>
    <row r="4133" spans="1:2" x14ac:dyDescent="0.25">
      <c r="A4133" s="167"/>
      <c r="B4133" s="167"/>
    </row>
    <row r="4134" spans="1:2" x14ac:dyDescent="0.25">
      <c r="A4134" s="167"/>
      <c r="B4134" s="167"/>
    </row>
    <row r="4135" spans="1:2" x14ac:dyDescent="0.25">
      <c r="A4135" s="167"/>
      <c r="B4135" s="167"/>
    </row>
    <row r="4136" spans="1:2" x14ac:dyDescent="0.25">
      <c r="A4136" s="167"/>
      <c r="B4136" s="167"/>
    </row>
    <row r="4137" spans="1:2" x14ac:dyDescent="0.25">
      <c r="A4137" s="167"/>
      <c r="B4137" s="167"/>
    </row>
    <row r="4138" spans="1:2" x14ac:dyDescent="0.25">
      <c r="A4138" s="167"/>
      <c r="B4138" s="167"/>
    </row>
    <row r="4139" spans="1:2" x14ac:dyDescent="0.25">
      <c r="A4139" s="167"/>
      <c r="B4139" s="167"/>
    </row>
    <row r="4140" spans="1:2" x14ac:dyDescent="0.25">
      <c r="A4140" s="167"/>
      <c r="B4140" s="167"/>
    </row>
    <row r="4141" spans="1:2" x14ac:dyDescent="0.25">
      <c r="A4141" s="167"/>
      <c r="B4141" s="167"/>
    </row>
    <row r="4142" spans="1:2" x14ac:dyDescent="0.25">
      <c r="A4142" s="167"/>
      <c r="B4142" s="167"/>
    </row>
    <row r="4143" spans="1:2" x14ac:dyDescent="0.25">
      <c r="A4143" s="167"/>
      <c r="B4143" s="167"/>
    </row>
    <row r="4144" spans="1:2" x14ac:dyDescent="0.25">
      <c r="A4144" s="167"/>
      <c r="B4144" s="167"/>
    </row>
    <row r="4145" spans="1:2" x14ac:dyDescent="0.25">
      <c r="A4145" s="167"/>
      <c r="B4145" s="167"/>
    </row>
    <row r="4146" spans="1:2" x14ac:dyDescent="0.25">
      <c r="A4146" s="167"/>
      <c r="B4146" s="167"/>
    </row>
    <row r="4147" spans="1:2" x14ac:dyDescent="0.25">
      <c r="A4147" s="167"/>
      <c r="B4147" s="167"/>
    </row>
    <row r="4148" spans="1:2" x14ac:dyDescent="0.25">
      <c r="A4148" s="167"/>
      <c r="B4148" s="167"/>
    </row>
    <row r="4149" spans="1:2" x14ac:dyDescent="0.25">
      <c r="A4149" s="167"/>
      <c r="B4149" s="167"/>
    </row>
    <row r="4150" spans="1:2" x14ac:dyDescent="0.25">
      <c r="A4150" s="167"/>
      <c r="B4150" s="167"/>
    </row>
    <row r="4151" spans="1:2" x14ac:dyDescent="0.25">
      <c r="A4151" s="167"/>
      <c r="B4151" s="167"/>
    </row>
    <row r="4152" spans="1:2" x14ac:dyDescent="0.25">
      <c r="A4152" s="167"/>
      <c r="B4152" s="167"/>
    </row>
    <row r="4153" spans="1:2" x14ac:dyDescent="0.25">
      <c r="A4153" s="167"/>
      <c r="B4153" s="167"/>
    </row>
    <row r="4154" spans="1:2" x14ac:dyDescent="0.25">
      <c r="A4154" s="167"/>
      <c r="B4154" s="167"/>
    </row>
    <row r="4155" spans="1:2" x14ac:dyDescent="0.25">
      <c r="A4155" s="167"/>
      <c r="B4155" s="167"/>
    </row>
    <row r="4156" spans="1:2" x14ac:dyDescent="0.25">
      <c r="A4156" s="167"/>
      <c r="B4156" s="167"/>
    </row>
    <row r="4157" spans="1:2" x14ac:dyDescent="0.25">
      <c r="A4157" s="167"/>
      <c r="B4157" s="167"/>
    </row>
    <row r="4158" spans="1:2" x14ac:dyDescent="0.25">
      <c r="A4158" s="167"/>
      <c r="B4158" s="167"/>
    </row>
    <row r="4159" spans="1:2" x14ac:dyDescent="0.25">
      <c r="A4159" s="167"/>
      <c r="B4159" s="167"/>
    </row>
    <row r="4160" spans="1:2" x14ac:dyDescent="0.25">
      <c r="A4160" s="167"/>
      <c r="B4160" s="167"/>
    </row>
    <row r="4161" spans="1:2" x14ac:dyDescent="0.25">
      <c r="A4161" s="167"/>
      <c r="B4161" s="167"/>
    </row>
    <row r="4162" spans="1:2" x14ac:dyDescent="0.25">
      <c r="A4162" s="167"/>
      <c r="B4162" s="167"/>
    </row>
    <row r="4163" spans="1:2" x14ac:dyDescent="0.25">
      <c r="A4163" s="167"/>
      <c r="B4163" s="167"/>
    </row>
    <row r="4164" spans="1:2" x14ac:dyDescent="0.25">
      <c r="A4164" s="167"/>
      <c r="B4164" s="167"/>
    </row>
    <row r="4165" spans="1:2" x14ac:dyDescent="0.25">
      <c r="A4165" s="167"/>
      <c r="B4165" s="167"/>
    </row>
    <row r="4166" spans="1:2" x14ac:dyDescent="0.25">
      <c r="A4166" s="167"/>
      <c r="B4166" s="167"/>
    </row>
    <row r="4167" spans="1:2" x14ac:dyDescent="0.25">
      <c r="A4167" s="167"/>
      <c r="B4167" s="167"/>
    </row>
    <row r="4168" spans="1:2" x14ac:dyDescent="0.25">
      <c r="A4168" s="167"/>
      <c r="B4168" s="167"/>
    </row>
    <row r="4169" spans="1:2" x14ac:dyDescent="0.25">
      <c r="A4169" s="167"/>
      <c r="B4169" s="167"/>
    </row>
    <row r="4170" spans="1:2" x14ac:dyDescent="0.25">
      <c r="A4170" s="167"/>
      <c r="B4170" s="167"/>
    </row>
    <row r="4171" spans="1:2" x14ac:dyDescent="0.25">
      <c r="A4171" s="167"/>
      <c r="B4171" s="167"/>
    </row>
    <row r="4172" spans="1:2" x14ac:dyDescent="0.25">
      <c r="A4172" s="167"/>
      <c r="B4172" s="167"/>
    </row>
    <row r="4173" spans="1:2" x14ac:dyDescent="0.25">
      <c r="A4173" s="167"/>
      <c r="B4173" s="167"/>
    </row>
    <row r="4174" spans="1:2" x14ac:dyDescent="0.25">
      <c r="A4174" s="167"/>
      <c r="B4174" s="167"/>
    </row>
    <row r="4175" spans="1:2" x14ac:dyDescent="0.25">
      <c r="A4175" s="167"/>
      <c r="B4175" s="167"/>
    </row>
    <row r="4176" spans="1:2" x14ac:dyDescent="0.25">
      <c r="A4176" s="167"/>
      <c r="B4176" s="167"/>
    </row>
    <row r="4177" spans="1:2" x14ac:dyDescent="0.25">
      <c r="A4177" s="167"/>
      <c r="B4177" s="167"/>
    </row>
    <row r="4178" spans="1:2" x14ac:dyDescent="0.25">
      <c r="A4178" s="167"/>
      <c r="B4178" s="167"/>
    </row>
    <row r="4179" spans="1:2" x14ac:dyDescent="0.25">
      <c r="A4179" s="167"/>
      <c r="B4179" s="167"/>
    </row>
    <row r="4180" spans="1:2" x14ac:dyDescent="0.25">
      <c r="A4180" s="167"/>
      <c r="B4180" s="167"/>
    </row>
    <row r="4181" spans="1:2" x14ac:dyDescent="0.25">
      <c r="A4181" s="167"/>
      <c r="B4181" s="167"/>
    </row>
    <row r="4182" spans="1:2" x14ac:dyDescent="0.25">
      <c r="A4182" s="167"/>
      <c r="B4182" s="167"/>
    </row>
    <row r="4183" spans="1:2" x14ac:dyDescent="0.25">
      <c r="A4183" s="167"/>
      <c r="B4183" s="167"/>
    </row>
    <row r="4184" spans="1:2" x14ac:dyDescent="0.25">
      <c r="A4184" s="167"/>
      <c r="B4184" s="167"/>
    </row>
    <row r="4185" spans="1:2" x14ac:dyDescent="0.25">
      <c r="A4185" s="167"/>
      <c r="B4185" s="167"/>
    </row>
    <row r="4186" spans="1:2" x14ac:dyDescent="0.25">
      <c r="A4186" s="167"/>
      <c r="B4186" s="167"/>
    </row>
    <row r="4187" spans="1:2" x14ac:dyDescent="0.25">
      <c r="A4187" s="167"/>
      <c r="B4187" s="167"/>
    </row>
    <row r="4188" spans="1:2" x14ac:dyDescent="0.25">
      <c r="A4188" s="167"/>
      <c r="B4188" s="167"/>
    </row>
    <row r="4189" spans="1:2" x14ac:dyDescent="0.25">
      <c r="A4189" s="167"/>
      <c r="B4189" s="167"/>
    </row>
    <row r="4190" spans="1:2" x14ac:dyDescent="0.25">
      <c r="A4190" s="167"/>
      <c r="B4190" s="167"/>
    </row>
    <row r="4191" spans="1:2" x14ac:dyDescent="0.25">
      <c r="A4191" s="167"/>
      <c r="B4191" s="167"/>
    </row>
    <row r="4192" spans="1:2" x14ac:dyDescent="0.25">
      <c r="A4192" s="167"/>
      <c r="B4192" s="167"/>
    </row>
    <row r="4193" spans="1:2" x14ac:dyDescent="0.25">
      <c r="A4193" s="167"/>
      <c r="B4193" s="167"/>
    </row>
    <row r="4194" spans="1:2" x14ac:dyDescent="0.25">
      <c r="A4194" s="167"/>
      <c r="B4194" s="167"/>
    </row>
    <row r="4195" spans="1:2" x14ac:dyDescent="0.25">
      <c r="A4195" s="167"/>
      <c r="B4195" s="167"/>
    </row>
    <row r="4196" spans="1:2" x14ac:dyDescent="0.25">
      <c r="A4196" s="167"/>
      <c r="B4196" s="167"/>
    </row>
    <row r="4197" spans="1:2" x14ac:dyDescent="0.25">
      <c r="A4197" s="167"/>
      <c r="B4197" s="167"/>
    </row>
    <row r="4198" spans="1:2" x14ac:dyDescent="0.25">
      <c r="A4198" s="167"/>
      <c r="B4198" s="167"/>
    </row>
    <row r="4199" spans="1:2" x14ac:dyDescent="0.25">
      <c r="A4199" s="167"/>
      <c r="B4199" s="167"/>
    </row>
    <row r="4200" spans="1:2" x14ac:dyDescent="0.25">
      <c r="A4200" s="167"/>
      <c r="B4200" s="167"/>
    </row>
    <row r="4201" spans="1:2" x14ac:dyDescent="0.25">
      <c r="A4201" s="167"/>
      <c r="B4201" s="167"/>
    </row>
    <row r="4202" spans="1:2" x14ac:dyDescent="0.25">
      <c r="A4202" s="167"/>
      <c r="B4202" s="167"/>
    </row>
    <row r="4203" spans="1:2" x14ac:dyDescent="0.25">
      <c r="A4203" s="167"/>
      <c r="B4203" s="167"/>
    </row>
    <row r="4204" spans="1:2" x14ac:dyDescent="0.25">
      <c r="A4204" s="167"/>
      <c r="B4204" s="167"/>
    </row>
    <row r="4205" spans="1:2" x14ac:dyDescent="0.25">
      <c r="A4205" s="167"/>
      <c r="B4205" s="167"/>
    </row>
    <row r="4206" spans="1:2" x14ac:dyDescent="0.25">
      <c r="A4206" s="167"/>
      <c r="B4206" s="167"/>
    </row>
    <row r="4207" spans="1:2" x14ac:dyDescent="0.25">
      <c r="A4207" s="167"/>
      <c r="B4207" s="167"/>
    </row>
    <row r="4208" spans="1:2" x14ac:dyDescent="0.25">
      <c r="A4208" s="167"/>
      <c r="B4208" s="167"/>
    </row>
    <row r="4209" spans="1:2" x14ac:dyDescent="0.25">
      <c r="A4209" s="167"/>
      <c r="B4209" s="167"/>
    </row>
    <row r="4210" spans="1:2" x14ac:dyDescent="0.25">
      <c r="A4210" s="167"/>
      <c r="B4210" s="167"/>
    </row>
    <row r="4211" spans="1:2" x14ac:dyDescent="0.25">
      <c r="A4211" s="167"/>
      <c r="B4211" s="167"/>
    </row>
    <row r="4212" spans="1:2" x14ac:dyDescent="0.25">
      <c r="A4212" s="167"/>
      <c r="B4212" s="167"/>
    </row>
    <row r="4213" spans="1:2" x14ac:dyDescent="0.25">
      <c r="A4213" s="167"/>
      <c r="B4213" s="167"/>
    </row>
    <row r="4214" spans="1:2" x14ac:dyDescent="0.25">
      <c r="A4214" s="167"/>
      <c r="B4214" s="167"/>
    </row>
    <row r="4215" spans="1:2" x14ac:dyDescent="0.25">
      <c r="A4215" s="167"/>
      <c r="B4215" s="167"/>
    </row>
    <row r="4216" spans="1:2" x14ac:dyDescent="0.25">
      <c r="A4216" s="167"/>
      <c r="B4216" s="167"/>
    </row>
    <row r="4217" spans="1:2" x14ac:dyDescent="0.25">
      <c r="A4217" s="167"/>
      <c r="B4217" s="167"/>
    </row>
    <row r="4218" spans="1:2" x14ac:dyDescent="0.25">
      <c r="A4218" s="167"/>
      <c r="B4218" s="167"/>
    </row>
    <row r="4219" spans="1:2" x14ac:dyDescent="0.25">
      <c r="A4219" s="167"/>
      <c r="B4219" s="167"/>
    </row>
    <row r="4220" spans="1:2" x14ac:dyDescent="0.25">
      <c r="A4220" s="167"/>
      <c r="B4220" s="167"/>
    </row>
    <row r="4221" spans="1:2" x14ac:dyDescent="0.25">
      <c r="A4221" s="167"/>
      <c r="B4221" s="167"/>
    </row>
    <row r="4222" spans="1:2" x14ac:dyDescent="0.25">
      <c r="A4222" s="167"/>
      <c r="B4222" s="167"/>
    </row>
    <row r="4223" spans="1:2" x14ac:dyDescent="0.25">
      <c r="A4223" s="167"/>
      <c r="B4223" s="167"/>
    </row>
    <row r="4224" spans="1:2" x14ac:dyDescent="0.25">
      <c r="A4224" s="167"/>
      <c r="B4224" s="167"/>
    </row>
    <row r="4225" spans="1:2" x14ac:dyDescent="0.25">
      <c r="A4225" s="167"/>
      <c r="B4225" s="167"/>
    </row>
    <row r="4226" spans="1:2" x14ac:dyDescent="0.25">
      <c r="A4226" s="167"/>
      <c r="B4226" s="167"/>
    </row>
    <row r="4227" spans="1:2" x14ac:dyDescent="0.25">
      <c r="A4227" s="167"/>
      <c r="B4227" s="167"/>
    </row>
    <row r="4228" spans="1:2" x14ac:dyDescent="0.25">
      <c r="A4228" s="167"/>
      <c r="B4228" s="167"/>
    </row>
    <row r="4229" spans="1:2" x14ac:dyDescent="0.25">
      <c r="A4229" s="167"/>
      <c r="B4229" s="167"/>
    </row>
    <row r="4230" spans="1:2" x14ac:dyDescent="0.25">
      <c r="A4230" s="167"/>
      <c r="B4230" s="167"/>
    </row>
    <row r="4231" spans="1:2" x14ac:dyDescent="0.25">
      <c r="A4231" s="167"/>
      <c r="B4231" s="167"/>
    </row>
    <row r="4232" spans="1:2" x14ac:dyDescent="0.25">
      <c r="A4232" s="167"/>
      <c r="B4232" s="167"/>
    </row>
    <row r="4233" spans="1:2" x14ac:dyDescent="0.25">
      <c r="A4233" s="167"/>
      <c r="B4233" s="167"/>
    </row>
    <row r="4234" spans="1:2" x14ac:dyDescent="0.25">
      <c r="A4234" s="167"/>
      <c r="B4234" s="167"/>
    </row>
    <row r="4235" spans="1:2" x14ac:dyDescent="0.25">
      <c r="A4235" s="167"/>
      <c r="B4235" s="167"/>
    </row>
    <row r="4236" spans="1:2" x14ac:dyDescent="0.25">
      <c r="A4236" s="167"/>
      <c r="B4236" s="167"/>
    </row>
    <row r="4237" spans="1:2" x14ac:dyDescent="0.25">
      <c r="A4237" s="167"/>
      <c r="B4237" s="167"/>
    </row>
    <row r="4238" spans="1:2" x14ac:dyDescent="0.25">
      <c r="A4238" s="167"/>
      <c r="B4238" s="167"/>
    </row>
    <row r="4239" spans="1:2" x14ac:dyDescent="0.25">
      <c r="A4239" s="167"/>
      <c r="B4239" s="167"/>
    </row>
    <row r="4240" spans="1:2" x14ac:dyDescent="0.25">
      <c r="A4240" s="167"/>
      <c r="B4240" s="167"/>
    </row>
    <row r="4241" spans="1:2" x14ac:dyDescent="0.25">
      <c r="A4241" s="167"/>
      <c r="B4241" s="167"/>
    </row>
    <row r="4242" spans="1:2" x14ac:dyDescent="0.25">
      <c r="A4242" s="167"/>
      <c r="B4242" s="167"/>
    </row>
    <row r="4243" spans="1:2" x14ac:dyDescent="0.25">
      <c r="A4243" s="167"/>
      <c r="B4243" s="167"/>
    </row>
    <row r="4244" spans="1:2" x14ac:dyDescent="0.25">
      <c r="A4244" s="167"/>
      <c r="B4244" s="167"/>
    </row>
    <row r="4245" spans="1:2" x14ac:dyDescent="0.25">
      <c r="A4245" s="167"/>
      <c r="B4245" s="167"/>
    </row>
    <row r="4246" spans="1:2" x14ac:dyDescent="0.25">
      <c r="A4246" s="167"/>
      <c r="B4246" s="167"/>
    </row>
    <row r="4247" spans="1:2" x14ac:dyDescent="0.25">
      <c r="A4247" s="167"/>
      <c r="B4247" s="167"/>
    </row>
    <row r="4248" spans="1:2" x14ac:dyDescent="0.25">
      <c r="A4248" s="167"/>
      <c r="B4248" s="167"/>
    </row>
    <row r="4249" spans="1:2" x14ac:dyDescent="0.25">
      <c r="A4249" s="167"/>
      <c r="B4249" s="167"/>
    </row>
    <row r="4250" spans="1:2" x14ac:dyDescent="0.25">
      <c r="A4250" s="167"/>
      <c r="B4250" s="167"/>
    </row>
    <row r="4251" spans="1:2" x14ac:dyDescent="0.25">
      <c r="A4251" s="167"/>
      <c r="B4251" s="167"/>
    </row>
    <row r="4252" spans="1:2" x14ac:dyDescent="0.25">
      <c r="A4252" s="167"/>
      <c r="B4252" s="167"/>
    </row>
    <row r="4253" spans="1:2" x14ac:dyDescent="0.25">
      <c r="A4253" s="167"/>
      <c r="B4253" s="167"/>
    </row>
    <row r="4254" spans="1:2" x14ac:dyDescent="0.25">
      <c r="A4254" s="167"/>
      <c r="B4254" s="167"/>
    </row>
    <row r="4255" spans="1:2" x14ac:dyDescent="0.25">
      <c r="A4255" s="167"/>
      <c r="B4255" s="167"/>
    </row>
    <row r="4256" spans="1:2" x14ac:dyDescent="0.25">
      <c r="A4256" s="167"/>
      <c r="B4256" s="167"/>
    </row>
    <row r="4257" spans="1:2" x14ac:dyDescent="0.25">
      <c r="A4257" s="167"/>
      <c r="B4257" s="167"/>
    </row>
    <row r="4258" spans="1:2" x14ac:dyDescent="0.25">
      <c r="A4258" s="167"/>
      <c r="B4258" s="167"/>
    </row>
    <row r="4259" spans="1:2" x14ac:dyDescent="0.25">
      <c r="A4259" s="167"/>
      <c r="B4259" s="167"/>
    </row>
    <row r="4260" spans="1:2" x14ac:dyDescent="0.25">
      <c r="A4260" s="167"/>
      <c r="B4260" s="167"/>
    </row>
    <row r="4261" spans="1:2" x14ac:dyDescent="0.25">
      <c r="A4261" s="167"/>
      <c r="B4261" s="167"/>
    </row>
    <row r="4262" spans="1:2" x14ac:dyDescent="0.25">
      <c r="A4262" s="167"/>
      <c r="B4262" s="167"/>
    </row>
    <row r="4263" spans="1:2" x14ac:dyDescent="0.25">
      <c r="A4263" s="167"/>
      <c r="B4263" s="167"/>
    </row>
    <row r="4264" spans="1:2" x14ac:dyDescent="0.25">
      <c r="A4264" s="167"/>
      <c r="B4264" s="167"/>
    </row>
    <row r="4265" spans="1:2" x14ac:dyDescent="0.25">
      <c r="A4265" s="167"/>
      <c r="B4265" s="167"/>
    </row>
    <row r="4266" spans="1:2" x14ac:dyDescent="0.25">
      <c r="A4266" s="167"/>
      <c r="B4266" s="167"/>
    </row>
    <row r="4267" spans="1:2" x14ac:dyDescent="0.25">
      <c r="A4267" s="167"/>
      <c r="B4267" s="167"/>
    </row>
    <row r="4268" spans="1:2" x14ac:dyDescent="0.25">
      <c r="A4268" s="167"/>
      <c r="B4268" s="167"/>
    </row>
    <row r="4269" spans="1:2" x14ac:dyDescent="0.25">
      <c r="A4269" s="167"/>
      <c r="B4269" s="167"/>
    </row>
    <row r="4270" spans="1:2" x14ac:dyDescent="0.25">
      <c r="A4270" s="167"/>
      <c r="B4270" s="167"/>
    </row>
    <row r="4271" spans="1:2" x14ac:dyDescent="0.25">
      <c r="A4271" s="167"/>
      <c r="B4271" s="167"/>
    </row>
    <row r="4272" spans="1:2" x14ac:dyDescent="0.25">
      <c r="A4272" s="167"/>
      <c r="B4272" s="167"/>
    </row>
    <row r="4273" spans="1:2" x14ac:dyDescent="0.25">
      <c r="A4273" s="167"/>
      <c r="B4273" s="167"/>
    </row>
    <row r="4274" spans="1:2" x14ac:dyDescent="0.25">
      <c r="A4274" s="167"/>
      <c r="B4274" s="167"/>
    </row>
    <row r="4275" spans="1:2" x14ac:dyDescent="0.25">
      <c r="A4275" s="167"/>
      <c r="B4275" s="167"/>
    </row>
    <row r="4276" spans="1:2" x14ac:dyDescent="0.25">
      <c r="A4276" s="167"/>
      <c r="B4276" s="167"/>
    </row>
    <row r="4277" spans="1:2" x14ac:dyDescent="0.25">
      <c r="A4277" s="167"/>
      <c r="B4277" s="167"/>
    </row>
    <row r="4278" spans="1:2" x14ac:dyDescent="0.25">
      <c r="A4278" s="167"/>
      <c r="B4278" s="167"/>
    </row>
    <row r="4279" spans="1:2" x14ac:dyDescent="0.25">
      <c r="A4279" s="167"/>
      <c r="B4279" s="167"/>
    </row>
    <row r="4280" spans="1:2" x14ac:dyDescent="0.25">
      <c r="A4280" s="167"/>
      <c r="B4280" s="167"/>
    </row>
    <row r="4281" spans="1:2" x14ac:dyDescent="0.25">
      <c r="A4281" s="167"/>
      <c r="B4281" s="167"/>
    </row>
    <row r="4282" spans="1:2" x14ac:dyDescent="0.25">
      <c r="A4282" s="167"/>
      <c r="B4282" s="167"/>
    </row>
    <row r="4283" spans="1:2" x14ac:dyDescent="0.25">
      <c r="A4283" s="167"/>
      <c r="B4283" s="167"/>
    </row>
    <row r="4284" spans="1:2" x14ac:dyDescent="0.25">
      <c r="A4284" s="167"/>
      <c r="B4284" s="167"/>
    </row>
    <row r="4285" spans="1:2" x14ac:dyDescent="0.25">
      <c r="A4285" s="167"/>
      <c r="B4285" s="167"/>
    </row>
    <row r="4286" spans="1:2" x14ac:dyDescent="0.25">
      <c r="A4286" s="167"/>
      <c r="B4286" s="167"/>
    </row>
    <row r="4287" spans="1:2" x14ac:dyDescent="0.25">
      <c r="A4287" s="167"/>
      <c r="B4287" s="167"/>
    </row>
    <row r="4288" spans="1:2" x14ac:dyDescent="0.25">
      <c r="A4288" s="167"/>
      <c r="B4288" s="167"/>
    </row>
    <row r="4289" spans="1:2" x14ac:dyDescent="0.25">
      <c r="A4289" s="167"/>
      <c r="B4289" s="167"/>
    </row>
    <row r="4290" spans="1:2" x14ac:dyDescent="0.25">
      <c r="A4290" s="167"/>
      <c r="B4290" s="167"/>
    </row>
    <row r="4291" spans="1:2" x14ac:dyDescent="0.25">
      <c r="A4291" s="167"/>
      <c r="B4291" s="167"/>
    </row>
    <row r="4292" spans="1:2" x14ac:dyDescent="0.25">
      <c r="A4292" s="167"/>
      <c r="B4292" s="167"/>
    </row>
    <row r="4293" spans="1:2" x14ac:dyDescent="0.25">
      <c r="A4293" s="167"/>
      <c r="B4293" s="167"/>
    </row>
    <row r="4294" spans="1:2" x14ac:dyDescent="0.25">
      <c r="A4294" s="167"/>
      <c r="B4294" s="167"/>
    </row>
    <row r="4295" spans="1:2" x14ac:dyDescent="0.25">
      <c r="A4295" s="167"/>
      <c r="B4295" s="167"/>
    </row>
    <row r="4296" spans="1:2" x14ac:dyDescent="0.25">
      <c r="A4296" s="167"/>
      <c r="B4296" s="167"/>
    </row>
    <row r="4297" spans="1:2" x14ac:dyDescent="0.25">
      <c r="A4297" s="167"/>
      <c r="B4297" s="167"/>
    </row>
    <row r="4298" spans="1:2" x14ac:dyDescent="0.25">
      <c r="A4298" s="167"/>
      <c r="B4298" s="167"/>
    </row>
    <row r="4299" spans="1:2" x14ac:dyDescent="0.25">
      <c r="A4299" s="167"/>
      <c r="B4299" s="167"/>
    </row>
    <row r="4300" spans="1:2" x14ac:dyDescent="0.25">
      <c r="A4300" s="167"/>
      <c r="B4300" s="167"/>
    </row>
    <row r="4301" spans="1:2" x14ac:dyDescent="0.25">
      <c r="A4301" s="167"/>
      <c r="B4301" s="167"/>
    </row>
    <row r="4302" spans="1:2" x14ac:dyDescent="0.25">
      <c r="A4302" s="167"/>
      <c r="B4302" s="167"/>
    </row>
    <row r="4303" spans="1:2" x14ac:dyDescent="0.25">
      <c r="A4303" s="167"/>
      <c r="B4303" s="167"/>
    </row>
    <row r="4304" spans="1:2" x14ac:dyDescent="0.25">
      <c r="A4304" s="167"/>
      <c r="B4304" s="167"/>
    </row>
    <row r="4305" spans="1:2" x14ac:dyDescent="0.25">
      <c r="A4305" s="167"/>
      <c r="B4305" s="167"/>
    </row>
    <row r="4306" spans="1:2" x14ac:dyDescent="0.25">
      <c r="A4306" s="167"/>
      <c r="B4306" s="167"/>
    </row>
    <row r="4307" spans="1:2" x14ac:dyDescent="0.25">
      <c r="A4307" s="167"/>
      <c r="B4307" s="167"/>
    </row>
    <row r="4308" spans="1:2" x14ac:dyDescent="0.25">
      <c r="A4308" s="167"/>
      <c r="B4308" s="167"/>
    </row>
    <row r="4309" spans="1:2" x14ac:dyDescent="0.25">
      <c r="A4309" s="167"/>
      <c r="B4309" s="167"/>
    </row>
    <row r="4310" spans="1:2" x14ac:dyDescent="0.25">
      <c r="A4310" s="167"/>
      <c r="B4310" s="167"/>
    </row>
    <row r="4311" spans="1:2" x14ac:dyDescent="0.25">
      <c r="A4311" s="167"/>
      <c r="B4311" s="167"/>
    </row>
    <row r="4312" spans="1:2" x14ac:dyDescent="0.25">
      <c r="A4312" s="167"/>
      <c r="B4312" s="167"/>
    </row>
    <row r="4313" spans="1:2" x14ac:dyDescent="0.25">
      <c r="A4313" s="167"/>
      <c r="B4313" s="167"/>
    </row>
    <row r="4314" spans="1:2" x14ac:dyDescent="0.25">
      <c r="A4314" s="167"/>
      <c r="B4314" s="167"/>
    </row>
    <row r="4315" spans="1:2" x14ac:dyDescent="0.25">
      <c r="A4315" s="167"/>
      <c r="B4315" s="167"/>
    </row>
    <row r="4316" spans="1:2" x14ac:dyDescent="0.25">
      <c r="A4316" s="167"/>
      <c r="B4316" s="167"/>
    </row>
    <row r="4317" spans="1:2" x14ac:dyDescent="0.25">
      <c r="A4317" s="167"/>
      <c r="B4317" s="167"/>
    </row>
    <row r="4318" spans="1:2" x14ac:dyDescent="0.25">
      <c r="A4318" s="167"/>
      <c r="B4318" s="167"/>
    </row>
    <row r="4319" spans="1:2" x14ac:dyDescent="0.25">
      <c r="A4319" s="167"/>
      <c r="B4319" s="167"/>
    </row>
    <row r="4320" spans="1:2" x14ac:dyDescent="0.25">
      <c r="A4320" s="167"/>
      <c r="B4320" s="167"/>
    </row>
    <row r="4321" spans="1:2" x14ac:dyDescent="0.25">
      <c r="A4321" s="167"/>
      <c r="B4321" s="167"/>
    </row>
    <row r="4322" spans="1:2" x14ac:dyDescent="0.25">
      <c r="A4322" s="167"/>
      <c r="B4322" s="167"/>
    </row>
    <row r="4323" spans="1:2" x14ac:dyDescent="0.25">
      <c r="A4323" s="167"/>
      <c r="B4323" s="167"/>
    </row>
    <row r="4324" spans="1:2" x14ac:dyDescent="0.25">
      <c r="A4324" s="167"/>
      <c r="B4324" s="167"/>
    </row>
    <row r="4325" spans="1:2" x14ac:dyDescent="0.25">
      <c r="A4325" s="167"/>
      <c r="B4325" s="167"/>
    </row>
    <row r="4326" spans="1:2" x14ac:dyDescent="0.25">
      <c r="A4326" s="167"/>
      <c r="B4326" s="167"/>
    </row>
    <row r="4327" spans="1:2" x14ac:dyDescent="0.25">
      <c r="A4327" s="167"/>
      <c r="B4327" s="167"/>
    </row>
    <row r="4328" spans="1:2" x14ac:dyDescent="0.25">
      <c r="A4328" s="167"/>
      <c r="B4328" s="167"/>
    </row>
    <row r="4329" spans="1:2" x14ac:dyDescent="0.25">
      <c r="A4329" s="167"/>
      <c r="B4329" s="167"/>
    </row>
    <row r="4330" spans="1:2" x14ac:dyDescent="0.25">
      <c r="A4330" s="167"/>
      <c r="B4330" s="167"/>
    </row>
    <row r="4331" spans="1:2" x14ac:dyDescent="0.25">
      <c r="A4331" s="167"/>
      <c r="B4331" s="167"/>
    </row>
    <row r="4332" spans="1:2" x14ac:dyDescent="0.25">
      <c r="A4332" s="167"/>
      <c r="B4332" s="167"/>
    </row>
    <row r="4333" spans="1:2" x14ac:dyDescent="0.25">
      <c r="A4333" s="167"/>
      <c r="B4333" s="167"/>
    </row>
    <row r="4334" spans="1:2" x14ac:dyDescent="0.25">
      <c r="A4334" s="167"/>
      <c r="B4334" s="167"/>
    </row>
    <row r="4335" spans="1:2" x14ac:dyDescent="0.25">
      <c r="A4335" s="167"/>
      <c r="B4335" s="167"/>
    </row>
    <row r="4336" spans="1:2" x14ac:dyDescent="0.25">
      <c r="A4336" s="167"/>
      <c r="B4336" s="167"/>
    </row>
    <row r="4337" spans="1:2" x14ac:dyDescent="0.25">
      <c r="A4337" s="167"/>
      <c r="B4337" s="167"/>
    </row>
    <row r="4338" spans="1:2" x14ac:dyDescent="0.25">
      <c r="A4338" s="167"/>
      <c r="B4338" s="167"/>
    </row>
    <row r="4339" spans="1:2" x14ac:dyDescent="0.25">
      <c r="A4339" s="167"/>
      <c r="B4339" s="167"/>
    </row>
    <row r="4340" spans="1:2" x14ac:dyDescent="0.25">
      <c r="A4340" s="167"/>
      <c r="B4340" s="167"/>
    </row>
    <row r="4341" spans="1:2" x14ac:dyDescent="0.25">
      <c r="A4341" s="167"/>
      <c r="B4341" s="167"/>
    </row>
    <row r="4342" spans="1:2" x14ac:dyDescent="0.25">
      <c r="A4342" s="167"/>
      <c r="B4342" s="167"/>
    </row>
    <row r="4343" spans="1:2" x14ac:dyDescent="0.25">
      <c r="A4343" s="167"/>
      <c r="B4343" s="167"/>
    </row>
    <row r="4344" spans="1:2" x14ac:dyDescent="0.25">
      <c r="A4344" s="167"/>
      <c r="B4344" s="167"/>
    </row>
    <row r="4345" spans="1:2" x14ac:dyDescent="0.25">
      <c r="A4345" s="167"/>
      <c r="B4345" s="167"/>
    </row>
    <row r="4346" spans="1:2" x14ac:dyDescent="0.25">
      <c r="A4346" s="167"/>
      <c r="B4346" s="167"/>
    </row>
    <row r="4347" spans="1:2" x14ac:dyDescent="0.25">
      <c r="A4347" s="167"/>
      <c r="B4347" s="167"/>
    </row>
    <row r="4348" spans="1:2" x14ac:dyDescent="0.25">
      <c r="A4348" s="167"/>
      <c r="B4348" s="167"/>
    </row>
    <row r="4349" spans="1:2" x14ac:dyDescent="0.25">
      <c r="A4349" s="167"/>
      <c r="B4349" s="167"/>
    </row>
    <row r="4350" spans="1:2" x14ac:dyDescent="0.25">
      <c r="A4350" s="167"/>
      <c r="B4350" s="167"/>
    </row>
    <row r="4351" spans="1:2" x14ac:dyDescent="0.25">
      <c r="A4351" s="167"/>
      <c r="B4351" s="167"/>
    </row>
    <row r="4352" spans="1:2" x14ac:dyDescent="0.25">
      <c r="A4352" s="167"/>
      <c r="B4352" s="167"/>
    </row>
    <row r="4353" spans="1:2" x14ac:dyDescent="0.25">
      <c r="A4353" s="167"/>
      <c r="B4353" s="167"/>
    </row>
    <row r="4354" spans="1:2" x14ac:dyDescent="0.25">
      <c r="A4354" s="167"/>
      <c r="B4354" s="167"/>
    </row>
    <row r="4355" spans="1:2" x14ac:dyDescent="0.25">
      <c r="A4355" s="167"/>
      <c r="B4355" s="167"/>
    </row>
    <row r="4356" spans="1:2" x14ac:dyDescent="0.25">
      <c r="A4356" s="167"/>
      <c r="B4356" s="167"/>
    </row>
    <row r="4357" spans="1:2" x14ac:dyDescent="0.25">
      <c r="A4357" s="167"/>
      <c r="B4357" s="167"/>
    </row>
    <row r="4358" spans="1:2" x14ac:dyDescent="0.25">
      <c r="A4358" s="167"/>
      <c r="B4358" s="167"/>
    </row>
    <row r="4359" spans="1:2" x14ac:dyDescent="0.25">
      <c r="A4359" s="167"/>
      <c r="B4359" s="167"/>
    </row>
    <row r="4360" spans="1:2" x14ac:dyDescent="0.25">
      <c r="A4360" s="167"/>
      <c r="B4360" s="167"/>
    </row>
    <row r="4361" spans="1:2" x14ac:dyDescent="0.25">
      <c r="A4361" s="167"/>
      <c r="B4361" s="167"/>
    </row>
    <row r="4362" spans="1:2" x14ac:dyDescent="0.25">
      <c r="A4362" s="167"/>
      <c r="B4362" s="167"/>
    </row>
    <row r="4363" spans="1:2" x14ac:dyDescent="0.25">
      <c r="A4363" s="167"/>
      <c r="B4363" s="167"/>
    </row>
    <row r="4364" spans="1:2" x14ac:dyDescent="0.25">
      <c r="A4364" s="167"/>
      <c r="B4364" s="167"/>
    </row>
    <row r="4365" spans="1:2" x14ac:dyDescent="0.25">
      <c r="A4365" s="167"/>
      <c r="B4365" s="167"/>
    </row>
    <row r="4366" spans="1:2" x14ac:dyDescent="0.25">
      <c r="A4366" s="167"/>
      <c r="B4366" s="167"/>
    </row>
    <row r="4367" spans="1:2" x14ac:dyDescent="0.25">
      <c r="A4367" s="167"/>
      <c r="B4367" s="167"/>
    </row>
    <row r="4368" spans="1:2" x14ac:dyDescent="0.25">
      <c r="A4368" s="167"/>
      <c r="B4368" s="167"/>
    </row>
    <row r="4369" spans="1:2" x14ac:dyDescent="0.25">
      <c r="A4369" s="167"/>
      <c r="B4369" s="167"/>
    </row>
    <row r="4370" spans="1:2" x14ac:dyDescent="0.25">
      <c r="A4370" s="167"/>
      <c r="B4370" s="167"/>
    </row>
    <row r="4371" spans="1:2" x14ac:dyDescent="0.25">
      <c r="A4371" s="167"/>
      <c r="B4371" s="167"/>
    </row>
    <row r="4372" spans="1:2" x14ac:dyDescent="0.25">
      <c r="A4372" s="167"/>
      <c r="B4372" s="167"/>
    </row>
    <row r="4373" spans="1:2" x14ac:dyDescent="0.25">
      <c r="A4373" s="167"/>
      <c r="B4373" s="167"/>
    </row>
    <row r="4374" spans="1:2" x14ac:dyDescent="0.25">
      <c r="A4374" s="167"/>
      <c r="B4374" s="167"/>
    </row>
    <row r="4375" spans="1:2" x14ac:dyDescent="0.25">
      <c r="A4375" s="167"/>
      <c r="B4375" s="167"/>
    </row>
    <row r="4376" spans="1:2" x14ac:dyDescent="0.25">
      <c r="A4376" s="167"/>
      <c r="B4376" s="167"/>
    </row>
    <row r="4377" spans="1:2" x14ac:dyDescent="0.25">
      <c r="A4377" s="167"/>
      <c r="B4377" s="167"/>
    </row>
    <row r="4378" spans="1:2" x14ac:dyDescent="0.25">
      <c r="A4378" s="167"/>
      <c r="B4378" s="167"/>
    </row>
    <row r="4379" spans="1:2" x14ac:dyDescent="0.25">
      <c r="A4379" s="167"/>
      <c r="B4379" s="167"/>
    </row>
    <row r="4380" spans="1:2" x14ac:dyDescent="0.25">
      <c r="A4380" s="167"/>
      <c r="B4380" s="167"/>
    </row>
    <row r="4381" spans="1:2" x14ac:dyDescent="0.25">
      <c r="A4381" s="167"/>
      <c r="B4381" s="167"/>
    </row>
    <row r="4382" spans="1:2" x14ac:dyDescent="0.25">
      <c r="A4382" s="167"/>
      <c r="B4382" s="167"/>
    </row>
    <row r="4383" spans="1:2" x14ac:dyDescent="0.25">
      <c r="A4383" s="167"/>
      <c r="B4383" s="167"/>
    </row>
    <row r="4384" spans="1:2" x14ac:dyDescent="0.25">
      <c r="A4384" s="167"/>
      <c r="B4384" s="167"/>
    </row>
    <row r="4385" spans="1:2" x14ac:dyDescent="0.25">
      <c r="A4385" s="167"/>
      <c r="B4385" s="167"/>
    </row>
    <row r="4386" spans="1:2" x14ac:dyDescent="0.25">
      <c r="A4386" s="167"/>
      <c r="B4386" s="167"/>
    </row>
    <row r="4387" spans="1:2" x14ac:dyDescent="0.25">
      <c r="A4387" s="167"/>
      <c r="B4387" s="167"/>
    </row>
    <row r="4388" spans="1:2" x14ac:dyDescent="0.25">
      <c r="A4388" s="167"/>
      <c r="B4388" s="167"/>
    </row>
    <row r="4389" spans="1:2" x14ac:dyDescent="0.25">
      <c r="A4389" s="167"/>
      <c r="B4389" s="167"/>
    </row>
    <row r="4390" spans="1:2" x14ac:dyDescent="0.25">
      <c r="A4390" s="167"/>
      <c r="B4390" s="167"/>
    </row>
    <row r="4391" spans="1:2" x14ac:dyDescent="0.25">
      <c r="A4391" s="167"/>
      <c r="B4391" s="167"/>
    </row>
    <row r="4392" spans="1:2" x14ac:dyDescent="0.25">
      <c r="A4392" s="167"/>
      <c r="B4392" s="167"/>
    </row>
    <row r="4393" spans="1:2" x14ac:dyDescent="0.25">
      <c r="A4393" s="167"/>
      <c r="B4393" s="167"/>
    </row>
    <row r="4394" spans="1:2" x14ac:dyDescent="0.25">
      <c r="A4394" s="167"/>
      <c r="B4394" s="167"/>
    </row>
    <row r="4395" spans="1:2" x14ac:dyDescent="0.25">
      <c r="A4395" s="167"/>
      <c r="B4395" s="167"/>
    </row>
    <row r="4396" spans="1:2" x14ac:dyDescent="0.25">
      <c r="A4396" s="167"/>
      <c r="B4396" s="167"/>
    </row>
    <row r="4397" spans="1:2" x14ac:dyDescent="0.25">
      <c r="A4397" s="167"/>
      <c r="B4397" s="167"/>
    </row>
    <row r="4398" spans="1:2" x14ac:dyDescent="0.25">
      <c r="A4398" s="167"/>
      <c r="B4398" s="167"/>
    </row>
    <row r="4399" spans="1:2" x14ac:dyDescent="0.25">
      <c r="A4399" s="167"/>
      <c r="B4399" s="167"/>
    </row>
    <row r="4400" spans="1:2" x14ac:dyDescent="0.25">
      <c r="A4400" s="167"/>
      <c r="B4400" s="167"/>
    </row>
    <row r="4401" spans="1:2" x14ac:dyDescent="0.25">
      <c r="A4401" s="167"/>
      <c r="B4401" s="167"/>
    </row>
    <row r="4402" spans="1:2" x14ac:dyDescent="0.25">
      <c r="A4402" s="167"/>
      <c r="B4402" s="167"/>
    </row>
    <row r="4403" spans="1:2" x14ac:dyDescent="0.25">
      <c r="A4403" s="167"/>
      <c r="B4403" s="167"/>
    </row>
    <row r="4404" spans="1:2" x14ac:dyDescent="0.25">
      <c r="A4404" s="167"/>
      <c r="B4404" s="167"/>
    </row>
    <row r="4405" spans="1:2" x14ac:dyDescent="0.25">
      <c r="A4405" s="167"/>
      <c r="B4405" s="167"/>
    </row>
    <row r="4406" spans="1:2" x14ac:dyDescent="0.25">
      <c r="A4406" s="167"/>
      <c r="B4406" s="167"/>
    </row>
    <row r="4407" spans="1:2" x14ac:dyDescent="0.25">
      <c r="A4407" s="167"/>
      <c r="B4407" s="167"/>
    </row>
    <row r="4408" spans="1:2" x14ac:dyDescent="0.25">
      <c r="A4408" s="167"/>
      <c r="B4408" s="167"/>
    </row>
    <row r="4409" spans="1:2" x14ac:dyDescent="0.25">
      <c r="A4409" s="167"/>
      <c r="B4409" s="167"/>
    </row>
    <row r="4410" spans="1:2" x14ac:dyDescent="0.25">
      <c r="A4410" s="167"/>
      <c r="B4410" s="167"/>
    </row>
    <row r="4411" spans="1:2" x14ac:dyDescent="0.25">
      <c r="A4411" s="167"/>
      <c r="B4411" s="167"/>
    </row>
    <row r="4412" spans="1:2" x14ac:dyDescent="0.25">
      <c r="A4412" s="167"/>
      <c r="B4412" s="167"/>
    </row>
    <row r="4413" spans="1:2" x14ac:dyDescent="0.25">
      <c r="A4413" s="167"/>
      <c r="B4413" s="167"/>
    </row>
    <row r="4414" spans="1:2" x14ac:dyDescent="0.25">
      <c r="A4414" s="167"/>
      <c r="B4414" s="167"/>
    </row>
    <row r="4415" spans="1:2" x14ac:dyDescent="0.25">
      <c r="A4415" s="167"/>
      <c r="B4415" s="167"/>
    </row>
    <row r="4416" spans="1:2" x14ac:dyDescent="0.25">
      <c r="A4416" s="167"/>
      <c r="B4416" s="167"/>
    </row>
    <row r="4417" spans="1:2" x14ac:dyDescent="0.25">
      <c r="A4417" s="167"/>
      <c r="B4417" s="167"/>
    </row>
    <row r="4418" spans="1:2" x14ac:dyDescent="0.25">
      <c r="A4418" s="167"/>
      <c r="B4418" s="167"/>
    </row>
    <row r="4419" spans="1:2" x14ac:dyDescent="0.25">
      <c r="A4419" s="167"/>
      <c r="B4419" s="167"/>
    </row>
    <row r="4420" spans="1:2" x14ac:dyDescent="0.25">
      <c r="A4420" s="167"/>
      <c r="B4420" s="167"/>
    </row>
    <row r="4421" spans="1:2" x14ac:dyDescent="0.25">
      <c r="A4421" s="167"/>
      <c r="B4421" s="167"/>
    </row>
    <row r="4422" spans="1:2" x14ac:dyDescent="0.25">
      <c r="A4422" s="167"/>
      <c r="B4422" s="167"/>
    </row>
    <row r="4423" spans="1:2" x14ac:dyDescent="0.25">
      <c r="A4423" s="167"/>
      <c r="B4423" s="167"/>
    </row>
    <row r="4424" spans="1:2" x14ac:dyDescent="0.25">
      <c r="A4424" s="167"/>
      <c r="B4424" s="167"/>
    </row>
    <row r="4425" spans="1:2" x14ac:dyDescent="0.25">
      <c r="A4425" s="167"/>
      <c r="B4425" s="167"/>
    </row>
    <row r="4426" spans="1:2" x14ac:dyDescent="0.25">
      <c r="A4426" s="167"/>
      <c r="B4426" s="167"/>
    </row>
    <row r="4427" spans="1:2" x14ac:dyDescent="0.25">
      <c r="A4427" s="167"/>
      <c r="B4427" s="167"/>
    </row>
    <row r="4428" spans="1:2" x14ac:dyDescent="0.25">
      <c r="A4428" s="167"/>
      <c r="B4428" s="167"/>
    </row>
    <row r="4429" spans="1:2" x14ac:dyDescent="0.25">
      <c r="A4429" s="167"/>
      <c r="B4429" s="167"/>
    </row>
    <row r="4430" spans="1:2" x14ac:dyDescent="0.25">
      <c r="A4430" s="167"/>
      <c r="B4430" s="167"/>
    </row>
    <row r="4431" spans="1:2" x14ac:dyDescent="0.25">
      <c r="A4431" s="167"/>
      <c r="B4431" s="167"/>
    </row>
    <row r="4432" spans="1:2" x14ac:dyDescent="0.25">
      <c r="A4432" s="167"/>
      <c r="B4432" s="167"/>
    </row>
    <row r="4433" spans="1:2" x14ac:dyDescent="0.25">
      <c r="A4433" s="167"/>
      <c r="B4433" s="167"/>
    </row>
    <row r="4434" spans="1:2" x14ac:dyDescent="0.25">
      <c r="A4434" s="167"/>
      <c r="B4434" s="167"/>
    </row>
    <row r="4435" spans="1:2" x14ac:dyDescent="0.25">
      <c r="A4435" s="167"/>
      <c r="B4435" s="167"/>
    </row>
    <row r="4436" spans="1:2" x14ac:dyDescent="0.25">
      <c r="A4436" s="167"/>
      <c r="B4436" s="167"/>
    </row>
    <row r="4437" spans="1:2" x14ac:dyDescent="0.25">
      <c r="A4437" s="167"/>
      <c r="B4437" s="167"/>
    </row>
    <row r="4438" spans="1:2" x14ac:dyDescent="0.25">
      <c r="A4438" s="167"/>
      <c r="B4438" s="167"/>
    </row>
    <row r="4439" spans="1:2" x14ac:dyDescent="0.25">
      <c r="A4439" s="167"/>
      <c r="B4439" s="167"/>
    </row>
    <row r="4440" spans="1:2" x14ac:dyDescent="0.25">
      <c r="A4440" s="167"/>
      <c r="B4440" s="167"/>
    </row>
    <row r="4441" spans="1:2" x14ac:dyDescent="0.25">
      <c r="A4441" s="167"/>
      <c r="B4441" s="167"/>
    </row>
    <row r="4442" spans="1:2" x14ac:dyDescent="0.25">
      <c r="A4442" s="167"/>
      <c r="B4442" s="167"/>
    </row>
    <row r="4443" spans="1:2" x14ac:dyDescent="0.25">
      <c r="A4443" s="167"/>
      <c r="B4443" s="167"/>
    </row>
    <row r="4444" spans="1:2" x14ac:dyDescent="0.25">
      <c r="A4444" s="167"/>
      <c r="B4444" s="167"/>
    </row>
    <row r="4445" spans="1:2" x14ac:dyDescent="0.25">
      <c r="A4445" s="167"/>
      <c r="B4445" s="167"/>
    </row>
    <row r="4446" spans="1:2" x14ac:dyDescent="0.25">
      <c r="A4446" s="167"/>
      <c r="B4446" s="167"/>
    </row>
    <row r="4447" spans="1:2" x14ac:dyDescent="0.25">
      <c r="A4447" s="167"/>
      <c r="B4447" s="167"/>
    </row>
    <row r="4448" spans="1:2" x14ac:dyDescent="0.25">
      <c r="A4448" s="167"/>
      <c r="B4448" s="167"/>
    </row>
    <row r="4449" spans="1:2" x14ac:dyDescent="0.25">
      <c r="A4449" s="167"/>
      <c r="B4449" s="167"/>
    </row>
    <row r="4450" spans="1:2" x14ac:dyDescent="0.25">
      <c r="A4450" s="167"/>
      <c r="B4450" s="167"/>
    </row>
    <row r="4451" spans="1:2" x14ac:dyDescent="0.25">
      <c r="A4451" s="167"/>
      <c r="B4451" s="167"/>
    </row>
    <row r="4452" spans="1:2" x14ac:dyDescent="0.25">
      <c r="A4452" s="167"/>
      <c r="B4452" s="167"/>
    </row>
    <row r="4453" spans="1:2" x14ac:dyDescent="0.25">
      <c r="A4453" s="167"/>
      <c r="B4453" s="167"/>
    </row>
    <row r="4454" spans="1:2" x14ac:dyDescent="0.25">
      <c r="A4454" s="167"/>
      <c r="B4454" s="167"/>
    </row>
    <row r="4455" spans="1:2" x14ac:dyDescent="0.25">
      <c r="A4455" s="167"/>
      <c r="B4455" s="167"/>
    </row>
    <row r="4456" spans="1:2" x14ac:dyDescent="0.25">
      <c r="A4456" s="167"/>
      <c r="B4456" s="167"/>
    </row>
    <row r="4457" spans="1:2" x14ac:dyDescent="0.25">
      <c r="A4457" s="167"/>
      <c r="B4457" s="167"/>
    </row>
    <row r="4458" spans="1:2" x14ac:dyDescent="0.25">
      <c r="A4458" s="167"/>
      <c r="B4458" s="167"/>
    </row>
    <row r="4459" spans="1:2" x14ac:dyDescent="0.25">
      <c r="A4459" s="167"/>
      <c r="B4459" s="167"/>
    </row>
    <row r="4460" spans="1:2" x14ac:dyDescent="0.25">
      <c r="A4460" s="167"/>
      <c r="B4460" s="167"/>
    </row>
    <row r="4461" spans="1:2" x14ac:dyDescent="0.25">
      <c r="A4461" s="167"/>
      <c r="B4461" s="167"/>
    </row>
    <row r="4462" spans="1:2" x14ac:dyDescent="0.25">
      <c r="A4462" s="167"/>
      <c r="B4462" s="167"/>
    </row>
    <row r="4463" spans="1:2" x14ac:dyDescent="0.25">
      <c r="A4463" s="167"/>
      <c r="B4463" s="167"/>
    </row>
    <row r="4464" spans="1:2" x14ac:dyDescent="0.25">
      <c r="A4464" s="167"/>
      <c r="B4464" s="167"/>
    </row>
    <row r="4465" spans="1:2" x14ac:dyDescent="0.25">
      <c r="A4465" s="167"/>
      <c r="B4465" s="167"/>
    </row>
    <row r="4466" spans="1:2" x14ac:dyDescent="0.25">
      <c r="A4466" s="167"/>
      <c r="B4466" s="167"/>
    </row>
    <row r="4467" spans="1:2" x14ac:dyDescent="0.25">
      <c r="A4467" s="167"/>
      <c r="B4467" s="167"/>
    </row>
    <row r="4468" spans="1:2" x14ac:dyDescent="0.25">
      <c r="A4468" s="167"/>
      <c r="B4468" s="167"/>
    </row>
    <row r="4469" spans="1:2" x14ac:dyDescent="0.25">
      <c r="A4469" s="167"/>
      <c r="B4469" s="167"/>
    </row>
    <row r="4470" spans="1:2" x14ac:dyDescent="0.25">
      <c r="A4470" s="167"/>
      <c r="B4470" s="167"/>
    </row>
    <row r="4471" spans="1:2" x14ac:dyDescent="0.25">
      <c r="A4471" s="167"/>
      <c r="B4471" s="167"/>
    </row>
    <row r="4472" spans="1:2" x14ac:dyDescent="0.25">
      <c r="A4472" s="167"/>
      <c r="B4472" s="167"/>
    </row>
    <row r="4473" spans="1:2" x14ac:dyDescent="0.25">
      <c r="A4473" s="167"/>
      <c r="B4473" s="167"/>
    </row>
    <row r="4474" spans="1:2" x14ac:dyDescent="0.25">
      <c r="A4474" s="167"/>
      <c r="B4474" s="167"/>
    </row>
    <row r="4475" spans="1:2" x14ac:dyDescent="0.25">
      <c r="A4475" s="167"/>
      <c r="B4475" s="167"/>
    </row>
    <row r="4476" spans="1:2" x14ac:dyDescent="0.25">
      <c r="A4476" s="167"/>
      <c r="B4476" s="167"/>
    </row>
    <row r="4477" spans="1:2" x14ac:dyDescent="0.25">
      <c r="A4477" s="167"/>
      <c r="B4477" s="167"/>
    </row>
    <row r="4478" spans="1:2" x14ac:dyDescent="0.25">
      <c r="A4478" s="167"/>
      <c r="B4478" s="167"/>
    </row>
    <row r="4479" spans="1:2" x14ac:dyDescent="0.25">
      <c r="A4479" s="167"/>
      <c r="B4479" s="167"/>
    </row>
    <row r="4480" spans="1:2" x14ac:dyDescent="0.25">
      <c r="A4480" s="167"/>
      <c r="B4480" s="167"/>
    </row>
    <row r="4481" spans="1:2" x14ac:dyDescent="0.25">
      <c r="A4481" s="167"/>
      <c r="B4481" s="167"/>
    </row>
    <row r="4482" spans="1:2" x14ac:dyDescent="0.25">
      <c r="A4482" s="167"/>
      <c r="B4482" s="167"/>
    </row>
    <row r="4483" spans="1:2" x14ac:dyDescent="0.25">
      <c r="A4483" s="167"/>
      <c r="B4483" s="167"/>
    </row>
    <row r="4484" spans="1:2" x14ac:dyDescent="0.25">
      <c r="A4484" s="167"/>
      <c r="B4484" s="167"/>
    </row>
    <row r="4485" spans="1:2" x14ac:dyDescent="0.25">
      <c r="A4485" s="167"/>
      <c r="B4485" s="167"/>
    </row>
    <row r="4486" spans="1:2" x14ac:dyDescent="0.25">
      <c r="A4486" s="167"/>
      <c r="B4486" s="167"/>
    </row>
    <row r="4487" spans="1:2" x14ac:dyDescent="0.25">
      <c r="A4487" s="167"/>
      <c r="B4487" s="167"/>
    </row>
    <row r="4488" spans="1:2" x14ac:dyDescent="0.25">
      <c r="A4488" s="167"/>
      <c r="B4488" s="167"/>
    </row>
    <row r="4489" spans="1:2" x14ac:dyDescent="0.25">
      <c r="A4489" s="167"/>
      <c r="B4489" s="167"/>
    </row>
    <row r="4490" spans="1:2" x14ac:dyDescent="0.25">
      <c r="A4490" s="167"/>
      <c r="B4490" s="167"/>
    </row>
    <row r="4491" spans="1:2" x14ac:dyDescent="0.25">
      <c r="A4491" s="167"/>
      <c r="B4491" s="167"/>
    </row>
    <row r="4492" spans="1:2" x14ac:dyDescent="0.25">
      <c r="A4492" s="167"/>
      <c r="B4492" s="167"/>
    </row>
    <row r="4493" spans="1:2" x14ac:dyDescent="0.25">
      <c r="A4493" s="167"/>
      <c r="B4493" s="167"/>
    </row>
    <row r="4494" spans="1:2" x14ac:dyDescent="0.25">
      <c r="A4494" s="167"/>
      <c r="B4494" s="167"/>
    </row>
    <row r="4495" spans="1:2" x14ac:dyDescent="0.25">
      <c r="A4495" s="167"/>
      <c r="B4495" s="167"/>
    </row>
    <row r="4496" spans="1:2" x14ac:dyDescent="0.25">
      <c r="A4496" s="167"/>
      <c r="B4496" s="167"/>
    </row>
    <row r="4497" spans="1:2" x14ac:dyDescent="0.25">
      <c r="A4497" s="167"/>
      <c r="B4497" s="167"/>
    </row>
    <row r="4498" spans="1:2" x14ac:dyDescent="0.25">
      <c r="A4498" s="167"/>
      <c r="B4498" s="167"/>
    </row>
    <row r="4499" spans="1:2" x14ac:dyDescent="0.25">
      <c r="A4499" s="167"/>
      <c r="B4499" s="167"/>
    </row>
    <row r="4500" spans="1:2" x14ac:dyDescent="0.25">
      <c r="A4500" s="167"/>
      <c r="B4500" s="167"/>
    </row>
    <row r="4501" spans="1:2" x14ac:dyDescent="0.25">
      <c r="A4501" s="167"/>
      <c r="B4501" s="167"/>
    </row>
    <row r="4502" spans="1:2" x14ac:dyDescent="0.25">
      <c r="A4502" s="167"/>
      <c r="B4502" s="167"/>
    </row>
    <row r="4503" spans="1:2" x14ac:dyDescent="0.25">
      <c r="A4503" s="167"/>
      <c r="B4503" s="167"/>
    </row>
    <row r="4504" spans="1:2" x14ac:dyDescent="0.25">
      <c r="A4504" s="167"/>
      <c r="B4504" s="167"/>
    </row>
    <row r="4505" spans="1:2" x14ac:dyDescent="0.25">
      <c r="A4505" s="167"/>
      <c r="B4505" s="167"/>
    </row>
    <row r="4506" spans="1:2" x14ac:dyDescent="0.25">
      <c r="A4506" s="167"/>
      <c r="B4506" s="167"/>
    </row>
    <row r="4507" spans="1:2" x14ac:dyDescent="0.25">
      <c r="A4507" s="167"/>
      <c r="B4507" s="167"/>
    </row>
    <row r="4508" spans="1:2" x14ac:dyDescent="0.25">
      <c r="A4508" s="167"/>
      <c r="B4508" s="167"/>
    </row>
    <row r="4509" spans="1:2" x14ac:dyDescent="0.25">
      <c r="A4509" s="167"/>
      <c r="B4509" s="167"/>
    </row>
    <row r="4510" spans="1:2" x14ac:dyDescent="0.25">
      <c r="A4510" s="167"/>
      <c r="B4510" s="167"/>
    </row>
    <row r="4511" spans="1:2" x14ac:dyDescent="0.25">
      <c r="A4511" s="167"/>
      <c r="B4511" s="167"/>
    </row>
    <row r="4512" spans="1:2" x14ac:dyDescent="0.25">
      <c r="A4512" s="167"/>
      <c r="B4512" s="167"/>
    </row>
    <row r="4513" spans="1:2" x14ac:dyDescent="0.25">
      <c r="A4513" s="167"/>
      <c r="B4513" s="167"/>
    </row>
    <row r="4514" spans="1:2" x14ac:dyDescent="0.25">
      <c r="A4514" s="167"/>
      <c r="B4514" s="167"/>
    </row>
    <row r="4515" spans="1:2" x14ac:dyDescent="0.25">
      <c r="A4515" s="167"/>
      <c r="B4515" s="167"/>
    </row>
    <row r="4516" spans="1:2" x14ac:dyDescent="0.25">
      <c r="A4516" s="167"/>
      <c r="B4516" s="167"/>
    </row>
    <row r="4517" spans="1:2" x14ac:dyDescent="0.25">
      <c r="A4517" s="167"/>
      <c r="B4517" s="167"/>
    </row>
    <row r="4518" spans="1:2" x14ac:dyDescent="0.25">
      <c r="A4518" s="167"/>
      <c r="B4518" s="167"/>
    </row>
    <row r="4519" spans="1:2" x14ac:dyDescent="0.25">
      <c r="A4519" s="167"/>
      <c r="B4519" s="167"/>
    </row>
    <row r="4520" spans="1:2" x14ac:dyDescent="0.25">
      <c r="A4520" s="167"/>
      <c r="B4520" s="167"/>
    </row>
    <row r="4521" spans="1:2" x14ac:dyDescent="0.25">
      <c r="A4521" s="167"/>
      <c r="B4521" s="167"/>
    </row>
    <row r="4522" spans="1:2" x14ac:dyDescent="0.25">
      <c r="A4522" s="167"/>
      <c r="B4522" s="167"/>
    </row>
    <row r="4523" spans="1:2" x14ac:dyDescent="0.25">
      <c r="A4523" s="167"/>
      <c r="B4523" s="167"/>
    </row>
    <row r="4524" spans="1:2" x14ac:dyDescent="0.25">
      <c r="A4524" s="167"/>
      <c r="B4524" s="167"/>
    </row>
    <row r="4525" spans="1:2" x14ac:dyDescent="0.25">
      <c r="A4525" s="167"/>
      <c r="B4525" s="167"/>
    </row>
    <row r="4526" spans="1:2" x14ac:dyDescent="0.25">
      <c r="A4526" s="167"/>
      <c r="B4526" s="167"/>
    </row>
    <row r="4527" spans="1:2" x14ac:dyDescent="0.25">
      <c r="A4527" s="167"/>
      <c r="B4527" s="167"/>
    </row>
    <row r="4528" spans="1:2" x14ac:dyDescent="0.25">
      <c r="A4528" s="167"/>
      <c r="B4528" s="167"/>
    </row>
    <row r="4529" spans="1:2" x14ac:dyDescent="0.25">
      <c r="A4529" s="167"/>
      <c r="B4529" s="167"/>
    </row>
    <row r="4530" spans="1:2" x14ac:dyDescent="0.25">
      <c r="A4530" s="167"/>
      <c r="B4530" s="167"/>
    </row>
    <row r="4531" spans="1:2" x14ac:dyDescent="0.25">
      <c r="A4531" s="167"/>
      <c r="B4531" s="167"/>
    </row>
    <row r="4532" spans="1:2" x14ac:dyDescent="0.25">
      <c r="A4532" s="167"/>
      <c r="B4532" s="167"/>
    </row>
    <row r="4533" spans="1:2" x14ac:dyDescent="0.25">
      <c r="A4533" s="167"/>
      <c r="B4533" s="167"/>
    </row>
    <row r="4534" spans="1:2" x14ac:dyDescent="0.25">
      <c r="A4534" s="167"/>
      <c r="B4534" s="167"/>
    </row>
    <row r="4535" spans="1:2" x14ac:dyDescent="0.25">
      <c r="A4535" s="167"/>
      <c r="B4535" s="167"/>
    </row>
    <row r="4536" spans="1:2" x14ac:dyDescent="0.25">
      <c r="A4536" s="167"/>
      <c r="B4536" s="167"/>
    </row>
    <row r="4537" spans="1:2" x14ac:dyDescent="0.25">
      <c r="A4537" s="167"/>
      <c r="B4537" s="167"/>
    </row>
    <row r="4538" spans="1:2" x14ac:dyDescent="0.25">
      <c r="A4538" s="167"/>
      <c r="B4538" s="167"/>
    </row>
    <row r="4539" spans="1:2" x14ac:dyDescent="0.25">
      <c r="A4539" s="167"/>
      <c r="B4539" s="167"/>
    </row>
    <row r="4540" spans="1:2" x14ac:dyDescent="0.25">
      <c r="A4540" s="167"/>
      <c r="B4540" s="167"/>
    </row>
    <row r="4541" spans="1:2" x14ac:dyDescent="0.25">
      <c r="A4541" s="167"/>
      <c r="B4541" s="167"/>
    </row>
    <row r="4542" spans="1:2" x14ac:dyDescent="0.25">
      <c r="A4542" s="167"/>
      <c r="B4542" s="167"/>
    </row>
    <row r="4543" spans="1:2" x14ac:dyDescent="0.25">
      <c r="A4543" s="167"/>
      <c r="B4543" s="167"/>
    </row>
    <row r="4544" spans="1:2" x14ac:dyDescent="0.25">
      <c r="A4544" s="167"/>
      <c r="B4544" s="167"/>
    </row>
    <row r="4545" spans="1:2" x14ac:dyDescent="0.25">
      <c r="A4545" s="167"/>
      <c r="B4545" s="167"/>
    </row>
    <row r="4546" spans="1:2" x14ac:dyDescent="0.25">
      <c r="A4546" s="167"/>
      <c r="B4546" s="167"/>
    </row>
    <row r="4547" spans="1:2" x14ac:dyDescent="0.25">
      <c r="A4547" s="167"/>
      <c r="B4547" s="167"/>
    </row>
    <row r="4548" spans="1:2" x14ac:dyDescent="0.25">
      <c r="A4548" s="167"/>
      <c r="B4548" s="167"/>
    </row>
    <row r="4549" spans="1:2" x14ac:dyDescent="0.25">
      <c r="A4549" s="167"/>
      <c r="B4549" s="167"/>
    </row>
    <row r="4550" spans="1:2" x14ac:dyDescent="0.25">
      <c r="A4550" s="167"/>
      <c r="B4550" s="167"/>
    </row>
    <row r="4551" spans="1:2" x14ac:dyDescent="0.25">
      <c r="A4551" s="167"/>
      <c r="B4551" s="167"/>
    </row>
    <row r="4552" spans="1:2" x14ac:dyDescent="0.25">
      <c r="A4552" s="167"/>
      <c r="B4552" s="167"/>
    </row>
    <row r="4553" spans="1:2" x14ac:dyDescent="0.25">
      <c r="A4553" s="167"/>
      <c r="B4553" s="167"/>
    </row>
    <row r="4554" spans="1:2" x14ac:dyDescent="0.25">
      <c r="A4554" s="167"/>
      <c r="B4554" s="167"/>
    </row>
    <row r="4555" spans="1:2" x14ac:dyDescent="0.25">
      <c r="A4555" s="167"/>
      <c r="B4555" s="167"/>
    </row>
    <row r="4556" spans="1:2" x14ac:dyDescent="0.25">
      <c r="A4556" s="167"/>
      <c r="B4556" s="167"/>
    </row>
    <row r="4557" spans="1:2" x14ac:dyDescent="0.25">
      <c r="A4557" s="167"/>
      <c r="B4557" s="167"/>
    </row>
    <row r="4558" spans="1:2" x14ac:dyDescent="0.25">
      <c r="A4558" s="167"/>
      <c r="B4558" s="167"/>
    </row>
    <row r="4559" spans="1:2" x14ac:dyDescent="0.25">
      <c r="A4559" s="167"/>
      <c r="B4559" s="167"/>
    </row>
    <row r="4560" spans="1:2" x14ac:dyDescent="0.25">
      <c r="A4560" s="167"/>
      <c r="B4560" s="167"/>
    </row>
    <row r="4561" spans="1:2" x14ac:dyDescent="0.25">
      <c r="A4561" s="167"/>
      <c r="B4561" s="167"/>
    </row>
    <row r="4562" spans="1:2" x14ac:dyDescent="0.25">
      <c r="A4562" s="167"/>
      <c r="B4562" s="167"/>
    </row>
    <row r="4563" spans="1:2" x14ac:dyDescent="0.25">
      <c r="A4563" s="167"/>
      <c r="B4563" s="167"/>
    </row>
    <row r="4564" spans="1:2" x14ac:dyDescent="0.25">
      <c r="A4564" s="167"/>
      <c r="B4564" s="167"/>
    </row>
    <row r="4565" spans="1:2" x14ac:dyDescent="0.25">
      <c r="A4565" s="167"/>
      <c r="B4565" s="167"/>
    </row>
    <row r="4566" spans="1:2" x14ac:dyDescent="0.25">
      <c r="A4566" s="167"/>
      <c r="B4566" s="167"/>
    </row>
    <row r="4567" spans="1:2" x14ac:dyDescent="0.25">
      <c r="A4567" s="167"/>
      <c r="B4567" s="167"/>
    </row>
    <row r="4568" spans="1:2" x14ac:dyDescent="0.25">
      <c r="A4568" s="167"/>
      <c r="B4568" s="167"/>
    </row>
    <row r="4569" spans="1:2" x14ac:dyDescent="0.25">
      <c r="A4569" s="167"/>
      <c r="B4569" s="167"/>
    </row>
    <row r="4570" spans="1:2" x14ac:dyDescent="0.25">
      <c r="A4570" s="167"/>
      <c r="B4570" s="167"/>
    </row>
    <row r="4571" spans="1:2" x14ac:dyDescent="0.25">
      <c r="A4571" s="167"/>
      <c r="B4571" s="167"/>
    </row>
    <row r="4572" spans="1:2" x14ac:dyDescent="0.25">
      <c r="A4572" s="167"/>
      <c r="B4572" s="167"/>
    </row>
    <row r="4573" spans="1:2" x14ac:dyDescent="0.25">
      <c r="A4573" s="167"/>
      <c r="B4573" s="167"/>
    </row>
    <row r="4574" spans="1:2" x14ac:dyDescent="0.25">
      <c r="A4574" s="167"/>
      <c r="B4574" s="167"/>
    </row>
    <row r="4575" spans="1:2" x14ac:dyDescent="0.25">
      <c r="A4575" s="167"/>
      <c r="B4575" s="167"/>
    </row>
    <row r="4576" spans="1:2" x14ac:dyDescent="0.25">
      <c r="A4576" s="167"/>
      <c r="B4576" s="167"/>
    </row>
    <row r="4577" spans="1:2" x14ac:dyDescent="0.25">
      <c r="A4577" s="167"/>
      <c r="B4577" s="167"/>
    </row>
    <row r="4578" spans="1:2" x14ac:dyDescent="0.25">
      <c r="A4578" s="167"/>
      <c r="B4578" s="167"/>
    </row>
    <row r="4579" spans="1:2" x14ac:dyDescent="0.25">
      <c r="A4579" s="167"/>
      <c r="B4579" s="167"/>
    </row>
    <row r="4580" spans="1:2" x14ac:dyDescent="0.25">
      <c r="A4580" s="167"/>
      <c r="B4580" s="167"/>
    </row>
    <row r="4581" spans="1:2" x14ac:dyDescent="0.25">
      <c r="A4581" s="167"/>
      <c r="B4581" s="167"/>
    </row>
    <row r="4582" spans="1:2" x14ac:dyDescent="0.25">
      <c r="A4582" s="167"/>
      <c r="B4582" s="167"/>
    </row>
    <row r="4583" spans="1:2" x14ac:dyDescent="0.25">
      <c r="A4583" s="167"/>
      <c r="B4583" s="167"/>
    </row>
    <row r="4584" spans="1:2" x14ac:dyDescent="0.25">
      <c r="A4584" s="167"/>
      <c r="B4584" s="167"/>
    </row>
    <row r="4585" spans="1:2" x14ac:dyDescent="0.25">
      <c r="A4585" s="167"/>
      <c r="B4585" s="167"/>
    </row>
    <row r="4586" spans="1:2" x14ac:dyDescent="0.25">
      <c r="A4586" s="167"/>
      <c r="B4586" s="167"/>
    </row>
    <row r="4587" spans="1:2" x14ac:dyDescent="0.25">
      <c r="A4587" s="167"/>
      <c r="B4587" s="167"/>
    </row>
    <row r="4588" spans="1:2" x14ac:dyDescent="0.25">
      <c r="A4588" s="167"/>
      <c r="B4588" s="167"/>
    </row>
    <row r="4589" spans="1:2" x14ac:dyDescent="0.25">
      <c r="A4589" s="167"/>
      <c r="B4589" s="167"/>
    </row>
    <row r="4590" spans="1:2" x14ac:dyDescent="0.25">
      <c r="A4590" s="167"/>
      <c r="B4590" s="167"/>
    </row>
    <row r="4591" spans="1:2" x14ac:dyDescent="0.25">
      <c r="A4591" s="167"/>
      <c r="B4591" s="167"/>
    </row>
    <row r="4592" spans="1:2" x14ac:dyDescent="0.25">
      <c r="A4592" s="167"/>
      <c r="B4592" s="167"/>
    </row>
    <row r="4593" spans="1:2" x14ac:dyDescent="0.25">
      <c r="A4593" s="167"/>
      <c r="B4593" s="167"/>
    </row>
    <row r="4594" spans="1:2" x14ac:dyDescent="0.25">
      <c r="A4594" s="167"/>
      <c r="B4594" s="167"/>
    </row>
    <row r="4595" spans="1:2" x14ac:dyDescent="0.25">
      <c r="A4595" s="167"/>
      <c r="B4595" s="167"/>
    </row>
    <row r="4596" spans="1:2" x14ac:dyDescent="0.25">
      <c r="A4596" s="167"/>
      <c r="B4596" s="167"/>
    </row>
    <row r="4597" spans="1:2" x14ac:dyDescent="0.25">
      <c r="A4597" s="167"/>
      <c r="B4597" s="167"/>
    </row>
    <row r="4598" spans="1:2" x14ac:dyDescent="0.25">
      <c r="A4598" s="167"/>
      <c r="B4598" s="167"/>
    </row>
    <row r="4599" spans="1:2" x14ac:dyDescent="0.25">
      <c r="A4599" s="167"/>
      <c r="B4599" s="167"/>
    </row>
    <row r="4600" spans="1:2" x14ac:dyDescent="0.25">
      <c r="A4600" s="167"/>
      <c r="B4600" s="167"/>
    </row>
    <row r="4601" spans="1:2" x14ac:dyDescent="0.25">
      <c r="A4601" s="167"/>
      <c r="B4601" s="167"/>
    </row>
    <row r="4602" spans="1:2" x14ac:dyDescent="0.25">
      <c r="A4602" s="167"/>
      <c r="B4602" s="167"/>
    </row>
    <row r="4603" spans="1:2" x14ac:dyDescent="0.25">
      <c r="A4603" s="167"/>
      <c r="B4603" s="167"/>
    </row>
    <row r="4604" spans="1:2" x14ac:dyDescent="0.25">
      <c r="A4604" s="167"/>
      <c r="B4604" s="167"/>
    </row>
    <row r="4605" spans="1:2" x14ac:dyDescent="0.25">
      <c r="A4605" s="167"/>
      <c r="B4605" s="167"/>
    </row>
    <row r="4606" spans="1:2" x14ac:dyDescent="0.25">
      <c r="A4606" s="167"/>
      <c r="B4606" s="167"/>
    </row>
    <row r="4607" spans="1:2" x14ac:dyDescent="0.25">
      <c r="A4607" s="167"/>
      <c r="B4607" s="167"/>
    </row>
    <row r="4608" spans="1:2" x14ac:dyDescent="0.25">
      <c r="A4608" s="167"/>
      <c r="B4608" s="167"/>
    </row>
    <row r="4609" spans="1:2" x14ac:dyDescent="0.25">
      <c r="A4609" s="167"/>
      <c r="B4609" s="167"/>
    </row>
    <row r="4610" spans="1:2" x14ac:dyDescent="0.25">
      <c r="A4610" s="167"/>
      <c r="B4610" s="167"/>
    </row>
    <row r="4611" spans="1:2" x14ac:dyDescent="0.25">
      <c r="A4611" s="167"/>
      <c r="B4611" s="167"/>
    </row>
    <row r="4612" spans="1:2" x14ac:dyDescent="0.25">
      <c r="A4612" s="167"/>
      <c r="B4612" s="167"/>
    </row>
    <row r="4613" spans="1:2" x14ac:dyDescent="0.25">
      <c r="A4613" s="167"/>
      <c r="B4613" s="167"/>
    </row>
    <row r="4614" spans="1:2" x14ac:dyDescent="0.25">
      <c r="A4614" s="167"/>
      <c r="B4614" s="167"/>
    </row>
    <row r="4615" spans="1:2" x14ac:dyDescent="0.25">
      <c r="A4615" s="167"/>
      <c r="B4615" s="167"/>
    </row>
    <row r="4616" spans="1:2" x14ac:dyDescent="0.25">
      <c r="A4616" s="167"/>
      <c r="B4616" s="167"/>
    </row>
    <row r="4617" spans="1:2" x14ac:dyDescent="0.25">
      <c r="A4617" s="167"/>
      <c r="B4617" s="167"/>
    </row>
    <row r="4618" spans="1:2" x14ac:dyDescent="0.25">
      <c r="A4618" s="167"/>
      <c r="B4618" s="167"/>
    </row>
    <row r="4619" spans="1:2" x14ac:dyDescent="0.25">
      <c r="A4619" s="167"/>
      <c r="B4619" s="167"/>
    </row>
    <row r="4620" spans="1:2" x14ac:dyDescent="0.25">
      <c r="A4620" s="167"/>
      <c r="B4620" s="167"/>
    </row>
    <row r="4621" spans="1:2" x14ac:dyDescent="0.25">
      <c r="A4621" s="167"/>
      <c r="B4621" s="167"/>
    </row>
    <row r="4622" spans="1:2" x14ac:dyDescent="0.25">
      <c r="A4622" s="167"/>
      <c r="B4622" s="167"/>
    </row>
    <row r="4623" spans="1:2" x14ac:dyDescent="0.25">
      <c r="A4623" s="167"/>
      <c r="B4623" s="167"/>
    </row>
    <row r="4624" spans="1:2" x14ac:dyDescent="0.25">
      <c r="A4624" s="167"/>
      <c r="B4624" s="167"/>
    </row>
    <row r="4625" spans="1:2" x14ac:dyDescent="0.25">
      <c r="A4625" s="167"/>
      <c r="B4625" s="167"/>
    </row>
    <row r="4626" spans="1:2" x14ac:dyDescent="0.25">
      <c r="A4626" s="167"/>
      <c r="B4626" s="167"/>
    </row>
    <row r="4627" spans="1:2" x14ac:dyDescent="0.25">
      <c r="A4627" s="167"/>
      <c r="B4627" s="167"/>
    </row>
    <row r="4628" spans="1:2" x14ac:dyDescent="0.25">
      <c r="A4628" s="167"/>
      <c r="B4628" s="167"/>
    </row>
    <row r="4629" spans="1:2" x14ac:dyDescent="0.25">
      <c r="A4629" s="167"/>
      <c r="B4629" s="167"/>
    </row>
    <row r="4630" spans="1:2" x14ac:dyDescent="0.25">
      <c r="A4630" s="167"/>
      <c r="B4630" s="167"/>
    </row>
    <row r="4631" spans="1:2" x14ac:dyDescent="0.25">
      <c r="A4631" s="167"/>
      <c r="B4631" s="167"/>
    </row>
    <row r="4632" spans="1:2" x14ac:dyDescent="0.25">
      <c r="A4632" s="167"/>
      <c r="B4632" s="167"/>
    </row>
    <row r="4633" spans="1:2" x14ac:dyDescent="0.25">
      <c r="A4633" s="167"/>
      <c r="B4633" s="167"/>
    </row>
    <row r="4634" spans="1:2" x14ac:dyDescent="0.25">
      <c r="A4634" s="167"/>
      <c r="B4634" s="167"/>
    </row>
    <row r="4635" spans="1:2" x14ac:dyDescent="0.25">
      <c r="A4635" s="167"/>
      <c r="B4635" s="167"/>
    </row>
    <row r="4636" spans="1:2" x14ac:dyDescent="0.25">
      <c r="A4636" s="167"/>
      <c r="B4636" s="167"/>
    </row>
    <row r="4637" spans="1:2" x14ac:dyDescent="0.25">
      <c r="A4637" s="167"/>
      <c r="B4637" s="167"/>
    </row>
    <row r="4638" spans="1:2" x14ac:dyDescent="0.25">
      <c r="A4638" s="167"/>
      <c r="B4638" s="167"/>
    </row>
    <row r="4639" spans="1:2" x14ac:dyDescent="0.25">
      <c r="A4639" s="167"/>
      <c r="B4639" s="167"/>
    </row>
    <row r="4640" spans="1:2" x14ac:dyDescent="0.25">
      <c r="A4640" s="167"/>
      <c r="B4640" s="167"/>
    </row>
    <row r="4641" spans="1:2" x14ac:dyDescent="0.25">
      <c r="A4641" s="167"/>
      <c r="B4641" s="167"/>
    </row>
    <row r="4642" spans="1:2" x14ac:dyDescent="0.25">
      <c r="A4642" s="167"/>
      <c r="B4642" s="167"/>
    </row>
    <row r="4643" spans="1:2" x14ac:dyDescent="0.25">
      <c r="A4643" s="167"/>
      <c r="B4643" s="167"/>
    </row>
    <row r="4644" spans="1:2" x14ac:dyDescent="0.25">
      <c r="A4644" s="167"/>
      <c r="B4644" s="167"/>
    </row>
    <row r="4645" spans="1:2" x14ac:dyDescent="0.25">
      <c r="A4645" s="167"/>
      <c r="B4645" s="167"/>
    </row>
    <row r="4646" spans="1:2" x14ac:dyDescent="0.25">
      <c r="A4646" s="167"/>
      <c r="B4646" s="167"/>
    </row>
    <row r="4647" spans="1:2" x14ac:dyDescent="0.25">
      <c r="A4647" s="167"/>
      <c r="B4647" s="167"/>
    </row>
    <row r="4648" spans="1:2" x14ac:dyDescent="0.25">
      <c r="A4648" s="167"/>
      <c r="B4648" s="167"/>
    </row>
    <row r="4649" spans="1:2" x14ac:dyDescent="0.25">
      <c r="A4649" s="167"/>
      <c r="B4649" s="167"/>
    </row>
    <row r="4650" spans="1:2" x14ac:dyDescent="0.25">
      <c r="A4650" s="167"/>
      <c r="B4650" s="167"/>
    </row>
    <row r="4651" spans="1:2" x14ac:dyDescent="0.25">
      <c r="A4651" s="167"/>
      <c r="B4651" s="167"/>
    </row>
    <row r="4652" spans="1:2" x14ac:dyDescent="0.25">
      <c r="A4652" s="167"/>
      <c r="B4652" s="167"/>
    </row>
    <row r="4653" spans="1:2" x14ac:dyDescent="0.25">
      <c r="A4653" s="167"/>
      <c r="B4653" s="167"/>
    </row>
    <row r="4654" spans="1:2" x14ac:dyDescent="0.25">
      <c r="A4654" s="167"/>
      <c r="B4654" s="167"/>
    </row>
    <row r="4655" spans="1:2" x14ac:dyDescent="0.25">
      <c r="A4655" s="167"/>
      <c r="B4655" s="167"/>
    </row>
    <row r="4656" spans="1:2" x14ac:dyDescent="0.25">
      <c r="A4656" s="167"/>
      <c r="B4656" s="167"/>
    </row>
    <row r="4657" spans="1:2" x14ac:dyDescent="0.25">
      <c r="A4657" s="167"/>
      <c r="B4657" s="167"/>
    </row>
    <row r="4658" spans="1:2" x14ac:dyDescent="0.25">
      <c r="A4658" s="167"/>
      <c r="B4658" s="167"/>
    </row>
    <row r="4659" spans="1:2" x14ac:dyDescent="0.25">
      <c r="A4659" s="167"/>
      <c r="B4659" s="167"/>
    </row>
    <row r="4660" spans="1:2" x14ac:dyDescent="0.25">
      <c r="A4660" s="167"/>
      <c r="B4660" s="167"/>
    </row>
    <row r="4661" spans="1:2" x14ac:dyDescent="0.25">
      <c r="A4661" s="167"/>
      <c r="B4661" s="167"/>
    </row>
    <row r="4662" spans="1:2" x14ac:dyDescent="0.25">
      <c r="A4662" s="167"/>
      <c r="B4662" s="167"/>
    </row>
    <row r="4663" spans="1:2" x14ac:dyDescent="0.25">
      <c r="A4663" s="167"/>
      <c r="B4663" s="167"/>
    </row>
    <row r="4664" spans="1:2" x14ac:dyDescent="0.25">
      <c r="A4664" s="167"/>
      <c r="B4664" s="167"/>
    </row>
    <row r="4665" spans="1:2" x14ac:dyDescent="0.25">
      <c r="A4665" s="167"/>
      <c r="B4665" s="167"/>
    </row>
    <row r="4666" spans="1:2" x14ac:dyDescent="0.25">
      <c r="A4666" s="167"/>
      <c r="B4666" s="167"/>
    </row>
    <row r="4667" spans="1:2" x14ac:dyDescent="0.25">
      <c r="A4667" s="167"/>
      <c r="B4667" s="167"/>
    </row>
    <row r="4668" spans="1:2" x14ac:dyDescent="0.25">
      <c r="A4668" s="167"/>
      <c r="B4668" s="167"/>
    </row>
    <row r="4669" spans="1:2" x14ac:dyDescent="0.25">
      <c r="A4669" s="167"/>
      <c r="B4669" s="167"/>
    </row>
    <row r="4670" spans="1:2" x14ac:dyDescent="0.25">
      <c r="A4670" s="167"/>
      <c r="B4670" s="167"/>
    </row>
    <row r="4671" spans="1:2" x14ac:dyDescent="0.25">
      <c r="A4671" s="167"/>
      <c r="B4671" s="167"/>
    </row>
    <row r="4672" spans="1:2" x14ac:dyDescent="0.25">
      <c r="A4672" s="167"/>
      <c r="B4672" s="167"/>
    </row>
    <row r="4673" spans="1:2" x14ac:dyDescent="0.25">
      <c r="A4673" s="167"/>
      <c r="B4673" s="167"/>
    </row>
    <row r="4674" spans="1:2" x14ac:dyDescent="0.25">
      <c r="A4674" s="167"/>
      <c r="B4674" s="167"/>
    </row>
    <row r="4675" spans="1:2" x14ac:dyDescent="0.25">
      <c r="A4675" s="167"/>
      <c r="B4675" s="167"/>
    </row>
    <row r="4676" spans="1:2" x14ac:dyDescent="0.25">
      <c r="A4676" s="167"/>
      <c r="B4676" s="167"/>
    </row>
    <row r="4677" spans="1:2" x14ac:dyDescent="0.25">
      <c r="A4677" s="167"/>
      <c r="B4677" s="167"/>
    </row>
    <row r="4678" spans="1:2" x14ac:dyDescent="0.25">
      <c r="A4678" s="167"/>
      <c r="B4678" s="167"/>
    </row>
    <row r="4679" spans="1:2" x14ac:dyDescent="0.25">
      <c r="A4679" s="167"/>
      <c r="B4679" s="167"/>
    </row>
    <row r="4680" spans="1:2" x14ac:dyDescent="0.25">
      <c r="A4680" s="167"/>
      <c r="B4680" s="167"/>
    </row>
    <row r="4681" spans="1:2" x14ac:dyDescent="0.25">
      <c r="A4681" s="167"/>
      <c r="B4681" s="167"/>
    </row>
    <row r="4682" spans="1:2" x14ac:dyDescent="0.25">
      <c r="A4682" s="167"/>
      <c r="B4682" s="167"/>
    </row>
    <row r="4683" spans="1:2" x14ac:dyDescent="0.25">
      <c r="A4683" s="167"/>
      <c r="B4683" s="167"/>
    </row>
    <row r="4684" spans="1:2" x14ac:dyDescent="0.25">
      <c r="A4684" s="167"/>
      <c r="B4684" s="167"/>
    </row>
    <row r="4685" spans="1:2" x14ac:dyDescent="0.25">
      <c r="A4685" s="167"/>
      <c r="B4685" s="167"/>
    </row>
    <row r="4686" spans="1:2" x14ac:dyDescent="0.25">
      <c r="A4686" s="167"/>
      <c r="B4686" s="167"/>
    </row>
    <row r="4687" spans="1:2" x14ac:dyDescent="0.25">
      <c r="A4687" s="167"/>
      <c r="B4687" s="167"/>
    </row>
    <row r="4688" spans="1:2" x14ac:dyDescent="0.25">
      <c r="A4688" s="167"/>
      <c r="B4688" s="167"/>
    </row>
    <row r="4689" spans="1:2" x14ac:dyDescent="0.25">
      <c r="A4689" s="167"/>
      <c r="B4689" s="167"/>
    </row>
    <row r="4690" spans="1:2" x14ac:dyDescent="0.25">
      <c r="A4690" s="167"/>
      <c r="B4690" s="167"/>
    </row>
    <row r="4691" spans="1:2" x14ac:dyDescent="0.25">
      <c r="A4691" s="167"/>
      <c r="B4691" s="167"/>
    </row>
    <row r="4692" spans="1:2" x14ac:dyDescent="0.25">
      <c r="A4692" s="167"/>
      <c r="B4692" s="167"/>
    </row>
    <row r="4693" spans="1:2" x14ac:dyDescent="0.25">
      <c r="A4693" s="167"/>
      <c r="B4693" s="167"/>
    </row>
    <row r="4694" spans="1:2" x14ac:dyDescent="0.25">
      <c r="A4694" s="167"/>
      <c r="B4694" s="167"/>
    </row>
    <row r="4695" spans="1:2" x14ac:dyDescent="0.25">
      <c r="A4695" s="167"/>
      <c r="B4695" s="167"/>
    </row>
    <row r="4696" spans="1:2" x14ac:dyDescent="0.25">
      <c r="A4696" s="167"/>
      <c r="B4696" s="167"/>
    </row>
    <row r="4697" spans="1:2" x14ac:dyDescent="0.25">
      <c r="A4697" s="167"/>
      <c r="B4697" s="167"/>
    </row>
    <row r="4698" spans="1:2" x14ac:dyDescent="0.25">
      <c r="A4698" s="167"/>
      <c r="B4698" s="167"/>
    </row>
    <row r="4699" spans="1:2" x14ac:dyDescent="0.25">
      <c r="A4699" s="167"/>
      <c r="B4699" s="167"/>
    </row>
    <row r="4700" spans="1:2" x14ac:dyDescent="0.25">
      <c r="A4700" s="167"/>
      <c r="B4700" s="167"/>
    </row>
    <row r="4701" spans="1:2" x14ac:dyDescent="0.25">
      <c r="A4701" s="167"/>
      <c r="B4701" s="167"/>
    </row>
    <row r="4702" spans="1:2" x14ac:dyDescent="0.25">
      <c r="A4702" s="167"/>
      <c r="B4702" s="167"/>
    </row>
    <row r="4703" spans="1:2" x14ac:dyDescent="0.25">
      <c r="A4703" s="167"/>
      <c r="B4703" s="167"/>
    </row>
    <row r="4704" spans="1:2" x14ac:dyDescent="0.25">
      <c r="A4704" s="167"/>
      <c r="B4704" s="167"/>
    </row>
    <row r="4705" spans="1:2" x14ac:dyDescent="0.25">
      <c r="A4705" s="167"/>
      <c r="B4705" s="167"/>
    </row>
    <row r="4706" spans="1:2" x14ac:dyDescent="0.25">
      <c r="A4706" s="167"/>
      <c r="B4706" s="167"/>
    </row>
    <row r="4707" spans="1:2" x14ac:dyDescent="0.25">
      <c r="A4707" s="167"/>
      <c r="B4707" s="167"/>
    </row>
    <row r="4708" spans="1:2" x14ac:dyDescent="0.25">
      <c r="A4708" s="167"/>
      <c r="B4708" s="167"/>
    </row>
    <row r="4709" spans="1:2" x14ac:dyDescent="0.25">
      <c r="A4709" s="167"/>
      <c r="B4709" s="167"/>
    </row>
    <row r="4710" spans="1:2" x14ac:dyDescent="0.25">
      <c r="A4710" s="167"/>
      <c r="B4710" s="167"/>
    </row>
    <row r="4711" spans="1:2" x14ac:dyDescent="0.25">
      <c r="A4711" s="167"/>
      <c r="B4711" s="167"/>
    </row>
    <row r="4712" spans="1:2" x14ac:dyDescent="0.25">
      <c r="A4712" s="167"/>
      <c r="B4712" s="167"/>
    </row>
    <row r="4713" spans="1:2" x14ac:dyDescent="0.25">
      <c r="A4713" s="167"/>
      <c r="B4713" s="167"/>
    </row>
    <row r="4714" spans="1:2" x14ac:dyDescent="0.25">
      <c r="A4714" s="167"/>
      <c r="B4714" s="167"/>
    </row>
    <row r="4715" spans="1:2" x14ac:dyDescent="0.25">
      <c r="A4715" s="167"/>
      <c r="B4715" s="167"/>
    </row>
    <row r="4716" spans="1:2" x14ac:dyDescent="0.25">
      <c r="A4716" s="167"/>
      <c r="B4716" s="167"/>
    </row>
    <row r="4717" spans="1:2" x14ac:dyDescent="0.25">
      <c r="A4717" s="167"/>
      <c r="B4717" s="167"/>
    </row>
    <row r="4718" spans="1:2" x14ac:dyDescent="0.25">
      <c r="A4718" s="167"/>
      <c r="B4718" s="167"/>
    </row>
    <row r="4719" spans="1:2" x14ac:dyDescent="0.25">
      <c r="A4719" s="167"/>
      <c r="B4719" s="167"/>
    </row>
    <row r="4720" spans="1:2" x14ac:dyDescent="0.25">
      <c r="A4720" s="167"/>
      <c r="B4720" s="167"/>
    </row>
    <row r="4721" spans="1:2" x14ac:dyDescent="0.25">
      <c r="A4721" s="167"/>
      <c r="B4721" s="167"/>
    </row>
    <row r="4722" spans="1:2" x14ac:dyDescent="0.25">
      <c r="A4722" s="167"/>
      <c r="B4722" s="167"/>
    </row>
    <row r="4723" spans="1:2" x14ac:dyDescent="0.25">
      <c r="A4723" s="167"/>
      <c r="B4723" s="167"/>
    </row>
    <row r="4724" spans="1:2" x14ac:dyDescent="0.25">
      <c r="A4724" s="167"/>
      <c r="B4724" s="167"/>
    </row>
    <row r="4725" spans="1:2" x14ac:dyDescent="0.25">
      <c r="A4725" s="167"/>
      <c r="B4725" s="167"/>
    </row>
    <row r="4726" spans="1:2" x14ac:dyDescent="0.25">
      <c r="A4726" s="167"/>
      <c r="B4726" s="167"/>
    </row>
    <row r="4727" spans="1:2" x14ac:dyDescent="0.25">
      <c r="A4727" s="167"/>
      <c r="B4727" s="167"/>
    </row>
    <row r="4728" spans="1:2" x14ac:dyDescent="0.25">
      <c r="A4728" s="167"/>
      <c r="B4728" s="167"/>
    </row>
    <row r="4729" spans="1:2" x14ac:dyDescent="0.25">
      <c r="A4729" s="167"/>
      <c r="B4729" s="167"/>
    </row>
    <row r="4730" spans="1:2" x14ac:dyDescent="0.25">
      <c r="A4730" s="167"/>
      <c r="B4730" s="167"/>
    </row>
    <row r="4731" spans="1:2" x14ac:dyDescent="0.25">
      <c r="A4731" s="167"/>
      <c r="B4731" s="167"/>
    </row>
    <row r="4732" spans="1:2" x14ac:dyDescent="0.25">
      <c r="A4732" s="167"/>
      <c r="B4732" s="167"/>
    </row>
    <row r="4733" spans="1:2" x14ac:dyDescent="0.25">
      <c r="A4733" s="167"/>
      <c r="B4733" s="167"/>
    </row>
    <row r="4734" spans="1:2" x14ac:dyDescent="0.25">
      <c r="A4734" s="167"/>
      <c r="B4734" s="167"/>
    </row>
    <row r="4735" spans="1:2" x14ac:dyDescent="0.25">
      <c r="A4735" s="167"/>
      <c r="B4735" s="167"/>
    </row>
    <row r="4736" spans="1:2" x14ac:dyDescent="0.25">
      <c r="A4736" s="167"/>
      <c r="B4736" s="167"/>
    </row>
    <row r="4737" spans="1:2" x14ac:dyDescent="0.25">
      <c r="A4737" s="167"/>
      <c r="B4737" s="167"/>
    </row>
    <row r="4738" spans="1:2" x14ac:dyDescent="0.25">
      <c r="A4738" s="167"/>
      <c r="B4738" s="167"/>
    </row>
    <row r="4739" spans="1:2" x14ac:dyDescent="0.25">
      <c r="A4739" s="167"/>
      <c r="B4739" s="167"/>
    </row>
    <row r="4740" spans="1:2" x14ac:dyDescent="0.25">
      <c r="A4740" s="167"/>
      <c r="B4740" s="167"/>
    </row>
    <row r="4741" spans="1:2" x14ac:dyDescent="0.25">
      <c r="A4741" s="167"/>
      <c r="B4741" s="167"/>
    </row>
    <row r="4742" spans="1:2" x14ac:dyDescent="0.25">
      <c r="A4742" s="167"/>
      <c r="B4742" s="167"/>
    </row>
    <row r="4743" spans="1:2" x14ac:dyDescent="0.25">
      <c r="A4743" s="167"/>
      <c r="B4743" s="167"/>
    </row>
    <row r="4744" spans="1:2" x14ac:dyDescent="0.25">
      <c r="A4744" s="167"/>
      <c r="B4744" s="167"/>
    </row>
    <row r="4745" spans="1:2" x14ac:dyDescent="0.25">
      <c r="A4745" s="167"/>
      <c r="B4745" s="167"/>
    </row>
    <row r="4746" spans="1:2" x14ac:dyDescent="0.25">
      <c r="A4746" s="167"/>
      <c r="B4746" s="167"/>
    </row>
    <row r="4747" spans="1:2" x14ac:dyDescent="0.25">
      <c r="A4747" s="167"/>
      <c r="B4747" s="167"/>
    </row>
    <row r="4748" spans="1:2" x14ac:dyDescent="0.25">
      <c r="A4748" s="167"/>
      <c r="B4748" s="167"/>
    </row>
    <row r="4749" spans="1:2" x14ac:dyDescent="0.25">
      <c r="A4749" s="167"/>
      <c r="B4749" s="167"/>
    </row>
    <row r="4750" spans="1:2" x14ac:dyDescent="0.25">
      <c r="A4750" s="167"/>
      <c r="B4750" s="167"/>
    </row>
    <row r="4751" spans="1:2" x14ac:dyDescent="0.25">
      <c r="A4751" s="167"/>
      <c r="B4751" s="167"/>
    </row>
    <row r="4752" spans="1:2" x14ac:dyDescent="0.25">
      <c r="A4752" s="167"/>
      <c r="B4752" s="167"/>
    </row>
    <row r="4753" spans="1:2" x14ac:dyDescent="0.25">
      <c r="A4753" s="167"/>
      <c r="B4753" s="167"/>
    </row>
    <row r="4754" spans="1:2" x14ac:dyDescent="0.25">
      <c r="A4754" s="167"/>
      <c r="B4754" s="167"/>
    </row>
    <row r="4755" spans="1:2" x14ac:dyDescent="0.25">
      <c r="A4755" s="167"/>
      <c r="B4755" s="167"/>
    </row>
    <row r="4756" spans="1:2" x14ac:dyDescent="0.25">
      <c r="A4756" s="167"/>
      <c r="B4756" s="167"/>
    </row>
    <row r="4757" spans="1:2" x14ac:dyDescent="0.25">
      <c r="A4757" s="167"/>
      <c r="B4757" s="167"/>
    </row>
    <row r="4758" spans="1:2" x14ac:dyDescent="0.25">
      <c r="A4758" s="167"/>
      <c r="B4758" s="167"/>
    </row>
    <row r="4759" spans="1:2" x14ac:dyDescent="0.25">
      <c r="A4759" s="167"/>
      <c r="B4759" s="167"/>
    </row>
    <row r="4760" spans="1:2" x14ac:dyDescent="0.25">
      <c r="A4760" s="167"/>
      <c r="B4760" s="167"/>
    </row>
    <row r="4761" spans="1:2" x14ac:dyDescent="0.25">
      <c r="A4761" s="167"/>
      <c r="B4761" s="167"/>
    </row>
    <row r="4762" spans="1:2" x14ac:dyDescent="0.25">
      <c r="A4762" s="167"/>
      <c r="B4762" s="167"/>
    </row>
    <row r="4763" spans="1:2" x14ac:dyDescent="0.25">
      <c r="A4763" s="167"/>
      <c r="B4763" s="167"/>
    </row>
    <row r="4764" spans="1:2" x14ac:dyDescent="0.25">
      <c r="A4764" s="167"/>
      <c r="B4764" s="167"/>
    </row>
    <row r="4765" spans="1:2" x14ac:dyDescent="0.25">
      <c r="A4765" s="167"/>
      <c r="B4765" s="167"/>
    </row>
    <row r="4766" spans="1:2" x14ac:dyDescent="0.25">
      <c r="A4766" s="167"/>
      <c r="B4766" s="167"/>
    </row>
    <row r="4767" spans="1:2" x14ac:dyDescent="0.25">
      <c r="A4767" s="167"/>
      <c r="B4767" s="167"/>
    </row>
    <row r="4768" spans="1:2" x14ac:dyDescent="0.25">
      <c r="A4768" s="167"/>
      <c r="B4768" s="167"/>
    </row>
    <row r="4769" spans="1:2" x14ac:dyDescent="0.25">
      <c r="A4769" s="167"/>
      <c r="B4769" s="167"/>
    </row>
    <row r="4770" spans="1:2" x14ac:dyDescent="0.25">
      <c r="A4770" s="167"/>
      <c r="B4770" s="167"/>
    </row>
    <row r="4771" spans="1:2" x14ac:dyDescent="0.25">
      <c r="A4771" s="167"/>
      <c r="B4771" s="167"/>
    </row>
    <row r="4772" spans="1:2" x14ac:dyDescent="0.25">
      <c r="A4772" s="167"/>
      <c r="B4772" s="167"/>
    </row>
    <row r="4773" spans="1:2" x14ac:dyDescent="0.25">
      <c r="A4773" s="167"/>
      <c r="B4773" s="167"/>
    </row>
    <row r="4774" spans="1:2" x14ac:dyDescent="0.25">
      <c r="A4774" s="167"/>
      <c r="B4774" s="167"/>
    </row>
    <row r="4775" spans="1:2" x14ac:dyDescent="0.25">
      <c r="A4775" s="167"/>
      <c r="B4775" s="167"/>
    </row>
    <row r="4776" spans="1:2" x14ac:dyDescent="0.25">
      <c r="A4776" s="167"/>
      <c r="B4776" s="167"/>
    </row>
    <row r="4777" spans="1:2" x14ac:dyDescent="0.25">
      <c r="A4777" s="167"/>
      <c r="B4777" s="167"/>
    </row>
    <row r="4778" spans="1:2" x14ac:dyDescent="0.25">
      <c r="A4778" s="167"/>
      <c r="B4778" s="167"/>
    </row>
    <row r="4779" spans="1:2" x14ac:dyDescent="0.25">
      <c r="A4779" s="167"/>
      <c r="B4779" s="167"/>
    </row>
    <row r="4780" spans="1:2" x14ac:dyDescent="0.25">
      <c r="A4780" s="167"/>
      <c r="B4780" s="167"/>
    </row>
    <row r="4781" spans="1:2" x14ac:dyDescent="0.25">
      <c r="A4781" s="167"/>
      <c r="B4781" s="167"/>
    </row>
    <row r="4782" spans="1:2" x14ac:dyDescent="0.25">
      <c r="A4782" s="167"/>
      <c r="B4782" s="167"/>
    </row>
    <row r="4783" spans="1:2" x14ac:dyDescent="0.25">
      <c r="A4783" s="167"/>
      <c r="B4783" s="167"/>
    </row>
    <row r="4784" spans="1:2" x14ac:dyDescent="0.25">
      <c r="A4784" s="167"/>
      <c r="B4784" s="167"/>
    </row>
    <row r="4785" spans="1:2" x14ac:dyDescent="0.25">
      <c r="A4785" s="167"/>
      <c r="B4785" s="167"/>
    </row>
    <row r="4786" spans="1:2" x14ac:dyDescent="0.25">
      <c r="A4786" s="167"/>
      <c r="B4786" s="167"/>
    </row>
    <row r="4787" spans="1:2" x14ac:dyDescent="0.25">
      <c r="A4787" s="167"/>
      <c r="B4787" s="167"/>
    </row>
    <row r="4788" spans="1:2" x14ac:dyDescent="0.25">
      <c r="A4788" s="167"/>
      <c r="B4788" s="167"/>
    </row>
    <row r="4789" spans="1:2" x14ac:dyDescent="0.25">
      <c r="A4789" s="167"/>
      <c r="B4789" s="167"/>
    </row>
    <row r="4790" spans="1:2" x14ac:dyDescent="0.25">
      <c r="A4790" s="167"/>
      <c r="B4790" s="167"/>
    </row>
    <row r="4791" spans="1:2" x14ac:dyDescent="0.25">
      <c r="A4791" s="167"/>
      <c r="B4791" s="167"/>
    </row>
    <row r="4792" spans="1:2" x14ac:dyDescent="0.25">
      <c r="A4792" s="167"/>
      <c r="B4792" s="167"/>
    </row>
    <row r="4793" spans="1:2" x14ac:dyDescent="0.25">
      <c r="A4793" s="167"/>
      <c r="B4793" s="167"/>
    </row>
    <row r="4794" spans="1:2" x14ac:dyDescent="0.25">
      <c r="A4794" s="167"/>
      <c r="B4794" s="167"/>
    </row>
    <row r="4795" spans="1:2" x14ac:dyDescent="0.25">
      <c r="A4795" s="167"/>
      <c r="B4795" s="167"/>
    </row>
    <row r="4796" spans="1:2" x14ac:dyDescent="0.25">
      <c r="A4796" s="167"/>
      <c r="B4796" s="167"/>
    </row>
    <row r="4797" spans="1:2" x14ac:dyDescent="0.25">
      <c r="A4797" s="167"/>
      <c r="B4797" s="167"/>
    </row>
    <row r="4798" spans="1:2" x14ac:dyDescent="0.25">
      <c r="A4798" s="167"/>
      <c r="B4798" s="167"/>
    </row>
    <row r="4799" spans="1:2" x14ac:dyDescent="0.25">
      <c r="A4799" s="167"/>
      <c r="B4799" s="167"/>
    </row>
    <row r="4800" spans="1:2" x14ac:dyDescent="0.25">
      <c r="A4800" s="167"/>
      <c r="B4800" s="167"/>
    </row>
    <row r="4801" spans="1:2" x14ac:dyDescent="0.25">
      <c r="A4801" s="167"/>
      <c r="B4801" s="167"/>
    </row>
    <row r="4802" spans="1:2" x14ac:dyDescent="0.25">
      <c r="A4802" s="167"/>
      <c r="B4802" s="167"/>
    </row>
    <row r="4803" spans="1:2" x14ac:dyDescent="0.25">
      <c r="A4803" s="167"/>
      <c r="B4803" s="167"/>
    </row>
    <row r="4804" spans="1:2" x14ac:dyDescent="0.25">
      <c r="A4804" s="167"/>
      <c r="B4804" s="167"/>
    </row>
    <row r="4805" spans="1:2" x14ac:dyDescent="0.25">
      <c r="A4805" s="167"/>
      <c r="B4805" s="167"/>
    </row>
    <row r="4806" spans="1:2" x14ac:dyDescent="0.25">
      <c r="A4806" s="167"/>
      <c r="B4806" s="167"/>
    </row>
    <row r="4807" spans="1:2" x14ac:dyDescent="0.25">
      <c r="A4807" s="167"/>
      <c r="B4807" s="167"/>
    </row>
    <row r="4808" spans="1:2" x14ac:dyDescent="0.25">
      <c r="A4808" s="167"/>
      <c r="B4808" s="167"/>
    </row>
    <row r="4809" spans="1:2" x14ac:dyDescent="0.25">
      <c r="A4809" s="167"/>
      <c r="B4809" s="167"/>
    </row>
    <row r="4810" spans="1:2" x14ac:dyDescent="0.25">
      <c r="A4810" s="167"/>
      <c r="B4810" s="167"/>
    </row>
    <row r="4811" spans="1:2" x14ac:dyDescent="0.25">
      <c r="A4811" s="167"/>
      <c r="B4811" s="167"/>
    </row>
    <row r="4812" spans="1:2" x14ac:dyDescent="0.25">
      <c r="A4812" s="167"/>
      <c r="B4812" s="167"/>
    </row>
    <row r="4813" spans="1:2" x14ac:dyDescent="0.25">
      <c r="A4813" s="167"/>
      <c r="B4813" s="167"/>
    </row>
    <row r="4814" spans="1:2" x14ac:dyDescent="0.25">
      <c r="A4814" s="167"/>
      <c r="B4814" s="167"/>
    </row>
    <row r="4815" spans="1:2" x14ac:dyDescent="0.25">
      <c r="A4815" s="167"/>
      <c r="B4815" s="167"/>
    </row>
    <row r="4816" spans="1:2" x14ac:dyDescent="0.25">
      <c r="A4816" s="167"/>
      <c r="B4816" s="167"/>
    </row>
    <row r="4817" spans="1:2" x14ac:dyDescent="0.25">
      <c r="A4817" s="167"/>
      <c r="B4817" s="167"/>
    </row>
    <row r="4818" spans="1:2" x14ac:dyDescent="0.25">
      <c r="A4818" s="167"/>
      <c r="B4818" s="167"/>
    </row>
    <row r="4819" spans="1:2" x14ac:dyDescent="0.25">
      <c r="A4819" s="167"/>
      <c r="B4819" s="167"/>
    </row>
    <row r="4820" spans="1:2" x14ac:dyDescent="0.25">
      <c r="A4820" s="167"/>
      <c r="B4820" s="167"/>
    </row>
    <row r="4821" spans="1:2" x14ac:dyDescent="0.25">
      <c r="A4821" s="167"/>
      <c r="B4821" s="167"/>
    </row>
    <row r="4822" spans="1:2" x14ac:dyDescent="0.25">
      <c r="A4822" s="167"/>
      <c r="B4822" s="167"/>
    </row>
    <row r="4823" spans="1:2" x14ac:dyDescent="0.25">
      <c r="A4823" s="167"/>
      <c r="B4823" s="167"/>
    </row>
    <row r="4824" spans="1:2" x14ac:dyDescent="0.25">
      <c r="A4824" s="167"/>
      <c r="B4824" s="167"/>
    </row>
    <row r="4825" spans="1:2" x14ac:dyDescent="0.25">
      <c r="A4825" s="167"/>
      <c r="B4825" s="167"/>
    </row>
    <row r="4826" spans="1:2" x14ac:dyDescent="0.25">
      <c r="A4826" s="167"/>
      <c r="B4826" s="167"/>
    </row>
    <row r="4827" spans="1:2" x14ac:dyDescent="0.25">
      <c r="A4827" s="167"/>
      <c r="B4827" s="167"/>
    </row>
    <row r="4828" spans="1:2" x14ac:dyDescent="0.25">
      <c r="A4828" s="167"/>
      <c r="B4828" s="167"/>
    </row>
    <row r="4829" spans="1:2" x14ac:dyDescent="0.25">
      <c r="A4829" s="167"/>
      <c r="B4829" s="167"/>
    </row>
    <row r="4830" spans="1:2" x14ac:dyDescent="0.25">
      <c r="A4830" s="167"/>
      <c r="B4830" s="167"/>
    </row>
    <row r="4831" spans="1:2" x14ac:dyDescent="0.25">
      <c r="A4831" s="167"/>
      <c r="B4831" s="167"/>
    </row>
    <row r="4832" spans="1:2" x14ac:dyDescent="0.25">
      <c r="A4832" s="167"/>
      <c r="B4832" s="167"/>
    </row>
    <row r="4833" spans="1:2" x14ac:dyDescent="0.25">
      <c r="A4833" s="167"/>
      <c r="B4833" s="167"/>
    </row>
    <row r="4834" spans="1:2" x14ac:dyDescent="0.25">
      <c r="A4834" s="167"/>
      <c r="B4834" s="167"/>
    </row>
    <row r="4835" spans="1:2" x14ac:dyDescent="0.25">
      <c r="A4835" s="167"/>
      <c r="B4835" s="167"/>
    </row>
    <row r="4836" spans="1:2" x14ac:dyDescent="0.25">
      <c r="A4836" s="167"/>
      <c r="B4836" s="167"/>
    </row>
    <row r="4837" spans="1:2" x14ac:dyDescent="0.25">
      <c r="A4837" s="167"/>
      <c r="B4837" s="167"/>
    </row>
    <row r="4838" spans="1:2" x14ac:dyDescent="0.25">
      <c r="A4838" s="167"/>
      <c r="B4838" s="167"/>
    </row>
    <row r="4839" spans="1:2" x14ac:dyDescent="0.25">
      <c r="A4839" s="167"/>
      <c r="B4839" s="167"/>
    </row>
    <row r="4840" spans="1:2" x14ac:dyDescent="0.25">
      <c r="A4840" s="167"/>
      <c r="B4840" s="167"/>
    </row>
    <row r="4841" spans="1:2" x14ac:dyDescent="0.25">
      <c r="A4841" s="167"/>
      <c r="B4841" s="167"/>
    </row>
    <row r="4842" spans="1:2" x14ac:dyDescent="0.25">
      <c r="A4842" s="167"/>
      <c r="B4842" s="167"/>
    </row>
    <row r="4843" spans="1:2" x14ac:dyDescent="0.25">
      <c r="A4843" s="167"/>
      <c r="B4843" s="167"/>
    </row>
    <row r="4844" spans="1:2" x14ac:dyDescent="0.25">
      <c r="A4844" s="167"/>
      <c r="B4844" s="167"/>
    </row>
    <row r="4845" spans="1:2" x14ac:dyDescent="0.25">
      <c r="A4845" s="167"/>
      <c r="B4845" s="167"/>
    </row>
    <row r="4846" spans="1:2" x14ac:dyDescent="0.25">
      <c r="A4846" s="167"/>
      <c r="B4846" s="167"/>
    </row>
    <row r="4847" spans="1:2" x14ac:dyDescent="0.25">
      <c r="A4847" s="167"/>
      <c r="B4847" s="167"/>
    </row>
    <row r="4848" spans="1:2" x14ac:dyDescent="0.25">
      <c r="A4848" s="167"/>
      <c r="B4848" s="167"/>
    </row>
    <row r="4849" spans="1:2" x14ac:dyDescent="0.25">
      <c r="A4849" s="167"/>
      <c r="B4849" s="167"/>
    </row>
    <row r="4850" spans="1:2" x14ac:dyDescent="0.25">
      <c r="A4850" s="167"/>
      <c r="B4850" s="167"/>
    </row>
    <row r="4851" spans="1:2" x14ac:dyDescent="0.25">
      <c r="A4851" s="167"/>
      <c r="B4851" s="167"/>
    </row>
    <row r="4852" spans="1:2" x14ac:dyDescent="0.25">
      <c r="A4852" s="167"/>
      <c r="B4852" s="167"/>
    </row>
    <row r="4853" spans="1:2" x14ac:dyDescent="0.25">
      <c r="A4853" s="167"/>
      <c r="B4853" s="167"/>
    </row>
    <row r="4854" spans="1:2" x14ac:dyDescent="0.25">
      <c r="A4854" s="167"/>
      <c r="B4854" s="167"/>
    </row>
    <row r="4855" spans="1:2" x14ac:dyDescent="0.25">
      <c r="A4855" s="167"/>
      <c r="B4855" s="167"/>
    </row>
    <row r="4856" spans="1:2" x14ac:dyDescent="0.25">
      <c r="A4856" s="167"/>
      <c r="B4856" s="167"/>
    </row>
    <row r="4857" spans="1:2" x14ac:dyDescent="0.25">
      <c r="A4857" s="167"/>
      <c r="B4857" s="167"/>
    </row>
    <row r="4858" spans="1:2" x14ac:dyDescent="0.25">
      <c r="A4858" s="167"/>
      <c r="B4858" s="167"/>
    </row>
    <row r="4859" spans="1:2" x14ac:dyDescent="0.25">
      <c r="A4859" s="167"/>
      <c r="B4859" s="167"/>
    </row>
    <row r="4860" spans="1:2" x14ac:dyDescent="0.25">
      <c r="A4860" s="167"/>
      <c r="B4860" s="167"/>
    </row>
    <row r="4861" spans="1:2" x14ac:dyDescent="0.25">
      <c r="A4861" s="167"/>
      <c r="B4861" s="167"/>
    </row>
    <row r="4862" spans="1:2" x14ac:dyDescent="0.25">
      <c r="A4862" s="167"/>
      <c r="B4862" s="167"/>
    </row>
    <row r="4863" spans="1:2" x14ac:dyDescent="0.25">
      <c r="A4863" s="167"/>
      <c r="B4863" s="167"/>
    </row>
    <row r="4864" spans="1:2" x14ac:dyDescent="0.25">
      <c r="A4864" s="167"/>
      <c r="B4864" s="167"/>
    </row>
    <row r="4865" spans="1:2" x14ac:dyDescent="0.25">
      <c r="A4865" s="167"/>
      <c r="B4865" s="167"/>
    </row>
    <row r="4866" spans="1:2" x14ac:dyDescent="0.25">
      <c r="A4866" s="167"/>
      <c r="B4866" s="167"/>
    </row>
    <row r="4867" spans="1:2" x14ac:dyDescent="0.25">
      <c r="A4867" s="167"/>
      <c r="B4867" s="167"/>
    </row>
    <row r="4868" spans="1:2" x14ac:dyDescent="0.25">
      <c r="A4868" s="167"/>
      <c r="B4868" s="167"/>
    </row>
    <row r="4869" spans="1:2" x14ac:dyDescent="0.25">
      <c r="A4869" s="167"/>
      <c r="B4869" s="167"/>
    </row>
    <row r="4870" spans="1:2" x14ac:dyDescent="0.25">
      <c r="A4870" s="167"/>
      <c r="B4870" s="167"/>
    </row>
    <row r="4871" spans="1:2" x14ac:dyDescent="0.25">
      <c r="A4871" s="167"/>
      <c r="B4871" s="167"/>
    </row>
    <row r="4872" spans="1:2" x14ac:dyDescent="0.25">
      <c r="A4872" s="167"/>
      <c r="B4872" s="167"/>
    </row>
    <row r="4873" spans="1:2" x14ac:dyDescent="0.25">
      <c r="A4873" s="167"/>
      <c r="B4873" s="167"/>
    </row>
    <row r="4874" spans="1:2" x14ac:dyDescent="0.25">
      <c r="A4874" s="167"/>
      <c r="B4874" s="167"/>
    </row>
    <row r="4875" spans="1:2" x14ac:dyDescent="0.25">
      <c r="A4875" s="167"/>
      <c r="B4875" s="167"/>
    </row>
    <row r="4876" spans="1:2" x14ac:dyDescent="0.25">
      <c r="A4876" s="167"/>
      <c r="B4876" s="167"/>
    </row>
    <row r="4877" spans="1:2" x14ac:dyDescent="0.25">
      <c r="A4877" s="167"/>
      <c r="B4877" s="167"/>
    </row>
    <row r="4878" spans="1:2" x14ac:dyDescent="0.25">
      <c r="A4878" s="167"/>
      <c r="B4878" s="167"/>
    </row>
    <row r="4879" spans="1:2" x14ac:dyDescent="0.25">
      <c r="A4879" s="167"/>
      <c r="B4879" s="167"/>
    </row>
    <row r="4880" spans="1:2" x14ac:dyDescent="0.25">
      <c r="A4880" s="167"/>
      <c r="B4880" s="167"/>
    </row>
    <row r="4881" spans="1:2" x14ac:dyDescent="0.25">
      <c r="A4881" s="167"/>
      <c r="B4881" s="167"/>
    </row>
    <row r="4882" spans="1:2" x14ac:dyDescent="0.25">
      <c r="A4882" s="167"/>
      <c r="B4882" s="167"/>
    </row>
    <row r="4883" spans="1:2" x14ac:dyDescent="0.25">
      <c r="A4883" s="167"/>
      <c r="B4883" s="167"/>
    </row>
    <row r="4884" spans="1:2" x14ac:dyDescent="0.25">
      <c r="A4884" s="167"/>
      <c r="B4884" s="167"/>
    </row>
    <row r="4885" spans="1:2" x14ac:dyDescent="0.25">
      <c r="A4885" s="167"/>
      <c r="B4885" s="167"/>
    </row>
    <row r="4886" spans="1:2" x14ac:dyDescent="0.25">
      <c r="A4886" s="167"/>
      <c r="B4886" s="167"/>
    </row>
    <row r="4887" spans="1:2" x14ac:dyDescent="0.25">
      <c r="A4887" s="167"/>
      <c r="B4887" s="167"/>
    </row>
    <row r="4888" spans="1:2" x14ac:dyDescent="0.25">
      <c r="A4888" s="167"/>
      <c r="B4888" s="167"/>
    </row>
    <row r="4889" spans="1:2" x14ac:dyDescent="0.25">
      <c r="A4889" s="167"/>
      <c r="B4889" s="167"/>
    </row>
    <row r="4890" spans="1:2" x14ac:dyDescent="0.25">
      <c r="A4890" s="167"/>
      <c r="B4890" s="167"/>
    </row>
    <row r="4891" spans="1:2" x14ac:dyDescent="0.25">
      <c r="A4891" s="167"/>
      <c r="B4891" s="167"/>
    </row>
    <row r="4892" spans="1:2" x14ac:dyDescent="0.25">
      <c r="A4892" s="167"/>
      <c r="B4892" s="167"/>
    </row>
    <row r="4893" spans="1:2" x14ac:dyDescent="0.25">
      <c r="A4893" s="167"/>
      <c r="B4893" s="167"/>
    </row>
    <row r="4894" spans="1:2" x14ac:dyDescent="0.25">
      <c r="A4894" s="167"/>
      <c r="B4894" s="167"/>
    </row>
    <row r="4895" spans="1:2" x14ac:dyDescent="0.25">
      <c r="A4895" s="167"/>
      <c r="B4895" s="167"/>
    </row>
    <row r="4896" spans="1:2" x14ac:dyDescent="0.25">
      <c r="A4896" s="167"/>
      <c r="B4896" s="167"/>
    </row>
    <row r="4897" spans="1:2" x14ac:dyDescent="0.25">
      <c r="A4897" s="167"/>
      <c r="B4897" s="167"/>
    </row>
    <row r="4898" spans="1:2" x14ac:dyDescent="0.25">
      <c r="A4898" s="167"/>
      <c r="B4898" s="167"/>
    </row>
    <row r="4899" spans="1:2" x14ac:dyDescent="0.25">
      <c r="A4899" s="167"/>
      <c r="B4899" s="167"/>
    </row>
    <row r="4900" spans="1:2" x14ac:dyDescent="0.25">
      <c r="A4900" s="167"/>
      <c r="B4900" s="167"/>
    </row>
    <row r="4901" spans="1:2" x14ac:dyDescent="0.25">
      <c r="A4901" s="167"/>
      <c r="B4901" s="167"/>
    </row>
    <row r="4902" spans="1:2" x14ac:dyDescent="0.25">
      <c r="A4902" s="167"/>
      <c r="B4902" s="167"/>
    </row>
    <row r="4903" spans="1:2" x14ac:dyDescent="0.25">
      <c r="A4903" s="167"/>
      <c r="B4903" s="167"/>
    </row>
    <row r="4904" spans="1:2" x14ac:dyDescent="0.25">
      <c r="A4904" s="167"/>
      <c r="B4904" s="167"/>
    </row>
    <row r="4905" spans="1:2" x14ac:dyDescent="0.25">
      <c r="A4905" s="167"/>
      <c r="B4905" s="167"/>
    </row>
    <row r="4906" spans="1:2" x14ac:dyDescent="0.25">
      <c r="A4906" s="167"/>
      <c r="B4906" s="167"/>
    </row>
    <row r="4907" spans="1:2" x14ac:dyDescent="0.25">
      <c r="A4907" s="167"/>
      <c r="B4907" s="167"/>
    </row>
    <row r="4908" spans="1:2" x14ac:dyDescent="0.25">
      <c r="A4908" s="167"/>
      <c r="B4908" s="167"/>
    </row>
    <row r="4909" spans="1:2" x14ac:dyDescent="0.25">
      <c r="A4909" s="167"/>
      <c r="B4909" s="167"/>
    </row>
    <row r="4910" spans="1:2" x14ac:dyDescent="0.25">
      <c r="A4910" s="167"/>
      <c r="B4910" s="167"/>
    </row>
    <row r="4911" spans="1:2" x14ac:dyDescent="0.25">
      <c r="A4911" s="167"/>
      <c r="B4911" s="167"/>
    </row>
    <row r="4912" spans="1:2" x14ac:dyDescent="0.25">
      <c r="A4912" s="167"/>
      <c r="B4912" s="167"/>
    </row>
    <row r="4913" spans="1:2" x14ac:dyDescent="0.25">
      <c r="A4913" s="167"/>
      <c r="B4913" s="167"/>
    </row>
    <row r="4914" spans="1:2" x14ac:dyDescent="0.25">
      <c r="A4914" s="167"/>
      <c r="B4914" s="167"/>
    </row>
    <row r="4915" spans="1:2" x14ac:dyDescent="0.25">
      <c r="A4915" s="167"/>
      <c r="B4915" s="167"/>
    </row>
    <row r="4916" spans="1:2" x14ac:dyDescent="0.25">
      <c r="A4916" s="167"/>
      <c r="B4916" s="167"/>
    </row>
    <row r="4917" spans="1:2" x14ac:dyDescent="0.25">
      <c r="A4917" s="167"/>
      <c r="B4917" s="167"/>
    </row>
    <row r="4918" spans="1:2" x14ac:dyDescent="0.25">
      <c r="A4918" s="167"/>
      <c r="B4918" s="167"/>
    </row>
    <row r="4919" spans="1:2" x14ac:dyDescent="0.25">
      <c r="A4919" s="167"/>
      <c r="B4919" s="167"/>
    </row>
    <row r="4920" spans="1:2" x14ac:dyDescent="0.25">
      <c r="A4920" s="167"/>
      <c r="B4920" s="167"/>
    </row>
    <row r="4921" spans="1:2" x14ac:dyDescent="0.25">
      <c r="A4921" s="167"/>
      <c r="B4921" s="167"/>
    </row>
    <row r="4922" spans="1:2" x14ac:dyDescent="0.25">
      <c r="A4922" s="167"/>
      <c r="B4922" s="167"/>
    </row>
    <row r="4923" spans="1:2" x14ac:dyDescent="0.25">
      <c r="A4923" s="167"/>
      <c r="B4923" s="167"/>
    </row>
    <row r="4924" spans="1:2" x14ac:dyDescent="0.25">
      <c r="A4924" s="167"/>
      <c r="B4924" s="167"/>
    </row>
    <row r="4925" spans="1:2" x14ac:dyDescent="0.25">
      <c r="A4925" s="167"/>
      <c r="B4925" s="167"/>
    </row>
    <row r="4926" spans="1:2" x14ac:dyDescent="0.25">
      <c r="A4926" s="167"/>
      <c r="B4926" s="167"/>
    </row>
    <row r="4927" spans="1:2" x14ac:dyDescent="0.25">
      <c r="A4927" s="167"/>
      <c r="B4927" s="167"/>
    </row>
    <row r="4928" spans="1:2" x14ac:dyDescent="0.25">
      <c r="A4928" s="167"/>
      <c r="B4928" s="167"/>
    </row>
    <row r="4929" spans="1:2" x14ac:dyDescent="0.25">
      <c r="A4929" s="167"/>
      <c r="B4929" s="167"/>
    </row>
    <row r="4930" spans="1:2" x14ac:dyDescent="0.25">
      <c r="A4930" s="167"/>
      <c r="B4930" s="167"/>
    </row>
    <row r="4931" spans="1:2" x14ac:dyDescent="0.25">
      <c r="A4931" s="167"/>
      <c r="B4931" s="167"/>
    </row>
    <row r="4932" spans="1:2" x14ac:dyDescent="0.25">
      <c r="A4932" s="167"/>
      <c r="B4932" s="167"/>
    </row>
    <row r="4933" spans="1:2" x14ac:dyDescent="0.25">
      <c r="A4933" s="167"/>
      <c r="B4933" s="167"/>
    </row>
    <row r="4934" spans="1:2" x14ac:dyDescent="0.25">
      <c r="A4934" s="167"/>
      <c r="B4934" s="167"/>
    </row>
    <row r="4935" spans="1:2" x14ac:dyDescent="0.25">
      <c r="A4935" s="167"/>
      <c r="B4935" s="167"/>
    </row>
    <row r="4936" spans="1:2" x14ac:dyDescent="0.25">
      <c r="A4936" s="167"/>
      <c r="B4936" s="167"/>
    </row>
    <row r="4937" spans="1:2" x14ac:dyDescent="0.25">
      <c r="A4937" s="167"/>
      <c r="B4937" s="167"/>
    </row>
    <row r="4938" spans="1:2" x14ac:dyDescent="0.25">
      <c r="A4938" s="167"/>
      <c r="B4938" s="167"/>
    </row>
    <row r="4939" spans="1:2" x14ac:dyDescent="0.25">
      <c r="A4939" s="167"/>
      <c r="B4939" s="167"/>
    </row>
    <row r="4940" spans="1:2" x14ac:dyDescent="0.25">
      <c r="A4940" s="167"/>
      <c r="B4940" s="167"/>
    </row>
    <row r="4941" spans="1:2" x14ac:dyDescent="0.25">
      <c r="A4941" s="167"/>
      <c r="B4941" s="167"/>
    </row>
    <row r="4942" spans="1:2" x14ac:dyDescent="0.25">
      <c r="A4942" s="167"/>
      <c r="B4942" s="167"/>
    </row>
    <row r="4943" spans="1:2" x14ac:dyDescent="0.25">
      <c r="A4943" s="167"/>
      <c r="B4943" s="167"/>
    </row>
    <row r="4944" spans="1:2" x14ac:dyDescent="0.25">
      <c r="A4944" s="167"/>
      <c r="B4944" s="167"/>
    </row>
    <row r="4945" spans="1:2" x14ac:dyDescent="0.25">
      <c r="A4945" s="167"/>
      <c r="B4945" s="167"/>
    </row>
    <row r="4946" spans="1:2" x14ac:dyDescent="0.25">
      <c r="A4946" s="167"/>
      <c r="B4946" s="167"/>
    </row>
    <row r="4947" spans="1:2" x14ac:dyDescent="0.25">
      <c r="A4947" s="167"/>
      <c r="B4947" s="167"/>
    </row>
    <row r="4948" spans="1:2" x14ac:dyDescent="0.25">
      <c r="A4948" s="167"/>
      <c r="B4948" s="167"/>
    </row>
    <row r="4949" spans="1:2" x14ac:dyDescent="0.25">
      <c r="A4949" s="167"/>
      <c r="B4949" s="167"/>
    </row>
    <row r="4950" spans="1:2" x14ac:dyDescent="0.25">
      <c r="A4950" s="167"/>
      <c r="B4950" s="167"/>
    </row>
    <row r="4951" spans="1:2" x14ac:dyDescent="0.25">
      <c r="A4951" s="167"/>
      <c r="B4951" s="167"/>
    </row>
    <row r="4952" spans="1:2" x14ac:dyDescent="0.25">
      <c r="A4952" s="167"/>
      <c r="B4952" s="167"/>
    </row>
    <row r="4953" spans="1:2" x14ac:dyDescent="0.25">
      <c r="A4953" s="167"/>
      <c r="B4953" s="167"/>
    </row>
    <row r="4954" spans="1:2" x14ac:dyDescent="0.25">
      <c r="A4954" s="167"/>
      <c r="B4954" s="167"/>
    </row>
    <row r="4955" spans="1:2" x14ac:dyDescent="0.25">
      <c r="A4955" s="167"/>
      <c r="B4955" s="167"/>
    </row>
    <row r="4956" spans="1:2" x14ac:dyDescent="0.25">
      <c r="A4956" s="167"/>
      <c r="B4956" s="167"/>
    </row>
    <row r="4957" spans="1:2" x14ac:dyDescent="0.25">
      <c r="A4957" s="167"/>
      <c r="B4957" s="167"/>
    </row>
    <row r="4958" spans="1:2" x14ac:dyDescent="0.25">
      <c r="A4958" s="167"/>
      <c r="B4958" s="167"/>
    </row>
  </sheetData>
  <mergeCells count="30">
    <mergeCell ref="AE8:AH8"/>
    <mergeCell ref="AI8:AL8"/>
    <mergeCell ref="AA6:AD6"/>
    <mergeCell ref="AE6:AH6"/>
    <mergeCell ref="AI6:AL6"/>
    <mergeCell ref="W8:Z8"/>
    <mergeCell ref="AA8:AD8"/>
    <mergeCell ref="C6:F6"/>
    <mergeCell ref="G6:J6"/>
    <mergeCell ref="K6:N6"/>
    <mergeCell ref="O6:R6"/>
    <mergeCell ref="S6:V6"/>
    <mergeCell ref="W6:Z6"/>
    <mergeCell ref="C8:F8"/>
    <mergeCell ref="G8:J8"/>
    <mergeCell ref="K8:N8"/>
    <mergeCell ref="O8:R8"/>
    <mergeCell ref="S8:V8"/>
    <mergeCell ref="C3:N3"/>
    <mergeCell ref="O3:Z3"/>
    <mergeCell ref="AA3:AL3"/>
    <mergeCell ref="C5:N5"/>
    <mergeCell ref="O5:Z5"/>
    <mergeCell ref="AA5:AL5"/>
    <mergeCell ref="C1:N1"/>
    <mergeCell ref="O1:Z1"/>
    <mergeCell ref="AA1:AL1"/>
    <mergeCell ref="C2:N2"/>
    <mergeCell ref="O2:Z2"/>
    <mergeCell ref="AA2:AL2"/>
  </mergeCells>
  <pageMargins left="0.39370078740157483" right="0.39370078740157483" top="0.78740157480314965" bottom="0.59055118110236227" header="0.62992125984251968" footer="0.39370078740157483"/>
  <pageSetup paperSize="9" scale="60" orientation="landscape" r:id="rId1"/>
  <headerFooter alignWithMargins="0">
    <oddHeader>&amp;C&amp;"Times New Roman CE,Félkövér"
&amp;R&amp;"Times New Roman CE,Dőlt"&amp;10 1. melléklet
a 3/2016.(II.12.) önkormányzati rendelethez&amp;X1</oddHeader>
    <oddFooter>&amp;L&amp;X1&amp;XMódosította a 6/2017.(II.24.) önkormányzati rendelet 4.§ (1) bekezdése, hatályos 2017. február 24. 12 órától&amp;C&amp;P. oldal</oddFooter>
  </headerFooter>
  <rowBreaks count="1" manualBreakCount="1">
    <brk id="58" max="37" man="1"/>
  </rowBreaks>
  <colBreaks count="2" manualBreakCount="2">
    <brk id="14" max="65" man="1"/>
    <brk id="26" max="6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02"/>
  <sheetViews>
    <sheetView topLeftCell="I34" zoomScaleNormal="100" zoomScaleSheetLayoutView="100" workbookViewId="0">
      <selection activeCell="A446" sqref="A446:O447"/>
    </sheetView>
  </sheetViews>
  <sheetFormatPr defaultRowHeight="15.75" x14ac:dyDescent="0.25"/>
  <cols>
    <col min="1" max="1" width="30.75" style="458" customWidth="1"/>
    <col min="2" max="2" width="14" style="1129" customWidth="1"/>
    <col min="3" max="3" width="14.375" style="1129" customWidth="1"/>
    <col min="4" max="4" width="14.625" style="1129" customWidth="1"/>
    <col min="5" max="5" width="13.875" style="1129" bestFit="1" customWidth="1"/>
    <col min="6" max="6" width="13.625" style="1129" customWidth="1"/>
    <col min="7" max="7" width="13.875" style="1122" customWidth="1"/>
    <col min="8" max="8" width="13" style="1122" customWidth="1"/>
    <col min="9" max="9" width="16" style="1122" customWidth="1"/>
    <col min="10" max="10" width="15.875" style="1122" customWidth="1"/>
    <col min="11" max="11" width="14.25" style="1122" customWidth="1"/>
    <col min="12" max="256" width="9" style="1122"/>
    <col min="257" max="257" width="31.875" style="1122" customWidth="1"/>
    <col min="258" max="258" width="15.25" style="1122" customWidth="1"/>
    <col min="259" max="259" width="15.375" style="1122" customWidth="1"/>
    <col min="260" max="512" width="9" style="1122"/>
    <col min="513" max="513" width="31.875" style="1122" customWidth="1"/>
    <col min="514" max="514" width="15.25" style="1122" customWidth="1"/>
    <col min="515" max="515" width="15.375" style="1122" customWidth="1"/>
    <col min="516" max="768" width="9" style="1122"/>
    <col min="769" max="769" width="31.875" style="1122" customWidth="1"/>
    <col min="770" max="770" width="15.25" style="1122" customWidth="1"/>
    <col min="771" max="771" width="15.375" style="1122" customWidth="1"/>
    <col min="772" max="1024" width="9" style="1122"/>
    <col min="1025" max="1025" width="31.875" style="1122" customWidth="1"/>
    <col min="1026" max="1026" width="15.25" style="1122" customWidth="1"/>
    <col min="1027" max="1027" width="15.375" style="1122" customWidth="1"/>
    <col min="1028" max="1280" width="9" style="1122"/>
    <col min="1281" max="1281" width="31.875" style="1122" customWidth="1"/>
    <col min="1282" max="1282" width="15.25" style="1122" customWidth="1"/>
    <col min="1283" max="1283" width="15.375" style="1122" customWidth="1"/>
    <col min="1284" max="1536" width="9" style="1122"/>
    <col min="1537" max="1537" width="31.875" style="1122" customWidth="1"/>
    <col min="1538" max="1538" width="15.25" style="1122" customWidth="1"/>
    <col min="1539" max="1539" width="15.375" style="1122" customWidth="1"/>
    <col min="1540" max="1792" width="9" style="1122"/>
    <col min="1793" max="1793" width="31.875" style="1122" customWidth="1"/>
    <col min="1794" max="1794" width="15.25" style="1122" customWidth="1"/>
    <col min="1795" max="1795" width="15.375" style="1122" customWidth="1"/>
    <col min="1796" max="2048" width="9" style="1122"/>
    <col min="2049" max="2049" width="31.875" style="1122" customWidth="1"/>
    <col min="2050" max="2050" width="15.25" style="1122" customWidth="1"/>
    <col min="2051" max="2051" width="15.375" style="1122" customWidth="1"/>
    <col min="2052" max="2304" width="9" style="1122"/>
    <col min="2305" max="2305" width="31.875" style="1122" customWidth="1"/>
    <col min="2306" max="2306" width="15.25" style="1122" customWidth="1"/>
    <col min="2307" max="2307" width="15.375" style="1122" customWidth="1"/>
    <col min="2308" max="2560" width="9" style="1122"/>
    <col min="2561" max="2561" width="31.875" style="1122" customWidth="1"/>
    <col min="2562" max="2562" width="15.25" style="1122" customWidth="1"/>
    <col min="2563" max="2563" width="15.375" style="1122" customWidth="1"/>
    <col min="2564" max="2816" width="9" style="1122"/>
    <col min="2817" max="2817" width="31.875" style="1122" customWidth="1"/>
    <col min="2818" max="2818" width="15.25" style="1122" customWidth="1"/>
    <col min="2819" max="2819" width="15.375" style="1122" customWidth="1"/>
    <col min="2820" max="3072" width="9" style="1122"/>
    <col min="3073" max="3073" width="31.875" style="1122" customWidth="1"/>
    <col min="3074" max="3074" width="15.25" style="1122" customWidth="1"/>
    <col min="3075" max="3075" width="15.375" style="1122" customWidth="1"/>
    <col min="3076" max="3328" width="9" style="1122"/>
    <col min="3329" max="3329" width="31.875" style="1122" customWidth="1"/>
    <col min="3330" max="3330" width="15.25" style="1122" customWidth="1"/>
    <col min="3331" max="3331" width="15.375" style="1122" customWidth="1"/>
    <col min="3332" max="3584" width="9" style="1122"/>
    <col min="3585" max="3585" width="31.875" style="1122" customWidth="1"/>
    <col min="3586" max="3586" width="15.25" style="1122" customWidth="1"/>
    <col min="3587" max="3587" width="15.375" style="1122" customWidth="1"/>
    <col min="3588" max="3840" width="9" style="1122"/>
    <col min="3841" max="3841" width="31.875" style="1122" customWidth="1"/>
    <col min="3842" max="3842" width="15.25" style="1122" customWidth="1"/>
    <col min="3843" max="3843" width="15.375" style="1122" customWidth="1"/>
    <col min="3844" max="4096" width="9" style="1122"/>
    <col min="4097" max="4097" width="31.875" style="1122" customWidth="1"/>
    <col min="4098" max="4098" width="15.25" style="1122" customWidth="1"/>
    <col min="4099" max="4099" width="15.375" style="1122" customWidth="1"/>
    <col min="4100" max="4352" width="9" style="1122"/>
    <col min="4353" max="4353" width="31.875" style="1122" customWidth="1"/>
    <col min="4354" max="4354" width="15.25" style="1122" customWidth="1"/>
    <col min="4355" max="4355" width="15.375" style="1122" customWidth="1"/>
    <col min="4356" max="4608" width="9" style="1122"/>
    <col min="4609" max="4609" width="31.875" style="1122" customWidth="1"/>
    <col min="4610" max="4610" width="15.25" style="1122" customWidth="1"/>
    <col min="4611" max="4611" width="15.375" style="1122" customWidth="1"/>
    <col min="4612" max="4864" width="9" style="1122"/>
    <col min="4865" max="4865" width="31.875" style="1122" customWidth="1"/>
    <col min="4866" max="4866" width="15.25" style="1122" customWidth="1"/>
    <col min="4867" max="4867" width="15.375" style="1122" customWidth="1"/>
    <col min="4868" max="5120" width="9" style="1122"/>
    <col min="5121" max="5121" width="31.875" style="1122" customWidth="1"/>
    <col min="5122" max="5122" width="15.25" style="1122" customWidth="1"/>
    <col min="5123" max="5123" width="15.375" style="1122" customWidth="1"/>
    <col min="5124" max="5376" width="9" style="1122"/>
    <col min="5377" max="5377" width="31.875" style="1122" customWidth="1"/>
    <col min="5378" max="5378" width="15.25" style="1122" customWidth="1"/>
    <col min="5379" max="5379" width="15.375" style="1122" customWidth="1"/>
    <col min="5380" max="5632" width="9" style="1122"/>
    <col min="5633" max="5633" width="31.875" style="1122" customWidth="1"/>
    <col min="5634" max="5634" width="15.25" style="1122" customWidth="1"/>
    <col min="5635" max="5635" width="15.375" style="1122" customWidth="1"/>
    <col min="5636" max="5888" width="9" style="1122"/>
    <col min="5889" max="5889" width="31.875" style="1122" customWidth="1"/>
    <col min="5890" max="5890" width="15.25" style="1122" customWidth="1"/>
    <col min="5891" max="5891" width="15.375" style="1122" customWidth="1"/>
    <col min="5892" max="6144" width="9" style="1122"/>
    <col min="6145" max="6145" width="31.875" style="1122" customWidth="1"/>
    <col min="6146" max="6146" width="15.25" style="1122" customWidth="1"/>
    <col min="6147" max="6147" width="15.375" style="1122" customWidth="1"/>
    <col min="6148" max="6400" width="9" style="1122"/>
    <col min="6401" max="6401" width="31.875" style="1122" customWidth="1"/>
    <col min="6402" max="6402" width="15.25" style="1122" customWidth="1"/>
    <col min="6403" max="6403" width="15.375" style="1122" customWidth="1"/>
    <col min="6404" max="6656" width="9" style="1122"/>
    <col min="6657" max="6657" width="31.875" style="1122" customWidth="1"/>
    <col min="6658" max="6658" width="15.25" style="1122" customWidth="1"/>
    <col min="6659" max="6659" width="15.375" style="1122" customWidth="1"/>
    <col min="6660" max="6912" width="9" style="1122"/>
    <col min="6913" max="6913" width="31.875" style="1122" customWidth="1"/>
    <col min="6914" max="6914" width="15.25" style="1122" customWidth="1"/>
    <col min="6915" max="6915" width="15.375" style="1122" customWidth="1"/>
    <col min="6916" max="7168" width="9" style="1122"/>
    <col min="7169" max="7169" width="31.875" style="1122" customWidth="1"/>
    <col min="7170" max="7170" width="15.25" style="1122" customWidth="1"/>
    <col min="7171" max="7171" width="15.375" style="1122" customWidth="1"/>
    <col min="7172" max="7424" width="9" style="1122"/>
    <col min="7425" max="7425" width="31.875" style="1122" customWidth="1"/>
    <col min="7426" max="7426" width="15.25" style="1122" customWidth="1"/>
    <col min="7427" max="7427" width="15.375" style="1122" customWidth="1"/>
    <col min="7428" max="7680" width="9" style="1122"/>
    <col min="7681" max="7681" width="31.875" style="1122" customWidth="1"/>
    <col min="7682" max="7682" width="15.25" style="1122" customWidth="1"/>
    <col min="7683" max="7683" width="15.375" style="1122" customWidth="1"/>
    <col min="7684" max="7936" width="9" style="1122"/>
    <col min="7937" max="7937" width="31.875" style="1122" customWidth="1"/>
    <col min="7938" max="7938" width="15.25" style="1122" customWidth="1"/>
    <col min="7939" max="7939" width="15.375" style="1122" customWidth="1"/>
    <col min="7940" max="8192" width="9" style="1122"/>
    <col min="8193" max="8193" width="31.875" style="1122" customWidth="1"/>
    <col min="8194" max="8194" width="15.25" style="1122" customWidth="1"/>
    <col min="8195" max="8195" width="15.375" style="1122" customWidth="1"/>
    <col min="8196" max="8448" width="9" style="1122"/>
    <col min="8449" max="8449" width="31.875" style="1122" customWidth="1"/>
    <col min="8450" max="8450" width="15.25" style="1122" customWidth="1"/>
    <col min="8451" max="8451" width="15.375" style="1122" customWidth="1"/>
    <col min="8452" max="8704" width="9" style="1122"/>
    <col min="8705" max="8705" width="31.875" style="1122" customWidth="1"/>
    <col min="8706" max="8706" width="15.25" style="1122" customWidth="1"/>
    <col min="8707" max="8707" width="15.375" style="1122" customWidth="1"/>
    <col min="8708" max="8960" width="9" style="1122"/>
    <col min="8961" max="8961" width="31.875" style="1122" customWidth="1"/>
    <col min="8962" max="8962" width="15.25" style="1122" customWidth="1"/>
    <col min="8963" max="8963" width="15.375" style="1122" customWidth="1"/>
    <col min="8964" max="9216" width="9" style="1122"/>
    <col min="9217" max="9217" width="31.875" style="1122" customWidth="1"/>
    <col min="9218" max="9218" width="15.25" style="1122" customWidth="1"/>
    <col min="9219" max="9219" width="15.375" style="1122" customWidth="1"/>
    <col min="9220" max="9472" width="9" style="1122"/>
    <col min="9473" max="9473" width="31.875" style="1122" customWidth="1"/>
    <col min="9474" max="9474" width="15.25" style="1122" customWidth="1"/>
    <col min="9475" max="9475" width="15.375" style="1122" customWidth="1"/>
    <col min="9476" max="9728" width="9" style="1122"/>
    <col min="9729" max="9729" width="31.875" style="1122" customWidth="1"/>
    <col min="9730" max="9730" width="15.25" style="1122" customWidth="1"/>
    <col min="9731" max="9731" width="15.375" style="1122" customWidth="1"/>
    <col min="9732" max="9984" width="9" style="1122"/>
    <col min="9985" max="9985" width="31.875" style="1122" customWidth="1"/>
    <col min="9986" max="9986" width="15.25" style="1122" customWidth="1"/>
    <col min="9987" max="9987" width="15.375" style="1122" customWidth="1"/>
    <col min="9988" max="10240" width="9" style="1122"/>
    <col min="10241" max="10241" width="31.875" style="1122" customWidth="1"/>
    <col min="10242" max="10242" width="15.25" style="1122" customWidth="1"/>
    <col min="10243" max="10243" width="15.375" style="1122" customWidth="1"/>
    <col min="10244" max="10496" width="9" style="1122"/>
    <col min="10497" max="10497" width="31.875" style="1122" customWidth="1"/>
    <col min="10498" max="10498" width="15.25" style="1122" customWidth="1"/>
    <col min="10499" max="10499" width="15.375" style="1122" customWidth="1"/>
    <col min="10500" max="10752" width="9" style="1122"/>
    <col min="10753" max="10753" width="31.875" style="1122" customWidth="1"/>
    <col min="10754" max="10754" width="15.25" style="1122" customWidth="1"/>
    <col min="10755" max="10755" width="15.375" style="1122" customWidth="1"/>
    <col min="10756" max="11008" width="9" style="1122"/>
    <col min="11009" max="11009" width="31.875" style="1122" customWidth="1"/>
    <col min="11010" max="11010" width="15.25" style="1122" customWidth="1"/>
    <col min="11011" max="11011" width="15.375" style="1122" customWidth="1"/>
    <col min="11012" max="11264" width="9" style="1122"/>
    <col min="11265" max="11265" width="31.875" style="1122" customWidth="1"/>
    <col min="11266" max="11266" width="15.25" style="1122" customWidth="1"/>
    <col min="11267" max="11267" width="15.375" style="1122" customWidth="1"/>
    <col min="11268" max="11520" width="9" style="1122"/>
    <col min="11521" max="11521" width="31.875" style="1122" customWidth="1"/>
    <col min="11522" max="11522" width="15.25" style="1122" customWidth="1"/>
    <col min="11523" max="11523" width="15.375" style="1122" customWidth="1"/>
    <col min="11524" max="11776" width="9" style="1122"/>
    <col min="11777" max="11777" width="31.875" style="1122" customWidth="1"/>
    <col min="11778" max="11778" width="15.25" style="1122" customWidth="1"/>
    <col min="11779" max="11779" width="15.375" style="1122" customWidth="1"/>
    <col min="11780" max="12032" width="9" style="1122"/>
    <col min="12033" max="12033" width="31.875" style="1122" customWidth="1"/>
    <col min="12034" max="12034" width="15.25" style="1122" customWidth="1"/>
    <col min="12035" max="12035" width="15.375" style="1122" customWidth="1"/>
    <col min="12036" max="12288" width="9" style="1122"/>
    <col min="12289" max="12289" width="31.875" style="1122" customWidth="1"/>
    <col min="12290" max="12290" width="15.25" style="1122" customWidth="1"/>
    <col min="12291" max="12291" width="15.375" style="1122" customWidth="1"/>
    <col min="12292" max="12544" width="9" style="1122"/>
    <col min="12545" max="12545" width="31.875" style="1122" customWidth="1"/>
    <col min="12546" max="12546" width="15.25" style="1122" customWidth="1"/>
    <col min="12547" max="12547" width="15.375" style="1122" customWidth="1"/>
    <col min="12548" max="12800" width="9" style="1122"/>
    <col min="12801" max="12801" width="31.875" style="1122" customWidth="1"/>
    <col min="12802" max="12802" width="15.25" style="1122" customWidth="1"/>
    <col min="12803" max="12803" width="15.375" style="1122" customWidth="1"/>
    <col min="12804" max="13056" width="9" style="1122"/>
    <col min="13057" max="13057" width="31.875" style="1122" customWidth="1"/>
    <col min="13058" max="13058" width="15.25" style="1122" customWidth="1"/>
    <col min="13059" max="13059" width="15.375" style="1122" customWidth="1"/>
    <col min="13060" max="13312" width="9" style="1122"/>
    <col min="13313" max="13313" width="31.875" style="1122" customWidth="1"/>
    <col min="13314" max="13314" width="15.25" style="1122" customWidth="1"/>
    <col min="13315" max="13315" width="15.375" style="1122" customWidth="1"/>
    <col min="13316" max="13568" width="9" style="1122"/>
    <col min="13569" max="13569" width="31.875" style="1122" customWidth="1"/>
    <col min="13570" max="13570" width="15.25" style="1122" customWidth="1"/>
    <col min="13571" max="13571" width="15.375" style="1122" customWidth="1"/>
    <col min="13572" max="13824" width="9" style="1122"/>
    <col min="13825" max="13825" width="31.875" style="1122" customWidth="1"/>
    <col min="13826" max="13826" width="15.25" style="1122" customWidth="1"/>
    <col min="13827" max="13827" width="15.375" style="1122" customWidth="1"/>
    <col min="13828" max="14080" width="9" style="1122"/>
    <col min="14081" max="14081" width="31.875" style="1122" customWidth="1"/>
    <col min="14082" max="14082" width="15.25" style="1122" customWidth="1"/>
    <col min="14083" max="14083" width="15.375" style="1122" customWidth="1"/>
    <col min="14084" max="14336" width="9" style="1122"/>
    <col min="14337" max="14337" width="31.875" style="1122" customWidth="1"/>
    <col min="14338" max="14338" width="15.25" style="1122" customWidth="1"/>
    <col min="14339" max="14339" width="15.375" style="1122" customWidth="1"/>
    <col min="14340" max="14592" width="9" style="1122"/>
    <col min="14593" max="14593" width="31.875" style="1122" customWidth="1"/>
    <col min="14594" max="14594" width="15.25" style="1122" customWidth="1"/>
    <col min="14595" max="14595" width="15.375" style="1122" customWidth="1"/>
    <col min="14596" max="14848" width="9" style="1122"/>
    <col min="14849" max="14849" width="31.875" style="1122" customWidth="1"/>
    <col min="14850" max="14850" width="15.25" style="1122" customWidth="1"/>
    <col min="14851" max="14851" width="15.375" style="1122" customWidth="1"/>
    <col min="14852" max="15104" width="9" style="1122"/>
    <col min="15105" max="15105" width="31.875" style="1122" customWidth="1"/>
    <col min="15106" max="15106" width="15.25" style="1122" customWidth="1"/>
    <col min="15107" max="15107" width="15.375" style="1122" customWidth="1"/>
    <col min="15108" max="15360" width="9" style="1122"/>
    <col min="15361" max="15361" width="31.875" style="1122" customWidth="1"/>
    <col min="15362" max="15362" width="15.25" style="1122" customWidth="1"/>
    <col min="15363" max="15363" width="15.375" style="1122" customWidth="1"/>
    <col min="15364" max="15616" width="9" style="1122"/>
    <col min="15617" max="15617" width="31.875" style="1122" customWidth="1"/>
    <col min="15618" max="15618" width="15.25" style="1122" customWidth="1"/>
    <col min="15619" max="15619" width="15.375" style="1122" customWidth="1"/>
    <col min="15620" max="15872" width="9" style="1122"/>
    <col min="15873" max="15873" width="31.875" style="1122" customWidth="1"/>
    <col min="15874" max="15874" width="15.25" style="1122" customWidth="1"/>
    <col min="15875" max="15875" width="15.375" style="1122" customWidth="1"/>
    <col min="15876" max="16128" width="9" style="1122"/>
    <col min="16129" max="16129" width="31.875" style="1122" customWidth="1"/>
    <col min="16130" max="16130" width="15.25" style="1122" customWidth="1"/>
    <col min="16131" max="16131" width="15.375" style="1122" customWidth="1"/>
    <col min="16132" max="16384" width="9" style="1122"/>
  </cols>
  <sheetData>
    <row r="1" spans="1:11" x14ac:dyDescent="0.25">
      <c r="A1" s="1268" t="s">
        <v>1229</v>
      </c>
      <c r="B1" s="1268"/>
      <c r="C1" s="1268"/>
      <c r="D1" s="1268"/>
      <c r="E1" s="1268"/>
      <c r="F1" s="1268"/>
      <c r="G1" s="1268"/>
      <c r="H1" s="1268"/>
      <c r="I1" s="1268"/>
      <c r="J1" s="1268"/>
      <c r="K1" s="1268"/>
    </row>
    <row r="2" spans="1:11" x14ac:dyDescent="0.25">
      <c r="A2" s="463"/>
      <c r="B2" s="1123"/>
      <c r="C2" s="1123"/>
      <c r="D2" s="1123"/>
      <c r="E2" s="1123"/>
      <c r="F2" s="1123"/>
    </row>
    <row r="3" spans="1:11" ht="16.5" thickBot="1" x14ac:dyDescent="0.3">
      <c r="A3" s="980"/>
      <c r="B3" s="1124"/>
      <c r="C3" s="1124"/>
      <c r="D3" s="1124"/>
      <c r="E3" s="1124"/>
      <c r="F3" s="1124"/>
    </row>
    <row r="4" spans="1:11" ht="45" thickTop="1" thickBot="1" x14ac:dyDescent="0.3">
      <c r="A4" s="518" t="s">
        <v>632</v>
      </c>
      <c r="B4" s="1269" t="s">
        <v>964</v>
      </c>
      <c r="C4" s="1270"/>
      <c r="D4" s="1271"/>
      <c r="E4" s="981" t="s">
        <v>1279</v>
      </c>
      <c r="F4" s="982"/>
      <c r="G4" s="981" t="s">
        <v>1280</v>
      </c>
      <c r="H4" s="982"/>
      <c r="I4" s="981" t="s">
        <v>1368</v>
      </c>
      <c r="J4" s="981" t="s">
        <v>1330</v>
      </c>
      <c r="K4" s="1125" t="s">
        <v>1369</v>
      </c>
    </row>
    <row r="5" spans="1:11" ht="16.5" thickTop="1" thickBot="1" x14ac:dyDescent="0.3">
      <c r="A5" s="983"/>
      <c r="B5" s="982" t="s">
        <v>947</v>
      </c>
      <c r="C5" s="982" t="s">
        <v>1064</v>
      </c>
      <c r="D5" s="982" t="s">
        <v>948</v>
      </c>
      <c r="E5" s="982" t="s">
        <v>1230</v>
      </c>
      <c r="F5" s="982" t="s">
        <v>1230</v>
      </c>
      <c r="G5" s="982" t="s">
        <v>1281</v>
      </c>
      <c r="H5" s="982" t="s">
        <v>1281</v>
      </c>
      <c r="I5" s="982" t="s">
        <v>1370</v>
      </c>
      <c r="J5" s="982" t="s">
        <v>1331</v>
      </c>
      <c r="K5" s="1126"/>
    </row>
    <row r="6" spans="1:11" ht="16.5" thickTop="1" x14ac:dyDescent="0.25">
      <c r="A6" s="457" t="s">
        <v>542</v>
      </c>
      <c r="B6" s="1127">
        <v>122.8</v>
      </c>
      <c r="C6" s="1128">
        <v>122.8</v>
      </c>
      <c r="D6" s="1128">
        <v>122.8</v>
      </c>
      <c r="E6" s="1128"/>
      <c r="F6" s="1128">
        <f>SUM(D6:E6)</f>
        <v>122.8</v>
      </c>
      <c r="G6" s="1128"/>
      <c r="H6" s="1128">
        <f>SUM(F6:G6)</f>
        <v>122.8</v>
      </c>
      <c r="I6" s="1128"/>
      <c r="J6" s="1128"/>
      <c r="K6" s="1128">
        <f>SUM(H6:J6)</f>
        <v>122.8</v>
      </c>
    </row>
    <row r="7" spans="1:11" ht="32.25" thickBot="1" x14ac:dyDescent="0.3">
      <c r="A7" s="460" t="s">
        <v>1371</v>
      </c>
      <c r="B7" s="1127">
        <v>25.5</v>
      </c>
      <c r="C7" s="1128">
        <v>25.5</v>
      </c>
      <c r="D7" s="1128">
        <v>25.5</v>
      </c>
      <c r="E7" s="1128"/>
      <c r="F7" s="1128">
        <f>SUM(D7:E7)</f>
        <v>25.5</v>
      </c>
      <c r="G7" s="1128"/>
      <c r="H7" s="1128">
        <f>SUM(F7:G7)</f>
        <v>25.5</v>
      </c>
      <c r="I7" s="1128"/>
      <c r="J7" s="1128"/>
      <c r="K7" s="1128">
        <f>SUM(H7:J7)</f>
        <v>25.5</v>
      </c>
    </row>
    <row r="8" spans="1:11" ht="17.25" thickTop="1" thickBot="1" x14ac:dyDescent="0.3">
      <c r="A8" s="459" t="s">
        <v>633</v>
      </c>
      <c r="B8" s="466">
        <f>SUM(B6:B7)</f>
        <v>148.30000000000001</v>
      </c>
      <c r="C8" s="466">
        <f>SUM(C6:C7)</f>
        <v>148.30000000000001</v>
      </c>
      <c r="D8" s="466">
        <f>SUM(D6:D7)</f>
        <v>148.30000000000001</v>
      </c>
      <c r="E8" s="466">
        <f t="shared" ref="E8:K8" si="0">SUM(E6:E7)</f>
        <v>0</v>
      </c>
      <c r="F8" s="466">
        <f t="shared" si="0"/>
        <v>148.30000000000001</v>
      </c>
      <c r="G8" s="466">
        <f t="shared" si="0"/>
        <v>0</v>
      </c>
      <c r="H8" s="466">
        <f t="shared" si="0"/>
        <v>148.30000000000001</v>
      </c>
      <c r="I8" s="466">
        <f t="shared" si="0"/>
        <v>0</v>
      </c>
      <c r="J8" s="466">
        <f t="shared" si="0"/>
        <v>0</v>
      </c>
      <c r="K8" s="466">
        <f t="shared" si="0"/>
        <v>148.30000000000001</v>
      </c>
    </row>
    <row r="9" spans="1:11" ht="16.5" thickTop="1" x14ac:dyDescent="0.25">
      <c r="A9" s="458" t="s">
        <v>545</v>
      </c>
      <c r="B9" s="1127">
        <v>22.75</v>
      </c>
      <c r="C9" s="1128">
        <v>22.75</v>
      </c>
      <c r="D9" s="1128">
        <v>22.75</v>
      </c>
      <c r="E9" s="1128"/>
      <c r="F9" s="1128">
        <f t="shared" ref="F9:F14" si="1">SUM(D9:E9)</f>
        <v>22.75</v>
      </c>
      <c r="G9" s="1128"/>
      <c r="H9" s="1128">
        <f t="shared" ref="H9:H14" si="2">SUM(F9:G9)</f>
        <v>22.75</v>
      </c>
      <c r="I9" s="1128"/>
      <c r="J9" s="1128"/>
      <c r="K9" s="1128">
        <f t="shared" ref="K9:K14" si="3">SUM(H9:J9)</f>
        <v>22.75</v>
      </c>
    </row>
    <row r="10" spans="1:11" x14ac:dyDescent="0.25">
      <c r="A10" s="458" t="s">
        <v>592</v>
      </c>
      <c r="B10" s="1127">
        <v>22.75</v>
      </c>
      <c r="C10" s="1128">
        <v>22.75</v>
      </c>
      <c r="D10" s="1128">
        <v>22.75</v>
      </c>
      <c r="E10" s="1128"/>
      <c r="F10" s="1128">
        <f t="shared" si="1"/>
        <v>22.75</v>
      </c>
      <c r="G10" s="1128"/>
      <c r="H10" s="1128">
        <f t="shared" si="2"/>
        <v>22.75</v>
      </c>
      <c r="I10" s="1128"/>
      <c r="J10" s="1128"/>
      <c r="K10" s="1128">
        <f t="shared" si="3"/>
        <v>22.75</v>
      </c>
    </row>
    <row r="11" spans="1:11" x14ac:dyDescent="0.25">
      <c r="A11" s="458" t="s">
        <v>547</v>
      </c>
      <c r="B11" s="1127">
        <v>22.75</v>
      </c>
      <c r="C11" s="1128">
        <v>22.75</v>
      </c>
      <c r="D11" s="1128">
        <v>22.75</v>
      </c>
      <c r="E11" s="1128"/>
      <c r="F11" s="1128">
        <f t="shared" si="1"/>
        <v>22.75</v>
      </c>
      <c r="G11" s="1128"/>
      <c r="H11" s="1128">
        <f t="shared" si="2"/>
        <v>22.75</v>
      </c>
      <c r="I11" s="1128"/>
      <c r="J11" s="1128"/>
      <c r="K11" s="1128">
        <f t="shared" si="3"/>
        <v>22.75</v>
      </c>
    </row>
    <row r="12" spans="1:11" x14ac:dyDescent="0.25">
      <c r="A12" s="458" t="s">
        <v>802</v>
      </c>
      <c r="B12" s="1127">
        <v>13</v>
      </c>
      <c r="C12" s="1128">
        <v>13</v>
      </c>
      <c r="D12" s="1128">
        <v>13</v>
      </c>
      <c r="E12" s="1128"/>
      <c r="F12" s="1128">
        <f t="shared" si="1"/>
        <v>13</v>
      </c>
      <c r="G12" s="1128"/>
      <c r="H12" s="1128">
        <f t="shared" si="2"/>
        <v>13</v>
      </c>
      <c r="I12" s="1128"/>
      <c r="J12" s="1128"/>
      <c r="K12" s="1128">
        <f t="shared" si="3"/>
        <v>13</v>
      </c>
    </row>
    <row r="13" spans="1:11" x14ac:dyDescent="0.25">
      <c r="A13" s="458" t="s">
        <v>549</v>
      </c>
      <c r="B13" s="1127">
        <v>27.75</v>
      </c>
      <c r="C13" s="1128">
        <v>27.75</v>
      </c>
      <c r="D13" s="1128">
        <v>27.75</v>
      </c>
      <c r="E13" s="1128"/>
      <c r="F13" s="1128">
        <f t="shared" si="1"/>
        <v>27.75</v>
      </c>
      <c r="G13" s="1128"/>
      <c r="H13" s="1128">
        <f t="shared" si="2"/>
        <v>27.75</v>
      </c>
      <c r="I13" s="1128"/>
      <c r="J13" s="1128"/>
      <c r="K13" s="1128">
        <f t="shared" si="3"/>
        <v>27.75</v>
      </c>
    </row>
    <row r="14" spans="1:11" ht="16.5" thickBot="1" x14ac:dyDescent="0.3">
      <c r="A14" s="458" t="s">
        <v>550</v>
      </c>
      <c r="B14" s="1127">
        <v>26.75</v>
      </c>
      <c r="C14" s="1128">
        <v>26.75</v>
      </c>
      <c r="D14" s="1128">
        <v>26.75</v>
      </c>
      <c r="E14" s="1128"/>
      <c r="F14" s="1128">
        <f t="shared" si="1"/>
        <v>26.75</v>
      </c>
      <c r="G14" s="1128"/>
      <c r="H14" s="1128">
        <f t="shared" si="2"/>
        <v>26.75</v>
      </c>
      <c r="I14" s="1128"/>
      <c r="J14" s="1128"/>
      <c r="K14" s="1128">
        <f t="shared" si="3"/>
        <v>26.75</v>
      </c>
    </row>
    <row r="15" spans="1:11" ht="17.25" thickTop="1" thickBot="1" x14ac:dyDescent="0.3">
      <c r="A15" s="459" t="s">
        <v>551</v>
      </c>
      <c r="B15" s="466">
        <f>SUM(B9:B14)</f>
        <v>135.75</v>
      </c>
      <c r="C15" s="466">
        <f>SUM(C9:C14)</f>
        <v>135.75</v>
      </c>
      <c r="D15" s="466">
        <f>SUM(D9:D14)</f>
        <v>135.75</v>
      </c>
      <c r="E15" s="466">
        <f>SUM(E9:E14)</f>
        <v>0</v>
      </c>
      <c r="F15" s="466">
        <f t="shared" ref="F15:H15" si="4">SUM(F9:F14)</f>
        <v>135.75</v>
      </c>
      <c r="G15" s="466">
        <f>SUM(G9:G14)</f>
        <v>0</v>
      </c>
      <c r="H15" s="466">
        <f t="shared" si="4"/>
        <v>135.75</v>
      </c>
      <c r="I15" s="466">
        <f>SUM(I9:I14)</f>
        <v>0</v>
      </c>
      <c r="J15" s="466">
        <f>SUM(J9:J14)</f>
        <v>0</v>
      </c>
      <c r="K15" s="466">
        <f t="shared" ref="K15" si="5">SUM(K9:K14)</f>
        <v>135.75</v>
      </c>
    </row>
    <row r="16" spans="1:11" ht="16.5" thickTop="1" x14ac:dyDescent="0.25">
      <c r="A16" s="458" t="s">
        <v>552</v>
      </c>
      <c r="B16" s="1127">
        <v>46.75</v>
      </c>
      <c r="C16" s="1128">
        <v>47.75</v>
      </c>
      <c r="D16" s="1128">
        <v>47.75</v>
      </c>
      <c r="E16" s="1128"/>
      <c r="F16" s="1128">
        <f t="shared" ref="F16:F27" si="6">SUM(D16:E16)</f>
        <v>47.75</v>
      </c>
      <c r="G16" s="1128"/>
      <c r="H16" s="1128">
        <f t="shared" ref="H16:H27" si="7">SUM(F16:G16)</f>
        <v>47.75</v>
      </c>
      <c r="I16" s="1128">
        <v>-1</v>
      </c>
      <c r="J16" s="1128"/>
      <c r="K16" s="1128">
        <f t="shared" ref="K16:K27" si="8">SUM(H16:J16)</f>
        <v>46.75</v>
      </c>
    </row>
    <row r="17" spans="1:11" x14ac:dyDescent="0.25">
      <c r="A17" s="458" t="s">
        <v>593</v>
      </c>
      <c r="B17" s="1127">
        <v>48</v>
      </c>
      <c r="C17" s="1128">
        <v>49</v>
      </c>
      <c r="D17" s="1128">
        <v>49</v>
      </c>
      <c r="E17" s="1128"/>
      <c r="F17" s="1128">
        <f t="shared" si="6"/>
        <v>49</v>
      </c>
      <c r="G17" s="1128"/>
      <c r="H17" s="1128">
        <f t="shared" si="7"/>
        <v>49</v>
      </c>
      <c r="I17" s="1128"/>
      <c r="J17" s="1128"/>
      <c r="K17" s="1128">
        <f t="shared" si="8"/>
        <v>49</v>
      </c>
    </row>
    <row r="18" spans="1:11" ht="31.5" x14ac:dyDescent="0.25">
      <c r="A18" s="460" t="s">
        <v>554</v>
      </c>
      <c r="B18" s="1127">
        <v>53</v>
      </c>
      <c r="C18" s="1128">
        <v>54</v>
      </c>
      <c r="D18" s="1128">
        <v>54</v>
      </c>
      <c r="E18" s="1128"/>
      <c r="F18" s="1128">
        <f t="shared" si="6"/>
        <v>54</v>
      </c>
      <c r="G18" s="1128"/>
      <c r="H18" s="1128">
        <f t="shared" si="7"/>
        <v>54</v>
      </c>
      <c r="I18" s="1128"/>
      <c r="J18" s="1128"/>
      <c r="K18" s="1128">
        <f t="shared" si="8"/>
        <v>54</v>
      </c>
    </row>
    <row r="19" spans="1:11" x14ac:dyDescent="0.25">
      <c r="A19" s="458" t="s">
        <v>555</v>
      </c>
      <c r="B19" s="1127">
        <v>32</v>
      </c>
      <c r="C19" s="1128">
        <v>32</v>
      </c>
      <c r="D19" s="1128">
        <v>32</v>
      </c>
      <c r="E19" s="1128"/>
      <c r="F19" s="1128">
        <f t="shared" si="6"/>
        <v>32</v>
      </c>
      <c r="G19" s="1128"/>
      <c r="H19" s="1128">
        <f t="shared" si="7"/>
        <v>32</v>
      </c>
      <c r="I19" s="1128"/>
      <c r="J19" s="1128"/>
      <c r="K19" s="1128">
        <f t="shared" si="8"/>
        <v>32</v>
      </c>
    </row>
    <row r="20" spans="1:11" x14ac:dyDescent="0.25">
      <c r="A20" s="458" t="s">
        <v>556</v>
      </c>
      <c r="B20" s="1127">
        <v>41.5</v>
      </c>
      <c r="C20" s="1128">
        <v>42</v>
      </c>
      <c r="D20" s="1128">
        <v>42</v>
      </c>
      <c r="E20" s="1128"/>
      <c r="F20" s="1128">
        <f t="shared" si="6"/>
        <v>42</v>
      </c>
      <c r="G20" s="1128"/>
      <c r="H20" s="1128">
        <f t="shared" si="7"/>
        <v>42</v>
      </c>
      <c r="I20" s="1128"/>
      <c r="J20" s="1128"/>
      <c r="K20" s="1128">
        <f t="shared" si="8"/>
        <v>42</v>
      </c>
    </row>
    <row r="21" spans="1:11" x14ac:dyDescent="0.25">
      <c r="A21" s="458" t="s">
        <v>557</v>
      </c>
      <c r="B21" s="1127">
        <v>35</v>
      </c>
      <c r="C21" s="1128">
        <v>36</v>
      </c>
      <c r="D21" s="1128">
        <v>36</v>
      </c>
      <c r="E21" s="1128"/>
      <c r="F21" s="1128">
        <f t="shared" si="6"/>
        <v>36</v>
      </c>
      <c r="G21" s="1128"/>
      <c r="H21" s="1128">
        <f t="shared" si="7"/>
        <v>36</v>
      </c>
      <c r="I21" s="1128"/>
      <c r="J21" s="1128"/>
      <c r="K21" s="1128">
        <f t="shared" si="8"/>
        <v>36</v>
      </c>
    </row>
    <row r="22" spans="1:11" x14ac:dyDescent="0.25">
      <c r="A22" s="458" t="s">
        <v>91</v>
      </c>
      <c r="B22" s="1127">
        <v>41</v>
      </c>
      <c r="C22" s="1128">
        <v>41</v>
      </c>
      <c r="D22" s="1128">
        <v>41</v>
      </c>
      <c r="E22" s="1128"/>
      <c r="F22" s="1128">
        <f t="shared" si="6"/>
        <v>41</v>
      </c>
      <c r="G22" s="1128"/>
      <c r="H22" s="1128">
        <f t="shared" si="7"/>
        <v>41</v>
      </c>
      <c r="I22" s="1128"/>
      <c r="J22" s="1128"/>
      <c r="K22" s="1128">
        <f t="shared" si="8"/>
        <v>41</v>
      </c>
    </row>
    <row r="23" spans="1:11" x14ac:dyDescent="0.25">
      <c r="A23" s="458" t="s">
        <v>803</v>
      </c>
      <c r="B23" s="1127">
        <v>46</v>
      </c>
      <c r="C23" s="1128">
        <v>46</v>
      </c>
      <c r="D23" s="1128">
        <v>46</v>
      </c>
      <c r="E23" s="1128"/>
      <c r="F23" s="1128">
        <f t="shared" si="6"/>
        <v>46</v>
      </c>
      <c r="G23" s="1128"/>
      <c r="H23" s="1128">
        <f t="shared" si="7"/>
        <v>46</v>
      </c>
      <c r="I23" s="1128"/>
      <c r="J23" s="1128"/>
      <c r="K23" s="1128">
        <f t="shared" si="8"/>
        <v>46</v>
      </c>
    </row>
    <row r="24" spans="1:11" x14ac:dyDescent="0.25">
      <c r="A24" s="458" t="s">
        <v>558</v>
      </c>
      <c r="B24" s="1127">
        <v>14</v>
      </c>
      <c r="C24" s="1128">
        <v>14.5</v>
      </c>
      <c r="D24" s="1128">
        <v>14.5</v>
      </c>
      <c r="E24" s="1128"/>
      <c r="F24" s="1128">
        <f t="shared" si="6"/>
        <v>14.5</v>
      </c>
      <c r="G24" s="1128"/>
      <c r="H24" s="1128">
        <f t="shared" si="7"/>
        <v>14.5</v>
      </c>
      <c r="I24" s="1128"/>
      <c r="J24" s="1128"/>
      <c r="K24" s="1128">
        <f t="shared" si="8"/>
        <v>14.5</v>
      </c>
    </row>
    <row r="25" spans="1:11" x14ac:dyDescent="0.25">
      <c r="A25" s="458" t="s">
        <v>804</v>
      </c>
      <c r="B25" s="1127">
        <v>50.5</v>
      </c>
      <c r="C25" s="1128">
        <v>51.5</v>
      </c>
      <c r="D25" s="1128">
        <v>51.5</v>
      </c>
      <c r="E25" s="1128"/>
      <c r="F25" s="1128">
        <f t="shared" si="6"/>
        <v>51.5</v>
      </c>
      <c r="G25" s="1128"/>
      <c r="H25" s="1128">
        <f t="shared" si="7"/>
        <v>51.5</v>
      </c>
      <c r="I25" s="1128"/>
      <c r="J25" s="1128"/>
      <c r="K25" s="1128">
        <f t="shared" si="8"/>
        <v>51.5</v>
      </c>
    </row>
    <row r="26" spans="1:11" x14ac:dyDescent="0.25">
      <c r="A26" s="458" t="s">
        <v>560</v>
      </c>
      <c r="B26" s="1127">
        <v>35</v>
      </c>
      <c r="C26" s="1128">
        <v>35.5</v>
      </c>
      <c r="D26" s="1128">
        <v>35.5</v>
      </c>
      <c r="E26" s="1128"/>
      <c r="F26" s="1128">
        <f t="shared" si="6"/>
        <v>35.5</v>
      </c>
      <c r="G26" s="1128"/>
      <c r="H26" s="1128">
        <f t="shared" si="7"/>
        <v>35.5</v>
      </c>
      <c r="I26" s="1128"/>
      <c r="J26" s="1128"/>
      <c r="K26" s="1128">
        <f t="shared" si="8"/>
        <v>35.5</v>
      </c>
    </row>
    <row r="27" spans="1:11" ht="16.5" thickBot="1" x14ac:dyDescent="0.3">
      <c r="A27" s="458" t="s">
        <v>92</v>
      </c>
      <c r="B27" s="1127">
        <v>42</v>
      </c>
      <c r="C27" s="1128">
        <v>42.5</v>
      </c>
      <c r="D27" s="1128">
        <v>42.5</v>
      </c>
      <c r="E27" s="1128"/>
      <c r="F27" s="1128">
        <f t="shared" si="6"/>
        <v>42.5</v>
      </c>
      <c r="G27" s="1128"/>
      <c r="H27" s="1128">
        <f t="shared" si="7"/>
        <v>42.5</v>
      </c>
      <c r="I27" s="1128"/>
      <c r="J27" s="1128"/>
      <c r="K27" s="1128">
        <f t="shared" si="8"/>
        <v>42.5</v>
      </c>
    </row>
    <row r="28" spans="1:11" ht="17.25" thickTop="1" thickBot="1" x14ac:dyDescent="0.3">
      <c r="A28" s="459" t="s">
        <v>561</v>
      </c>
      <c r="B28" s="466">
        <f t="shared" ref="B28:K28" si="9">SUM(B16:B27)</f>
        <v>484.75</v>
      </c>
      <c r="C28" s="466">
        <f t="shared" si="9"/>
        <v>491.75</v>
      </c>
      <c r="D28" s="466">
        <f t="shared" si="9"/>
        <v>491.75</v>
      </c>
      <c r="E28" s="466">
        <f t="shared" si="9"/>
        <v>0</v>
      </c>
      <c r="F28" s="466">
        <f t="shared" si="9"/>
        <v>491.75</v>
      </c>
      <c r="G28" s="466">
        <f t="shared" si="9"/>
        <v>0</v>
      </c>
      <c r="H28" s="466">
        <f t="shared" si="9"/>
        <v>491.75</v>
      </c>
      <c r="I28" s="466">
        <f t="shared" si="9"/>
        <v>-1</v>
      </c>
      <c r="J28" s="466">
        <f t="shared" si="9"/>
        <v>0</v>
      </c>
      <c r="K28" s="466">
        <f t="shared" si="9"/>
        <v>490.75</v>
      </c>
    </row>
    <row r="29" spans="1:11" ht="17.25" thickTop="1" thickBot="1" x14ac:dyDescent="0.3">
      <c r="A29" s="459" t="s">
        <v>589</v>
      </c>
      <c r="B29" s="466">
        <f t="shared" ref="B29:F29" si="10">SUM(B28+B15+B8)</f>
        <v>768.8</v>
      </c>
      <c r="C29" s="466">
        <f t="shared" si="10"/>
        <v>775.8</v>
      </c>
      <c r="D29" s="466">
        <f t="shared" si="10"/>
        <v>775.8</v>
      </c>
      <c r="E29" s="466">
        <v>0</v>
      </c>
      <c r="F29" s="466">
        <f t="shared" si="10"/>
        <v>775.8</v>
      </c>
      <c r="G29" s="466">
        <v>0</v>
      </c>
      <c r="H29" s="466">
        <f t="shared" ref="H29:K29" si="11">SUM(H28+H15+H8)</f>
        <v>775.8</v>
      </c>
      <c r="I29" s="466">
        <f t="shared" si="11"/>
        <v>-1</v>
      </c>
      <c r="J29" s="466">
        <v>0</v>
      </c>
      <c r="K29" s="466">
        <f t="shared" si="11"/>
        <v>774.8</v>
      </c>
    </row>
    <row r="30" spans="1:11" ht="16.5" thickTop="1" x14ac:dyDescent="0.25">
      <c r="A30" s="458" t="s">
        <v>93</v>
      </c>
      <c r="B30" s="1127">
        <v>215.5</v>
      </c>
      <c r="C30" s="1128">
        <v>215.5</v>
      </c>
      <c r="D30" s="1128">
        <v>215.5</v>
      </c>
      <c r="E30" s="1128"/>
      <c r="F30" s="1128">
        <f>SUM(D30:E30)</f>
        <v>215.5</v>
      </c>
      <c r="G30" s="1128"/>
      <c r="H30" s="1128">
        <f>SUM(F30:G30)</f>
        <v>215.5</v>
      </c>
      <c r="I30" s="1128"/>
      <c r="J30" s="1128"/>
      <c r="K30" s="1128">
        <f>SUM(H30:J30)</f>
        <v>215.5</v>
      </c>
    </row>
    <row r="31" spans="1:11" ht="33.75" customHeight="1" x14ac:dyDescent="0.25">
      <c r="A31" s="460" t="s">
        <v>949</v>
      </c>
      <c r="B31" s="1127">
        <v>58</v>
      </c>
      <c r="C31" s="1128">
        <v>58</v>
      </c>
      <c r="D31" s="1128">
        <v>58</v>
      </c>
      <c r="E31" s="1128"/>
      <c r="F31" s="1128">
        <f>SUM(D31:E31)</f>
        <v>58</v>
      </c>
      <c r="G31" s="1128"/>
      <c r="H31" s="1128">
        <f>SUM(F31:G31)</f>
        <v>58</v>
      </c>
      <c r="I31" s="1128"/>
      <c r="J31" s="1128"/>
      <c r="K31" s="1128">
        <f>SUM(H31:J31)</f>
        <v>58</v>
      </c>
    </row>
    <row r="32" spans="1:11" ht="16.5" thickBot="1" x14ac:dyDescent="0.3">
      <c r="A32" s="461" t="s">
        <v>563</v>
      </c>
      <c r="B32" s="1127">
        <v>48</v>
      </c>
      <c r="C32" s="1128">
        <v>48</v>
      </c>
      <c r="D32" s="1128">
        <v>48</v>
      </c>
      <c r="E32" s="1128"/>
      <c r="F32" s="1128">
        <f>SUM(D32:E32)</f>
        <v>48</v>
      </c>
      <c r="G32" s="1128"/>
      <c r="H32" s="1128">
        <f>SUM(F32:G32)</f>
        <v>48</v>
      </c>
      <c r="I32" s="1128"/>
      <c r="J32" s="1128"/>
      <c r="K32" s="1128">
        <f>SUM(H32:J32)</f>
        <v>48</v>
      </c>
    </row>
    <row r="33" spans="1:11" ht="17.25" thickTop="1" thickBot="1" x14ac:dyDescent="0.3">
      <c r="A33" s="459" t="s">
        <v>564</v>
      </c>
      <c r="B33" s="466">
        <f>SUM(B30:B32)</f>
        <v>321.5</v>
      </c>
      <c r="C33" s="466">
        <f>SUM(C30:C32)</f>
        <v>321.5</v>
      </c>
      <c r="D33" s="466">
        <f>SUM(D30:D32)</f>
        <v>321.5</v>
      </c>
      <c r="E33" s="466">
        <f t="shared" ref="E33:K33" si="12">SUM(E30:E32)</f>
        <v>0</v>
      </c>
      <c r="F33" s="466">
        <f t="shared" si="12"/>
        <v>321.5</v>
      </c>
      <c r="G33" s="466">
        <f t="shared" si="12"/>
        <v>0</v>
      </c>
      <c r="H33" s="466">
        <f t="shared" si="12"/>
        <v>321.5</v>
      </c>
      <c r="I33" s="466">
        <f t="shared" si="12"/>
        <v>0</v>
      </c>
      <c r="J33" s="466">
        <f t="shared" si="12"/>
        <v>0</v>
      </c>
      <c r="K33" s="466">
        <f t="shared" si="12"/>
        <v>321.5</v>
      </c>
    </row>
    <row r="34" spans="1:11" ht="17.25" thickTop="1" thickBot="1" x14ac:dyDescent="0.3">
      <c r="A34" s="983" t="s">
        <v>595</v>
      </c>
      <c r="B34" s="466">
        <v>300.5</v>
      </c>
      <c r="C34" s="466">
        <v>300.5</v>
      </c>
      <c r="D34" s="466">
        <v>300.5</v>
      </c>
      <c r="E34" s="466"/>
      <c r="F34" s="466">
        <f t="shared" ref="F34:F41" si="13">SUM(D34:E34)</f>
        <v>300.5</v>
      </c>
      <c r="G34" s="466"/>
      <c r="H34" s="466">
        <f t="shared" ref="H34:H41" si="14">SUM(F34:G34)</f>
        <v>300.5</v>
      </c>
      <c r="I34" s="466"/>
      <c r="J34" s="466"/>
      <c r="K34" s="466">
        <f t="shared" ref="K34:K41" si="15">SUM(H34:J34)</f>
        <v>300.5</v>
      </c>
    </row>
    <row r="35" spans="1:11" ht="16.5" thickTop="1" x14ac:dyDescent="0.25">
      <c r="A35" s="458" t="s">
        <v>566</v>
      </c>
      <c r="B35" s="1127">
        <v>11</v>
      </c>
      <c r="C35" s="1128">
        <v>11</v>
      </c>
      <c r="D35" s="1128">
        <v>11</v>
      </c>
      <c r="E35" s="1128"/>
      <c r="F35" s="1128">
        <f t="shared" si="13"/>
        <v>11</v>
      </c>
      <c r="G35" s="1128"/>
      <c r="H35" s="1128">
        <f t="shared" si="14"/>
        <v>11</v>
      </c>
      <c r="I35" s="1128"/>
      <c r="J35" s="1128">
        <v>2</v>
      </c>
      <c r="K35" s="1128">
        <f t="shared" si="15"/>
        <v>13</v>
      </c>
    </row>
    <row r="36" spans="1:11" x14ac:dyDescent="0.25">
      <c r="A36" s="458" t="s">
        <v>567</v>
      </c>
      <c r="B36" s="1127">
        <v>15</v>
      </c>
      <c r="C36" s="1128">
        <v>15</v>
      </c>
      <c r="D36" s="1128">
        <v>15</v>
      </c>
      <c r="E36" s="1128">
        <v>-15</v>
      </c>
      <c r="F36" s="1128">
        <f t="shared" si="13"/>
        <v>0</v>
      </c>
      <c r="G36" s="1128"/>
      <c r="H36" s="1128">
        <f t="shared" si="14"/>
        <v>0</v>
      </c>
      <c r="I36" s="1128"/>
      <c r="J36" s="1128"/>
      <c r="K36" s="1128">
        <f t="shared" si="15"/>
        <v>0</v>
      </c>
    </row>
    <row r="37" spans="1:11" x14ac:dyDescent="0.25">
      <c r="A37" s="458" t="s">
        <v>381</v>
      </c>
      <c r="B37" s="1127">
        <v>82</v>
      </c>
      <c r="C37" s="1128">
        <v>82</v>
      </c>
      <c r="D37" s="1128">
        <v>82</v>
      </c>
      <c r="E37" s="1128"/>
      <c r="F37" s="1128">
        <f t="shared" si="13"/>
        <v>82</v>
      </c>
      <c r="G37" s="1128"/>
      <c r="H37" s="1128">
        <f t="shared" si="14"/>
        <v>82</v>
      </c>
      <c r="I37" s="1128"/>
      <c r="J37" s="1128"/>
      <c r="K37" s="1128">
        <f t="shared" si="15"/>
        <v>82</v>
      </c>
    </row>
    <row r="38" spans="1:11" x14ac:dyDescent="0.25">
      <c r="A38" s="458" t="s">
        <v>568</v>
      </c>
      <c r="B38" s="1127">
        <v>86.63</v>
      </c>
      <c r="C38" s="1128">
        <v>86.63</v>
      </c>
      <c r="D38" s="1128">
        <v>86.63</v>
      </c>
      <c r="E38" s="1128">
        <v>15</v>
      </c>
      <c r="F38" s="1128">
        <f t="shared" si="13"/>
        <v>101.63</v>
      </c>
      <c r="G38" s="1128"/>
      <c r="H38" s="1128">
        <f t="shared" si="14"/>
        <v>101.63</v>
      </c>
      <c r="I38" s="1128"/>
      <c r="J38" s="1128"/>
      <c r="K38" s="1128">
        <f t="shared" si="15"/>
        <v>101.63</v>
      </c>
    </row>
    <row r="39" spans="1:11" x14ac:dyDescent="0.25">
      <c r="A39" s="458" t="s">
        <v>805</v>
      </c>
      <c r="B39" s="1127">
        <v>13</v>
      </c>
      <c r="C39" s="1128">
        <v>13</v>
      </c>
      <c r="D39" s="1128">
        <v>25.5</v>
      </c>
      <c r="E39" s="1128"/>
      <c r="F39" s="1128">
        <f t="shared" si="13"/>
        <v>25.5</v>
      </c>
      <c r="G39" s="1128"/>
      <c r="H39" s="1128">
        <f t="shared" si="14"/>
        <v>25.5</v>
      </c>
      <c r="I39" s="1128"/>
      <c r="J39" s="1128"/>
      <c r="K39" s="1128">
        <f t="shared" si="15"/>
        <v>25.5</v>
      </c>
    </row>
    <row r="40" spans="1:11" x14ac:dyDescent="0.25">
      <c r="A40" s="458" t="s">
        <v>569</v>
      </c>
      <c r="B40" s="1127">
        <v>109</v>
      </c>
      <c r="C40" s="1128">
        <v>109</v>
      </c>
      <c r="D40" s="1128">
        <v>109</v>
      </c>
      <c r="E40" s="1128"/>
      <c r="F40" s="1128">
        <f t="shared" si="13"/>
        <v>109</v>
      </c>
      <c r="G40" s="1128"/>
      <c r="H40" s="1128">
        <f t="shared" si="14"/>
        <v>109</v>
      </c>
      <c r="I40" s="1128"/>
      <c r="J40" s="1128"/>
      <c r="K40" s="1128">
        <f t="shared" si="15"/>
        <v>109</v>
      </c>
    </row>
    <row r="41" spans="1:11" ht="16.5" thickBot="1" x14ac:dyDescent="0.3">
      <c r="A41" s="458" t="s">
        <v>570</v>
      </c>
      <c r="B41" s="1127">
        <v>25.25</v>
      </c>
      <c r="C41" s="1128">
        <v>25.25</v>
      </c>
      <c r="D41" s="1128">
        <v>25.25</v>
      </c>
      <c r="E41" s="1128"/>
      <c r="F41" s="1128">
        <f t="shared" si="13"/>
        <v>25.25</v>
      </c>
      <c r="G41" s="1128"/>
      <c r="H41" s="1128">
        <f t="shared" si="14"/>
        <v>25.25</v>
      </c>
      <c r="I41" s="1128"/>
      <c r="J41" s="1128"/>
      <c r="K41" s="1128">
        <f t="shared" si="15"/>
        <v>25.25</v>
      </c>
    </row>
    <row r="42" spans="1:11" ht="17.25" thickTop="1" thickBot="1" x14ac:dyDescent="0.3">
      <c r="A42" s="459" t="s">
        <v>571</v>
      </c>
      <c r="B42" s="466">
        <f>SUM(B35:B41)</f>
        <v>341.88</v>
      </c>
      <c r="C42" s="466">
        <f>SUM(C35:C41)</f>
        <v>341.88</v>
      </c>
      <c r="D42" s="466">
        <f>SUM(D35:D41)</f>
        <v>354.38</v>
      </c>
      <c r="E42" s="466">
        <f t="shared" ref="E42:K42" si="16">SUM(E35:E41)</f>
        <v>0</v>
      </c>
      <c r="F42" s="466">
        <f t="shared" si="16"/>
        <v>354.38</v>
      </c>
      <c r="G42" s="466">
        <f t="shared" si="16"/>
        <v>0</v>
      </c>
      <c r="H42" s="466">
        <f t="shared" si="16"/>
        <v>354.38</v>
      </c>
      <c r="I42" s="466">
        <f t="shared" si="16"/>
        <v>0</v>
      </c>
      <c r="J42" s="466">
        <f t="shared" si="16"/>
        <v>2</v>
      </c>
      <c r="K42" s="466">
        <f t="shared" si="16"/>
        <v>356.38</v>
      </c>
    </row>
    <row r="43" spans="1:11" ht="17.25" thickTop="1" thickBot="1" x14ac:dyDescent="0.3">
      <c r="A43" s="495" t="s">
        <v>572</v>
      </c>
      <c r="B43" s="466">
        <f>SUM(B29+B33+B34+B42)</f>
        <v>1732.6799999999998</v>
      </c>
      <c r="C43" s="466">
        <f>SUM(C29+C33+C34+C42)</f>
        <v>1739.6799999999998</v>
      </c>
      <c r="D43" s="466">
        <f>SUM(D29+D33+D34+D42)</f>
        <v>1752.1799999999998</v>
      </c>
      <c r="E43" s="466">
        <f t="shared" ref="E43:K43" si="17">SUM(E29+E33+E34+E42)</f>
        <v>0</v>
      </c>
      <c r="F43" s="466">
        <f t="shared" si="17"/>
        <v>1752.1799999999998</v>
      </c>
      <c r="G43" s="466">
        <f t="shared" si="17"/>
        <v>0</v>
      </c>
      <c r="H43" s="466">
        <f t="shared" si="17"/>
        <v>1752.1799999999998</v>
      </c>
      <c r="I43" s="466">
        <f>SUM(I29+I33+I34+I42)</f>
        <v>-1</v>
      </c>
      <c r="J43" s="466">
        <f t="shared" si="17"/>
        <v>2</v>
      </c>
      <c r="K43" s="466">
        <f t="shared" si="17"/>
        <v>1753.1799999999998</v>
      </c>
    </row>
    <row r="44" spans="1:11" ht="17.25" thickTop="1" thickBot="1" x14ac:dyDescent="0.3">
      <c r="A44" s="474" t="s">
        <v>94</v>
      </c>
      <c r="B44" s="467">
        <v>325</v>
      </c>
      <c r="C44" s="1128">
        <v>325</v>
      </c>
      <c r="D44" s="1128">
        <v>325</v>
      </c>
      <c r="E44" s="467"/>
      <c r="F44" s="1128">
        <f>SUM(D44:E44)</f>
        <v>325</v>
      </c>
      <c r="G44" s="467">
        <v>25</v>
      </c>
      <c r="H44" s="1128">
        <f>SUM(F44:G44)</f>
        <v>350</v>
      </c>
      <c r="I44" s="1128"/>
      <c r="J44" s="467"/>
      <c r="K44" s="1128">
        <f>SUM(H44:J44)</f>
        <v>350</v>
      </c>
    </row>
    <row r="45" spans="1:11" ht="17.25" thickTop="1" thickBot="1" x14ac:dyDescent="0.3">
      <c r="A45" s="459" t="s">
        <v>622</v>
      </c>
      <c r="B45" s="466">
        <f>SUM(B43:B44)</f>
        <v>2057.6799999999998</v>
      </c>
      <c r="C45" s="466">
        <f>SUM(C43:C44)</f>
        <v>2064.6799999999998</v>
      </c>
      <c r="D45" s="466">
        <f>SUM(D43:D44)</f>
        <v>2077.1799999999998</v>
      </c>
      <c r="E45" s="466">
        <f t="shared" ref="E45:K45" si="18">SUM(E43:E44)</f>
        <v>0</v>
      </c>
      <c r="F45" s="466">
        <f t="shared" si="18"/>
        <v>2077.1799999999998</v>
      </c>
      <c r="G45" s="466">
        <f t="shared" si="18"/>
        <v>25</v>
      </c>
      <c r="H45" s="466">
        <f t="shared" si="18"/>
        <v>2102.1799999999998</v>
      </c>
      <c r="I45" s="466">
        <f t="shared" si="18"/>
        <v>-1</v>
      </c>
      <c r="J45" s="466">
        <f t="shared" si="18"/>
        <v>2</v>
      </c>
      <c r="K45" s="466">
        <f t="shared" si="18"/>
        <v>2103.1799999999998</v>
      </c>
    </row>
    <row r="46" spans="1:11" ht="16.5" thickTop="1" x14ac:dyDescent="0.25">
      <c r="A46" s="463"/>
    </row>
    <row r="47" spans="1:11" x14ac:dyDescent="0.25">
      <c r="A47" s="463"/>
    </row>
    <row r="48" spans="1:11" x14ac:dyDescent="0.25">
      <c r="A48" s="463"/>
    </row>
    <row r="49" spans="1:1" x14ac:dyDescent="0.25">
      <c r="A49" s="463"/>
    </row>
    <row r="50" spans="1:1" x14ac:dyDescent="0.25">
      <c r="A50" s="463"/>
    </row>
    <row r="51" spans="1:1" x14ac:dyDescent="0.25">
      <c r="A51" s="463"/>
    </row>
    <row r="52" spans="1:1" s="1129" customFormat="1" x14ac:dyDescent="0.25">
      <c r="A52" s="463"/>
    </row>
    <row r="53" spans="1:1" s="1129" customFormat="1" x14ac:dyDescent="0.25">
      <c r="A53" s="463"/>
    </row>
    <row r="54" spans="1:1" s="1129" customFormat="1" x14ac:dyDescent="0.25">
      <c r="A54" s="463"/>
    </row>
    <row r="55" spans="1:1" s="1129" customFormat="1" x14ac:dyDescent="0.25">
      <c r="A55" s="463"/>
    </row>
    <row r="56" spans="1:1" s="1129" customFormat="1" x14ac:dyDescent="0.25">
      <c r="A56" s="463"/>
    </row>
    <row r="57" spans="1:1" s="1129" customFormat="1" x14ac:dyDescent="0.25">
      <c r="A57" s="463"/>
    </row>
    <row r="58" spans="1:1" s="1129" customFormat="1" x14ac:dyDescent="0.25">
      <c r="A58" s="463"/>
    </row>
    <row r="59" spans="1:1" s="1129" customFormat="1" x14ac:dyDescent="0.25">
      <c r="A59" s="463"/>
    </row>
    <row r="60" spans="1:1" s="1129" customFormat="1" x14ac:dyDescent="0.25">
      <c r="A60" s="463"/>
    </row>
    <row r="61" spans="1:1" s="1129" customFormat="1" x14ac:dyDescent="0.25">
      <c r="A61" s="463"/>
    </row>
    <row r="62" spans="1:1" s="1129" customFormat="1" x14ac:dyDescent="0.25">
      <c r="A62" s="463"/>
    </row>
    <row r="63" spans="1:1" s="1129" customFormat="1" x14ac:dyDescent="0.25">
      <c r="A63" s="463"/>
    </row>
    <row r="64" spans="1:1" s="1129" customFormat="1" x14ac:dyDescent="0.25">
      <c r="A64" s="463"/>
    </row>
    <row r="65" spans="1:1" s="1129" customFormat="1" x14ac:dyDescent="0.25">
      <c r="A65" s="463"/>
    </row>
    <row r="66" spans="1:1" s="1129" customFormat="1" x14ac:dyDescent="0.25">
      <c r="A66" s="463"/>
    </row>
    <row r="67" spans="1:1" s="1129" customFormat="1" x14ac:dyDescent="0.25">
      <c r="A67" s="463"/>
    </row>
    <row r="68" spans="1:1" s="1129" customFormat="1" x14ac:dyDescent="0.25">
      <c r="A68" s="463"/>
    </row>
    <row r="69" spans="1:1" s="1129" customFormat="1" x14ac:dyDescent="0.25">
      <c r="A69" s="463"/>
    </row>
    <row r="70" spans="1:1" s="1129" customFormat="1" x14ac:dyDescent="0.25">
      <c r="A70" s="463"/>
    </row>
    <row r="71" spans="1:1" s="1129" customFormat="1" x14ac:dyDescent="0.25">
      <c r="A71" s="463"/>
    </row>
    <row r="72" spans="1:1" s="1129" customFormat="1" x14ac:dyDescent="0.25">
      <c r="A72" s="463"/>
    </row>
    <row r="73" spans="1:1" s="1129" customFormat="1" x14ac:dyDescent="0.25">
      <c r="A73" s="463"/>
    </row>
    <row r="74" spans="1:1" s="1129" customFormat="1" x14ac:dyDescent="0.25">
      <c r="A74" s="463"/>
    </row>
    <row r="75" spans="1:1" s="1129" customFormat="1" x14ac:dyDescent="0.25">
      <c r="A75" s="463"/>
    </row>
    <row r="76" spans="1:1" s="1129" customFormat="1" x14ac:dyDescent="0.25">
      <c r="A76" s="463"/>
    </row>
    <row r="77" spans="1:1" s="1129" customFormat="1" x14ac:dyDescent="0.25">
      <c r="A77" s="463"/>
    </row>
    <row r="78" spans="1:1" s="1129" customFormat="1" x14ac:dyDescent="0.25">
      <c r="A78" s="463"/>
    </row>
    <row r="79" spans="1:1" s="1129" customFormat="1" x14ac:dyDescent="0.25">
      <c r="A79" s="463"/>
    </row>
    <row r="80" spans="1:1" s="1129" customFormat="1" x14ac:dyDescent="0.25">
      <c r="A80" s="463"/>
    </row>
    <row r="81" spans="1:1" s="1129" customFormat="1" x14ac:dyDescent="0.25">
      <c r="A81" s="463"/>
    </row>
    <row r="82" spans="1:1" s="1129" customFormat="1" x14ac:dyDescent="0.25">
      <c r="A82" s="463"/>
    </row>
    <row r="83" spans="1:1" s="1129" customFormat="1" x14ac:dyDescent="0.25">
      <c r="A83" s="463"/>
    </row>
    <row r="84" spans="1:1" s="1129" customFormat="1" x14ac:dyDescent="0.25">
      <c r="A84" s="463"/>
    </row>
    <row r="85" spans="1:1" s="1129" customFormat="1" x14ac:dyDescent="0.25">
      <c r="A85" s="463"/>
    </row>
    <row r="86" spans="1:1" s="1129" customFormat="1" x14ac:dyDescent="0.25">
      <c r="A86" s="463"/>
    </row>
    <row r="87" spans="1:1" s="1129" customFormat="1" x14ac:dyDescent="0.25">
      <c r="A87" s="463"/>
    </row>
    <row r="88" spans="1:1" s="1129" customFormat="1" x14ac:dyDescent="0.25">
      <c r="A88" s="463"/>
    </row>
    <row r="89" spans="1:1" s="1129" customFormat="1" x14ac:dyDescent="0.25">
      <c r="A89" s="463"/>
    </row>
    <row r="90" spans="1:1" s="1129" customFormat="1" x14ac:dyDescent="0.25">
      <c r="A90" s="463"/>
    </row>
    <row r="91" spans="1:1" s="1129" customFormat="1" x14ac:dyDescent="0.25">
      <c r="A91" s="463"/>
    </row>
    <row r="92" spans="1:1" s="1129" customFormat="1" x14ac:dyDescent="0.25">
      <c r="A92" s="463"/>
    </row>
    <row r="93" spans="1:1" s="1129" customFormat="1" x14ac:dyDescent="0.25">
      <c r="A93" s="463"/>
    </row>
    <row r="94" spans="1:1" s="1129" customFormat="1" x14ac:dyDescent="0.25">
      <c r="A94" s="463"/>
    </row>
    <row r="95" spans="1:1" s="1129" customFormat="1" x14ac:dyDescent="0.25">
      <c r="A95" s="463"/>
    </row>
    <row r="96" spans="1:1" s="1129" customFormat="1" x14ac:dyDescent="0.25">
      <c r="A96" s="463"/>
    </row>
    <row r="97" spans="1:1" s="1129" customFormat="1" x14ac:dyDescent="0.25">
      <c r="A97" s="463"/>
    </row>
    <row r="98" spans="1:1" s="1129" customFormat="1" x14ac:dyDescent="0.25">
      <c r="A98" s="463"/>
    </row>
    <row r="99" spans="1:1" s="1129" customFormat="1" x14ac:dyDescent="0.25">
      <c r="A99" s="463"/>
    </row>
    <row r="100" spans="1:1" s="1129" customFormat="1" x14ac:dyDescent="0.25">
      <c r="A100" s="463"/>
    </row>
    <row r="101" spans="1:1" s="1129" customFormat="1" x14ac:dyDescent="0.25">
      <c r="A101" s="463"/>
    </row>
    <row r="102" spans="1:1" s="1129" customFormat="1" x14ac:dyDescent="0.25">
      <c r="A102" s="463"/>
    </row>
    <row r="103" spans="1:1" s="1129" customFormat="1" x14ac:dyDescent="0.25">
      <c r="A103" s="463"/>
    </row>
    <row r="104" spans="1:1" s="1129" customFormat="1" x14ac:dyDescent="0.25">
      <c r="A104" s="463"/>
    </row>
    <row r="105" spans="1:1" s="1129" customFormat="1" x14ac:dyDescent="0.25">
      <c r="A105" s="463"/>
    </row>
    <row r="106" spans="1:1" s="1129" customFormat="1" x14ac:dyDescent="0.25">
      <c r="A106" s="463"/>
    </row>
    <row r="107" spans="1:1" s="1129" customFormat="1" x14ac:dyDescent="0.25">
      <c r="A107" s="463"/>
    </row>
    <row r="108" spans="1:1" s="1129" customFormat="1" x14ac:dyDescent="0.25">
      <c r="A108" s="463"/>
    </row>
    <row r="109" spans="1:1" s="1129" customFormat="1" x14ac:dyDescent="0.25">
      <c r="A109" s="463"/>
    </row>
    <row r="110" spans="1:1" s="1129" customFormat="1" x14ac:dyDescent="0.25">
      <c r="A110" s="463"/>
    </row>
    <row r="111" spans="1:1" s="1129" customFormat="1" x14ac:dyDescent="0.25">
      <c r="A111" s="463"/>
    </row>
    <row r="112" spans="1:1" s="1129" customFormat="1" x14ac:dyDescent="0.25">
      <c r="A112" s="463"/>
    </row>
    <row r="113" spans="1:1" s="1129" customFormat="1" x14ac:dyDescent="0.25">
      <c r="A113" s="463"/>
    </row>
    <row r="114" spans="1:1" s="1129" customFormat="1" x14ac:dyDescent="0.25">
      <c r="A114" s="463"/>
    </row>
    <row r="115" spans="1:1" s="1129" customFormat="1" x14ac:dyDescent="0.25">
      <c r="A115" s="463"/>
    </row>
    <row r="116" spans="1:1" s="1129" customFormat="1" x14ac:dyDescent="0.25">
      <c r="A116" s="463"/>
    </row>
    <row r="117" spans="1:1" s="1129" customFormat="1" x14ac:dyDescent="0.25">
      <c r="A117" s="463"/>
    </row>
    <row r="118" spans="1:1" s="1129" customFormat="1" x14ac:dyDescent="0.25">
      <c r="A118" s="463"/>
    </row>
    <row r="119" spans="1:1" s="1129" customFormat="1" x14ac:dyDescent="0.25">
      <c r="A119" s="463"/>
    </row>
    <row r="120" spans="1:1" s="1129" customFormat="1" x14ac:dyDescent="0.25">
      <c r="A120" s="463"/>
    </row>
    <row r="121" spans="1:1" s="1129" customFormat="1" x14ac:dyDescent="0.25">
      <c r="A121" s="463"/>
    </row>
    <row r="122" spans="1:1" s="1129" customFormat="1" x14ac:dyDescent="0.25">
      <c r="A122" s="463"/>
    </row>
    <row r="123" spans="1:1" s="1129" customFormat="1" x14ac:dyDescent="0.25">
      <c r="A123" s="463"/>
    </row>
    <row r="124" spans="1:1" s="1129" customFormat="1" x14ac:dyDescent="0.25">
      <c r="A124" s="463"/>
    </row>
    <row r="125" spans="1:1" s="1129" customFormat="1" x14ac:dyDescent="0.25">
      <c r="A125" s="463"/>
    </row>
    <row r="126" spans="1:1" s="1129" customFormat="1" x14ac:dyDescent="0.25">
      <c r="A126" s="463"/>
    </row>
    <row r="127" spans="1:1" s="1129" customFormat="1" x14ac:dyDescent="0.25">
      <c r="A127" s="463"/>
    </row>
    <row r="128" spans="1:1" s="1129" customFormat="1" x14ac:dyDescent="0.25">
      <c r="A128" s="463"/>
    </row>
    <row r="129" spans="1:1" s="1129" customFormat="1" x14ac:dyDescent="0.25">
      <c r="A129" s="463"/>
    </row>
    <row r="130" spans="1:1" s="1129" customFormat="1" x14ac:dyDescent="0.25">
      <c r="A130" s="463"/>
    </row>
    <row r="131" spans="1:1" s="1129" customFormat="1" x14ac:dyDescent="0.25">
      <c r="A131" s="463"/>
    </row>
    <row r="132" spans="1:1" s="1129" customFormat="1" x14ac:dyDescent="0.25">
      <c r="A132" s="463"/>
    </row>
    <row r="133" spans="1:1" s="1129" customFormat="1" x14ac:dyDescent="0.25">
      <c r="A133" s="463"/>
    </row>
    <row r="134" spans="1:1" s="1129" customFormat="1" x14ac:dyDescent="0.25">
      <c r="A134" s="463"/>
    </row>
    <row r="135" spans="1:1" s="1129" customFormat="1" x14ac:dyDescent="0.25">
      <c r="A135" s="463"/>
    </row>
    <row r="136" spans="1:1" s="1129" customFormat="1" x14ac:dyDescent="0.25">
      <c r="A136" s="463"/>
    </row>
    <row r="137" spans="1:1" s="1129" customFormat="1" x14ac:dyDescent="0.25">
      <c r="A137" s="463"/>
    </row>
    <row r="138" spans="1:1" s="1129" customFormat="1" x14ac:dyDescent="0.25">
      <c r="A138" s="463"/>
    </row>
    <row r="139" spans="1:1" s="1129" customFormat="1" x14ac:dyDescent="0.25">
      <c r="A139" s="463"/>
    </row>
    <row r="140" spans="1:1" s="1129" customFormat="1" x14ac:dyDescent="0.25">
      <c r="A140" s="463"/>
    </row>
    <row r="141" spans="1:1" s="1129" customFormat="1" x14ac:dyDescent="0.25">
      <c r="A141" s="463"/>
    </row>
    <row r="142" spans="1:1" s="1129" customFormat="1" x14ac:dyDescent="0.25">
      <c r="A142" s="463"/>
    </row>
    <row r="143" spans="1:1" s="1129" customFormat="1" x14ac:dyDescent="0.25">
      <c r="A143" s="463"/>
    </row>
    <row r="144" spans="1:1" s="1129" customFormat="1" x14ac:dyDescent="0.25">
      <c r="A144" s="463"/>
    </row>
    <row r="145" spans="1:1" s="1129" customFormat="1" x14ac:dyDescent="0.25">
      <c r="A145" s="463"/>
    </row>
    <row r="146" spans="1:1" s="1129" customFormat="1" x14ac:dyDescent="0.25">
      <c r="A146" s="463"/>
    </row>
    <row r="147" spans="1:1" s="1129" customFormat="1" x14ac:dyDescent="0.25">
      <c r="A147" s="463"/>
    </row>
    <row r="148" spans="1:1" s="1129" customFormat="1" x14ac:dyDescent="0.25">
      <c r="A148" s="463"/>
    </row>
    <row r="149" spans="1:1" s="1129" customFormat="1" x14ac:dyDescent="0.25">
      <c r="A149" s="463"/>
    </row>
    <row r="150" spans="1:1" s="1129" customFormat="1" x14ac:dyDescent="0.25">
      <c r="A150" s="463"/>
    </row>
    <row r="151" spans="1:1" s="1129" customFormat="1" x14ac:dyDescent="0.25">
      <c r="A151" s="463"/>
    </row>
    <row r="152" spans="1:1" s="1129" customFormat="1" x14ac:dyDescent="0.25">
      <c r="A152" s="463"/>
    </row>
    <row r="153" spans="1:1" s="1129" customFormat="1" x14ac:dyDescent="0.25">
      <c r="A153" s="463"/>
    </row>
    <row r="154" spans="1:1" s="1129" customFormat="1" x14ac:dyDescent="0.25">
      <c r="A154" s="463"/>
    </row>
    <row r="155" spans="1:1" s="1129" customFormat="1" x14ac:dyDescent="0.25">
      <c r="A155" s="463"/>
    </row>
    <row r="156" spans="1:1" s="1129" customFormat="1" x14ac:dyDescent="0.25">
      <c r="A156" s="463"/>
    </row>
    <row r="157" spans="1:1" s="1129" customFormat="1" x14ac:dyDescent="0.25">
      <c r="A157" s="463"/>
    </row>
    <row r="158" spans="1:1" s="1129" customFormat="1" x14ac:dyDescent="0.25">
      <c r="A158" s="463"/>
    </row>
    <row r="159" spans="1:1" s="1129" customFormat="1" x14ac:dyDescent="0.25">
      <c r="A159" s="463"/>
    </row>
    <row r="160" spans="1:1" s="1129" customFormat="1" x14ac:dyDescent="0.25">
      <c r="A160" s="463"/>
    </row>
    <row r="161" spans="1:1" s="1129" customFormat="1" x14ac:dyDescent="0.25">
      <c r="A161" s="463"/>
    </row>
    <row r="162" spans="1:1" s="1129" customFormat="1" x14ac:dyDescent="0.25">
      <c r="A162" s="463"/>
    </row>
    <row r="163" spans="1:1" s="1129" customFormat="1" x14ac:dyDescent="0.25">
      <c r="A163" s="463"/>
    </row>
    <row r="164" spans="1:1" s="1129" customFormat="1" x14ac:dyDescent="0.25">
      <c r="A164" s="463"/>
    </row>
    <row r="165" spans="1:1" s="1129" customFormat="1" x14ac:dyDescent="0.25">
      <c r="A165" s="463"/>
    </row>
    <row r="166" spans="1:1" s="1129" customFormat="1" x14ac:dyDescent="0.25">
      <c r="A166" s="463"/>
    </row>
    <row r="167" spans="1:1" s="1129" customFormat="1" x14ac:dyDescent="0.25">
      <c r="A167" s="463"/>
    </row>
    <row r="168" spans="1:1" s="1129" customFormat="1" x14ac:dyDescent="0.25">
      <c r="A168" s="463"/>
    </row>
    <row r="169" spans="1:1" s="1129" customFormat="1" x14ac:dyDescent="0.25">
      <c r="A169" s="463"/>
    </row>
    <row r="170" spans="1:1" s="1129" customFormat="1" x14ac:dyDescent="0.25">
      <c r="A170" s="463"/>
    </row>
    <row r="171" spans="1:1" s="1129" customFormat="1" x14ac:dyDescent="0.25">
      <c r="A171" s="463"/>
    </row>
    <row r="172" spans="1:1" s="1129" customFormat="1" x14ac:dyDescent="0.25">
      <c r="A172" s="463"/>
    </row>
    <row r="173" spans="1:1" s="1129" customFormat="1" x14ac:dyDescent="0.25">
      <c r="A173" s="463"/>
    </row>
    <row r="174" spans="1:1" s="1129" customFormat="1" x14ac:dyDescent="0.25">
      <c r="A174" s="463"/>
    </row>
    <row r="175" spans="1:1" s="1129" customFormat="1" x14ac:dyDescent="0.25">
      <c r="A175" s="463"/>
    </row>
    <row r="176" spans="1:1" s="1129" customFormat="1" x14ac:dyDescent="0.25">
      <c r="A176" s="463"/>
    </row>
    <row r="177" spans="1:1" s="1129" customFormat="1" x14ac:dyDescent="0.25">
      <c r="A177" s="463"/>
    </row>
    <row r="178" spans="1:1" s="1129" customFormat="1" x14ac:dyDescent="0.25">
      <c r="A178" s="463"/>
    </row>
    <row r="179" spans="1:1" s="1129" customFormat="1" x14ac:dyDescent="0.25">
      <c r="A179" s="463"/>
    </row>
    <row r="180" spans="1:1" s="1129" customFormat="1" x14ac:dyDescent="0.25">
      <c r="A180" s="463"/>
    </row>
    <row r="181" spans="1:1" s="1129" customFormat="1" x14ac:dyDescent="0.25">
      <c r="A181" s="463"/>
    </row>
    <row r="182" spans="1:1" s="1129" customFormat="1" x14ac:dyDescent="0.25">
      <c r="A182" s="463"/>
    </row>
    <row r="183" spans="1:1" s="1129" customFormat="1" x14ac:dyDescent="0.25">
      <c r="A183" s="463"/>
    </row>
    <row r="184" spans="1:1" s="1129" customFormat="1" x14ac:dyDescent="0.25">
      <c r="A184" s="463"/>
    </row>
    <row r="185" spans="1:1" s="1129" customFormat="1" x14ac:dyDescent="0.25">
      <c r="A185" s="463"/>
    </row>
    <row r="186" spans="1:1" s="1129" customFormat="1" x14ac:dyDescent="0.25">
      <c r="A186" s="463"/>
    </row>
    <row r="187" spans="1:1" s="1129" customFormat="1" x14ac:dyDescent="0.25">
      <c r="A187" s="463"/>
    </row>
    <row r="188" spans="1:1" s="1129" customFormat="1" x14ac:dyDescent="0.25">
      <c r="A188" s="463"/>
    </row>
    <row r="189" spans="1:1" s="1129" customFormat="1" x14ac:dyDescent="0.25">
      <c r="A189" s="463"/>
    </row>
    <row r="190" spans="1:1" s="1129" customFormat="1" x14ac:dyDescent="0.25">
      <c r="A190" s="463"/>
    </row>
    <row r="191" spans="1:1" s="1129" customFormat="1" x14ac:dyDescent="0.25">
      <c r="A191" s="463"/>
    </row>
    <row r="192" spans="1:1" s="1129" customFormat="1" x14ac:dyDescent="0.25">
      <c r="A192" s="463"/>
    </row>
    <row r="193" spans="1:1" s="1129" customFormat="1" x14ac:dyDescent="0.25">
      <c r="A193" s="463"/>
    </row>
    <row r="194" spans="1:1" s="1129" customFormat="1" x14ac:dyDescent="0.25">
      <c r="A194" s="463"/>
    </row>
    <row r="195" spans="1:1" s="1129" customFormat="1" x14ac:dyDescent="0.25">
      <c r="A195" s="463"/>
    </row>
    <row r="196" spans="1:1" s="1129" customFormat="1" x14ac:dyDescent="0.25">
      <c r="A196" s="463"/>
    </row>
    <row r="197" spans="1:1" s="1129" customFormat="1" x14ac:dyDescent="0.25">
      <c r="A197" s="463"/>
    </row>
    <row r="198" spans="1:1" s="1129" customFormat="1" x14ac:dyDescent="0.25">
      <c r="A198" s="463"/>
    </row>
    <row r="199" spans="1:1" s="1129" customFormat="1" x14ac:dyDescent="0.25">
      <c r="A199" s="463"/>
    </row>
    <row r="200" spans="1:1" s="1129" customFormat="1" x14ac:dyDescent="0.25">
      <c r="A200" s="463"/>
    </row>
    <row r="201" spans="1:1" s="1129" customFormat="1" x14ac:dyDescent="0.25">
      <c r="A201" s="463"/>
    </row>
    <row r="202" spans="1:1" s="1129" customFormat="1" x14ac:dyDescent="0.25">
      <c r="A202" s="463"/>
    </row>
    <row r="203" spans="1:1" s="1129" customFormat="1" x14ac:dyDescent="0.25">
      <c r="A203" s="463"/>
    </row>
    <row r="204" spans="1:1" s="1129" customFormat="1" x14ac:dyDescent="0.25">
      <c r="A204" s="463"/>
    </row>
    <row r="205" spans="1:1" s="1129" customFormat="1" x14ac:dyDescent="0.25">
      <c r="A205" s="463"/>
    </row>
    <row r="206" spans="1:1" s="1129" customFormat="1" x14ac:dyDescent="0.25">
      <c r="A206" s="463"/>
    </row>
    <row r="207" spans="1:1" s="1129" customFormat="1" x14ac:dyDescent="0.25">
      <c r="A207" s="463"/>
    </row>
    <row r="208" spans="1:1" s="1129" customFormat="1" x14ac:dyDescent="0.25">
      <c r="A208" s="463"/>
    </row>
    <row r="209" spans="1:1" s="1129" customFormat="1" x14ac:dyDescent="0.25">
      <c r="A209" s="463"/>
    </row>
    <row r="210" spans="1:1" s="1129" customFormat="1" x14ac:dyDescent="0.25">
      <c r="A210" s="463"/>
    </row>
    <row r="211" spans="1:1" s="1129" customFormat="1" x14ac:dyDescent="0.25">
      <c r="A211" s="463"/>
    </row>
    <row r="212" spans="1:1" s="1129" customFormat="1" x14ac:dyDescent="0.25">
      <c r="A212" s="463"/>
    </row>
    <row r="213" spans="1:1" s="1129" customFormat="1" x14ac:dyDescent="0.25">
      <c r="A213" s="463"/>
    </row>
    <row r="214" spans="1:1" s="1129" customFormat="1" x14ac:dyDescent="0.25">
      <c r="A214" s="463"/>
    </row>
    <row r="215" spans="1:1" s="1129" customFormat="1" x14ac:dyDescent="0.25">
      <c r="A215" s="463"/>
    </row>
    <row r="216" spans="1:1" s="1129" customFormat="1" x14ac:dyDescent="0.25">
      <c r="A216" s="463"/>
    </row>
    <row r="217" spans="1:1" s="1129" customFormat="1" x14ac:dyDescent="0.25">
      <c r="A217" s="463"/>
    </row>
    <row r="218" spans="1:1" s="1129" customFormat="1" x14ac:dyDescent="0.25">
      <c r="A218" s="463"/>
    </row>
    <row r="219" spans="1:1" s="1129" customFormat="1" x14ac:dyDescent="0.25">
      <c r="A219" s="463"/>
    </row>
    <row r="220" spans="1:1" s="1129" customFormat="1" x14ac:dyDescent="0.25">
      <c r="A220" s="463"/>
    </row>
    <row r="221" spans="1:1" s="1129" customFormat="1" x14ac:dyDescent="0.25">
      <c r="A221" s="463"/>
    </row>
    <row r="222" spans="1:1" s="1129" customFormat="1" x14ac:dyDescent="0.25">
      <c r="A222" s="463"/>
    </row>
    <row r="223" spans="1:1" s="1129" customFormat="1" x14ac:dyDescent="0.25">
      <c r="A223" s="463"/>
    </row>
    <row r="224" spans="1:1" s="1129" customFormat="1" x14ac:dyDescent="0.25">
      <c r="A224" s="463"/>
    </row>
    <row r="225" spans="1:1" s="1129" customFormat="1" x14ac:dyDescent="0.25">
      <c r="A225" s="463"/>
    </row>
    <row r="226" spans="1:1" s="1129" customFormat="1" x14ac:dyDescent="0.25">
      <c r="A226" s="463"/>
    </row>
    <row r="227" spans="1:1" s="1129" customFormat="1" x14ac:dyDescent="0.25">
      <c r="A227" s="463"/>
    </row>
    <row r="228" spans="1:1" s="1129" customFormat="1" x14ac:dyDescent="0.25">
      <c r="A228" s="463"/>
    </row>
    <row r="229" spans="1:1" s="1129" customFormat="1" x14ac:dyDescent="0.25">
      <c r="A229" s="463"/>
    </row>
    <row r="230" spans="1:1" s="1129" customFormat="1" x14ac:dyDescent="0.25">
      <c r="A230" s="463"/>
    </row>
    <row r="231" spans="1:1" s="1129" customFormat="1" x14ac:dyDescent="0.25">
      <c r="A231" s="463"/>
    </row>
    <row r="232" spans="1:1" s="1129" customFormat="1" x14ac:dyDescent="0.25">
      <c r="A232" s="463"/>
    </row>
    <row r="233" spans="1:1" s="1129" customFormat="1" x14ac:dyDescent="0.25">
      <c r="A233" s="463"/>
    </row>
    <row r="234" spans="1:1" s="1129" customFormat="1" x14ac:dyDescent="0.25">
      <c r="A234" s="463"/>
    </row>
    <row r="235" spans="1:1" s="1129" customFormat="1" x14ac:dyDescent="0.25">
      <c r="A235" s="463"/>
    </row>
    <row r="236" spans="1:1" s="1129" customFormat="1" x14ac:dyDescent="0.25">
      <c r="A236" s="463"/>
    </row>
    <row r="237" spans="1:1" s="1129" customFormat="1" x14ac:dyDescent="0.25">
      <c r="A237" s="463"/>
    </row>
    <row r="238" spans="1:1" s="1129" customFormat="1" x14ac:dyDescent="0.25">
      <c r="A238" s="463"/>
    </row>
    <row r="239" spans="1:1" s="1129" customFormat="1" x14ac:dyDescent="0.25">
      <c r="A239" s="463"/>
    </row>
    <row r="240" spans="1:1" s="1129" customFormat="1" x14ac:dyDescent="0.25">
      <c r="A240" s="463"/>
    </row>
    <row r="241" spans="1:1" s="1129" customFormat="1" x14ac:dyDescent="0.25">
      <c r="A241" s="463"/>
    </row>
    <row r="242" spans="1:1" s="1129" customFormat="1" x14ac:dyDescent="0.25">
      <c r="A242" s="463"/>
    </row>
    <row r="243" spans="1:1" s="1129" customFormat="1" x14ac:dyDescent="0.25">
      <c r="A243" s="463"/>
    </row>
    <row r="244" spans="1:1" s="1129" customFormat="1" x14ac:dyDescent="0.25">
      <c r="A244" s="463"/>
    </row>
    <row r="245" spans="1:1" s="1129" customFormat="1" x14ac:dyDescent="0.25">
      <c r="A245" s="463"/>
    </row>
    <row r="246" spans="1:1" s="1129" customFormat="1" x14ac:dyDescent="0.25">
      <c r="A246" s="463"/>
    </row>
    <row r="247" spans="1:1" s="1129" customFormat="1" x14ac:dyDescent="0.25">
      <c r="A247" s="463"/>
    </row>
    <row r="248" spans="1:1" s="1129" customFormat="1" x14ac:dyDescent="0.25">
      <c r="A248" s="463"/>
    </row>
    <row r="249" spans="1:1" s="1129" customFormat="1" x14ac:dyDescent="0.25">
      <c r="A249" s="463"/>
    </row>
    <row r="250" spans="1:1" s="1129" customFormat="1" x14ac:dyDescent="0.25">
      <c r="A250" s="463"/>
    </row>
    <row r="251" spans="1:1" s="1129" customFormat="1" x14ac:dyDescent="0.25">
      <c r="A251" s="463"/>
    </row>
    <row r="252" spans="1:1" s="1129" customFormat="1" x14ac:dyDescent="0.25">
      <c r="A252" s="463"/>
    </row>
    <row r="253" spans="1:1" s="1129" customFormat="1" x14ac:dyDescent="0.25">
      <c r="A253" s="463"/>
    </row>
    <row r="254" spans="1:1" s="1129" customFormat="1" x14ac:dyDescent="0.25">
      <c r="A254" s="463"/>
    </row>
    <row r="255" spans="1:1" s="1129" customFormat="1" x14ac:dyDescent="0.25">
      <c r="A255" s="463"/>
    </row>
    <row r="256" spans="1:1" s="1129" customFormat="1" x14ac:dyDescent="0.25">
      <c r="A256" s="463"/>
    </row>
    <row r="257" spans="1:1" s="1129" customFormat="1" x14ac:dyDescent="0.25">
      <c r="A257" s="463"/>
    </row>
    <row r="258" spans="1:1" s="1129" customFormat="1" x14ac:dyDescent="0.25">
      <c r="A258" s="463"/>
    </row>
    <row r="259" spans="1:1" s="1129" customFormat="1" x14ac:dyDescent="0.25">
      <c r="A259" s="463"/>
    </row>
    <row r="260" spans="1:1" s="1129" customFormat="1" x14ac:dyDescent="0.25">
      <c r="A260" s="463"/>
    </row>
    <row r="261" spans="1:1" s="1129" customFormat="1" x14ac:dyDescent="0.25">
      <c r="A261" s="463"/>
    </row>
    <row r="262" spans="1:1" s="1129" customFormat="1" x14ac:dyDescent="0.25">
      <c r="A262" s="463"/>
    </row>
    <row r="263" spans="1:1" s="1129" customFormat="1" x14ac:dyDescent="0.25">
      <c r="A263" s="463"/>
    </row>
    <row r="264" spans="1:1" s="1129" customFormat="1" x14ac:dyDescent="0.25">
      <c r="A264" s="463"/>
    </row>
    <row r="265" spans="1:1" s="1129" customFormat="1" x14ac:dyDescent="0.25">
      <c r="A265" s="463"/>
    </row>
    <row r="266" spans="1:1" s="1129" customFormat="1" x14ac:dyDescent="0.25">
      <c r="A266" s="463"/>
    </row>
    <row r="267" spans="1:1" s="1129" customFormat="1" x14ac:dyDescent="0.25">
      <c r="A267" s="463"/>
    </row>
    <row r="268" spans="1:1" s="1129" customFormat="1" x14ac:dyDescent="0.25">
      <c r="A268" s="463"/>
    </row>
    <row r="269" spans="1:1" s="1129" customFormat="1" x14ac:dyDescent="0.25">
      <c r="A269" s="463"/>
    </row>
    <row r="270" spans="1:1" s="1129" customFormat="1" x14ac:dyDescent="0.25">
      <c r="A270" s="463"/>
    </row>
    <row r="271" spans="1:1" s="1129" customFormat="1" x14ac:dyDescent="0.25">
      <c r="A271" s="463"/>
    </row>
    <row r="272" spans="1:1" s="1129" customFormat="1" x14ac:dyDescent="0.25">
      <c r="A272" s="463"/>
    </row>
    <row r="273" spans="1:1" s="1129" customFormat="1" x14ac:dyDescent="0.25">
      <c r="A273" s="463"/>
    </row>
    <row r="274" spans="1:1" s="1129" customFormat="1" x14ac:dyDescent="0.25">
      <c r="A274" s="463"/>
    </row>
    <row r="275" spans="1:1" s="1129" customFormat="1" x14ac:dyDescent="0.25">
      <c r="A275" s="463"/>
    </row>
    <row r="276" spans="1:1" s="1129" customFormat="1" x14ac:dyDescent="0.25">
      <c r="A276" s="463"/>
    </row>
    <row r="277" spans="1:1" s="1129" customFormat="1" x14ac:dyDescent="0.25">
      <c r="A277" s="463"/>
    </row>
    <row r="278" spans="1:1" s="1129" customFormat="1" x14ac:dyDescent="0.25">
      <c r="A278" s="463"/>
    </row>
    <row r="279" spans="1:1" s="1129" customFormat="1" x14ac:dyDescent="0.25">
      <c r="A279" s="463"/>
    </row>
    <row r="280" spans="1:1" s="1129" customFormat="1" x14ac:dyDescent="0.25">
      <c r="A280" s="463"/>
    </row>
    <row r="281" spans="1:1" s="1129" customFormat="1" x14ac:dyDescent="0.25">
      <c r="A281" s="463"/>
    </row>
    <row r="282" spans="1:1" s="1129" customFormat="1" x14ac:dyDescent="0.25">
      <c r="A282" s="463"/>
    </row>
    <row r="283" spans="1:1" s="1129" customFormat="1" x14ac:dyDescent="0.25">
      <c r="A283" s="463"/>
    </row>
    <row r="284" spans="1:1" s="1129" customFormat="1" x14ac:dyDescent="0.25">
      <c r="A284" s="463"/>
    </row>
    <row r="285" spans="1:1" s="1129" customFormat="1" x14ac:dyDescent="0.25">
      <c r="A285" s="463"/>
    </row>
    <row r="286" spans="1:1" s="1129" customFormat="1" x14ac:dyDescent="0.25">
      <c r="A286" s="463"/>
    </row>
    <row r="287" spans="1:1" s="1129" customFormat="1" x14ac:dyDescent="0.25">
      <c r="A287" s="463"/>
    </row>
    <row r="288" spans="1:1" s="1129" customFormat="1" x14ac:dyDescent="0.25">
      <c r="A288" s="463"/>
    </row>
    <row r="289" spans="1:1" s="1129" customFormat="1" x14ac:dyDescent="0.25">
      <c r="A289" s="463"/>
    </row>
    <row r="290" spans="1:1" s="1129" customFormat="1" x14ac:dyDescent="0.25">
      <c r="A290" s="463"/>
    </row>
    <row r="291" spans="1:1" s="1129" customFormat="1" x14ac:dyDescent="0.25">
      <c r="A291" s="463"/>
    </row>
    <row r="292" spans="1:1" s="1129" customFormat="1" x14ac:dyDescent="0.25">
      <c r="A292" s="463"/>
    </row>
    <row r="293" spans="1:1" s="1129" customFormat="1" x14ac:dyDescent="0.25">
      <c r="A293" s="463"/>
    </row>
    <row r="294" spans="1:1" s="1129" customFormat="1" x14ac:dyDescent="0.25">
      <c r="A294" s="463"/>
    </row>
    <row r="295" spans="1:1" s="1129" customFormat="1" x14ac:dyDescent="0.25">
      <c r="A295" s="463"/>
    </row>
    <row r="296" spans="1:1" s="1129" customFormat="1" x14ac:dyDescent="0.25">
      <c r="A296" s="463"/>
    </row>
    <row r="297" spans="1:1" s="1129" customFormat="1" x14ac:dyDescent="0.25">
      <c r="A297" s="463"/>
    </row>
    <row r="298" spans="1:1" s="1129" customFormat="1" x14ac:dyDescent="0.25">
      <c r="A298" s="463"/>
    </row>
    <row r="299" spans="1:1" s="1129" customFormat="1" x14ac:dyDescent="0.25">
      <c r="A299" s="463"/>
    </row>
    <row r="300" spans="1:1" s="1129" customFormat="1" x14ac:dyDescent="0.25">
      <c r="A300" s="463"/>
    </row>
    <row r="301" spans="1:1" s="1129" customFormat="1" x14ac:dyDescent="0.25">
      <c r="A301" s="463"/>
    </row>
    <row r="302" spans="1:1" s="1129" customFormat="1" x14ac:dyDescent="0.25">
      <c r="A302" s="463"/>
    </row>
    <row r="303" spans="1:1" s="1129" customFormat="1" x14ac:dyDescent="0.25">
      <c r="A303" s="463"/>
    </row>
    <row r="304" spans="1:1" s="1129" customFormat="1" x14ac:dyDescent="0.25">
      <c r="A304" s="463"/>
    </row>
    <row r="305" spans="1:1" s="1129" customFormat="1" x14ac:dyDescent="0.25">
      <c r="A305" s="463"/>
    </row>
    <row r="306" spans="1:1" s="1129" customFormat="1" x14ac:dyDescent="0.25">
      <c r="A306" s="463"/>
    </row>
    <row r="307" spans="1:1" s="1129" customFormat="1" x14ac:dyDescent="0.25">
      <c r="A307" s="463"/>
    </row>
    <row r="308" spans="1:1" s="1129" customFormat="1" x14ac:dyDescent="0.25">
      <c r="A308" s="463"/>
    </row>
    <row r="309" spans="1:1" s="1129" customFormat="1" x14ac:dyDescent="0.25">
      <c r="A309" s="463"/>
    </row>
    <row r="310" spans="1:1" s="1129" customFormat="1" x14ac:dyDescent="0.25">
      <c r="A310" s="463"/>
    </row>
    <row r="311" spans="1:1" s="1129" customFormat="1" x14ac:dyDescent="0.25">
      <c r="A311" s="463"/>
    </row>
    <row r="312" spans="1:1" s="1129" customFormat="1" x14ac:dyDescent="0.25">
      <c r="A312" s="463"/>
    </row>
    <row r="313" spans="1:1" s="1129" customFormat="1" x14ac:dyDescent="0.25">
      <c r="A313" s="463"/>
    </row>
    <row r="314" spans="1:1" s="1129" customFormat="1" x14ac:dyDescent="0.25">
      <c r="A314" s="463"/>
    </row>
    <row r="315" spans="1:1" s="1129" customFormat="1" x14ac:dyDescent="0.25">
      <c r="A315" s="463"/>
    </row>
    <row r="316" spans="1:1" s="1129" customFormat="1" x14ac:dyDescent="0.25">
      <c r="A316" s="463"/>
    </row>
    <row r="317" spans="1:1" s="1129" customFormat="1" x14ac:dyDescent="0.25">
      <c r="A317" s="463"/>
    </row>
    <row r="318" spans="1:1" s="1129" customFormat="1" x14ac:dyDescent="0.25">
      <c r="A318" s="463"/>
    </row>
    <row r="319" spans="1:1" s="1129" customFormat="1" x14ac:dyDescent="0.25">
      <c r="A319" s="463"/>
    </row>
    <row r="320" spans="1:1" s="1129" customFormat="1" x14ac:dyDescent="0.25">
      <c r="A320" s="463"/>
    </row>
    <row r="321" spans="1:1" s="1129" customFormat="1" x14ac:dyDescent="0.25">
      <c r="A321" s="463"/>
    </row>
    <row r="322" spans="1:1" s="1129" customFormat="1" x14ac:dyDescent="0.25">
      <c r="A322" s="463"/>
    </row>
    <row r="323" spans="1:1" s="1129" customFormat="1" x14ac:dyDescent="0.25">
      <c r="A323" s="463"/>
    </row>
    <row r="324" spans="1:1" s="1129" customFormat="1" x14ac:dyDescent="0.25">
      <c r="A324" s="463"/>
    </row>
    <row r="325" spans="1:1" s="1129" customFormat="1" x14ac:dyDescent="0.25">
      <c r="A325" s="463"/>
    </row>
    <row r="326" spans="1:1" s="1129" customFormat="1" x14ac:dyDescent="0.25">
      <c r="A326" s="463"/>
    </row>
    <row r="327" spans="1:1" s="1129" customFormat="1" x14ac:dyDescent="0.25">
      <c r="A327" s="463"/>
    </row>
    <row r="328" spans="1:1" s="1129" customFormat="1" x14ac:dyDescent="0.25">
      <c r="A328" s="463"/>
    </row>
    <row r="329" spans="1:1" s="1129" customFormat="1" x14ac:dyDescent="0.25">
      <c r="A329" s="463"/>
    </row>
    <row r="330" spans="1:1" s="1129" customFormat="1" x14ac:dyDescent="0.25">
      <c r="A330" s="463"/>
    </row>
    <row r="331" spans="1:1" s="1129" customFormat="1" x14ac:dyDescent="0.25">
      <c r="A331" s="463"/>
    </row>
    <row r="332" spans="1:1" s="1129" customFormat="1" x14ac:dyDescent="0.25">
      <c r="A332" s="463"/>
    </row>
    <row r="333" spans="1:1" s="1129" customFormat="1" x14ac:dyDescent="0.25">
      <c r="A333" s="463"/>
    </row>
    <row r="334" spans="1:1" s="1129" customFormat="1" x14ac:dyDescent="0.25">
      <c r="A334" s="463"/>
    </row>
    <row r="335" spans="1:1" s="1129" customFormat="1" x14ac:dyDescent="0.25">
      <c r="A335" s="463"/>
    </row>
    <row r="336" spans="1:1" s="1129" customFormat="1" x14ac:dyDescent="0.25">
      <c r="A336" s="463"/>
    </row>
    <row r="337" spans="1:1" s="1129" customFormat="1" x14ac:dyDescent="0.25">
      <c r="A337" s="463"/>
    </row>
    <row r="338" spans="1:1" s="1129" customFormat="1" x14ac:dyDescent="0.25">
      <c r="A338" s="463"/>
    </row>
    <row r="339" spans="1:1" s="1129" customFormat="1" x14ac:dyDescent="0.25">
      <c r="A339" s="463"/>
    </row>
    <row r="340" spans="1:1" s="1129" customFormat="1" x14ac:dyDescent="0.25">
      <c r="A340" s="463"/>
    </row>
    <row r="341" spans="1:1" s="1129" customFormat="1" x14ac:dyDescent="0.25">
      <c r="A341" s="463"/>
    </row>
    <row r="342" spans="1:1" s="1129" customFormat="1" x14ac:dyDescent="0.25">
      <c r="A342" s="463"/>
    </row>
    <row r="343" spans="1:1" s="1129" customFormat="1" x14ac:dyDescent="0.25">
      <c r="A343" s="463"/>
    </row>
    <row r="344" spans="1:1" s="1129" customFormat="1" x14ac:dyDescent="0.25">
      <c r="A344" s="463"/>
    </row>
    <row r="345" spans="1:1" s="1129" customFormat="1" x14ac:dyDescent="0.25">
      <c r="A345" s="463"/>
    </row>
    <row r="346" spans="1:1" s="1129" customFormat="1" x14ac:dyDescent="0.25">
      <c r="A346" s="463"/>
    </row>
    <row r="347" spans="1:1" s="1129" customFormat="1" x14ac:dyDescent="0.25">
      <c r="A347" s="463"/>
    </row>
    <row r="348" spans="1:1" s="1129" customFormat="1" x14ac:dyDescent="0.25">
      <c r="A348" s="463"/>
    </row>
    <row r="349" spans="1:1" s="1129" customFormat="1" x14ac:dyDescent="0.25">
      <c r="A349" s="463"/>
    </row>
    <row r="350" spans="1:1" s="1129" customFormat="1" x14ac:dyDescent="0.25">
      <c r="A350" s="463"/>
    </row>
    <row r="351" spans="1:1" s="1129" customFormat="1" x14ac:dyDescent="0.25">
      <c r="A351" s="463"/>
    </row>
    <row r="352" spans="1:1" s="1129" customFormat="1" x14ac:dyDescent="0.25">
      <c r="A352" s="463"/>
    </row>
    <row r="353" spans="1:1" s="1129" customFormat="1" x14ac:dyDescent="0.25">
      <c r="A353" s="463"/>
    </row>
    <row r="354" spans="1:1" s="1129" customFormat="1" x14ac:dyDescent="0.25">
      <c r="A354" s="463"/>
    </row>
    <row r="355" spans="1:1" s="1129" customFormat="1" x14ac:dyDescent="0.25">
      <c r="A355" s="463"/>
    </row>
    <row r="356" spans="1:1" s="1129" customFormat="1" x14ac:dyDescent="0.25">
      <c r="A356" s="463"/>
    </row>
    <row r="357" spans="1:1" s="1129" customFormat="1" x14ac:dyDescent="0.25">
      <c r="A357" s="463"/>
    </row>
    <row r="358" spans="1:1" s="1129" customFormat="1" x14ac:dyDescent="0.25">
      <c r="A358" s="463"/>
    </row>
    <row r="359" spans="1:1" s="1129" customFormat="1" x14ac:dyDescent="0.25">
      <c r="A359" s="463"/>
    </row>
    <row r="360" spans="1:1" s="1129" customFormat="1" x14ac:dyDescent="0.25">
      <c r="A360" s="463"/>
    </row>
    <row r="361" spans="1:1" s="1129" customFormat="1" x14ac:dyDescent="0.25">
      <c r="A361" s="463"/>
    </row>
    <row r="362" spans="1:1" s="1129" customFormat="1" x14ac:dyDescent="0.25">
      <c r="A362" s="463"/>
    </row>
    <row r="363" spans="1:1" s="1129" customFormat="1" x14ac:dyDescent="0.25">
      <c r="A363" s="463"/>
    </row>
    <row r="364" spans="1:1" s="1129" customFormat="1" x14ac:dyDescent="0.25">
      <c r="A364" s="463"/>
    </row>
    <row r="365" spans="1:1" s="1129" customFormat="1" x14ac:dyDescent="0.25">
      <c r="A365" s="463"/>
    </row>
    <row r="366" spans="1:1" s="1129" customFormat="1" x14ac:dyDescent="0.25">
      <c r="A366" s="463"/>
    </row>
    <row r="367" spans="1:1" s="1129" customFormat="1" x14ac:dyDescent="0.25">
      <c r="A367" s="463"/>
    </row>
    <row r="368" spans="1:1" s="1129" customFormat="1" x14ac:dyDescent="0.25">
      <c r="A368" s="463"/>
    </row>
    <row r="369" spans="1:1" s="1129" customFormat="1" x14ac:dyDescent="0.25">
      <c r="A369" s="463"/>
    </row>
    <row r="370" spans="1:1" s="1129" customFormat="1" x14ac:dyDescent="0.25">
      <c r="A370" s="463"/>
    </row>
    <row r="371" spans="1:1" s="1129" customFormat="1" x14ac:dyDescent="0.25">
      <c r="A371" s="463"/>
    </row>
    <row r="372" spans="1:1" s="1129" customFormat="1" x14ac:dyDescent="0.25">
      <c r="A372" s="463"/>
    </row>
    <row r="373" spans="1:1" s="1129" customFormat="1" x14ac:dyDescent="0.25">
      <c r="A373" s="463"/>
    </row>
    <row r="374" spans="1:1" s="1129" customFormat="1" x14ac:dyDescent="0.25">
      <c r="A374" s="463"/>
    </row>
    <row r="375" spans="1:1" s="1129" customFormat="1" x14ac:dyDescent="0.25">
      <c r="A375" s="463"/>
    </row>
    <row r="376" spans="1:1" s="1129" customFormat="1" x14ac:dyDescent="0.25">
      <c r="A376" s="463"/>
    </row>
    <row r="377" spans="1:1" s="1129" customFormat="1" x14ac:dyDescent="0.25">
      <c r="A377" s="463"/>
    </row>
    <row r="378" spans="1:1" s="1129" customFormat="1" x14ac:dyDescent="0.25">
      <c r="A378" s="463"/>
    </row>
    <row r="379" spans="1:1" s="1129" customFormat="1" x14ac:dyDescent="0.25">
      <c r="A379" s="463"/>
    </row>
    <row r="380" spans="1:1" s="1129" customFormat="1" x14ac:dyDescent="0.25">
      <c r="A380" s="463"/>
    </row>
    <row r="381" spans="1:1" s="1129" customFormat="1" x14ac:dyDescent="0.25">
      <c r="A381" s="463"/>
    </row>
    <row r="382" spans="1:1" s="1129" customFormat="1" x14ac:dyDescent="0.25">
      <c r="A382" s="463"/>
    </row>
    <row r="383" spans="1:1" s="1129" customFormat="1" x14ac:dyDescent="0.25">
      <c r="A383" s="463"/>
    </row>
    <row r="384" spans="1:1" s="1129" customFormat="1" x14ac:dyDescent="0.25">
      <c r="A384" s="463"/>
    </row>
    <row r="385" spans="1:1" s="1129" customFormat="1" x14ac:dyDescent="0.25">
      <c r="A385" s="463"/>
    </row>
    <row r="386" spans="1:1" s="1129" customFormat="1" x14ac:dyDescent="0.25">
      <c r="A386" s="463"/>
    </row>
    <row r="387" spans="1:1" s="1129" customFormat="1" x14ac:dyDescent="0.25">
      <c r="A387" s="463"/>
    </row>
    <row r="388" spans="1:1" s="1129" customFormat="1" x14ac:dyDescent="0.25">
      <c r="A388" s="463"/>
    </row>
    <row r="389" spans="1:1" s="1129" customFormat="1" x14ac:dyDescent="0.25">
      <c r="A389" s="463"/>
    </row>
    <row r="390" spans="1:1" s="1129" customFormat="1" x14ac:dyDescent="0.25">
      <c r="A390" s="463"/>
    </row>
    <row r="391" spans="1:1" s="1129" customFormat="1" x14ac:dyDescent="0.25">
      <c r="A391" s="463"/>
    </row>
    <row r="392" spans="1:1" s="1129" customFormat="1" x14ac:dyDescent="0.25">
      <c r="A392" s="463"/>
    </row>
    <row r="393" spans="1:1" s="1129" customFormat="1" x14ac:dyDescent="0.25">
      <c r="A393" s="463"/>
    </row>
    <row r="394" spans="1:1" s="1129" customFormat="1" x14ac:dyDescent="0.25">
      <c r="A394" s="463"/>
    </row>
    <row r="395" spans="1:1" s="1129" customFormat="1" x14ac:dyDescent="0.25">
      <c r="A395" s="463"/>
    </row>
    <row r="396" spans="1:1" s="1129" customFormat="1" x14ac:dyDescent="0.25">
      <c r="A396" s="463"/>
    </row>
    <row r="397" spans="1:1" s="1129" customFormat="1" x14ac:dyDescent="0.25">
      <c r="A397" s="463"/>
    </row>
    <row r="398" spans="1:1" s="1129" customFormat="1" x14ac:dyDescent="0.25">
      <c r="A398" s="463"/>
    </row>
    <row r="399" spans="1:1" s="1129" customFormat="1" x14ac:dyDescent="0.25">
      <c r="A399" s="463"/>
    </row>
    <row r="400" spans="1:1" s="1129" customFormat="1" x14ac:dyDescent="0.25">
      <c r="A400" s="463"/>
    </row>
    <row r="401" spans="1:1" s="1129" customFormat="1" x14ac:dyDescent="0.25">
      <c r="A401" s="463"/>
    </row>
    <row r="402" spans="1:1" s="1129" customFormat="1" x14ac:dyDescent="0.25">
      <c r="A402" s="463"/>
    </row>
    <row r="403" spans="1:1" s="1129" customFormat="1" x14ac:dyDescent="0.25">
      <c r="A403" s="463"/>
    </row>
    <row r="404" spans="1:1" s="1129" customFormat="1" x14ac:dyDescent="0.25">
      <c r="A404" s="463"/>
    </row>
    <row r="405" spans="1:1" s="1129" customFormat="1" x14ac:dyDescent="0.25">
      <c r="A405" s="463"/>
    </row>
    <row r="406" spans="1:1" s="1129" customFormat="1" x14ac:dyDescent="0.25">
      <c r="A406" s="463"/>
    </row>
    <row r="407" spans="1:1" s="1129" customFormat="1" x14ac:dyDescent="0.25">
      <c r="A407" s="463"/>
    </row>
    <row r="408" spans="1:1" s="1129" customFormat="1" x14ac:dyDescent="0.25">
      <c r="A408" s="463"/>
    </row>
    <row r="409" spans="1:1" s="1129" customFormat="1" x14ac:dyDescent="0.25">
      <c r="A409" s="463"/>
    </row>
    <row r="410" spans="1:1" s="1129" customFormat="1" x14ac:dyDescent="0.25">
      <c r="A410" s="463"/>
    </row>
    <row r="411" spans="1:1" s="1129" customFormat="1" x14ac:dyDescent="0.25">
      <c r="A411" s="463"/>
    </row>
    <row r="412" spans="1:1" s="1129" customFormat="1" x14ac:dyDescent="0.25">
      <c r="A412" s="463"/>
    </row>
    <row r="413" spans="1:1" s="1129" customFormat="1" x14ac:dyDescent="0.25">
      <c r="A413" s="463"/>
    </row>
    <row r="414" spans="1:1" s="1129" customFormat="1" x14ac:dyDescent="0.25">
      <c r="A414" s="463"/>
    </row>
    <row r="415" spans="1:1" s="1129" customFormat="1" x14ac:dyDescent="0.25">
      <c r="A415" s="463"/>
    </row>
    <row r="416" spans="1:1" s="1129" customFormat="1" x14ac:dyDescent="0.25">
      <c r="A416" s="463"/>
    </row>
    <row r="417" spans="1:1" s="1129" customFormat="1" x14ac:dyDescent="0.25">
      <c r="A417" s="463"/>
    </row>
    <row r="418" spans="1:1" s="1129" customFormat="1" x14ac:dyDescent="0.25">
      <c r="A418" s="463"/>
    </row>
    <row r="419" spans="1:1" s="1129" customFormat="1" x14ac:dyDescent="0.25">
      <c r="A419" s="463"/>
    </row>
    <row r="420" spans="1:1" s="1129" customFormat="1" x14ac:dyDescent="0.25">
      <c r="A420" s="463"/>
    </row>
    <row r="421" spans="1:1" s="1129" customFormat="1" x14ac:dyDescent="0.25">
      <c r="A421" s="463"/>
    </row>
    <row r="422" spans="1:1" s="1129" customFormat="1" x14ac:dyDescent="0.25">
      <c r="A422" s="463"/>
    </row>
    <row r="423" spans="1:1" s="1129" customFormat="1" x14ac:dyDescent="0.25">
      <c r="A423" s="463"/>
    </row>
    <row r="424" spans="1:1" s="1129" customFormat="1" x14ac:dyDescent="0.25">
      <c r="A424" s="463"/>
    </row>
    <row r="425" spans="1:1" s="1129" customFormat="1" x14ac:dyDescent="0.25">
      <c r="A425" s="463"/>
    </row>
    <row r="426" spans="1:1" s="1129" customFormat="1" x14ac:dyDescent="0.25">
      <c r="A426" s="463"/>
    </row>
    <row r="427" spans="1:1" s="1129" customFormat="1" x14ac:dyDescent="0.25">
      <c r="A427" s="463"/>
    </row>
    <row r="428" spans="1:1" s="1129" customFormat="1" x14ac:dyDescent="0.25">
      <c r="A428" s="463"/>
    </row>
    <row r="429" spans="1:1" s="1129" customFormat="1" x14ac:dyDescent="0.25">
      <c r="A429" s="463"/>
    </row>
    <row r="430" spans="1:1" s="1129" customFormat="1" x14ac:dyDescent="0.25">
      <c r="A430" s="463"/>
    </row>
    <row r="431" spans="1:1" s="1129" customFormat="1" x14ac:dyDescent="0.25">
      <c r="A431" s="463"/>
    </row>
    <row r="432" spans="1:1" s="1129" customFormat="1" x14ac:dyDescent="0.25">
      <c r="A432" s="463"/>
    </row>
    <row r="433" spans="1:1" s="1129" customFormat="1" x14ac:dyDescent="0.25">
      <c r="A433" s="463"/>
    </row>
    <row r="434" spans="1:1" s="1129" customFormat="1" x14ac:dyDescent="0.25">
      <c r="A434" s="463"/>
    </row>
    <row r="435" spans="1:1" s="1129" customFormat="1" x14ac:dyDescent="0.25">
      <c r="A435" s="463"/>
    </row>
    <row r="436" spans="1:1" s="1129" customFormat="1" x14ac:dyDescent="0.25">
      <c r="A436" s="463"/>
    </row>
    <row r="437" spans="1:1" s="1129" customFormat="1" x14ac:dyDescent="0.25">
      <c r="A437" s="463"/>
    </row>
    <row r="438" spans="1:1" s="1129" customFormat="1" x14ac:dyDescent="0.25">
      <c r="A438" s="463"/>
    </row>
    <row r="439" spans="1:1" s="1129" customFormat="1" x14ac:dyDescent="0.25">
      <c r="A439" s="463"/>
    </row>
    <row r="440" spans="1:1" s="1129" customFormat="1" x14ac:dyDescent="0.25">
      <c r="A440" s="463"/>
    </row>
    <row r="441" spans="1:1" s="1129" customFormat="1" x14ac:dyDescent="0.25">
      <c r="A441" s="463"/>
    </row>
    <row r="442" spans="1:1" s="1129" customFormat="1" x14ac:dyDescent="0.25">
      <c r="A442" s="463"/>
    </row>
    <row r="443" spans="1:1" s="1129" customFormat="1" x14ac:dyDescent="0.25">
      <c r="A443" s="463"/>
    </row>
    <row r="444" spans="1:1" s="1129" customFormat="1" x14ac:dyDescent="0.25">
      <c r="A444" s="463"/>
    </row>
    <row r="445" spans="1:1" s="1129" customFormat="1" x14ac:dyDescent="0.25">
      <c r="A445" s="463"/>
    </row>
    <row r="446" spans="1:1" s="1129" customFormat="1" x14ac:dyDescent="0.25">
      <c r="A446" s="463"/>
    </row>
    <row r="447" spans="1:1" s="1129" customFormat="1" x14ac:dyDescent="0.25">
      <c r="A447" s="463"/>
    </row>
    <row r="448" spans="1:1" s="1129" customFormat="1" x14ac:dyDescent="0.25">
      <c r="A448" s="463"/>
    </row>
    <row r="449" spans="1:1" s="1129" customFormat="1" x14ac:dyDescent="0.25">
      <c r="A449" s="463"/>
    </row>
    <row r="450" spans="1:1" s="1129" customFormat="1" x14ac:dyDescent="0.25">
      <c r="A450" s="463"/>
    </row>
    <row r="451" spans="1:1" s="1129" customFormat="1" x14ac:dyDescent="0.25">
      <c r="A451" s="463"/>
    </row>
    <row r="452" spans="1:1" s="1129" customFormat="1" x14ac:dyDescent="0.25">
      <c r="A452" s="463"/>
    </row>
    <row r="453" spans="1:1" s="1129" customFormat="1" x14ac:dyDescent="0.25">
      <c r="A453" s="463"/>
    </row>
    <row r="454" spans="1:1" s="1129" customFormat="1" x14ac:dyDescent="0.25">
      <c r="A454" s="463"/>
    </row>
    <row r="455" spans="1:1" s="1129" customFormat="1" x14ac:dyDescent="0.25">
      <c r="A455" s="463"/>
    </row>
    <row r="456" spans="1:1" s="1129" customFormat="1" x14ac:dyDescent="0.25">
      <c r="A456" s="463"/>
    </row>
    <row r="457" spans="1:1" s="1129" customFormat="1" x14ac:dyDescent="0.25">
      <c r="A457" s="463"/>
    </row>
    <row r="458" spans="1:1" s="1129" customFormat="1" x14ac:dyDescent="0.25">
      <c r="A458" s="463"/>
    </row>
    <row r="459" spans="1:1" s="1129" customFormat="1" x14ac:dyDescent="0.25">
      <c r="A459" s="463"/>
    </row>
    <row r="460" spans="1:1" s="1129" customFormat="1" x14ac:dyDescent="0.25">
      <c r="A460" s="463"/>
    </row>
    <row r="461" spans="1:1" s="1129" customFormat="1" x14ac:dyDescent="0.25">
      <c r="A461" s="463"/>
    </row>
    <row r="462" spans="1:1" s="1129" customFormat="1" x14ac:dyDescent="0.25">
      <c r="A462" s="463"/>
    </row>
    <row r="463" spans="1:1" s="1129" customFormat="1" x14ac:dyDescent="0.25">
      <c r="A463" s="463"/>
    </row>
    <row r="464" spans="1:1" s="1129" customFormat="1" x14ac:dyDescent="0.25">
      <c r="A464" s="463"/>
    </row>
    <row r="465" spans="1:1" s="1129" customFormat="1" x14ac:dyDescent="0.25">
      <c r="A465" s="463"/>
    </row>
    <row r="466" spans="1:1" s="1129" customFormat="1" x14ac:dyDescent="0.25">
      <c r="A466" s="463"/>
    </row>
    <row r="467" spans="1:1" s="1129" customFormat="1" x14ac:dyDescent="0.25">
      <c r="A467" s="463"/>
    </row>
    <row r="468" spans="1:1" s="1129" customFormat="1" x14ac:dyDescent="0.25">
      <c r="A468" s="463"/>
    </row>
    <row r="469" spans="1:1" s="1129" customFormat="1" x14ac:dyDescent="0.25">
      <c r="A469" s="463"/>
    </row>
    <row r="470" spans="1:1" s="1129" customFormat="1" x14ac:dyDescent="0.25">
      <c r="A470" s="463"/>
    </row>
    <row r="471" spans="1:1" s="1129" customFormat="1" x14ac:dyDescent="0.25">
      <c r="A471" s="463"/>
    </row>
    <row r="472" spans="1:1" s="1129" customFormat="1" x14ac:dyDescent="0.25">
      <c r="A472" s="463"/>
    </row>
    <row r="473" spans="1:1" s="1129" customFormat="1" x14ac:dyDescent="0.25">
      <c r="A473" s="463"/>
    </row>
    <row r="474" spans="1:1" s="1129" customFormat="1" x14ac:dyDescent="0.25">
      <c r="A474" s="463"/>
    </row>
    <row r="475" spans="1:1" s="1129" customFormat="1" x14ac:dyDescent="0.25">
      <c r="A475" s="463"/>
    </row>
    <row r="476" spans="1:1" s="1129" customFormat="1" x14ac:dyDescent="0.25">
      <c r="A476" s="463"/>
    </row>
    <row r="477" spans="1:1" s="1129" customFormat="1" x14ac:dyDescent="0.25">
      <c r="A477" s="463"/>
    </row>
    <row r="478" spans="1:1" s="1129" customFormat="1" x14ac:dyDescent="0.25">
      <c r="A478" s="463"/>
    </row>
    <row r="479" spans="1:1" s="1129" customFormat="1" x14ac:dyDescent="0.25">
      <c r="A479" s="463"/>
    </row>
    <row r="480" spans="1:1" s="1129" customFormat="1" x14ac:dyDescent="0.25">
      <c r="A480" s="463"/>
    </row>
    <row r="481" spans="1:1" s="1129" customFormat="1" x14ac:dyDescent="0.25">
      <c r="A481" s="463"/>
    </row>
    <row r="482" spans="1:1" s="1129" customFormat="1" x14ac:dyDescent="0.25">
      <c r="A482" s="463"/>
    </row>
    <row r="483" spans="1:1" s="1129" customFormat="1" x14ac:dyDescent="0.25">
      <c r="A483" s="463"/>
    </row>
    <row r="484" spans="1:1" s="1129" customFormat="1" x14ac:dyDescent="0.25">
      <c r="A484" s="463"/>
    </row>
    <row r="485" spans="1:1" s="1129" customFormat="1" x14ac:dyDescent="0.25">
      <c r="A485" s="463"/>
    </row>
    <row r="486" spans="1:1" s="1129" customFormat="1" x14ac:dyDescent="0.25">
      <c r="A486" s="463"/>
    </row>
    <row r="487" spans="1:1" s="1129" customFormat="1" x14ac:dyDescent="0.25">
      <c r="A487" s="463"/>
    </row>
    <row r="488" spans="1:1" s="1129" customFormat="1" x14ac:dyDescent="0.25">
      <c r="A488" s="463"/>
    </row>
    <row r="489" spans="1:1" s="1129" customFormat="1" x14ac:dyDescent="0.25">
      <c r="A489" s="463"/>
    </row>
    <row r="490" spans="1:1" s="1129" customFormat="1" x14ac:dyDescent="0.25">
      <c r="A490" s="463"/>
    </row>
    <row r="491" spans="1:1" s="1129" customFormat="1" x14ac:dyDescent="0.25">
      <c r="A491" s="463"/>
    </row>
    <row r="492" spans="1:1" s="1129" customFormat="1" x14ac:dyDescent="0.25">
      <c r="A492" s="463"/>
    </row>
    <row r="493" spans="1:1" s="1129" customFormat="1" x14ac:dyDescent="0.25">
      <c r="A493" s="463"/>
    </row>
    <row r="494" spans="1:1" s="1129" customFormat="1" x14ac:dyDescent="0.25">
      <c r="A494" s="463"/>
    </row>
    <row r="495" spans="1:1" s="1129" customFormat="1" x14ac:dyDescent="0.25">
      <c r="A495" s="463"/>
    </row>
    <row r="496" spans="1:1" s="1129" customFormat="1" x14ac:dyDescent="0.25">
      <c r="A496" s="463"/>
    </row>
    <row r="497" spans="1:1" s="1129" customFormat="1" x14ac:dyDescent="0.25">
      <c r="A497" s="463"/>
    </row>
    <row r="498" spans="1:1" s="1129" customFormat="1" x14ac:dyDescent="0.25">
      <c r="A498" s="463"/>
    </row>
    <row r="499" spans="1:1" s="1129" customFormat="1" x14ac:dyDescent="0.25">
      <c r="A499" s="463"/>
    </row>
    <row r="500" spans="1:1" s="1129" customFormat="1" x14ac:dyDescent="0.25">
      <c r="A500" s="463"/>
    </row>
    <row r="501" spans="1:1" s="1129" customFormat="1" x14ac:dyDescent="0.25">
      <c r="A501" s="463"/>
    </row>
    <row r="502" spans="1:1" s="1129" customFormat="1" x14ac:dyDescent="0.25">
      <c r="A502" s="463"/>
    </row>
    <row r="503" spans="1:1" s="1129" customFormat="1" x14ac:dyDescent="0.25">
      <c r="A503" s="463"/>
    </row>
    <row r="504" spans="1:1" s="1129" customFormat="1" x14ac:dyDescent="0.25">
      <c r="A504" s="463"/>
    </row>
    <row r="505" spans="1:1" s="1129" customFormat="1" x14ac:dyDescent="0.25">
      <c r="A505" s="463"/>
    </row>
    <row r="506" spans="1:1" s="1129" customFormat="1" x14ac:dyDescent="0.25">
      <c r="A506" s="463"/>
    </row>
    <row r="507" spans="1:1" s="1129" customFormat="1" x14ac:dyDescent="0.25">
      <c r="A507" s="463"/>
    </row>
    <row r="508" spans="1:1" s="1129" customFormat="1" x14ac:dyDescent="0.25">
      <c r="A508" s="463"/>
    </row>
    <row r="509" spans="1:1" s="1129" customFormat="1" x14ac:dyDescent="0.25">
      <c r="A509" s="463"/>
    </row>
    <row r="510" spans="1:1" s="1129" customFormat="1" x14ac:dyDescent="0.25">
      <c r="A510" s="463"/>
    </row>
    <row r="511" spans="1:1" s="1129" customFormat="1" x14ac:dyDescent="0.25">
      <c r="A511" s="463"/>
    </row>
    <row r="512" spans="1:1" s="1129" customFormat="1" x14ac:dyDescent="0.25">
      <c r="A512" s="463"/>
    </row>
    <row r="513" spans="1:1" s="1129" customFormat="1" x14ac:dyDescent="0.25">
      <c r="A513" s="463"/>
    </row>
    <row r="514" spans="1:1" s="1129" customFormat="1" x14ac:dyDescent="0.25">
      <c r="A514" s="463"/>
    </row>
    <row r="515" spans="1:1" s="1129" customFormat="1" x14ac:dyDescent="0.25">
      <c r="A515" s="463"/>
    </row>
    <row r="516" spans="1:1" s="1129" customFormat="1" x14ac:dyDescent="0.25">
      <c r="A516" s="463"/>
    </row>
    <row r="517" spans="1:1" s="1129" customFormat="1" x14ac:dyDescent="0.25">
      <c r="A517" s="463"/>
    </row>
    <row r="518" spans="1:1" s="1129" customFormat="1" x14ac:dyDescent="0.25">
      <c r="A518" s="463"/>
    </row>
    <row r="519" spans="1:1" s="1129" customFormat="1" x14ac:dyDescent="0.25">
      <c r="A519" s="463"/>
    </row>
    <row r="520" spans="1:1" s="1129" customFormat="1" x14ac:dyDescent="0.25">
      <c r="A520" s="463"/>
    </row>
    <row r="521" spans="1:1" s="1129" customFormat="1" x14ac:dyDescent="0.25">
      <c r="A521" s="463"/>
    </row>
    <row r="522" spans="1:1" s="1129" customFormat="1" x14ac:dyDescent="0.25">
      <c r="A522" s="463"/>
    </row>
    <row r="523" spans="1:1" s="1129" customFormat="1" x14ac:dyDescent="0.25">
      <c r="A523" s="463"/>
    </row>
    <row r="524" spans="1:1" s="1129" customFormat="1" x14ac:dyDescent="0.25">
      <c r="A524" s="463"/>
    </row>
    <row r="525" spans="1:1" s="1129" customFormat="1" x14ac:dyDescent="0.25">
      <c r="A525" s="463"/>
    </row>
    <row r="526" spans="1:1" s="1129" customFormat="1" x14ac:dyDescent="0.25">
      <c r="A526" s="463"/>
    </row>
    <row r="527" spans="1:1" s="1129" customFormat="1" x14ac:dyDescent="0.25">
      <c r="A527" s="463"/>
    </row>
    <row r="528" spans="1:1" s="1129" customFormat="1" x14ac:dyDescent="0.25">
      <c r="A528" s="463"/>
    </row>
    <row r="529" spans="1:1" s="1129" customFormat="1" x14ac:dyDescent="0.25">
      <c r="A529" s="463"/>
    </row>
    <row r="530" spans="1:1" s="1129" customFormat="1" x14ac:dyDescent="0.25">
      <c r="A530" s="463"/>
    </row>
    <row r="531" spans="1:1" s="1129" customFormat="1" x14ac:dyDescent="0.25">
      <c r="A531" s="463"/>
    </row>
    <row r="532" spans="1:1" s="1129" customFormat="1" x14ac:dyDescent="0.25">
      <c r="A532" s="463"/>
    </row>
    <row r="533" spans="1:1" s="1129" customFormat="1" x14ac:dyDescent="0.25">
      <c r="A533" s="463"/>
    </row>
    <row r="534" spans="1:1" s="1129" customFormat="1" x14ac:dyDescent="0.25">
      <c r="A534" s="463"/>
    </row>
    <row r="535" spans="1:1" s="1129" customFormat="1" x14ac:dyDescent="0.25">
      <c r="A535" s="463"/>
    </row>
    <row r="536" spans="1:1" s="1129" customFormat="1" x14ac:dyDescent="0.25">
      <c r="A536" s="463"/>
    </row>
    <row r="537" spans="1:1" s="1129" customFormat="1" x14ac:dyDescent="0.25">
      <c r="A537" s="463"/>
    </row>
    <row r="538" spans="1:1" s="1129" customFormat="1" x14ac:dyDescent="0.25">
      <c r="A538" s="463"/>
    </row>
    <row r="539" spans="1:1" s="1129" customFormat="1" x14ac:dyDescent="0.25">
      <c r="A539" s="463"/>
    </row>
    <row r="540" spans="1:1" s="1129" customFormat="1" x14ac:dyDescent="0.25">
      <c r="A540" s="463"/>
    </row>
    <row r="541" spans="1:1" s="1129" customFormat="1" x14ac:dyDescent="0.25">
      <c r="A541" s="463"/>
    </row>
    <row r="542" spans="1:1" s="1129" customFormat="1" x14ac:dyDescent="0.25">
      <c r="A542" s="463"/>
    </row>
    <row r="543" spans="1:1" s="1129" customFormat="1" x14ac:dyDescent="0.25">
      <c r="A543" s="463"/>
    </row>
    <row r="544" spans="1:1" s="1129" customFormat="1" x14ac:dyDescent="0.25">
      <c r="A544" s="463"/>
    </row>
    <row r="545" spans="1:1" s="1129" customFormat="1" x14ac:dyDescent="0.25">
      <c r="A545" s="463"/>
    </row>
    <row r="546" spans="1:1" s="1129" customFormat="1" x14ac:dyDescent="0.25">
      <c r="A546" s="463"/>
    </row>
    <row r="547" spans="1:1" s="1129" customFormat="1" x14ac:dyDescent="0.25">
      <c r="A547" s="463"/>
    </row>
    <row r="548" spans="1:1" s="1129" customFormat="1" x14ac:dyDescent="0.25">
      <c r="A548" s="463"/>
    </row>
    <row r="549" spans="1:1" s="1129" customFormat="1" x14ac:dyDescent="0.25">
      <c r="A549" s="463"/>
    </row>
    <row r="550" spans="1:1" s="1129" customFormat="1" x14ac:dyDescent="0.25">
      <c r="A550" s="463"/>
    </row>
    <row r="551" spans="1:1" s="1129" customFormat="1" x14ac:dyDescent="0.25">
      <c r="A551" s="463"/>
    </row>
    <row r="552" spans="1:1" s="1129" customFormat="1" x14ac:dyDescent="0.25">
      <c r="A552" s="463"/>
    </row>
    <row r="553" spans="1:1" s="1129" customFormat="1" x14ac:dyDescent="0.25">
      <c r="A553" s="463"/>
    </row>
    <row r="554" spans="1:1" s="1129" customFormat="1" x14ac:dyDescent="0.25">
      <c r="A554" s="463"/>
    </row>
    <row r="555" spans="1:1" s="1129" customFormat="1" x14ac:dyDescent="0.25">
      <c r="A555" s="463"/>
    </row>
    <row r="556" spans="1:1" s="1129" customFormat="1" x14ac:dyDescent="0.25">
      <c r="A556" s="463"/>
    </row>
    <row r="557" spans="1:1" s="1129" customFormat="1" x14ac:dyDescent="0.25">
      <c r="A557" s="463"/>
    </row>
    <row r="558" spans="1:1" s="1129" customFormat="1" x14ac:dyDescent="0.25">
      <c r="A558" s="463"/>
    </row>
    <row r="559" spans="1:1" s="1129" customFormat="1" x14ac:dyDescent="0.25">
      <c r="A559" s="463"/>
    </row>
    <row r="560" spans="1:1" s="1129" customFormat="1" x14ac:dyDescent="0.25">
      <c r="A560" s="463"/>
    </row>
    <row r="561" spans="1:1" s="1129" customFormat="1" x14ac:dyDescent="0.25">
      <c r="A561" s="463"/>
    </row>
    <row r="562" spans="1:1" s="1129" customFormat="1" x14ac:dyDescent="0.25">
      <c r="A562" s="463"/>
    </row>
    <row r="563" spans="1:1" s="1129" customFormat="1" x14ac:dyDescent="0.25">
      <c r="A563" s="463"/>
    </row>
    <row r="564" spans="1:1" s="1129" customFormat="1" x14ac:dyDescent="0.25">
      <c r="A564" s="463"/>
    </row>
    <row r="565" spans="1:1" s="1129" customFormat="1" x14ac:dyDescent="0.25">
      <c r="A565" s="463"/>
    </row>
    <row r="566" spans="1:1" s="1129" customFormat="1" x14ac:dyDescent="0.25">
      <c r="A566" s="463"/>
    </row>
    <row r="567" spans="1:1" s="1129" customFormat="1" x14ac:dyDescent="0.25">
      <c r="A567" s="463"/>
    </row>
    <row r="568" spans="1:1" s="1129" customFormat="1" x14ac:dyDescent="0.25">
      <c r="A568" s="463"/>
    </row>
    <row r="569" spans="1:1" s="1129" customFormat="1" x14ac:dyDescent="0.25">
      <c r="A569" s="463"/>
    </row>
    <row r="570" spans="1:1" s="1129" customFormat="1" x14ac:dyDescent="0.25">
      <c r="A570" s="463"/>
    </row>
    <row r="571" spans="1:1" s="1129" customFormat="1" x14ac:dyDescent="0.25">
      <c r="A571" s="463"/>
    </row>
    <row r="572" spans="1:1" s="1129" customFormat="1" x14ac:dyDescent="0.25">
      <c r="A572" s="463"/>
    </row>
    <row r="573" spans="1:1" s="1129" customFormat="1" x14ac:dyDescent="0.25">
      <c r="A573" s="463"/>
    </row>
    <row r="574" spans="1:1" s="1129" customFormat="1" x14ac:dyDescent="0.25">
      <c r="A574" s="463"/>
    </row>
    <row r="575" spans="1:1" s="1129" customFormat="1" x14ac:dyDescent="0.25">
      <c r="A575" s="463"/>
    </row>
    <row r="576" spans="1:1" s="1129" customFormat="1" x14ac:dyDescent="0.25">
      <c r="A576" s="463"/>
    </row>
    <row r="577" spans="1:1" s="1129" customFormat="1" x14ac:dyDescent="0.25">
      <c r="A577" s="463"/>
    </row>
    <row r="578" spans="1:1" s="1129" customFormat="1" x14ac:dyDescent="0.25">
      <c r="A578" s="463"/>
    </row>
    <row r="579" spans="1:1" s="1129" customFormat="1" x14ac:dyDescent="0.25">
      <c r="A579" s="463"/>
    </row>
    <row r="580" spans="1:1" s="1129" customFormat="1" x14ac:dyDescent="0.25">
      <c r="A580" s="463"/>
    </row>
    <row r="581" spans="1:1" s="1129" customFormat="1" x14ac:dyDescent="0.25">
      <c r="A581" s="463"/>
    </row>
    <row r="582" spans="1:1" s="1129" customFormat="1" x14ac:dyDescent="0.25">
      <c r="A582" s="463"/>
    </row>
    <row r="583" spans="1:1" s="1129" customFormat="1" x14ac:dyDescent="0.25">
      <c r="A583" s="463"/>
    </row>
    <row r="584" spans="1:1" s="1129" customFormat="1" x14ac:dyDescent="0.25">
      <c r="A584" s="463"/>
    </row>
    <row r="585" spans="1:1" s="1129" customFormat="1" x14ac:dyDescent="0.25">
      <c r="A585" s="463"/>
    </row>
    <row r="586" spans="1:1" s="1129" customFormat="1" x14ac:dyDescent="0.25">
      <c r="A586" s="463"/>
    </row>
    <row r="587" spans="1:1" s="1129" customFormat="1" x14ac:dyDescent="0.25">
      <c r="A587" s="463"/>
    </row>
    <row r="588" spans="1:1" s="1129" customFormat="1" x14ac:dyDescent="0.25">
      <c r="A588" s="463"/>
    </row>
    <row r="589" spans="1:1" s="1129" customFormat="1" x14ac:dyDescent="0.25">
      <c r="A589" s="463"/>
    </row>
    <row r="590" spans="1:1" s="1129" customFormat="1" x14ac:dyDescent="0.25">
      <c r="A590" s="463"/>
    </row>
    <row r="591" spans="1:1" s="1129" customFormat="1" x14ac:dyDescent="0.25">
      <c r="A591" s="463"/>
    </row>
    <row r="592" spans="1:1" s="1129" customFormat="1" x14ac:dyDescent="0.25">
      <c r="A592" s="463"/>
    </row>
    <row r="593" spans="1:1" s="1129" customFormat="1" x14ac:dyDescent="0.25">
      <c r="A593" s="463"/>
    </row>
    <row r="594" spans="1:1" s="1129" customFormat="1" x14ac:dyDescent="0.25">
      <c r="A594" s="463"/>
    </row>
    <row r="595" spans="1:1" s="1129" customFormat="1" x14ac:dyDescent="0.25">
      <c r="A595" s="463"/>
    </row>
    <row r="596" spans="1:1" s="1129" customFormat="1" x14ac:dyDescent="0.25">
      <c r="A596" s="463"/>
    </row>
    <row r="597" spans="1:1" s="1129" customFormat="1" x14ac:dyDescent="0.25">
      <c r="A597" s="463"/>
    </row>
    <row r="598" spans="1:1" s="1129" customFormat="1" x14ac:dyDescent="0.25">
      <c r="A598" s="463"/>
    </row>
    <row r="599" spans="1:1" s="1129" customFormat="1" x14ac:dyDescent="0.25">
      <c r="A599" s="463"/>
    </row>
    <row r="600" spans="1:1" s="1129" customFormat="1" x14ac:dyDescent="0.25">
      <c r="A600" s="463"/>
    </row>
    <row r="601" spans="1:1" s="1129" customFormat="1" x14ac:dyDescent="0.25">
      <c r="A601" s="463"/>
    </row>
    <row r="602" spans="1:1" s="1129" customFormat="1" x14ac:dyDescent="0.25">
      <c r="A602" s="463"/>
    </row>
    <row r="603" spans="1:1" s="1129" customFormat="1" x14ac:dyDescent="0.25">
      <c r="A603" s="463"/>
    </row>
    <row r="604" spans="1:1" s="1129" customFormat="1" x14ac:dyDescent="0.25">
      <c r="A604" s="463"/>
    </row>
    <row r="605" spans="1:1" s="1129" customFormat="1" x14ac:dyDescent="0.25">
      <c r="A605" s="463"/>
    </row>
    <row r="606" spans="1:1" s="1129" customFormat="1" x14ac:dyDescent="0.25">
      <c r="A606" s="463"/>
    </row>
    <row r="607" spans="1:1" s="1129" customFormat="1" x14ac:dyDescent="0.25">
      <c r="A607" s="463"/>
    </row>
    <row r="608" spans="1:1" s="1129" customFormat="1" x14ac:dyDescent="0.25">
      <c r="A608" s="463"/>
    </row>
    <row r="609" spans="1:1" s="1129" customFormat="1" x14ac:dyDescent="0.25">
      <c r="A609" s="463"/>
    </row>
    <row r="610" spans="1:1" s="1129" customFormat="1" x14ac:dyDescent="0.25">
      <c r="A610" s="463"/>
    </row>
    <row r="611" spans="1:1" s="1129" customFormat="1" x14ac:dyDescent="0.25">
      <c r="A611" s="463"/>
    </row>
    <row r="612" spans="1:1" s="1129" customFormat="1" x14ac:dyDescent="0.25">
      <c r="A612" s="463"/>
    </row>
    <row r="613" spans="1:1" s="1129" customFormat="1" x14ac:dyDescent="0.25">
      <c r="A613" s="463"/>
    </row>
    <row r="614" spans="1:1" s="1129" customFormat="1" x14ac:dyDescent="0.25">
      <c r="A614" s="463"/>
    </row>
    <row r="615" spans="1:1" s="1129" customFormat="1" x14ac:dyDescent="0.25">
      <c r="A615" s="463"/>
    </row>
    <row r="616" spans="1:1" s="1129" customFormat="1" x14ac:dyDescent="0.25">
      <c r="A616" s="463"/>
    </row>
    <row r="617" spans="1:1" s="1129" customFormat="1" x14ac:dyDescent="0.25">
      <c r="A617" s="463"/>
    </row>
    <row r="618" spans="1:1" s="1129" customFormat="1" x14ac:dyDescent="0.25">
      <c r="A618" s="463"/>
    </row>
    <row r="619" spans="1:1" s="1129" customFormat="1" x14ac:dyDescent="0.25">
      <c r="A619" s="463"/>
    </row>
    <row r="620" spans="1:1" s="1129" customFormat="1" x14ac:dyDescent="0.25">
      <c r="A620" s="463"/>
    </row>
    <row r="621" spans="1:1" s="1129" customFormat="1" x14ac:dyDescent="0.25">
      <c r="A621" s="463"/>
    </row>
    <row r="622" spans="1:1" s="1129" customFormat="1" x14ac:dyDescent="0.25">
      <c r="A622" s="463"/>
    </row>
    <row r="623" spans="1:1" s="1129" customFormat="1" x14ac:dyDescent="0.25">
      <c r="A623" s="463"/>
    </row>
    <row r="624" spans="1:1" s="1129" customFormat="1" x14ac:dyDescent="0.25">
      <c r="A624" s="463"/>
    </row>
    <row r="625" spans="1:1" s="1129" customFormat="1" x14ac:dyDescent="0.25">
      <c r="A625" s="463"/>
    </row>
    <row r="626" spans="1:1" s="1129" customFormat="1" x14ac:dyDescent="0.25">
      <c r="A626" s="463"/>
    </row>
    <row r="627" spans="1:1" s="1129" customFormat="1" x14ac:dyDescent="0.25">
      <c r="A627" s="463"/>
    </row>
    <row r="628" spans="1:1" s="1129" customFormat="1" x14ac:dyDescent="0.25">
      <c r="A628" s="463"/>
    </row>
    <row r="629" spans="1:1" s="1129" customFormat="1" x14ac:dyDescent="0.25">
      <c r="A629" s="463"/>
    </row>
    <row r="630" spans="1:1" s="1129" customFormat="1" x14ac:dyDescent="0.25">
      <c r="A630" s="463"/>
    </row>
    <row r="631" spans="1:1" s="1129" customFormat="1" x14ac:dyDescent="0.25">
      <c r="A631" s="463"/>
    </row>
    <row r="632" spans="1:1" s="1129" customFormat="1" x14ac:dyDescent="0.25">
      <c r="A632" s="463"/>
    </row>
    <row r="633" spans="1:1" s="1129" customFormat="1" x14ac:dyDescent="0.25">
      <c r="A633" s="463"/>
    </row>
    <row r="634" spans="1:1" s="1129" customFormat="1" x14ac:dyDescent="0.25">
      <c r="A634" s="463"/>
    </row>
    <row r="635" spans="1:1" s="1129" customFormat="1" x14ac:dyDescent="0.25">
      <c r="A635" s="463"/>
    </row>
    <row r="636" spans="1:1" s="1129" customFormat="1" x14ac:dyDescent="0.25">
      <c r="A636" s="463"/>
    </row>
    <row r="637" spans="1:1" s="1129" customFormat="1" x14ac:dyDescent="0.25">
      <c r="A637" s="463"/>
    </row>
    <row r="638" spans="1:1" s="1129" customFormat="1" x14ac:dyDescent="0.25">
      <c r="A638" s="463"/>
    </row>
    <row r="639" spans="1:1" s="1129" customFormat="1" x14ac:dyDescent="0.25">
      <c r="A639" s="463"/>
    </row>
    <row r="640" spans="1:1" s="1129" customFormat="1" x14ac:dyDescent="0.25">
      <c r="A640" s="463"/>
    </row>
    <row r="641" spans="1:1" s="1129" customFormat="1" x14ac:dyDescent="0.25">
      <c r="A641" s="463"/>
    </row>
    <row r="642" spans="1:1" s="1129" customFormat="1" x14ac:dyDescent="0.25">
      <c r="A642" s="463"/>
    </row>
    <row r="643" spans="1:1" s="1129" customFormat="1" x14ac:dyDescent="0.25">
      <c r="A643" s="463"/>
    </row>
    <row r="644" spans="1:1" s="1129" customFormat="1" x14ac:dyDescent="0.25">
      <c r="A644" s="463"/>
    </row>
    <row r="645" spans="1:1" s="1129" customFormat="1" x14ac:dyDescent="0.25">
      <c r="A645" s="463"/>
    </row>
    <row r="646" spans="1:1" s="1129" customFormat="1" x14ac:dyDescent="0.25">
      <c r="A646" s="463"/>
    </row>
    <row r="647" spans="1:1" s="1129" customFormat="1" x14ac:dyDescent="0.25">
      <c r="A647" s="463"/>
    </row>
    <row r="648" spans="1:1" s="1129" customFormat="1" x14ac:dyDescent="0.25">
      <c r="A648" s="463"/>
    </row>
    <row r="649" spans="1:1" s="1129" customFormat="1" x14ac:dyDescent="0.25">
      <c r="A649" s="463"/>
    </row>
    <row r="650" spans="1:1" s="1129" customFormat="1" x14ac:dyDescent="0.25">
      <c r="A650" s="463"/>
    </row>
    <row r="651" spans="1:1" s="1129" customFormat="1" x14ac:dyDescent="0.25">
      <c r="A651" s="463"/>
    </row>
    <row r="652" spans="1:1" s="1129" customFormat="1" x14ac:dyDescent="0.25">
      <c r="A652" s="463"/>
    </row>
    <row r="653" spans="1:1" s="1129" customFormat="1" x14ac:dyDescent="0.25">
      <c r="A653" s="463"/>
    </row>
    <row r="654" spans="1:1" s="1129" customFormat="1" x14ac:dyDescent="0.25">
      <c r="A654" s="463"/>
    </row>
    <row r="655" spans="1:1" s="1129" customFormat="1" x14ac:dyDescent="0.25">
      <c r="A655" s="463"/>
    </row>
    <row r="656" spans="1:1" s="1129" customFormat="1" x14ac:dyDescent="0.25">
      <c r="A656" s="463"/>
    </row>
    <row r="657" spans="1:1" s="1129" customFormat="1" x14ac:dyDescent="0.25">
      <c r="A657" s="463"/>
    </row>
    <row r="658" spans="1:1" s="1129" customFormat="1" x14ac:dyDescent="0.25">
      <c r="A658" s="463"/>
    </row>
    <row r="659" spans="1:1" s="1129" customFormat="1" x14ac:dyDescent="0.25">
      <c r="A659" s="463"/>
    </row>
    <row r="660" spans="1:1" s="1129" customFormat="1" x14ac:dyDescent="0.25">
      <c r="A660" s="463"/>
    </row>
    <row r="661" spans="1:1" s="1129" customFormat="1" x14ac:dyDescent="0.25">
      <c r="A661" s="463"/>
    </row>
    <row r="662" spans="1:1" s="1129" customFormat="1" x14ac:dyDescent="0.25">
      <c r="A662" s="463"/>
    </row>
    <row r="663" spans="1:1" s="1129" customFormat="1" x14ac:dyDescent="0.25">
      <c r="A663" s="463"/>
    </row>
    <row r="664" spans="1:1" s="1129" customFormat="1" x14ac:dyDescent="0.25">
      <c r="A664" s="463"/>
    </row>
    <row r="665" spans="1:1" s="1129" customFormat="1" x14ac:dyDescent="0.25">
      <c r="A665" s="463"/>
    </row>
    <row r="666" spans="1:1" s="1129" customFormat="1" x14ac:dyDescent="0.25">
      <c r="A666" s="463"/>
    </row>
    <row r="667" spans="1:1" s="1129" customFormat="1" x14ac:dyDescent="0.25">
      <c r="A667" s="463"/>
    </row>
    <row r="668" spans="1:1" s="1129" customFormat="1" x14ac:dyDescent="0.25">
      <c r="A668" s="463"/>
    </row>
    <row r="669" spans="1:1" s="1129" customFormat="1" x14ac:dyDescent="0.25">
      <c r="A669" s="463"/>
    </row>
    <row r="670" spans="1:1" s="1129" customFormat="1" x14ac:dyDescent="0.25">
      <c r="A670" s="463"/>
    </row>
    <row r="671" spans="1:1" s="1129" customFormat="1" x14ac:dyDescent="0.25">
      <c r="A671" s="463"/>
    </row>
    <row r="672" spans="1:1" s="1129" customFormat="1" x14ac:dyDescent="0.25">
      <c r="A672" s="463"/>
    </row>
    <row r="673" spans="1:1" s="1129" customFormat="1" x14ac:dyDescent="0.25">
      <c r="A673" s="463"/>
    </row>
    <row r="674" spans="1:1" s="1129" customFormat="1" x14ac:dyDescent="0.25">
      <c r="A674" s="463"/>
    </row>
    <row r="675" spans="1:1" s="1129" customFormat="1" x14ac:dyDescent="0.25">
      <c r="A675" s="463"/>
    </row>
    <row r="676" spans="1:1" s="1129" customFormat="1" x14ac:dyDescent="0.25">
      <c r="A676" s="463"/>
    </row>
    <row r="677" spans="1:1" s="1129" customFormat="1" x14ac:dyDescent="0.25">
      <c r="A677" s="463"/>
    </row>
    <row r="678" spans="1:1" s="1129" customFormat="1" x14ac:dyDescent="0.25">
      <c r="A678" s="463"/>
    </row>
    <row r="679" spans="1:1" s="1129" customFormat="1" x14ac:dyDescent="0.25">
      <c r="A679" s="463"/>
    </row>
    <row r="680" spans="1:1" s="1129" customFormat="1" x14ac:dyDescent="0.25">
      <c r="A680" s="463"/>
    </row>
    <row r="681" spans="1:1" s="1129" customFormat="1" x14ac:dyDescent="0.25">
      <c r="A681" s="463"/>
    </row>
    <row r="682" spans="1:1" s="1129" customFormat="1" x14ac:dyDescent="0.25">
      <c r="A682" s="463"/>
    </row>
    <row r="683" spans="1:1" s="1129" customFormat="1" x14ac:dyDescent="0.25">
      <c r="A683" s="463"/>
    </row>
    <row r="684" spans="1:1" s="1129" customFormat="1" x14ac:dyDescent="0.25">
      <c r="A684" s="463"/>
    </row>
    <row r="685" spans="1:1" s="1129" customFormat="1" x14ac:dyDescent="0.25">
      <c r="A685" s="463"/>
    </row>
    <row r="686" spans="1:1" s="1129" customFormat="1" x14ac:dyDescent="0.25">
      <c r="A686" s="463"/>
    </row>
    <row r="687" spans="1:1" s="1129" customFormat="1" x14ac:dyDescent="0.25">
      <c r="A687" s="463"/>
    </row>
    <row r="688" spans="1:1" s="1129" customFormat="1" x14ac:dyDescent="0.25">
      <c r="A688" s="463"/>
    </row>
    <row r="689" spans="1:1" s="1129" customFormat="1" x14ac:dyDescent="0.25">
      <c r="A689" s="463"/>
    </row>
    <row r="690" spans="1:1" s="1129" customFormat="1" x14ac:dyDescent="0.25">
      <c r="A690" s="463"/>
    </row>
    <row r="691" spans="1:1" s="1129" customFormat="1" x14ac:dyDescent="0.25">
      <c r="A691" s="463"/>
    </row>
    <row r="692" spans="1:1" s="1129" customFormat="1" x14ac:dyDescent="0.25">
      <c r="A692" s="463"/>
    </row>
    <row r="693" spans="1:1" s="1129" customFormat="1" x14ac:dyDescent="0.25">
      <c r="A693" s="463"/>
    </row>
    <row r="694" spans="1:1" s="1129" customFormat="1" x14ac:dyDescent="0.25">
      <c r="A694" s="463"/>
    </row>
    <row r="695" spans="1:1" s="1129" customFormat="1" x14ac:dyDescent="0.25">
      <c r="A695" s="463"/>
    </row>
    <row r="696" spans="1:1" s="1129" customFormat="1" x14ac:dyDescent="0.25">
      <c r="A696" s="463"/>
    </row>
    <row r="697" spans="1:1" s="1129" customFormat="1" x14ac:dyDescent="0.25">
      <c r="A697" s="463"/>
    </row>
    <row r="698" spans="1:1" s="1129" customFormat="1" x14ac:dyDescent="0.25">
      <c r="A698" s="463"/>
    </row>
    <row r="699" spans="1:1" s="1129" customFormat="1" x14ac:dyDescent="0.25">
      <c r="A699" s="463"/>
    </row>
    <row r="700" spans="1:1" s="1129" customFormat="1" x14ac:dyDescent="0.25">
      <c r="A700" s="463"/>
    </row>
    <row r="701" spans="1:1" s="1129" customFormat="1" x14ac:dyDescent="0.25">
      <c r="A701" s="463"/>
    </row>
    <row r="702" spans="1:1" s="1129" customFormat="1" x14ac:dyDescent="0.25">
      <c r="A702" s="463"/>
    </row>
    <row r="703" spans="1:1" s="1129" customFormat="1" x14ac:dyDescent="0.25">
      <c r="A703" s="463"/>
    </row>
    <row r="704" spans="1:1" s="1129" customFormat="1" x14ac:dyDescent="0.25">
      <c r="A704" s="463"/>
    </row>
    <row r="705" spans="1:1" s="1129" customFormat="1" x14ac:dyDescent="0.25">
      <c r="A705" s="463"/>
    </row>
    <row r="706" spans="1:1" s="1129" customFormat="1" x14ac:dyDescent="0.25">
      <c r="A706" s="463"/>
    </row>
    <row r="707" spans="1:1" s="1129" customFormat="1" x14ac:dyDescent="0.25">
      <c r="A707" s="463"/>
    </row>
    <row r="708" spans="1:1" s="1129" customFormat="1" x14ac:dyDescent="0.25">
      <c r="A708" s="463"/>
    </row>
    <row r="709" spans="1:1" s="1129" customFormat="1" x14ac:dyDescent="0.25">
      <c r="A709" s="463"/>
    </row>
    <row r="710" spans="1:1" s="1129" customFormat="1" x14ac:dyDescent="0.25">
      <c r="A710" s="463"/>
    </row>
    <row r="711" spans="1:1" s="1129" customFormat="1" x14ac:dyDescent="0.25">
      <c r="A711" s="463"/>
    </row>
    <row r="712" spans="1:1" s="1129" customFormat="1" x14ac:dyDescent="0.25">
      <c r="A712" s="463"/>
    </row>
    <row r="713" spans="1:1" s="1129" customFormat="1" x14ac:dyDescent="0.25">
      <c r="A713" s="463"/>
    </row>
    <row r="714" spans="1:1" s="1129" customFormat="1" x14ac:dyDescent="0.25">
      <c r="A714" s="463"/>
    </row>
    <row r="715" spans="1:1" s="1129" customFormat="1" x14ac:dyDescent="0.25">
      <c r="A715" s="463"/>
    </row>
    <row r="716" spans="1:1" s="1129" customFormat="1" x14ac:dyDescent="0.25">
      <c r="A716" s="463"/>
    </row>
    <row r="717" spans="1:1" s="1129" customFormat="1" x14ac:dyDescent="0.25">
      <c r="A717" s="463"/>
    </row>
    <row r="718" spans="1:1" s="1129" customFormat="1" x14ac:dyDescent="0.25">
      <c r="A718" s="463"/>
    </row>
    <row r="719" spans="1:1" s="1129" customFormat="1" x14ac:dyDescent="0.25">
      <c r="A719" s="463"/>
    </row>
    <row r="720" spans="1:1" s="1129" customFormat="1" x14ac:dyDescent="0.25">
      <c r="A720" s="463"/>
    </row>
    <row r="721" spans="1:1" s="1129" customFormat="1" x14ac:dyDescent="0.25">
      <c r="A721" s="463"/>
    </row>
    <row r="722" spans="1:1" s="1129" customFormat="1" x14ac:dyDescent="0.25">
      <c r="A722" s="463"/>
    </row>
    <row r="723" spans="1:1" s="1129" customFormat="1" x14ac:dyDescent="0.25">
      <c r="A723" s="463"/>
    </row>
    <row r="724" spans="1:1" s="1129" customFormat="1" x14ac:dyDescent="0.25">
      <c r="A724" s="463"/>
    </row>
    <row r="725" spans="1:1" s="1129" customFormat="1" x14ac:dyDescent="0.25">
      <c r="A725" s="463"/>
    </row>
    <row r="726" spans="1:1" s="1129" customFormat="1" x14ac:dyDescent="0.25">
      <c r="A726" s="463"/>
    </row>
    <row r="727" spans="1:1" s="1129" customFormat="1" x14ac:dyDescent="0.25">
      <c r="A727" s="463"/>
    </row>
    <row r="728" spans="1:1" s="1129" customFormat="1" x14ac:dyDescent="0.25">
      <c r="A728" s="463"/>
    </row>
    <row r="729" spans="1:1" s="1129" customFormat="1" x14ac:dyDescent="0.25">
      <c r="A729" s="463"/>
    </row>
    <row r="730" spans="1:1" s="1129" customFormat="1" x14ac:dyDescent="0.25">
      <c r="A730" s="463"/>
    </row>
    <row r="731" spans="1:1" s="1129" customFormat="1" x14ac:dyDescent="0.25">
      <c r="A731" s="463"/>
    </row>
    <row r="732" spans="1:1" s="1129" customFormat="1" x14ac:dyDescent="0.25">
      <c r="A732" s="463"/>
    </row>
    <row r="733" spans="1:1" s="1129" customFormat="1" x14ac:dyDescent="0.25">
      <c r="A733" s="463"/>
    </row>
    <row r="734" spans="1:1" s="1129" customFormat="1" x14ac:dyDescent="0.25">
      <c r="A734" s="463"/>
    </row>
    <row r="735" spans="1:1" s="1129" customFormat="1" x14ac:dyDescent="0.25">
      <c r="A735" s="463"/>
    </row>
    <row r="736" spans="1:1" s="1129" customFormat="1" x14ac:dyDescent="0.25">
      <c r="A736" s="463"/>
    </row>
    <row r="737" spans="1:1" s="1129" customFormat="1" x14ac:dyDescent="0.25">
      <c r="A737" s="463"/>
    </row>
    <row r="738" spans="1:1" s="1129" customFormat="1" x14ac:dyDescent="0.25">
      <c r="A738" s="463"/>
    </row>
    <row r="739" spans="1:1" s="1129" customFormat="1" x14ac:dyDescent="0.25">
      <c r="A739" s="463"/>
    </row>
    <row r="740" spans="1:1" s="1129" customFormat="1" x14ac:dyDescent="0.25">
      <c r="A740" s="463"/>
    </row>
    <row r="741" spans="1:1" s="1129" customFormat="1" x14ac:dyDescent="0.25">
      <c r="A741" s="463"/>
    </row>
    <row r="742" spans="1:1" s="1129" customFormat="1" x14ac:dyDescent="0.25">
      <c r="A742" s="463"/>
    </row>
    <row r="743" spans="1:1" s="1129" customFormat="1" x14ac:dyDescent="0.25">
      <c r="A743" s="463"/>
    </row>
    <row r="744" spans="1:1" s="1129" customFormat="1" x14ac:dyDescent="0.25">
      <c r="A744" s="463"/>
    </row>
    <row r="745" spans="1:1" s="1129" customFormat="1" x14ac:dyDescent="0.25">
      <c r="A745" s="463"/>
    </row>
    <row r="746" spans="1:1" s="1129" customFormat="1" x14ac:dyDescent="0.25">
      <c r="A746" s="463"/>
    </row>
    <row r="747" spans="1:1" s="1129" customFormat="1" x14ac:dyDescent="0.25">
      <c r="A747" s="463"/>
    </row>
    <row r="748" spans="1:1" s="1129" customFormat="1" x14ac:dyDescent="0.25">
      <c r="A748" s="463"/>
    </row>
    <row r="749" spans="1:1" s="1129" customFormat="1" x14ac:dyDescent="0.25">
      <c r="A749" s="463"/>
    </row>
    <row r="750" spans="1:1" s="1129" customFormat="1" x14ac:dyDescent="0.25">
      <c r="A750" s="463"/>
    </row>
    <row r="751" spans="1:1" s="1129" customFormat="1" x14ac:dyDescent="0.25">
      <c r="A751" s="463"/>
    </row>
    <row r="752" spans="1:1" s="1129" customFormat="1" x14ac:dyDescent="0.25">
      <c r="A752" s="463"/>
    </row>
    <row r="753" spans="1:1" s="1129" customFormat="1" x14ac:dyDescent="0.25">
      <c r="A753" s="463"/>
    </row>
    <row r="754" spans="1:1" s="1129" customFormat="1" x14ac:dyDescent="0.25">
      <c r="A754" s="463"/>
    </row>
    <row r="755" spans="1:1" s="1129" customFormat="1" x14ac:dyDescent="0.25">
      <c r="A755" s="463"/>
    </row>
    <row r="756" spans="1:1" s="1129" customFormat="1" x14ac:dyDescent="0.25">
      <c r="A756" s="463"/>
    </row>
    <row r="757" spans="1:1" s="1129" customFormat="1" x14ac:dyDescent="0.25">
      <c r="A757" s="463"/>
    </row>
    <row r="758" spans="1:1" s="1129" customFormat="1" x14ac:dyDescent="0.25">
      <c r="A758" s="463"/>
    </row>
    <row r="759" spans="1:1" s="1129" customFormat="1" x14ac:dyDescent="0.25">
      <c r="A759" s="463"/>
    </row>
    <row r="760" spans="1:1" s="1129" customFormat="1" x14ac:dyDescent="0.25">
      <c r="A760" s="463"/>
    </row>
    <row r="761" spans="1:1" s="1129" customFormat="1" x14ac:dyDescent="0.25">
      <c r="A761" s="463"/>
    </row>
    <row r="762" spans="1:1" s="1129" customFormat="1" x14ac:dyDescent="0.25">
      <c r="A762" s="463"/>
    </row>
    <row r="763" spans="1:1" s="1129" customFormat="1" x14ac:dyDescent="0.25">
      <c r="A763" s="463"/>
    </row>
    <row r="764" spans="1:1" s="1129" customFormat="1" x14ac:dyDescent="0.25">
      <c r="A764" s="463"/>
    </row>
    <row r="765" spans="1:1" s="1129" customFormat="1" x14ac:dyDescent="0.25">
      <c r="A765" s="463"/>
    </row>
    <row r="766" spans="1:1" s="1129" customFormat="1" x14ac:dyDescent="0.25">
      <c r="A766" s="463"/>
    </row>
    <row r="767" spans="1:1" s="1129" customFormat="1" x14ac:dyDescent="0.25">
      <c r="A767" s="463"/>
    </row>
    <row r="768" spans="1:1" s="1129" customFormat="1" x14ac:dyDescent="0.25">
      <c r="A768" s="463"/>
    </row>
    <row r="769" spans="1:1" s="1129" customFormat="1" x14ac:dyDescent="0.25">
      <c r="A769" s="463"/>
    </row>
    <row r="770" spans="1:1" s="1129" customFormat="1" x14ac:dyDescent="0.25">
      <c r="A770" s="463"/>
    </row>
    <row r="771" spans="1:1" s="1129" customFormat="1" x14ac:dyDescent="0.25">
      <c r="A771" s="463"/>
    </row>
    <row r="772" spans="1:1" s="1129" customFormat="1" x14ac:dyDescent="0.25">
      <c r="A772" s="463"/>
    </row>
    <row r="773" spans="1:1" s="1129" customFormat="1" x14ac:dyDescent="0.25">
      <c r="A773" s="463"/>
    </row>
    <row r="774" spans="1:1" s="1129" customFormat="1" x14ac:dyDescent="0.25">
      <c r="A774" s="463"/>
    </row>
    <row r="775" spans="1:1" s="1129" customFormat="1" x14ac:dyDescent="0.25">
      <c r="A775" s="463"/>
    </row>
    <row r="776" spans="1:1" s="1129" customFormat="1" x14ac:dyDescent="0.25">
      <c r="A776" s="463"/>
    </row>
    <row r="777" spans="1:1" s="1129" customFormat="1" x14ac:dyDescent="0.25">
      <c r="A777" s="463"/>
    </row>
    <row r="778" spans="1:1" s="1129" customFormat="1" x14ac:dyDescent="0.25">
      <c r="A778" s="463"/>
    </row>
    <row r="779" spans="1:1" s="1129" customFormat="1" x14ac:dyDescent="0.25">
      <c r="A779" s="463"/>
    </row>
    <row r="780" spans="1:1" s="1129" customFormat="1" x14ac:dyDescent="0.25">
      <c r="A780" s="463"/>
    </row>
    <row r="781" spans="1:1" s="1129" customFormat="1" x14ac:dyDescent="0.25">
      <c r="A781" s="463"/>
    </row>
    <row r="782" spans="1:1" s="1129" customFormat="1" x14ac:dyDescent="0.25">
      <c r="A782" s="463"/>
    </row>
    <row r="783" spans="1:1" s="1129" customFormat="1" x14ac:dyDescent="0.25">
      <c r="A783" s="463"/>
    </row>
    <row r="784" spans="1:1" s="1129" customFormat="1" x14ac:dyDescent="0.25">
      <c r="A784" s="463"/>
    </row>
    <row r="785" spans="1:1" s="1129" customFormat="1" x14ac:dyDescent="0.25">
      <c r="A785" s="463"/>
    </row>
    <row r="786" spans="1:1" s="1129" customFormat="1" x14ac:dyDescent="0.25">
      <c r="A786" s="463"/>
    </row>
    <row r="787" spans="1:1" s="1129" customFormat="1" x14ac:dyDescent="0.25">
      <c r="A787" s="463"/>
    </row>
    <row r="788" spans="1:1" s="1129" customFormat="1" x14ac:dyDescent="0.25">
      <c r="A788" s="463"/>
    </row>
    <row r="789" spans="1:1" s="1129" customFormat="1" x14ac:dyDescent="0.25">
      <c r="A789" s="463"/>
    </row>
    <row r="790" spans="1:1" s="1129" customFormat="1" x14ac:dyDescent="0.25">
      <c r="A790" s="463"/>
    </row>
    <row r="791" spans="1:1" s="1129" customFormat="1" x14ac:dyDescent="0.25">
      <c r="A791" s="463"/>
    </row>
    <row r="792" spans="1:1" s="1129" customFormat="1" x14ac:dyDescent="0.25">
      <c r="A792" s="463"/>
    </row>
    <row r="793" spans="1:1" s="1129" customFormat="1" x14ac:dyDescent="0.25">
      <c r="A793" s="463"/>
    </row>
    <row r="794" spans="1:1" s="1129" customFormat="1" x14ac:dyDescent="0.25">
      <c r="A794" s="463"/>
    </row>
    <row r="795" spans="1:1" s="1129" customFormat="1" x14ac:dyDescent="0.25">
      <c r="A795" s="463"/>
    </row>
    <row r="796" spans="1:1" s="1129" customFormat="1" x14ac:dyDescent="0.25">
      <c r="A796" s="463"/>
    </row>
    <row r="797" spans="1:1" s="1129" customFormat="1" x14ac:dyDescent="0.25">
      <c r="A797" s="463"/>
    </row>
    <row r="798" spans="1:1" s="1129" customFormat="1" x14ac:dyDescent="0.25">
      <c r="A798" s="463"/>
    </row>
    <row r="799" spans="1:1" s="1129" customFormat="1" x14ac:dyDescent="0.25">
      <c r="A799" s="463"/>
    </row>
    <row r="800" spans="1:1" s="1129" customFormat="1" x14ac:dyDescent="0.25">
      <c r="A800" s="463"/>
    </row>
    <row r="801" spans="1:1" s="1129" customFormat="1" x14ac:dyDescent="0.25">
      <c r="A801" s="463"/>
    </row>
    <row r="802" spans="1:1" s="1129" customFormat="1" x14ac:dyDescent="0.25">
      <c r="A802" s="463"/>
    </row>
    <row r="803" spans="1:1" s="1129" customFormat="1" x14ac:dyDescent="0.25">
      <c r="A803" s="463"/>
    </row>
    <row r="804" spans="1:1" s="1129" customFormat="1" x14ac:dyDescent="0.25">
      <c r="A804" s="463"/>
    </row>
    <row r="805" spans="1:1" s="1129" customFormat="1" x14ac:dyDescent="0.25">
      <c r="A805" s="463"/>
    </row>
    <row r="806" spans="1:1" s="1129" customFormat="1" x14ac:dyDescent="0.25">
      <c r="A806" s="463"/>
    </row>
    <row r="807" spans="1:1" s="1129" customFormat="1" x14ac:dyDescent="0.25">
      <c r="A807" s="463"/>
    </row>
    <row r="808" spans="1:1" s="1129" customFormat="1" x14ac:dyDescent="0.25">
      <c r="A808" s="463"/>
    </row>
    <row r="809" spans="1:1" s="1129" customFormat="1" x14ac:dyDescent="0.25">
      <c r="A809" s="463"/>
    </row>
    <row r="810" spans="1:1" s="1129" customFormat="1" x14ac:dyDescent="0.25">
      <c r="A810" s="463"/>
    </row>
    <row r="811" spans="1:1" s="1129" customFormat="1" x14ac:dyDescent="0.25">
      <c r="A811" s="463"/>
    </row>
    <row r="812" spans="1:1" s="1129" customFormat="1" x14ac:dyDescent="0.25">
      <c r="A812" s="463"/>
    </row>
    <row r="813" spans="1:1" s="1129" customFormat="1" x14ac:dyDescent="0.25">
      <c r="A813" s="463"/>
    </row>
    <row r="814" spans="1:1" s="1129" customFormat="1" x14ac:dyDescent="0.25">
      <c r="A814" s="463"/>
    </row>
    <row r="815" spans="1:1" s="1129" customFormat="1" x14ac:dyDescent="0.25">
      <c r="A815" s="463"/>
    </row>
    <row r="816" spans="1:1" s="1129" customFormat="1" x14ac:dyDescent="0.25">
      <c r="A816" s="463"/>
    </row>
    <row r="817" spans="1:1" s="1129" customFormat="1" x14ac:dyDescent="0.25">
      <c r="A817" s="463"/>
    </row>
    <row r="818" spans="1:1" s="1129" customFormat="1" x14ac:dyDescent="0.25">
      <c r="A818" s="463"/>
    </row>
    <row r="819" spans="1:1" s="1129" customFormat="1" x14ac:dyDescent="0.25">
      <c r="A819" s="463"/>
    </row>
    <row r="820" spans="1:1" s="1129" customFormat="1" x14ac:dyDescent="0.25">
      <c r="A820" s="463"/>
    </row>
    <row r="821" spans="1:1" s="1129" customFormat="1" x14ac:dyDescent="0.25">
      <c r="A821" s="463"/>
    </row>
    <row r="822" spans="1:1" s="1129" customFormat="1" x14ac:dyDescent="0.25">
      <c r="A822" s="463"/>
    </row>
    <row r="823" spans="1:1" s="1129" customFormat="1" x14ac:dyDescent="0.25">
      <c r="A823" s="463"/>
    </row>
    <row r="824" spans="1:1" s="1129" customFormat="1" x14ac:dyDescent="0.25">
      <c r="A824" s="463"/>
    </row>
    <row r="825" spans="1:1" s="1129" customFormat="1" x14ac:dyDescent="0.25">
      <c r="A825" s="463"/>
    </row>
    <row r="826" spans="1:1" s="1129" customFormat="1" x14ac:dyDescent="0.25">
      <c r="A826" s="463"/>
    </row>
    <row r="827" spans="1:1" s="1129" customFormat="1" x14ac:dyDescent="0.25">
      <c r="A827" s="463"/>
    </row>
    <row r="828" spans="1:1" s="1129" customFormat="1" x14ac:dyDescent="0.25">
      <c r="A828" s="463"/>
    </row>
    <row r="829" spans="1:1" s="1129" customFormat="1" x14ac:dyDescent="0.25">
      <c r="A829" s="463"/>
    </row>
    <row r="830" spans="1:1" s="1129" customFormat="1" x14ac:dyDescent="0.25">
      <c r="A830" s="463"/>
    </row>
    <row r="831" spans="1:1" s="1129" customFormat="1" x14ac:dyDescent="0.25">
      <c r="A831" s="463"/>
    </row>
    <row r="832" spans="1:1" s="1129" customFormat="1" x14ac:dyDescent="0.25">
      <c r="A832" s="463"/>
    </row>
    <row r="833" spans="1:1" s="1129" customFormat="1" x14ac:dyDescent="0.25">
      <c r="A833" s="463"/>
    </row>
    <row r="834" spans="1:1" s="1129" customFormat="1" x14ac:dyDescent="0.25">
      <c r="A834" s="463"/>
    </row>
    <row r="835" spans="1:1" s="1129" customFormat="1" x14ac:dyDescent="0.25">
      <c r="A835" s="463"/>
    </row>
    <row r="836" spans="1:1" s="1129" customFormat="1" x14ac:dyDescent="0.25">
      <c r="A836" s="463"/>
    </row>
    <row r="837" spans="1:1" s="1129" customFormat="1" x14ac:dyDescent="0.25">
      <c r="A837" s="463"/>
    </row>
    <row r="838" spans="1:1" s="1129" customFormat="1" x14ac:dyDescent="0.25">
      <c r="A838" s="463"/>
    </row>
    <row r="839" spans="1:1" s="1129" customFormat="1" x14ac:dyDescent="0.25">
      <c r="A839" s="463"/>
    </row>
    <row r="840" spans="1:1" s="1129" customFormat="1" x14ac:dyDescent="0.25">
      <c r="A840" s="463"/>
    </row>
    <row r="841" spans="1:1" s="1129" customFormat="1" x14ac:dyDescent="0.25">
      <c r="A841" s="463"/>
    </row>
    <row r="842" spans="1:1" s="1129" customFormat="1" x14ac:dyDescent="0.25">
      <c r="A842" s="463"/>
    </row>
    <row r="843" spans="1:1" s="1129" customFormat="1" x14ac:dyDescent="0.25">
      <c r="A843" s="463"/>
    </row>
    <row r="844" spans="1:1" s="1129" customFormat="1" x14ac:dyDescent="0.25">
      <c r="A844" s="463"/>
    </row>
    <row r="845" spans="1:1" s="1129" customFormat="1" x14ac:dyDescent="0.25">
      <c r="A845" s="463"/>
    </row>
    <row r="846" spans="1:1" s="1129" customFormat="1" x14ac:dyDescent="0.25">
      <c r="A846" s="463"/>
    </row>
    <row r="847" spans="1:1" s="1129" customFormat="1" x14ac:dyDescent="0.25">
      <c r="A847" s="463"/>
    </row>
    <row r="848" spans="1:1" s="1129" customFormat="1" x14ac:dyDescent="0.25">
      <c r="A848" s="463"/>
    </row>
    <row r="849" spans="1:1" s="1129" customFormat="1" x14ac:dyDescent="0.25">
      <c r="A849" s="463"/>
    </row>
    <row r="850" spans="1:1" s="1129" customFormat="1" x14ac:dyDescent="0.25">
      <c r="A850" s="463"/>
    </row>
    <row r="851" spans="1:1" s="1129" customFormat="1" x14ac:dyDescent="0.25">
      <c r="A851" s="463"/>
    </row>
    <row r="852" spans="1:1" s="1129" customFormat="1" x14ac:dyDescent="0.25">
      <c r="A852" s="463"/>
    </row>
    <row r="853" spans="1:1" s="1129" customFormat="1" x14ac:dyDescent="0.25">
      <c r="A853" s="463"/>
    </row>
    <row r="854" spans="1:1" s="1129" customFormat="1" x14ac:dyDescent="0.25">
      <c r="A854" s="463"/>
    </row>
    <row r="855" spans="1:1" s="1129" customFormat="1" x14ac:dyDescent="0.25">
      <c r="A855" s="463"/>
    </row>
    <row r="856" spans="1:1" s="1129" customFormat="1" x14ac:dyDescent="0.25">
      <c r="A856" s="463"/>
    </row>
    <row r="857" spans="1:1" s="1129" customFormat="1" x14ac:dyDescent="0.25">
      <c r="A857" s="463"/>
    </row>
    <row r="858" spans="1:1" s="1129" customFormat="1" x14ac:dyDescent="0.25">
      <c r="A858" s="463"/>
    </row>
    <row r="859" spans="1:1" s="1129" customFormat="1" x14ac:dyDescent="0.25">
      <c r="A859" s="463"/>
    </row>
    <row r="860" spans="1:1" s="1129" customFormat="1" x14ac:dyDescent="0.25">
      <c r="A860" s="463"/>
    </row>
    <row r="861" spans="1:1" s="1129" customFormat="1" x14ac:dyDescent="0.25">
      <c r="A861" s="463"/>
    </row>
    <row r="862" spans="1:1" s="1129" customFormat="1" x14ac:dyDescent="0.25">
      <c r="A862" s="463"/>
    </row>
    <row r="863" spans="1:1" s="1129" customFormat="1" x14ac:dyDescent="0.25">
      <c r="A863" s="463"/>
    </row>
    <row r="864" spans="1:1" s="1129" customFormat="1" x14ac:dyDescent="0.25">
      <c r="A864" s="463"/>
    </row>
    <row r="865" spans="1:1" s="1129" customFormat="1" x14ac:dyDescent="0.25">
      <c r="A865" s="463"/>
    </row>
    <row r="866" spans="1:1" s="1129" customFormat="1" x14ac:dyDescent="0.25">
      <c r="A866" s="463"/>
    </row>
    <row r="867" spans="1:1" s="1129" customFormat="1" x14ac:dyDescent="0.25">
      <c r="A867" s="463"/>
    </row>
    <row r="868" spans="1:1" s="1129" customFormat="1" x14ac:dyDescent="0.25">
      <c r="A868" s="463"/>
    </row>
    <row r="869" spans="1:1" s="1129" customFormat="1" x14ac:dyDescent="0.25">
      <c r="A869" s="463"/>
    </row>
    <row r="870" spans="1:1" s="1129" customFormat="1" x14ac:dyDescent="0.25">
      <c r="A870" s="463"/>
    </row>
    <row r="871" spans="1:1" s="1129" customFormat="1" x14ac:dyDescent="0.25">
      <c r="A871" s="463"/>
    </row>
    <row r="872" spans="1:1" s="1129" customFormat="1" x14ac:dyDescent="0.25">
      <c r="A872" s="463"/>
    </row>
    <row r="873" spans="1:1" s="1129" customFormat="1" x14ac:dyDescent="0.25">
      <c r="A873" s="463"/>
    </row>
    <row r="874" spans="1:1" s="1129" customFormat="1" x14ac:dyDescent="0.25">
      <c r="A874" s="463"/>
    </row>
    <row r="875" spans="1:1" s="1129" customFormat="1" x14ac:dyDescent="0.25">
      <c r="A875" s="463"/>
    </row>
    <row r="876" spans="1:1" s="1129" customFormat="1" x14ac:dyDescent="0.25">
      <c r="A876" s="463"/>
    </row>
    <row r="877" spans="1:1" s="1129" customFormat="1" x14ac:dyDescent="0.25">
      <c r="A877" s="463"/>
    </row>
    <row r="878" spans="1:1" s="1129" customFormat="1" x14ac:dyDescent="0.25">
      <c r="A878" s="463"/>
    </row>
    <row r="879" spans="1:1" s="1129" customFormat="1" x14ac:dyDescent="0.25">
      <c r="A879" s="463"/>
    </row>
    <row r="880" spans="1:1" s="1129" customFormat="1" x14ac:dyDescent="0.25">
      <c r="A880" s="463"/>
    </row>
    <row r="881" spans="1:1" s="1129" customFormat="1" x14ac:dyDescent="0.25">
      <c r="A881" s="463"/>
    </row>
    <row r="882" spans="1:1" s="1129" customFormat="1" x14ac:dyDescent="0.25">
      <c r="A882" s="463"/>
    </row>
    <row r="883" spans="1:1" s="1129" customFormat="1" x14ac:dyDescent="0.25">
      <c r="A883" s="463"/>
    </row>
    <row r="884" spans="1:1" s="1129" customFormat="1" x14ac:dyDescent="0.25">
      <c r="A884" s="463"/>
    </row>
    <row r="885" spans="1:1" s="1129" customFormat="1" x14ac:dyDescent="0.25">
      <c r="A885" s="463"/>
    </row>
    <row r="886" spans="1:1" s="1129" customFormat="1" x14ac:dyDescent="0.25">
      <c r="A886" s="463"/>
    </row>
    <row r="887" spans="1:1" s="1129" customFormat="1" x14ac:dyDescent="0.25">
      <c r="A887" s="463"/>
    </row>
    <row r="888" spans="1:1" s="1129" customFormat="1" x14ac:dyDescent="0.25">
      <c r="A888" s="463"/>
    </row>
    <row r="889" spans="1:1" s="1129" customFormat="1" x14ac:dyDescent="0.25">
      <c r="A889" s="463"/>
    </row>
    <row r="890" spans="1:1" s="1129" customFormat="1" x14ac:dyDescent="0.25">
      <c r="A890" s="463"/>
    </row>
    <row r="891" spans="1:1" s="1129" customFormat="1" x14ac:dyDescent="0.25">
      <c r="A891" s="463"/>
    </row>
    <row r="892" spans="1:1" s="1129" customFormat="1" x14ac:dyDescent="0.25">
      <c r="A892" s="463"/>
    </row>
    <row r="893" spans="1:1" s="1129" customFormat="1" x14ac:dyDescent="0.25">
      <c r="A893" s="463"/>
    </row>
    <row r="894" spans="1:1" s="1129" customFormat="1" x14ac:dyDescent="0.25">
      <c r="A894" s="463"/>
    </row>
    <row r="895" spans="1:1" s="1129" customFormat="1" x14ac:dyDescent="0.25">
      <c r="A895" s="463"/>
    </row>
    <row r="896" spans="1:1" s="1129" customFormat="1" x14ac:dyDescent="0.25">
      <c r="A896" s="463"/>
    </row>
    <row r="897" spans="1:1" s="1129" customFormat="1" x14ac:dyDescent="0.25">
      <c r="A897" s="463"/>
    </row>
    <row r="898" spans="1:1" s="1129" customFormat="1" x14ac:dyDescent="0.25">
      <c r="A898" s="463"/>
    </row>
    <row r="899" spans="1:1" s="1129" customFormat="1" x14ac:dyDescent="0.25">
      <c r="A899" s="463"/>
    </row>
    <row r="900" spans="1:1" s="1129" customFormat="1" x14ac:dyDescent="0.25">
      <c r="A900" s="463"/>
    </row>
    <row r="901" spans="1:1" s="1129" customFormat="1" x14ac:dyDescent="0.25">
      <c r="A901" s="463"/>
    </row>
    <row r="902" spans="1:1" s="1129" customFormat="1" x14ac:dyDescent="0.25">
      <c r="A902" s="463"/>
    </row>
    <row r="903" spans="1:1" s="1129" customFormat="1" x14ac:dyDescent="0.25">
      <c r="A903" s="463"/>
    </row>
    <row r="904" spans="1:1" s="1129" customFormat="1" x14ac:dyDescent="0.25">
      <c r="A904" s="463"/>
    </row>
    <row r="905" spans="1:1" s="1129" customFormat="1" x14ac:dyDescent="0.25">
      <c r="A905" s="463"/>
    </row>
    <row r="906" spans="1:1" s="1129" customFormat="1" x14ac:dyDescent="0.25">
      <c r="A906" s="463"/>
    </row>
    <row r="907" spans="1:1" s="1129" customFormat="1" x14ac:dyDescent="0.25">
      <c r="A907" s="463"/>
    </row>
    <row r="908" spans="1:1" s="1129" customFormat="1" x14ac:dyDescent="0.25">
      <c r="A908" s="463"/>
    </row>
    <row r="909" spans="1:1" s="1129" customFormat="1" x14ac:dyDescent="0.25">
      <c r="A909" s="463"/>
    </row>
    <row r="910" spans="1:1" s="1129" customFormat="1" x14ac:dyDescent="0.25">
      <c r="A910" s="463"/>
    </row>
    <row r="911" spans="1:1" s="1129" customFormat="1" x14ac:dyDescent="0.25">
      <c r="A911" s="463"/>
    </row>
    <row r="912" spans="1:1" s="1129" customFormat="1" x14ac:dyDescent="0.25">
      <c r="A912" s="463"/>
    </row>
    <row r="913" spans="1:1" s="1129" customFormat="1" x14ac:dyDescent="0.25">
      <c r="A913" s="463"/>
    </row>
    <row r="914" spans="1:1" s="1129" customFormat="1" x14ac:dyDescent="0.25">
      <c r="A914" s="463"/>
    </row>
    <row r="915" spans="1:1" s="1129" customFormat="1" x14ac:dyDescent="0.25">
      <c r="A915" s="463"/>
    </row>
    <row r="916" spans="1:1" s="1129" customFormat="1" x14ac:dyDescent="0.25">
      <c r="A916" s="463"/>
    </row>
    <row r="917" spans="1:1" s="1129" customFormat="1" x14ac:dyDescent="0.25">
      <c r="A917" s="463"/>
    </row>
    <row r="918" spans="1:1" s="1129" customFormat="1" x14ac:dyDescent="0.25">
      <c r="A918" s="463"/>
    </row>
    <row r="919" spans="1:1" s="1129" customFormat="1" x14ac:dyDescent="0.25">
      <c r="A919" s="463"/>
    </row>
    <row r="920" spans="1:1" s="1129" customFormat="1" x14ac:dyDescent="0.25">
      <c r="A920" s="463"/>
    </row>
    <row r="921" spans="1:1" s="1129" customFormat="1" x14ac:dyDescent="0.25">
      <c r="A921" s="463"/>
    </row>
    <row r="922" spans="1:1" s="1129" customFormat="1" x14ac:dyDescent="0.25">
      <c r="A922" s="463"/>
    </row>
    <row r="923" spans="1:1" s="1129" customFormat="1" x14ac:dyDescent="0.25">
      <c r="A923" s="463"/>
    </row>
    <row r="924" spans="1:1" s="1129" customFormat="1" x14ac:dyDescent="0.25">
      <c r="A924" s="463"/>
    </row>
    <row r="925" spans="1:1" s="1129" customFormat="1" x14ac:dyDescent="0.25">
      <c r="A925" s="463"/>
    </row>
    <row r="926" spans="1:1" s="1129" customFormat="1" x14ac:dyDescent="0.25">
      <c r="A926" s="463"/>
    </row>
    <row r="927" spans="1:1" s="1129" customFormat="1" x14ac:dyDescent="0.25">
      <c r="A927" s="463"/>
    </row>
    <row r="928" spans="1:1" s="1129" customFormat="1" x14ac:dyDescent="0.25">
      <c r="A928" s="463"/>
    </row>
    <row r="929" spans="1:1" s="1129" customFormat="1" x14ac:dyDescent="0.25">
      <c r="A929" s="463"/>
    </row>
    <row r="930" spans="1:1" s="1129" customFormat="1" x14ac:dyDescent="0.25">
      <c r="A930" s="463"/>
    </row>
    <row r="931" spans="1:1" s="1129" customFormat="1" x14ac:dyDescent="0.25">
      <c r="A931" s="463"/>
    </row>
    <row r="932" spans="1:1" s="1129" customFormat="1" x14ac:dyDescent="0.25">
      <c r="A932" s="463"/>
    </row>
    <row r="933" spans="1:1" s="1129" customFormat="1" x14ac:dyDescent="0.25">
      <c r="A933" s="463"/>
    </row>
    <row r="934" spans="1:1" s="1129" customFormat="1" x14ac:dyDescent="0.25">
      <c r="A934" s="463"/>
    </row>
    <row r="935" spans="1:1" s="1129" customFormat="1" x14ac:dyDescent="0.25">
      <c r="A935" s="463"/>
    </row>
    <row r="936" spans="1:1" s="1129" customFormat="1" x14ac:dyDescent="0.25">
      <c r="A936" s="463"/>
    </row>
    <row r="937" spans="1:1" s="1129" customFormat="1" x14ac:dyDescent="0.25">
      <c r="A937" s="463"/>
    </row>
    <row r="938" spans="1:1" s="1129" customFormat="1" x14ac:dyDescent="0.25">
      <c r="A938" s="463"/>
    </row>
    <row r="939" spans="1:1" s="1129" customFormat="1" x14ac:dyDescent="0.25">
      <c r="A939" s="463"/>
    </row>
    <row r="940" spans="1:1" s="1129" customFormat="1" x14ac:dyDescent="0.25">
      <c r="A940" s="463"/>
    </row>
    <row r="941" spans="1:1" s="1129" customFormat="1" x14ac:dyDescent="0.25">
      <c r="A941" s="463"/>
    </row>
    <row r="942" spans="1:1" s="1129" customFormat="1" x14ac:dyDescent="0.25">
      <c r="A942" s="463"/>
    </row>
    <row r="943" spans="1:1" s="1129" customFormat="1" x14ac:dyDescent="0.25">
      <c r="A943" s="463"/>
    </row>
    <row r="944" spans="1:1" s="1129" customFormat="1" x14ac:dyDescent="0.25">
      <c r="A944" s="463"/>
    </row>
    <row r="945" spans="1:1" s="1129" customFormat="1" x14ac:dyDescent="0.25">
      <c r="A945" s="463"/>
    </row>
    <row r="946" spans="1:1" s="1129" customFormat="1" x14ac:dyDescent="0.25">
      <c r="A946" s="463"/>
    </row>
    <row r="947" spans="1:1" s="1129" customFormat="1" x14ac:dyDescent="0.25">
      <c r="A947" s="463"/>
    </row>
    <row r="948" spans="1:1" s="1129" customFormat="1" x14ac:dyDescent="0.25">
      <c r="A948" s="463"/>
    </row>
    <row r="949" spans="1:1" s="1129" customFormat="1" x14ac:dyDescent="0.25">
      <c r="A949" s="463"/>
    </row>
    <row r="950" spans="1:1" s="1129" customFormat="1" x14ac:dyDescent="0.25">
      <c r="A950" s="463"/>
    </row>
    <row r="951" spans="1:1" s="1129" customFormat="1" x14ac:dyDescent="0.25">
      <c r="A951" s="463"/>
    </row>
    <row r="952" spans="1:1" s="1129" customFormat="1" x14ac:dyDescent="0.25">
      <c r="A952" s="463"/>
    </row>
    <row r="953" spans="1:1" s="1129" customFormat="1" x14ac:dyDescent="0.25">
      <c r="A953" s="463"/>
    </row>
    <row r="954" spans="1:1" s="1129" customFormat="1" x14ac:dyDescent="0.25">
      <c r="A954" s="463"/>
    </row>
    <row r="955" spans="1:1" s="1129" customFormat="1" x14ac:dyDescent="0.25">
      <c r="A955" s="463"/>
    </row>
    <row r="956" spans="1:1" s="1129" customFormat="1" x14ac:dyDescent="0.25">
      <c r="A956" s="463"/>
    </row>
    <row r="957" spans="1:1" s="1129" customFormat="1" x14ac:dyDescent="0.25">
      <c r="A957" s="463"/>
    </row>
    <row r="958" spans="1:1" s="1129" customFormat="1" x14ac:dyDescent="0.25">
      <c r="A958" s="463"/>
    </row>
    <row r="959" spans="1:1" s="1129" customFormat="1" x14ac:dyDescent="0.25">
      <c r="A959" s="463"/>
    </row>
    <row r="960" spans="1:1" s="1129" customFormat="1" x14ac:dyDescent="0.25">
      <c r="A960" s="463"/>
    </row>
    <row r="961" spans="1:1" s="1129" customFormat="1" x14ac:dyDescent="0.25">
      <c r="A961" s="463"/>
    </row>
    <row r="962" spans="1:1" s="1129" customFormat="1" x14ac:dyDescent="0.25">
      <c r="A962" s="463"/>
    </row>
    <row r="963" spans="1:1" s="1129" customFormat="1" x14ac:dyDescent="0.25">
      <c r="A963" s="463"/>
    </row>
    <row r="964" spans="1:1" s="1129" customFormat="1" x14ac:dyDescent="0.25">
      <c r="A964" s="463"/>
    </row>
    <row r="965" spans="1:1" s="1129" customFormat="1" x14ac:dyDescent="0.25">
      <c r="A965" s="463"/>
    </row>
    <row r="966" spans="1:1" s="1129" customFormat="1" x14ac:dyDescent="0.25">
      <c r="A966" s="463"/>
    </row>
    <row r="967" spans="1:1" s="1129" customFormat="1" x14ac:dyDescent="0.25">
      <c r="A967" s="463"/>
    </row>
    <row r="968" spans="1:1" s="1129" customFormat="1" x14ac:dyDescent="0.25">
      <c r="A968" s="463"/>
    </row>
    <row r="969" spans="1:1" s="1129" customFormat="1" x14ac:dyDescent="0.25">
      <c r="A969" s="463"/>
    </row>
    <row r="970" spans="1:1" s="1129" customFormat="1" x14ac:dyDescent="0.25">
      <c r="A970" s="463"/>
    </row>
    <row r="971" spans="1:1" s="1129" customFormat="1" x14ac:dyDescent="0.25">
      <c r="A971" s="463"/>
    </row>
    <row r="972" spans="1:1" s="1129" customFormat="1" x14ac:dyDescent="0.25">
      <c r="A972" s="463"/>
    </row>
    <row r="973" spans="1:1" s="1129" customFormat="1" x14ac:dyDescent="0.25">
      <c r="A973" s="463"/>
    </row>
    <row r="974" spans="1:1" s="1129" customFormat="1" x14ac:dyDescent="0.25">
      <c r="A974" s="463"/>
    </row>
    <row r="975" spans="1:1" s="1129" customFormat="1" x14ac:dyDescent="0.25">
      <c r="A975" s="463"/>
    </row>
    <row r="976" spans="1:1" s="1129" customFormat="1" x14ac:dyDescent="0.25">
      <c r="A976" s="463"/>
    </row>
    <row r="977" spans="1:1" s="1129" customFormat="1" x14ac:dyDescent="0.25">
      <c r="A977" s="463"/>
    </row>
    <row r="978" spans="1:1" s="1129" customFormat="1" x14ac:dyDescent="0.25">
      <c r="A978" s="463"/>
    </row>
    <row r="979" spans="1:1" s="1129" customFormat="1" x14ac:dyDescent="0.25">
      <c r="A979" s="463"/>
    </row>
    <row r="980" spans="1:1" s="1129" customFormat="1" x14ac:dyDescent="0.25">
      <c r="A980" s="463"/>
    </row>
    <row r="981" spans="1:1" s="1129" customFormat="1" x14ac:dyDescent="0.25">
      <c r="A981" s="463"/>
    </row>
    <row r="982" spans="1:1" s="1129" customFormat="1" x14ac:dyDescent="0.25">
      <c r="A982" s="463"/>
    </row>
    <row r="983" spans="1:1" s="1129" customFormat="1" x14ac:dyDescent="0.25">
      <c r="A983" s="463"/>
    </row>
    <row r="984" spans="1:1" s="1129" customFormat="1" x14ac:dyDescent="0.25">
      <c r="A984" s="463"/>
    </row>
    <row r="985" spans="1:1" s="1129" customFormat="1" x14ac:dyDescent="0.25">
      <c r="A985" s="463"/>
    </row>
    <row r="986" spans="1:1" s="1129" customFormat="1" x14ac:dyDescent="0.25">
      <c r="A986" s="463"/>
    </row>
    <row r="987" spans="1:1" s="1129" customFormat="1" x14ac:dyDescent="0.25">
      <c r="A987" s="463"/>
    </row>
    <row r="988" spans="1:1" s="1129" customFormat="1" x14ac:dyDescent="0.25">
      <c r="A988" s="463"/>
    </row>
    <row r="989" spans="1:1" s="1129" customFormat="1" x14ac:dyDescent="0.25">
      <c r="A989" s="463"/>
    </row>
    <row r="990" spans="1:1" s="1129" customFormat="1" x14ac:dyDescent="0.25">
      <c r="A990" s="463"/>
    </row>
    <row r="991" spans="1:1" s="1129" customFormat="1" x14ac:dyDescent="0.25">
      <c r="A991" s="463"/>
    </row>
    <row r="992" spans="1:1" s="1129" customFormat="1" x14ac:dyDescent="0.25">
      <c r="A992" s="463"/>
    </row>
    <row r="993" spans="1:1" s="1129" customFormat="1" x14ac:dyDescent="0.25">
      <c r="A993" s="463"/>
    </row>
    <row r="994" spans="1:1" s="1129" customFormat="1" x14ac:dyDescent="0.25">
      <c r="A994" s="463"/>
    </row>
    <row r="995" spans="1:1" s="1129" customFormat="1" x14ac:dyDescent="0.25">
      <c r="A995" s="463"/>
    </row>
    <row r="996" spans="1:1" s="1129" customFormat="1" x14ac:dyDescent="0.25">
      <c r="A996" s="463"/>
    </row>
    <row r="997" spans="1:1" s="1129" customFormat="1" x14ac:dyDescent="0.25">
      <c r="A997" s="463"/>
    </row>
    <row r="998" spans="1:1" s="1129" customFormat="1" x14ac:dyDescent="0.25">
      <c r="A998" s="463"/>
    </row>
    <row r="999" spans="1:1" s="1129" customFormat="1" x14ac:dyDescent="0.25">
      <c r="A999" s="463"/>
    </row>
    <row r="1000" spans="1:1" s="1129" customFormat="1" x14ac:dyDescent="0.25">
      <c r="A1000" s="463"/>
    </row>
    <row r="1001" spans="1:1" s="1129" customFormat="1" x14ac:dyDescent="0.25">
      <c r="A1001" s="463"/>
    </row>
    <row r="1002" spans="1:1" s="1129" customFormat="1" x14ac:dyDescent="0.25">
      <c r="A1002" s="463"/>
    </row>
    <row r="1003" spans="1:1" s="1129" customFormat="1" x14ac:dyDescent="0.25">
      <c r="A1003" s="463"/>
    </row>
    <row r="1004" spans="1:1" s="1129" customFormat="1" x14ac:dyDescent="0.25">
      <c r="A1004" s="463"/>
    </row>
    <row r="1005" spans="1:1" s="1129" customFormat="1" x14ac:dyDescent="0.25">
      <c r="A1005" s="463"/>
    </row>
    <row r="1006" spans="1:1" s="1129" customFormat="1" x14ac:dyDescent="0.25">
      <c r="A1006" s="463"/>
    </row>
    <row r="1007" spans="1:1" s="1129" customFormat="1" x14ac:dyDescent="0.25">
      <c r="A1007" s="463"/>
    </row>
    <row r="1008" spans="1:1" s="1129" customFormat="1" x14ac:dyDescent="0.25">
      <c r="A1008" s="463"/>
    </row>
    <row r="1009" spans="1:1" s="1129" customFormat="1" x14ac:dyDescent="0.25">
      <c r="A1009" s="463"/>
    </row>
    <row r="1010" spans="1:1" s="1129" customFormat="1" x14ac:dyDescent="0.25">
      <c r="A1010" s="463"/>
    </row>
    <row r="1011" spans="1:1" s="1129" customFormat="1" x14ac:dyDescent="0.25">
      <c r="A1011" s="463"/>
    </row>
    <row r="1012" spans="1:1" s="1129" customFormat="1" x14ac:dyDescent="0.25">
      <c r="A1012" s="463"/>
    </row>
    <row r="1013" spans="1:1" s="1129" customFormat="1" x14ac:dyDescent="0.25">
      <c r="A1013" s="463"/>
    </row>
    <row r="1014" spans="1:1" s="1129" customFormat="1" x14ac:dyDescent="0.25">
      <c r="A1014" s="463"/>
    </row>
    <row r="1015" spans="1:1" s="1129" customFormat="1" x14ac:dyDescent="0.25">
      <c r="A1015" s="463"/>
    </row>
    <row r="1016" spans="1:1" s="1129" customFormat="1" x14ac:dyDescent="0.25">
      <c r="A1016" s="463"/>
    </row>
    <row r="1017" spans="1:1" s="1129" customFormat="1" x14ac:dyDescent="0.25">
      <c r="A1017" s="463"/>
    </row>
    <row r="1018" spans="1:1" s="1129" customFormat="1" x14ac:dyDescent="0.25">
      <c r="A1018" s="463"/>
    </row>
    <row r="1019" spans="1:1" s="1129" customFormat="1" x14ac:dyDescent="0.25">
      <c r="A1019" s="463"/>
    </row>
    <row r="1020" spans="1:1" s="1129" customFormat="1" x14ac:dyDescent="0.25">
      <c r="A1020" s="463"/>
    </row>
    <row r="1021" spans="1:1" s="1129" customFormat="1" x14ac:dyDescent="0.25">
      <c r="A1021" s="463"/>
    </row>
    <row r="1022" spans="1:1" s="1129" customFormat="1" x14ac:dyDescent="0.25">
      <c r="A1022" s="463"/>
    </row>
    <row r="1023" spans="1:1" s="1129" customFormat="1" x14ac:dyDescent="0.25">
      <c r="A1023" s="463"/>
    </row>
    <row r="1024" spans="1:1" s="1129" customFormat="1" x14ac:dyDescent="0.25">
      <c r="A1024" s="463"/>
    </row>
    <row r="1025" spans="1:1" s="1129" customFormat="1" x14ac:dyDescent="0.25">
      <c r="A1025" s="463"/>
    </row>
    <row r="1026" spans="1:1" s="1129" customFormat="1" x14ac:dyDescent="0.25">
      <c r="A1026" s="463"/>
    </row>
    <row r="1027" spans="1:1" s="1129" customFormat="1" x14ac:dyDescent="0.25">
      <c r="A1027" s="463"/>
    </row>
    <row r="1028" spans="1:1" s="1129" customFormat="1" x14ac:dyDescent="0.25">
      <c r="A1028" s="463"/>
    </row>
    <row r="1029" spans="1:1" s="1129" customFormat="1" x14ac:dyDescent="0.25">
      <c r="A1029" s="463"/>
    </row>
    <row r="1030" spans="1:1" s="1129" customFormat="1" x14ac:dyDescent="0.25">
      <c r="A1030" s="463"/>
    </row>
    <row r="1031" spans="1:1" s="1129" customFormat="1" x14ac:dyDescent="0.25">
      <c r="A1031" s="463"/>
    </row>
    <row r="1032" spans="1:1" s="1129" customFormat="1" x14ac:dyDescent="0.25">
      <c r="A1032" s="463"/>
    </row>
    <row r="1033" spans="1:1" s="1129" customFormat="1" x14ac:dyDescent="0.25">
      <c r="A1033" s="463"/>
    </row>
    <row r="1034" spans="1:1" s="1129" customFormat="1" x14ac:dyDescent="0.25">
      <c r="A1034" s="463"/>
    </row>
    <row r="1035" spans="1:1" s="1129" customFormat="1" x14ac:dyDescent="0.25">
      <c r="A1035" s="463"/>
    </row>
    <row r="1036" spans="1:1" s="1129" customFormat="1" x14ac:dyDescent="0.25">
      <c r="A1036" s="463"/>
    </row>
    <row r="1037" spans="1:1" s="1129" customFormat="1" x14ac:dyDescent="0.25">
      <c r="A1037" s="463"/>
    </row>
    <row r="1038" spans="1:1" s="1129" customFormat="1" x14ac:dyDescent="0.25">
      <c r="A1038" s="463"/>
    </row>
    <row r="1039" spans="1:1" s="1129" customFormat="1" x14ac:dyDescent="0.25">
      <c r="A1039" s="463"/>
    </row>
    <row r="1040" spans="1:1" s="1129" customFormat="1" x14ac:dyDescent="0.25">
      <c r="A1040" s="463"/>
    </row>
    <row r="1041" spans="1:1" s="1129" customFormat="1" x14ac:dyDescent="0.25">
      <c r="A1041" s="463"/>
    </row>
    <row r="1042" spans="1:1" s="1129" customFormat="1" x14ac:dyDescent="0.25">
      <c r="A1042" s="463"/>
    </row>
    <row r="1043" spans="1:1" s="1129" customFormat="1" x14ac:dyDescent="0.25">
      <c r="A1043" s="463"/>
    </row>
    <row r="1044" spans="1:1" s="1129" customFormat="1" x14ac:dyDescent="0.25">
      <c r="A1044" s="463"/>
    </row>
    <row r="1045" spans="1:1" s="1129" customFormat="1" x14ac:dyDescent="0.25">
      <c r="A1045" s="463"/>
    </row>
    <row r="1046" spans="1:1" s="1129" customFormat="1" x14ac:dyDescent="0.25">
      <c r="A1046" s="463"/>
    </row>
    <row r="1047" spans="1:1" s="1129" customFormat="1" x14ac:dyDescent="0.25">
      <c r="A1047" s="463"/>
    </row>
    <row r="1048" spans="1:1" s="1129" customFormat="1" x14ac:dyDescent="0.25">
      <c r="A1048" s="463"/>
    </row>
    <row r="1049" spans="1:1" s="1129" customFormat="1" x14ac:dyDescent="0.25">
      <c r="A1049" s="463"/>
    </row>
    <row r="1050" spans="1:1" s="1129" customFormat="1" x14ac:dyDescent="0.25">
      <c r="A1050" s="463"/>
    </row>
    <row r="1051" spans="1:1" s="1129" customFormat="1" x14ac:dyDescent="0.25">
      <c r="A1051" s="463"/>
    </row>
    <row r="1052" spans="1:1" s="1129" customFormat="1" x14ac:dyDescent="0.25">
      <c r="A1052" s="463"/>
    </row>
    <row r="1053" spans="1:1" s="1129" customFormat="1" x14ac:dyDescent="0.25">
      <c r="A1053" s="463"/>
    </row>
    <row r="1054" spans="1:1" s="1129" customFormat="1" x14ac:dyDescent="0.25">
      <c r="A1054" s="463"/>
    </row>
    <row r="1055" spans="1:1" s="1129" customFormat="1" x14ac:dyDescent="0.25">
      <c r="A1055" s="463"/>
    </row>
    <row r="1056" spans="1:1" s="1129" customFormat="1" x14ac:dyDescent="0.25">
      <c r="A1056" s="463"/>
    </row>
    <row r="1057" spans="1:1" s="1129" customFormat="1" x14ac:dyDescent="0.25">
      <c r="A1057" s="463"/>
    </row>
    <row r="1058" spans="1:1" s="1129" customFormat="1" x14ac:dyDescent="0.25">
      <c r="A1058" s="463"/>
    </row>
    <row r="1059" spans="1:1" s="1129" customFormat="1" x14ac:dyDescent="0.25">
      <c r="A1059" s="463"/>
    </row>
    <row r="1060" spans="1:1" s="1129" customFormat="1" x14ac:dyDescent="0.25">
      <c r="A1060" s="463"/>
    </row>
    <row r="1061" spans="1:1" s="1129" customFormat="1" x14ac:dyDescent="0.25">
      <c r="A1061" s="463"/>
    </row>
    <row r="1062" spans="1:1" s="1129" customFormat="1" x14ac:dyDescent="0.25">
      <c r="A1062" s="463"/>
    </row>
    <row r="1063" spans="1:1" s="1129" customFormat="1" x14ac:dyDescent="0.25">
      <c r="A1063" s="463"/>
    </row>
    <row r="1064" spans="1:1" s="1129" customFormat="1" x14ac:dyDescent="0.25">
      <c r="A1064" s="463"/>
    </row>
    <row r="1065" spans="1:1" s="1129" customFormat="1" x14ac:dyDescent="0.25">
      <c r="A1065" s="463"/>
    </row>
    <row r="1066" spans="1:1" s="1129" customFormat="1" x14ac:dyDescent="0.25">
      <c r="A1066" s="463"/>
    </row>
    <row r="1067" spans="1:1" s="1129" customFormat="1" x14ac:dyDescent="0.25">
      <c r="A1067" s="463"/>
    </row>
    <row r="1068" spans="1:1" s="1129" customFormat="1" x14ac:dyDescent="0.25">
      <c r="A1068" s="463"/>
    </row>
    <row r="1069" spans="1:1" s="1129" customFormat="1" x14ac:dyDescent="0.25">
      <c r="A1069" s="463"/>
    </row>
    <row r="1070" spans="1:1" s="1129" customFormat="1" x14ac:dyDescent="0.25">
      <c r="A1070" s="463"/>
    </row>
    <row r="1071" spans="1:1" s="1129" customFormat="1" x14ac:dyDescent="0.25">
      <c r="A1071" s="463"/>
    </row>
    <row r="1072" spans="1:1" s="1129" customFormat="1" x14ac:dyDescent="0.25">
      <c r="A1072" s="463"/>
    </row>
    <row r="1073" spans="1:1" s="1129" customFormat="1" x14ac:dyDescent="0.25">
      <c r="A1073" s="463"/>
    </row>
    <row r="1074" spans="1:1" s="1129" customFormat="1" x14ac:dyDescent="0.25">
      <c r="A1074" s="463"/>
    </row>
    <row r="1075" spans="1:1" s="1129" customFormat="1" x14ac:dyDescent="0.25">
      <c r="A1075" s="463"/>
    </row>
    <row r="1076" spans="1:1" s="1129" customFormat="1" x14ac:dyDescent="0.25">
      <c r="A1076" s="463"/>
    </row>
    <row r="1077" spans="1:1" s="1129" customFormat="1" x14ac:dyDescent="0.25">
      <c r="A1077" s="463"/>
    </row>
    <row r="1078" spans="1:1" s="1129" customFormat="1" x14ac:dyDescent="0.25">
      <c r="A1078" s="463"/>
    </row>
    <row r="1079" spans="1:1" s="1129" customFormat="1" x14ac:dyDescent="0.25">
      <c r="A1079" s="463"/>
    </row>
    <row r="1080" spans="1:1" s="1129" customFormat="1" x14ac:dyDescent="0.25">
      <c r="A1080" s="463"/>
    </row>
    <row r="1081" spans="1:1" s="1129" customFormat="1" x14ac:dyDescent="0.25">
      <c r="A1081" s="463"/>
    </row>
    <row r="1082" spans="1:1" s="1129" customFormat="1" x14ac:dyDescent="0.25">
      <c r="A1082" s="463"/>
    </row>
    <row r="1083" spans="1:1" s="1129" customFormat="1" x14ac:dyDescent="0.25">
      <c r="A1083" s="463"/>
    </row>
    <row r="1084" spans="1:1" s="1129" customFormat="1" x14ac:dyDescent="0.25">
      <c r="A1084" s="463"/>
    </row>
    <row r="1085" spans="1:1" s="1129" customFormat="1" x14ac:dyDescent="0.25">
      <c r="A1085" s="463"/>
    </row>
    <row r="1086" spans="1:1" s="1129" customFormat="1" x14ac:dyDescent="0.25">
      <c r="A1086" s="463"/>
    </row>
    <row r="1087" spans="1:1" s="1129" customFormat="1" x14ac:dyDescent="0.25">
      <c r="A1087" s="463"/>
    </row>
    <row r="1088" spans="1:1" s="1129" customFormat="1" x14ac:dyDescent="0.25">
      <c r="A1088" s="463"/>
    </row>
    <row r="1089" spans="1:1" s="1129" customFormat="1" x14ac:dyDescent="0.25">
      <c r="A1089" s="463"/>
    </row>
    <row r="1090" spans="1:1" s="1129" customFormat="1" x14ac:dyDescent="0.25">
      <c r="A1090" s="463"/>
    </row>
    <row r="1091" spans="1:1" s="1129" customFormat="1" x14ac:dyDescent="0.25">
      <c r="A1091" s="463"/>
    </row>
    <row r="1092" spans="1:1" s="1129" customFormat="1" x14ac:dyDescent="0.25">
      <c r="A1092" s="463"/>
    </row>
    <row r="1093" spans="1:1" s="1129" customFormat="1" x14ac:dyDescent="0.25">
      <c r="A1093" s="463"/>
    </row>
    <row r="1094" spans="1:1" s="1129" customFormat="1" x14ac:dyDescent="0.25">
      <c r="A1094" s="463"/>
    </row>
    <row r="1095" spans="1:1" s="1129" customFormat="1" x14ac:dyDescent="0.25">
      <c r="A1095" s="463"/>
    </row>
    <row r="1096" spans="1:1" s="1129" customFormat="1" x14ac:dyDescent="0.25">
      <c r="A1096" s="463"/>
    </row>
    <row r="1097" spans="1:1" s="1129" customFormat="1" x14ac:dyDescent="0.25">
      <c r="A1097" s="463"/>
    </row>
    <row r="1098" spans="1:1" s="1129" customFormat="1" x14ac:dyDescent="0.25">
      <c r="A1098" s="463"/>
    </row>
    <row r="1099" spans="1:1" s="1129" customFormat="1" x14ac:dyDescent="0.25">
      <c r="A1099" s="463"/>
    </row>
    <row r="1100" spans="1:1" s="1129" customFormat="1" x14ac:dyDescent="0.25">
      <c r="A1100" s="463"/>
    </row>
    <row r="1101" spans="1:1" s="1129" customFormat="1" x14ac:dyDescent="0.25">
      <c r="A1101" s="463"/>
    </row>
    <row r="1102" spans="1:1" s="1129" customFormat="1" x14ac:dyDescent="0.25">
      <c r="A1102" s="463"/>
    </row>
    <row r="1103" spans="1:1" s="1129" customFormat="1" x14ac:dyDescent="0.25">
      <c r="A1103" s="463"/>
    </row>
    <row r="1104" spans="1:1" s="1129" customFormat="1" x14ac:dyDescent="0.25">
      <c r="A1104" s="463"/>
    </row>
    <row r="1105" spans="1:1" s="1129" customFormat="1" x14ac:dyDescent="0.25">
      <c r="A1105" s="463"/>
    </row>
    <row r="1106" spans="1:1" s="1129" customFormat="1" x14ac:dyDescent="0.25">
      <c r="A1106" s="463"/>
    </row>
    <row r="1107" spans="1:1" s="1129" customFormat="1" x14ac:dyDescent="0.25">
      <c r="A1107" s="463"/>
    </row>
    <row r="1108" spans="1:1" s="1129" customFormat="1" x14ac:dyDescent="0.25">
      <c r="A1108" s="463"/>
    </row>
    <row r="1109" spans="1:1" s="1129" customFormat="1" x14ac:dyDescent="0.25">
      <c r="A1109" s="463"/>
    </row>
    <row r="1110" spans="1:1" s="1129" customFormat="1" x14ac:dyDescent="0.25">
      <c r="A1110" s="463"/>
    </row>
    <row r="1111" spans="1:1" s="1129" customFormat="1" x14ac:dyDescent="0.25">
      <c r="A1111" s="463"/>
    </row>
    <row r="1112" spans="1:1" s="1129" customFormat="1" x14ac:dyDescent="0.25">
      <c r="A1112" s="463"/>
    </row>
    <row r="1113" spans="1:1" s="1129" customFormat="1" x14ac:dyDescent="0.25">
      <c r="A1113" s="463"/>
    </row>
    <row r="1114" spans="1:1" s="1129" customFormat="1" x14ac:dyDescent="0.25">
      <c r="A1114" s="463"/>
    </row>
    <row r="1115" spans="1:1" s="1129" customFormat="1" x14ac:dyDescent="0.25">
      <c r="A1115" s="463"/>
    </row>
    <row r="1116" spans="1:1" s="1129" customFormat="1" x14ac:dyDescent="0.25">
      <c r="A1116" s="463"/>
    </row>
    <row r="1117" spans="1:1" s="1129" customFormat="1" x14ac:dyDescent="0.25">
      <c r="A1117" s="463"/>
    </row>
    <row r="1118" spans="1:1" s="1129" customFormat="1" x14ac:dyDescent="0.25">
      <c r="A1118" s="463"/>
    </row>
    <row r="1119" spans="1:1" s="1129" customFormat="1" x14ac:dyDescent="0.25">
      <c r="A1119" s="463"/>
    </row>
    <row r="1120" spans="1:1" s="1129" customFormat="1" x14ac:dyDescent="0.25">
      <c r="A1120" s="463"/>
    </row>
    <row r="1121" spans="1:1" s="1129" customFormat="1" x14ac:dyDescent="0.25">
      <c r="A1121" s="463"/>
    </row>
    <row r="1122" spans="1:1" s="1129" customFormat="1" x14ac:dyDescent="0.25">
      <c r="A1122" s="463"/>
    </row>
    <row r="1123" spans="1:1" s="1129" customFormat="1" x14ac:dyDescent="0.25">
      <c r="A1123" s="463"/>
    </row>
    <row r="1124" spans="1:1" s="1129" customFormat="1" x14ac:dyDescent="0.25">
      <c r="A1124" s="463"/>
    </row>
    <row r="1125" spans="1:1" s="1129" customFormat="1" x14ac:dyDescent="0.25">
      <c r="A1125" s="463"/>
    </row>
    <row r="1126" spans="1:1" s="1129" customFormat="1" x14ac:dyDescent="0.25">
      <c r="A1126" s="463"/>
    </row>
    <row r="1127" spans="1:1" s="1129" customFormat="1" x14ac:dyDescent="0.25">
      <c r="A1127" s="463"/>
    </row>
    <row r="1128" spans="1:1" s="1129" customFormat="1" x14ac:dyDescent="0.25">
      <c r="A1128" s="463"/>
    </row>
    <row r="1129" spans="1:1" s="1129" customFormat="1" x14ac:dyDescent="0.25">
      <c r="A1129" s="463"/>
    </row>
    <row r="1130" spans="1:1" s="1129" customFormat="1" x14ac:dyDescent="0.25">
      <c r="A1130" s="463"/>
    </row>
    <row r="1131" spans="1:1" s="1129" customFormat="1" x14ac:dyDescent="0.25">
      <c r="A1131" s="463"/>
    </row>
    <row r="1132" spans="1:1" s="1129" customFormat="1" x14ac:dyDescent="0.25">
      <c r="A1132" s="463"/>
    </row>
    <row r="1133" spans="1:1" s="1129" customFormat="1" x14ac:dyDescent="0.25">
      <c r="A1133" s="463"/>
    </row>
    <row r="1134" spans="1:1" s="1129" customFormat="1" x14ac:dyDescent="0.25">
      <c r="A1134" s="463"/>
    </row>
    <row r="1135" spans="1:1" s="1129" customFormat="1" x14ac:dyDescent="0.25">
      <c r="A1135" s="463"/>
    </row>
    <row r="1136" spans="1:1" s="1129" customFormat="1" x14ac:dyDescent="0.25">
      <c r="A1136" s="463"/>
    </row>
    <row r="1137" spans="1:1" s="1129" customFormat="1" x14ac:dyDescent="0.25">
      <c r="A1137" s="463"/>
    </row>
    <row r="1138" spans="1:1" s="1129" customFormat="1" x14ac:dyDescent="0.25">
      <c r="A1138" s="463"/>
    </row>
    <row r="1139" spans="1:1" s="1129" customFormat="1" x14ac:dyDescent="0.25">
      <c r="A1139" s="463"/>
    </row>
    <row r="1140" spans="1:1" s="1129" customFormat="1" x14ac:dyDescent="0.25">
      <c r="A1140" s="463"/>
    </row>
    <row r="1141" spans="1:1" s="1129" customFormat="1" x14ac:dyDescent="0.25">
      <c r="A1141" s="463"/>
    </row>
    <row r="1142" spans="1:1" s="1129" customFormat="1" x14ac:dyDescent="0.25">
      <c r="A1142" s="463"/>
    </row>
    <row r="1143" spans="1:1" s="1129" customFormat="1" x14ac:dyDescent="0.25">
      <c r="A1143" s="463"/>
    </row>
    <row r="1144" spans="1:1" s="1129" customFormat="1" x14ac:dyDescent="0.25">
      <c r="A1144" s="463"/>
    </row>
    <row r="1145" spans="1:1" s="1129" customFormat="1" x14ac:dyDescent="0.25">
      <c r="A1145" s="463"/>
    </row>
    <row r="1146" spans="1:1" s="1129" customFormat="1" x14ac:dyDescent="0.25">
      <c r="A1146" s="463"/>
    </row>
    <row r="1147" spans="1:1" s="1129" customFormat="1" x14ac:dyDescent="0.25">
      <c r="A1147" s="463"/>
    </row>
    <row r="1148" spans="1:1" s="1129" customFormat="1" x14ac:dyDescent="0.25">
      <c r="A1148" s="463"/>
    </row>
    <row r="1149" spans="1:1" s="1129" customFormat="1" x14ac:dyDescent="0.25">
      <c r="A1149" s="463"/>
    </row>
    <row r="1150" spans="1:1" s="1129" customFormat="1" x14ac:dyDescent="0.25">
      <c r="A1150" s="463"/>
    </row>
    <row r="1151" spans="1:1" s="1129" customFormat="1" x14ac:dyDescent="0.25">
      <c r="A1151" s="463"/>
    </row>
    <row r="1152" spans="1:1" s="1129" customFormat="1" x14ac:dyDescent="0.25">
      <c r="A1152" s="463"/>
    </row>
    <row r="1153" spans="1:1" s="1129" customFormat="1" x14ac:dyDescent="0.25">
      <c r="A1153" s="463"/>
    </row>
    <row r="1154" spans="1:1" s="1129" customFormat="1" x14ac:dyDescent="0.25">
      <c r="A1154" s="463"/>
    </row>
    <row r="1155" spans="1:1" s="1129" customFormat="1" x14ac:dyDescent="0.25">
      <c r="A1155" s="463"/>
    </row>
    <row r="1156" spans="1:1" s="1129" customFormat="1" x14ac:dyDescent="0.25">
      <c r="A1156" s="463"/>
    </row>
    <row r="1157" spans="1:1" s="1129" customFormat="1" x14ac:dyDescent="0.25">
      <c r="A1157" s="463"/>
    </row>
    <row r="1158" spans="1:1" s="1129" customFormat="1" x14ac:dyDescent="0.25">
      <c r="A1158" s="463"/>
    </row>
    <row r="1159" spans="1:1" s="1129" customFormat="1" x14ac:dyDescent="0.25">
      <c r="A1159" s="463"/>
    </row>
    <row r="1160" spans="1:1" s="1129" customFormat="1" x14ac:dyDescent="0.25">
      <c r="A1160" s="463"/>
    </row>
    <row r="1161" spans="1:1" s="1129" customFormat="1" x14ac:dyDescent="0.25">
      <c r="A1161" s="463"/>
    </row>
    <row r="1162" spans="1:1" s="1129" customFormat="1" x14ac:dyDescent="0.25">
      <c r="A1162" s="463"/>
    </row>
    <row r="1163" spans="1:1" s="1129" customFormat="1" x14ac:dyDescent="0.25">
      <c r="A1163" s="463"/>
    </row>
    <row r="1164" spans="1:1" s="1129" customFormat="1" x14ac:dyDescent="0.25">
      <c r="A1164" s="463"/>
    </row>
    <row r="1165" spans="1:1" s="1129" customFormat="1" x14ac:dyDescent="0.25">
      <c r="A1165" s="463"/>
    </row>
    <row r="1166" spans="1:1" s="1129" customFormat="1" x14ac:dyDescent="0.25">
      <c r="A1166" s="463"/>
    </row>
    <row r="1167" spans="1:1" s="1129" customFormat="1" x14ac:dyDescent="0.25">
      <c r="A1167" s="463"/>
    </row>
    <row r="1168" spans="1:1" s="1129" customFormat="1" x14ac:dyDescent="0.25">
      <c r="A1168" s="463"/>
    </row>
    <row r="1169" spans="1:1" s="1129" customFormat="1" x14ac:dyDescent="0.25">
      <c r="A1169" s="463"/>
    </row>
    <row r="1170" spans="1:1" s="1129" customFormat="1" x14ac:dyDescent="0.25">
      <c r="A1170" s="463"/>
    </row>
    <row r="1171" spans="1:1" s="1129" customFormat="1" x14ac:dyDescent="0.25">
      <c r="A1171" s="463"/>
    </row>
    <row r="1172" spans="1:1" s="1129" customFormat="1" x14ac:dyDescent="0.25">
      <c r="A1172" s="463"/>
    </row>
    <row r="1173" spans="1:1" s="1129" customFormat="1" x14ac:dyDescent="0.25">
      <c r="A1173" s="463"/>
    </row>
    <row r="1174" spans="1:1" s="1129" customFormat="1" x14ac:dyDescent="0.25">
      <c r="A1174" s="463"/>
    </row>
    <row r="1175" spans="1:1" s="1129" customFormat="1" x14ac:dyDescent="0.25">
      <c r="A1175" s="463"/>
    </row>
    <row r="1176" spans="1:1" s="1129" customFormat="1" x14ac:dyDescent="0.25">
      <c r="A1176" s="463"/>
    </row>
    <row r="1177" spans="1:1" s="1129" customFormat="1" x14ac:dyDescent="0.25">
      <c r="A1177" s="463"/>
    </row>
    <row r="1178" spans="1:1" s="1129" customFormat="1" x14ac:dyDescent="0.25">
      <c r="A1178" s="463"/>
    </row>
    <row r="1179" spans="1:1" s="1129" customFormat="1" x14ac:dyDescent="0.25">
      <c r="A1179" s="463"/>
    </row>
    <row r="1180" spans="1:1" s="1129" customFormat="1" x14ac:dyDescent="0.25">
      <c r="A1180" s="463"/>
    </row>
    <row r="1181" spans="1:1" s="1129" customFormat="1" x14ac:dyDescent="0.25">
      <c r="A1181" s="463"/>
    </row>
    <row r="1182" spans="1:1" s="1129" customFormat="1" x14ac:dyDescent="0.25">
      <c r="A1182" s="463"/>
    </row>
    <row r="1183" spans="1:1" s="1129" customFormat="1" x14ac:dyDescent="0.25">
      <c r="A1183" s="463"/>
    </row>
    <row r="1184" spans="1:1" s="1129" customFormat="1" x14ac:dyDescent="0.25">
      <c r="A1184" s="463"/>
    </row>
    <row r="1185" spans="1:1" s="1129" customFormat="1" x14ac:dyDescent="0.25">
      <c r="A1185" s="463"/>
    </row>
    <row r="1186" spans="1:1" s="1129" customFormat="1" x14ac:dyDescent="0.25">
      <c r="A1186" s="463"/>
    </row>
    <row r="1187" spans="1:1" s="1129" customFormat="1" x14ac:dyDescent="0.25">
      <c r="A1187" s="463"/>
    </row>
    <row r="1188" spans="1:1" s="1129" customFormat="1" x14ac:dyDescent="0.25">
      <c r="A1188" s="463"/>
    </row>
    <row r="1189" spans="1:1" s="1129" customFormat="1" x14ac:dyDescent="0.25">
      <c r="A1189" s="463"/>
    </row>
    <row r="1190" spans="1:1" s="1129" customFormat="1" x14ac:dyDescent="0.25">
      <c r="A1190" s="463"/>
    </row>
    <row r="1191" spans="1:1" s="1129" customFormat="1" x14ac:dyDescent="0.25">
      <c r="A1191" s="463"/>
    </row>
    <row r="1192" spans="1:1" s="1129" customFormat="1" x14ac:dyDescent="0.25">
      <c r="A1192" s="463"/>
    </row>
    <row r="1193" spans="1:1" s="1129" customFormat="1" x14ac:dyDescent="0.25">
      <c r="A1193" s="463"/>
    </row>
    <row r="1194" spans="1:1" s="1129" customFormat="1" x14ac:dyDescent="0.25">
      <c r="A1194" s="463"/>
    </row>
    <row r="1195" spans="1:1" s="1129" customFormat="1" x14ac:dyDescent="0.25">
      <c r="A1195" s="463"/>
    </row>
    <row r="1196" spans="1:1" s="1129" customFormat="1" x14ac:dyDescent="0.25">
      <c r="A1196" s="463"/>
    </row>
    <row r="1197" spans="1:1" s="1129" customFormat="1" x14ac:dyDescent="0.25">
      <c r="A1197" s="463"/>
    </row>
    <row r="1198" spans="1:1" s="1129" customFormat="1" x14ac:dyDescent="0.25">
      <c r="A1198" s="463"/>
    </row>
    <row r="1199" spans="1:1" s="1129" customFormat="1" x14ac:dyDescent="0.25">
      <c r="A1199" s="463"/>
    </row>
    <row r="1200" spans="1:1" s="1129" customFormat="1" x14ac:dyDescent="0.25">
      <c r="A1200" s="463"/>
    </row>
    <row r="1201" spans="1:1" s="1129" customFormat="1" x14ac:dyDescent="0.25">
      <c r="A1201" s="463"/>
    </row>
    <row r="1202" spans="1:1" s="1129" customFormat="1" x14ac:dyDescent="0.25">
      <c r="A1202" s="463"/>
    </row>
    <row r="1203" spans="1:1" s="1129" customFormat="1" x14ac:dyDescent="0.25">
      <c r="A1203" s="463"/>
    </row>
    <row r="1204" spans="1:1" s="1129" customFormat="1" x14ac:dyDescent="0.25">
      <c r="A1204" s="463"/>
    </row>
    <row r="1205" spans="1:1" s="1129" customFormat="1" x14ac:dyDescent="0.25">
      <c r="A1205" s="463"/>
    </row>
    <row r="1206" spans="1:1" s="1129" customFormat="1" x14ac:dyDescent="0.25">
      <c r="A1206" s="463"/>
    </row>
    <row r="1207" spans="1:1" s="1129" customFormat="1" x14ac:dyDescent="0.25">
      <c r="A1207" s="463"/>
    </row>
    <row r="1208" spans="1:1" s="1129" customFormat="1" x14ac:dyDescent="0.25">
      <c r="A1208" s="463"/>
    </row>
    <row r="1209" spans="1:1" s="1129" customFormat="1" x14ac:dyDescent="0.25">
      <c r="A1209" s="463"/>
    </row>
    <row r="1210" spans="1:1" s="1129" customFormat="1" x14ac:dyDescent="0.25">
      <c r="A1210" s="463"/>
    </row>
    <row r="1211" spans="1:1" s="1129" customFormat="1" x14ac:dyDescent="0.25">
      <c r="A1211" s="463"/>
    </row>
    <row r="1212" spans="1:1" s="1129" customFormat="1" x14ac:dyDescent="0.25">
      <c r="A1212" s="463"/>
    </row>
    <row r="1213" spans="1:1" s="1129" customFormat="1" x14ac:dyDescent="0.25">
      <c r="A1213" s="463"/>
    </row>
    <row r="1214" spans="1:1" s="1129" customFormat="1" x14ac:dyDescent="0.25">
      <c r="A1214" s="463"/>
    </row>
    <row r="1215" spans="1:1" s="1129" customFormat="1" x14ac:dyDescent="0.25">
      <c r="A1215" s="463"/>
    </row>
    <row r="1216" spans="1:1" s="1129" customFormat="1" x14ac:dyDescent="0.25">
      <c r="A1216" s="463"/>
    </row>
    <row r="1217" spans="1:1" s="1129" customFormat="1" x14ac:dyDescent="0.25">
      <c r="A1217" s="463"/>
    </row>
    <row r="1218" spans="1:1" s="1129" customFormat="1" x14ac:dyDescent="0.25">
      <c r="A1218" s="463"/>
    </row>
    <row r="1219" spans="1:1" s="1129" customFormat="1" x14ac:dyDescent="0.25">
      <c r="A1219" s="463"/>
    </row>
    <row r="1220" spans="1:1" s="1129" customFormat="1" x14ac:dyDescent="0.25">
      <c r="A1220" s="463"/>
    </row>
    <row r="1221" spans="1:1" s="1129" customFormat="1" x14ac:dyDescent="0.25">
      <c r="A1221" s="463"/>
    </row>
    <row r="1222" spans="1:1" s="1129" customFormat="1" x14ac:dyDescent="0.25">
      <c r="A1222" s="463"/>
    </row>
    <row r="1223" spans="1:1" s="1129" customFormat="1" x14ac:dyDescent="0.25">
      <c r="A1223" s="463"/>
    </row>
    <row r="1224" spans="1:1" s="1129" customFormat="1" x14ac:dyDescent="0.25">
      <c r="A1224" s="463"/>
    </row>
    <row r="1225" spans="1:1" s="1129" customFormat="1" x14ac:dyDescent="0.25">
      <c r="A1225" s="463"/>
    </row>
    <row r="1226" spans="1:1" s="1129" customFormat="1" x14ac:dyDescent="0.25">
      <c r="A1226" s="463"/>
    </row>
    <row r="1227" spans="1:1" s="1129" customFormat="1" x14ac:dyDescent="0.25">
      <c r="A1227" s="463"/>
    </row>
    <row r="1228" spans="1:1" s="1129" customFormat="1" x14ac:dyDescent="0.25">
      <c r="A1228" s="463"/>
    </row>
    <row r="1229" spans="1:1" s="1129" customFormat="1" x14ac:dyDescent="0.25">
      <c r="A1229" s="463"/>
    </row>
    <row r="1230" spans="1:1" s="1129" customFormat="1" x14ac:dyDescent="0.25">
      <c r="A1230" s="463"/>
    </row>
    <row r="1231" spans="1:1" s="1129" customFormat="1" x14ac:dyDescent="0.25">
      <c r="A1231" s="463"/>
    </row>
    <row r="1232" spans="1:1" s="1129" customFormat="1" x14ac:dyDescent="0.25">
      <c r="A1232" s="463"/>
    </row>
    <row r="1233" spans="1:1" s="1129" customFormat="1" x14ac:dyDescent="0.25">
      <c r="A1233" s="463"/>
    </row>
    <row r="1234" spans="1:1" s="1129" customFormat="1" x14ac:dyDescent="0.25">
      <c r="A1234" s="463"/>
    </row>
    <row r="1235" spans="1:1" s="1129" customFormat="1" x14ac:dyDescent="0.25">
      <c r="A1235" s="463"/>
    </row>
    <row r="1236" spans="1:1" s="1129" customFormat="1" x14ac:dyDescent="0.25">
      <c r="A1236" s="463"/>
    </row>
    <row r="1237" spans="1:1" s="1129" customFormat="1" x14ac:dyDescent="0.25">
      <c r="A1237" s="463"/>
    </row>
    <row r="1238" spans="1:1" s="1129" customFormat="1" x14ac:dyDescent="0.25">
      <c r="A1238" s="463"/>
    </row>
    <row r="1239" spans="1:1" s="1129" customFormat="1" x14ac:dyDescent="0.25">
      <c r="A1239" s="463"/>
    </row>
    <row r="1240" spans="1:1" s="1129" customFormat="1" x14ac:dyDescent="0.25">
      <c r="A1240" s="463"/>
    </row>
    <row r="1241" spans="1:1" s="1129" customFormat="1" x14ac:dyDescent="0.25">
      <c r="A1241" s="463"/>
    </row>
    <row r="1242" spans="1:1" s="1129" customFormat="1" x14ac:dyDescent="0.25">
      <c r="A1242" s="463"/>
    </row>
    <row r="1243" spans="1:1" s="1129" customFormat="1" x14ac:dyDescent="0.25">
      <c r="A1243" s="463"/>
    </row>
    <row r="1244" spans="1:1" s="1129" customFormat="1" x14ac:dyDescent="0.25">
      <c r="A1244" s="463"/>
    </row>
    <row r="1245" spans="1:1" s="1129" customFormat="1" x14ac:dyDescent="0.25">
      <c r="A1245" s="463"/>
    </row>
    <row r="1246" spans="1:1" s="1129" customFormat="1" x14ac:dyDescent="0.25">
      <c r="A1246" s="463"/>
    </row>
    <row r="1247" spans="1:1" s="1129" customFormat="1" x14ac:dyDescent="0.25">
      <c r="A1247" s="463"/>
    </row>
    <row r="1248" spans="1:1" s="1129" customFormat="1" x14ac:dyDescent="0.25">
      <c r="A1248" s="463"/>
    </row>
    <row r="1249" spans="1:1" s="1129" customFormat="1" x14ac:dyDescent="0.25">
      <c r="A1249" s="463"/>
    </row>
    <row r="1250" spans="1:1" s="1129" customFormat="1" x14ac:dyDescent="0.25">
      <c r="A1250" s="463"/>
    </row>
    <row r="1251" spans="1:1" s="1129" customFormat="1" x14ac:dyDescent="0.25">
      <c r="A1251" s="463"/>
    </row>
    <row r="1252" spans="1:1" s="1129" customFormat="1" x14ac:dyDescent="0.25">
      <c r="A1252" s="463"/>
    </row>
    <row r="1253" spans="1:1" s="1129" customFormat="1" x14ac:dyDescent="0.25">
      <c r="A1253" s="463"/>
    </row>
    <row r="1254" spans="1:1" s="1129" customFormat="1" x14ac:dyDescent="0.25">
      <c r="A1254" s="463"/>
    </row>
    <row r="1255" spans="1:1" s="1129" customFormat="1" x14ac:dyDescent="0.25">
      <c r="A1255" s="463"/>
    </row>
    <row r="1256" spans="1:1" s="1129" customFormat="1" x14ac:dyDescent="0.25">
      <c r="A1256" s="463"/>
    </row>
    <row r="1257" spans="1:1" s="1129" customFormat="1" x14ac:dyDescent="0.25">
      <c r="A1257" s="463"/>
    </row>
    <row r="1258" spans="1:1" s="1129" customFormat="1" x14ac:dyDescent="0.25">
      <c r="A1258" s="463"/>
    </row>
    <row r="1259" spans="1:1" s="1129" customFormat="1" x14ac:dyDescent="0.25">
      <c r="A1259" s="463"/>
    </row>
    <row r="1260" spans="1:1" s="1129" customFormat="1" x14ac:dyDescent="0.25">
      <c r="A1260" s="463"/>
    </row>
    <row r="1261" spans="1:1" s="1129" customFormat="1" x14ac:dyDescent="0.25">
      <c r="A1261" s="463"/>
    </row>
    <row r="1262" spans="1:1" s="1129" customFormat="1" x14ac:dyDescent="0.25">
      <c r="A1262" s="463"/>
    </row>
    <row r="1263" spans="1:1" s="1129" customFormat="1" x14ac:dyDescent="0.25">
      <c r="A1263" s="463"/>
    </row>
    <row r="1264" spans="1:1" s="1129" customFormat="1" x14ac:dyDescent="0.25">
      <c r="A1264" s="463"/>
    </row>
    <row r="1265" spans="1:1" s="1129" customFormat="1" x14ac:dyDescent="0.25">
      <c r="A1265" s="463"/>
    </row>
    <row r="1266" spans="1:1" s="1129" customFormat="1" x14ac:dyDescent="0.25">
      <c r="A1266" s="463"/>
    </row>
    <row r="1267" spans="1:1" s="1129" customFormat="1" x14ac:dyDescent="0.25">
      <c r="A1267" s="463"/>
    </row>
    <row r="1268" spans="1:1" s="1129" customFormat="1" x14ac:dyDescent="0.25">
      <c r="A1268" s="463"/>
    </row>
    <row r="1269" spans="1:1" s="1129" customFormat="1" x14ac:dyDescent="0.25">
      <c r="A1269" s="463"/>
    </row>
    <row r="1270" spans="1:1" s="1129" customFormat="1" x14ac:dyDescent="0.25">
      <c r="A1270" s="463"/>
    </row>
    <row r="1271" spans="1:1" s="1129" customFormat="1" x14ac:dyDescent="0.25">
      <c r="A1271" s="463"/>
    </row>
    <row r="1272" spans="1:1" s="1129" customFormat="1" x14ac:dyDescent="0.25">
      <c r="A1272" s="463"/>
    </row>
    <row r="1273" spans="1:1" s="1129" customFormat="1" x14ac:dyDescent="0.25">
      <c r="A1273" s="463"/>
    </row>
    <row r="1274" spans="1:1" s="1129" customFormat="1" x14ac:dyDescent="0.25">
      <c r="A1274" s="463"/>
    </row>
    <row r="1275" spans="1:1" s="1129" customFormat="1" x14ac:dyDescent="0.25">
      <c r="A1275" s="463"/>
    </row>
    <row r="1276" spans="1:1" s="1129" customFormat="1" x14ac:dyDescent="0.25">
      <c r="A1276" s="463"/>
    </row>
    <row r="1277" spans="1:1" s="1129" customFormat="1" x14ac:dyDescent="0.25">
      <c r="A1277" s="463"/>
    </row>
    <row r="1278" spans="1:1" s="1129" customFormat="1" x14ac:dyDescent="0.25">
      <c r="A1278" s="463"/>
    </row>
    <row r="1279" spans="1:1" s="1129" customFormat="1" x14ac:dyDescent="0.25">
      <c r="A1279" s="463"/>
    </row>
    <row r="1280" spans="1:1" s="1129" customFormat="1" x14ac:dyDescent="0.25">
      <c r="A1280" s="463"/>
    </row>
    <row r="1281" spans="1:1" s="1129" customFormat="1" x14ac:dyDescent="0.25">
      <c r="A1281" s="463"/>
    </row>
    <row r="1282" spans="1:1" s="1129" customFormat="1" x14ac:dyDescent="0.25">
      <c r="A1282" s="463"/>
    </row>
    <row r="1283" spans="1:1" s="1129" customFormat="1" x14ac:dyDescent="0.25">
      <c r="A1283" s="463"/>
    </row>
    <row r="1284" spans="1:1" s="1129" customFormat="1" x14ac:dyDescent="0.25">
      <c r="A1284" s="463"/>
    </row>
    <row r="1285" spans="1:1" s="1129" customFormat="1" x14ac:dyDescent="0.25">
      <c r="A1285" s="463"/>
    </row>
    <row r="1286" spans="1:1" s="1129" customFormat="1" x14ac:dyDescent="0.25">
      <c r="A1286" s="463"/>
    </row>
    <row r="1287" spans="1:1" s="1129" customFormat="1" x14ac:dyDescent="0.25">
      <c r="A1287" s="463"/>
    </row>
    <row r="1288" spans="1:1" s="1129" customFormat="1" x14ac:dyDescent="0.25">
      <c r="A1288" s="463"/>
    </row>
    <row r="1289" spans="1:1" s="1129" customFormat="1" x14ac:dyDescent="0.25">
      <c r="A1289" s="463"/>
    </row>
    <row r="1290" spans="1:1" s="1129" customFormat="1" x14ac:dyDescent="0.25">
      <c r="A1290" s="463"/>
    </row>
    <row r="1291" spans="1:1" s="1129" customFormat="1" x14ac:dyDescent="0.25">
      <c r="A1291" s="463"/>
    </row>
    <row r="1292" spans="1:1" s="1129" customFormat="1" x14ac:dyDescent="0.25">
      <c r="A1292" s="463"/>
    </row>
    <row r="1293" spans="1:1" s="1129" customFormat="1" x14ac:dyDescent="0.25">
      <c r="A1293" s="463"/>
    </row>
    <row r="1294" spans="1:1" s="1129" customFormat="1" x14ac:dyDescent="0.25">
      <c r="A1294" s="463"/>
    </row>
    <row r="1295" spans="1:1" s="1129" customFormat="1" x14ac:dyDescent="0.25">
      <c r="A1295" s="463"/>
    </row>
    <row r="1296" spans="1:1" s="1129" customFormat="1" x14ac:dyDescent="0.25">
      <c r="A1296" s="463"/>
    </row>
    <row r="1297" spans="1:1" s="1129" customFormat="1" x14ac:dyDescent="0.25">
      <c r="A1297" s="463"/>
    </row>
    <row r="1298" spans="1:1" s="1129" customFormat="1" x14ac:dyDescent="0.25">
      <c r="A1298" s="463"/>
    </row>
    <row r="1299" spans="1:1" s="1129" customFormat="1" x14ac:dyDescent="0.25">
      <c r="A1299" s="463"/>
    </row>
    <row r="1300" spans="1:1" s="1129" customFormat="1" x14ac:dyDescent="0.25">
      <c r="A1300" s="463"/>
    </row>
    <row r="1301" spans="1:1" s="1129" customFormat="1" x14ac:dyDescent="0.25">
      <c r="A1301" s="463"/>
    </row>
    <row r="1302" spans="1:1" s="1129" customFormat="1" x14ac:dyDescent="0.25">
      <c r="A1302" s="463"/>
    </row>
    <row r="1303" spans="1:1" s="1129" customFormat="1" x14ac:dyDescent="0.25">
      <c r="A1303" s="463"/>
    </row>
    <row r="1304" spans="1:1" s="1129" customFormat="1" x14ac:dyDescent="0.25">
      <c r="A1304" s="463"/>
    </row>
    <row r="1305" spans="1:1" s="1129" customFormat="1" x14ac:dyDescent="0.25">
      <c r="A1305" s="463"/>
    </row>
    <row r="1306" spans="1:1" s="1129" customFormat="1" x14ac:dyDescent="0.25">
      <c r="A1306" s="463"/>
    </row>
    <row r="1307" spans="1:1" s="1129" customFormat="1" x14ac:dyDescent="0.25">
      <c r="A1307" s="463"/>
    </row>
    <row r="1308" spans="1:1" s="1129" customFormat="1" x14ac:dyDescent="0.25">
      <c r="A1308" s="463"/>
    </row>
    <row r="1309" spans="1:1" s="1129" customFormat="1" x14ac:dyDescent="0.25">
      <c r="A1309" s="463"/>
    </row>
    <row r="1310" spans="1:1" s="1129" customFormat="1" x14ac:dyDescent="0.25">
      <c r="A1310" s="463"/>
    </row>
    <row r="1311" spans="1:1" s="1129" customFormat="1" x14ac:dyDescent="0.25">
      <c r="A1311" s="463"/>
    </row>
    <row r="1312" spans="1:1" s="1129" customFormat="1" x14ac:dyDescent="0.25">
      <c r="A1312" s="463"/>
    </row>
    <row r="1313" spans="1:1" s="1129" customFormat="1" x14ac:dyDescent="0.25">
      <c r="A1313" s="463"/>
    </row>
    <row r="1314" spans="1:1" s="1129" customFormat="1" x14ac:dyDescent="0.25">
      <c r="A1314" s="463"/>
    </row>
    <row r="1315" spans="1:1" s="1129" customFormat="1" x14ac:dyDescent="0.25">
      <c r="A1315" s="463"/>
    </row>
    <row r="1316" spans="1:1" s="1129" customFormat="1" x14ac:dyDescent="0.25">
      <c r="A1316" s="463"/>
    </row>
    <row r="1317" spans="1:1" s="1129" customFormat="1" x14ac:dyDescent="0.25">
      <c r="A1317" s="463"/>
    </row>
    <row r="1318" spans="1:1" s="1129" customFormat="1" x14ac:dyDescent="0.25">
      <c r="A1318" s="463"/>
    </row>
    <row r="1319" spans="1:1" s="1129" customFormat="1" x14ac:dyDescent="0.25">
      <c r="A1319" s="463"/>
    </row>
    <row r="1320" spans="1:1" s="1129" customFormat="1" x14ac:dyDescent="0.25">
      <c r="A1320" s="463"/>
    </row>
    <row r="1321" spans="1:1" s="1129" customFormat="1" x14ac:dyDescent="0.25">
      <c r="A1321" s="463"/>
    </row>
    <row r="1322" spans="1:1" s="1129" customFormat="1" x14ac:dyDescent="0.25">
      <c r="A1322" s="463"/>
    </row>
    <row r="1323" spans="1:1" s="1129" customFormat="1" x14ac:dyDescent="0.25">
      <c r="A1323" s="463"/>
    </row>
    <row r="1324" spans="1:1" s="1129" customFormat="1" x14ac:dyDescent="0.25">
      <c r="A1324" s="463"/>
    </row>
    <row r="1325" spans="1:1" s="1129" customFormat="1" x14ac:dyDescent="0.25">
      <c r="A1325" s="463"/>
    </row>
    <row r="1326" spans="1:1" s="1129" customFormat="1" x14ac:dyDescent="0.25">
      <c r="A1326" s="463"/>
    </row>
    <row r="1327" spans="1:1" s="1129" customFormat="1" x14ac:dyDescent="0.25">
      <c r="A1327" s="463"/>
    </row>
    <row r="1328" spans="1:1" s="1129" customFormat="1" x14ac:dyDescent="0.25">
      <c r="A1328" s="463"/>
    </row>
    <row r="1329" spans="1:1" s="1129" customFormat="1" x14ac:dyDescent="0.25">
      <c r="A1329" s="463"/>
    </row>
    <row r="1330" spans="1:1" s="1129" customFormat="1" x14ac:dyDescent="0.25">
      <c r="A1330" s="463"/>
    </row>
    <row r="1331" spans="1:1" s="1129" customFormat="1" x14ac:dyDescent="0.25">
      <c r="A1331" s="463"/>
    </row>
    <row r="1332" spans="1:1" s="1129" customFormat="1" x14ac:dyDescent="0.25">
      <c r="A1332" s="463"/>
    </row>
    <row r="1333" spans="1:1" s="1129" customFormat="1" x14ac:dyDescent="0.25">
      <c r="A1333" s="463"/>
    </row>
    <row r="1334" spans="1:1" s="1129" customFormat="1" x14ac:dyDescent="0.25">
      <c r="A1334" s="463"/>
    </row>
    <row r="1335" spans="1:1" s="1129" customFormat="1" x14ac:dyDescent="0.25">
      <c r="A1335" s="463"/>
    </row>
    <row r="1336" spans="1:1" s="1129" customFormat="1" x14ac:dyDescent="0.25">
      <c r="A1336" s="463"/>
    </row>
    <row r="1337" spans="1:1" s="1129" customFormat="1" x14ac:dyDescent="0.25">
      <c r="A1337" s="463"/>
    </row>
    <row r="1338" spans="1:1" s="1129" customFormat="1" x14ac:dyDescent="0.25">
      <c r="A1338" s="463"/>
    </row>
    <row r="1339" spans="1:1" s="1129" customFormat="1" x14ac:dyDescent="0.25">
      <c r="A1339" s="463"/>
    </row>
    <row r="1340" spans="1:1" s="1129" customFormat="1" x14ac:dyDescent="0.25">
      <c r="A1340" s="463"/>
    </row>
    <row r="1341" spans="1:1" s="1129" customFormat="1" x14ac:dyDescent="0.25">
      <c r="A1341" s="463"/>
    </row>
    <row r="1342" spans="1:1" s="1129" customFormat="1" x14ac:dyDescent="0.25">
      <c r="A1342" s="463"/>
    </row>
    <row r="1343" spans="1:1" s="1129" customFormat="1" x14ac:dyDescent="0.25">
      <c r="A1343" s="463"/>
    </row>
    <row r="1344" spans="1:1" s="1129" customFormat="1" x14ac:dyDescent="0.25">
      <c r="A1344" s="463"/>
    </row>
    <row r="1345" spans="1:1" s="1129" customFormat="1" x14ac:dyDescent="0.25">
      <c r="A1345" s="463"/>
    </row>
    <row r="1346" spans="1:1" s="1129" customFormat="1" x14ac:dyDescent="0.25">
      <c r="A1346" s="463"/>
    </row>
    <row r="1347" spans="1:1" s="1129" customFormat="1" x14ac:dyDescent="0.25">
      <c r="A1347" s="463"/>
    </row>
    <row r="1348" spans="1:1" s="1129" customFormat="1" x14ac:dyDescent="0.25">
      <c r="A1348" s="463"/>
    </row>
    <row r="1349" spans="1:1" s="1129" customFormat="1" x14ac:dyDescent="0.25">
      <c r="A1349" s="463"/>
    </row>
    <row r="1350" spans="1:1" s="1129" customFormat="1" x14ac:dyDescent="0.25">
      <c r="A1350" s="463"/>
    </row>
    <row r="1351" spans="1:1" s="1129" customFormat="1" x14ac:dyDescent="0.25">
      <c r="A1351" s="463"/>
    </row>
    <row r="1352" spans="1:1" s="1129" customFormat="1" x14ac:dyDescent="0.25">
      <c r="A1352" s="463"/>
    </row>
    <row r="1353" spans="1:1" s="1129" customFormat="1" x14ac:dyDescent="0.25">
      <c r="A1353" s="463"/>
    </row>
    <row r="1354" spans="1:1" s="1129" customFormat="1" x14ac:dyDescent="0.25">
      <c r="A1354" s="463"/>
    </row>
    <row r="1355" spans="1:1" s="1129" customFormat="1" x14ac:dyDescent="0.25">
      <c r="A1355" s="463"/>
    </row>
    <row r="1356" spans="1:1" s="1129" customFormat="1" x14ac:dyDescent="0.25">
      <c r="A1356" s="463"/>
    </row>
    <row r="1357" spans="1:1" s="1129" customFormat="1" x14ac:dyDescent="0.25">
      <c r="A1357" s="463"/>
    </row>
    <row r="1358" spans="1:1" s="1129" customFormat="1" x14ac:dyDescent="0.25">
      <c r="A1358" s="463"/>
    </row>
    <row r="1359" spans="1:1" s="1129" customFormat="1" x14ac:dyDescent="0.25">
      <c r="A1359" s="463"/>
    </row>
    <row r="1360" spans="1:1" s="1129" customFormat="1" x14ac:dyDescent="0.25">
      <c r="A1360" s="463"/>
    </row>
    <row r="1361" spans="1:1" s="1129" customFormat="1" x14ac:dyDescent="0.25">
      <c r="A1361" s="463"/>
    </row>
    <row r="1362" spans="1:1" s="1129" customFormat="1" x14ac:dyDescent="0.25">
      <c r="A1362" s="463"/>
    </row>
    <row r="1363" spans="1:1" s="1129" customFormat="1" x14ac:dyDescent="0.25">
      <c r="A1363" s="463"/>
    </row>
    <row r="1364" spans="1:1" s="1129" customFormat="1" x14ac:dyDescent="0.25">
      <c r="A1364" s="463"/>
    </row>
    <row r="1365" spans="1:1" s="1129" customFormat="1" x14ac:dyDescent="0.25">
      <c r="A1365" s="463"/>
    </row>
    <row r="1366" spans="1:1" s="1129" customFormat="1" x14ac:dyDescent="0.25">
      <c r="A1366" s="463"/>
    </row>
    <row r="1367" spans="1:1" s="1129" customFormat="1" x14ac:dyDescent="0.25">
      <c r="A1367" s="463"/>
    </row>
    <row r="1368" spans="1:1" s="1129" customFormat="1" x14ac:dyDescent="0.25">
      <c r="A1368" s="463"/>
    </row>
    <row r="1369" spans="1:1" s="1129" customFormat="1" x14ac:dyDescent="0.25">
      <c r="A1369" s="463"/>
    </row>
    <row r="1370" spans="1:1" s="1129" customFormat="1" x14ac:dyDescent="0.25">
      <c r="A1370" s="463"/>
    </row>
    <row r="1371" spans="1:1" s="1129" customFormat="1" x14ac:dyDescent="0.25">
      <c r="A1371" s="463"/>
    </row>
    <row r="1372" spans="1:1" s="1129" customFormat="1" x14ac:dyDescent="0.25">
      <c r="A1372" s="463"/>
    </row>
    <row r="1373" spans="1:1" s="1129" customFormat="1" x14ac:dyDescent="0.25">
      <c r="A1373" s="463"/>
    </row>
    <row r="1374" spans="1:1" s="1129" customFormat="1" x14ac:dyDescent="0.25">
      <c r="A1374" s="463"/>
    </row>
    <row r="1375" spans="1:1" s="1129" customFormat="1" x14ac:dyDescent="0.25">
      <c r="A1375" s="463"/>
    </row>
    <row r="1376" spans="1:1" s="1129" customFormat="1" x14ac:dyDescent="0.25">
      <c r="A1376" s="463"/>
    </row>
    <row r="1377" spans="1:1" s="1129" customFormat="1" x14ac:dyDescent="0.25">
      <c r="A1377" s="463"/>
    </row>
    <row r="1378" spans="1:1" s="1129" customFormat="1" x14ac:dyDescent="0.25">
      <c r="A1378" s="463"/>
    </row>
    <row r="1379" spans="1:1" s="1129" customFormat="1" x14ac:dyDescent="0.25">
      <c r="A1379" s="463"/>
    </row>
    <row r="1380" spans="1:1" s="1129" customFormat="1" x14ac:dyDescent="0.25">
      <c r="A1380" s="463"/>
    </row>
    <row r="1381" spans="1:1" s="1129" customFormat="1" x14ac:dyDescent="0.25">
      <c r="A1381" s="463"/>
    </row>
    <row r="1382" spans="1:1" s="1129" customFormat="1" x14ac:dyDescent="0.25">
      <c r="A1382" s="463"/>
    </row>
    <row r="1383" spans="1:1" s="1129" customFormat="1" x14ac:dyDescent="0.25">
      <c r="A1383" s="463"/>
    </row>
    <row r="1384" spans="1:1" s="1129" customFormat="1" x14ac:dyDescent="0.25">
      <c r="A1384" s="463"/>
    </row>
    <row r="1385" spans="1:1" s="1129" customFormat="1" x14ac:dyDescent="0.25">
      <c r="A1385" s="463"/>
    </row>
    <row r="1386" spans="1:1" s="1129" customFormat="1" x14ac:dyDescent="0.25">
      <c r="A1386" s="463"/>
    </row>
    <row r="1387" spans="1:1" s="1129" customFormat="1" x14ac:dyDescent="0.25">
      <c r="A1387" s="463"/>
    </row>
    <row r="1388" spans="1:1" s="1129" customFormat="1" x14ac:dyDescent="0.25">
      <c r="A1388" s="463"/>
    </row>
    <row r="1389" spans="1:1" s="1129" customFormat="1" x14ac:dyDescent="0.25">
      <c r="A1389" s="463"/>
    </row>
    <row r="1390" spans="1:1" s="1129" customFormat="1" x14ac:dyDescent="0.25">
      <c r="A1390" s="463"/>
    </row>
    <row r="1391" spans="1:1" s="1129" customFormat="1" x14ac:dyDescent="0.25">
      <c r="A1391" s="463"/>
    </row>
    <row r="1392" spans="1:1" s="1129" customFormat="1" x14ac:dyDescent="0.25">
      <c r="A1392" s="463"/>
    </row>
    <row r="1393" spans="1:1" s="1129" customFormat="1" x14ac:dyDescent="0.25">
      <c r="A1393" s="463"/>
    </row>
    <row r="1394" spans="1:1" s="1129" customFormat="1" x14ac:dyDescent="0.25">
      <c r="A1394" s="463"/>
    </row>
    <row r="1395" spans="1:1" s="1129" customFormat="1" x14ac:dyDescent="0.25">
      <c r="A1395" s="463"/>
    </row>
    <row r="1396" spans="1:1" s="1129" customFormat="1" x14ac:dyDescent="0.25">
      <c r="A1396" s="463"/>
    </row>
    <row r="1397" spans="1:1" s="1129" customFormat="1" x14ac:dyDescent="0.25">
      <c r="A1397" s="463"/>
    </row>
    <row r="1398" spans="1:1" s="1129" customFormat="1" x14ac:dyDescent="0.25">
      <c r="A1398" s="463"/>
    </row>
    <row r="1399" spans="1:1" s="1129" customFormat="1" x14ac:dyDescent="0.25">
      <c r="A1399" s="463"/>
    </row>
    <row r="1400" spans="1:1" s="1129" customFormat="1" x14ac:dyDescent="0.25">
      <c r="A1400" s="463"/>
    </row>
    <row r="1401" spans="1:1" s="1129" customFormat="1" x14ac:dyDescent="0.25">
      <c r="A1401" s="463"/>
    </row>
    <row r="1402" spans="1:1" s="1129" customFormat="1" x14ac:dyDescent="0.25">
      <c r="A1402" s="463"/>
    </row>
    <row r="1403" spans="1:1" s="1129" customFormat="1" x14ac:dyDescent="0.25">
      <c r="A1403" s="463"/>
    </row>
    <row r="1404" spans="1:1" s="1129" customFormat="1" x14ac:dyDescent="0.25">
      <c r="A1404" s="463"/>
    </row>
    <row r="1405" spans="1:1" s="1129" customFormat="1" x14ac:dyDescent="0.25">
      <c r="A1405" s="463"/>
    </row>
    <row r="1406" spans="1:1" s="1129" customFormat="1" x14ac:dyDescent="0.25">
      <c r="A1406" s="463"/>
    </row>
    <row r="1407" spans="1:1" s="1129" customFormat="1" x14ac:dyDescent="0.25">
      <c r="A1407" s="463"/>
    </row>
    <row r="1408" spans="1:1" s="1129" customFormat="1" x14ac:dyDescent="0.25">
      <c r="A1408" s="463"/>
    </row>
    <row r="1409" spans="1:1" s="1129" customFormat="1" x14ac:dyDescent="0.25">
      <c r="A1409" s="463"/>
    </row>
    <row r="1410" spans="1:1" s="1129" customFormat="1" x14ac:dyDescent="0.25">
      <c r="A1410" s="463"/>
    </row>
    <row r="1411" spans="1:1" s="1129" customFormat="1" x14ac:dyDescent="0.25">
      <c r="A1411" s="463"/>
    </row>
    <row r="1412" spans="1:1" s="1129" customFormat="1" x14ac:dyDescent="0.25">
      <c r="A1412" s="463"/>
    </row>
    <row r="1413" spans="1:1" s="1129" customFormat="1" x14ac:dyDescent="0.25">
      <c r="A1413" s="463"/>
    </row>
    <row r="1414" spans="1:1" s="1129" customFormat="1" x14ac:dyDescent="0.25">
      <c r="A1414" s="463"/>
    </row>
    <row r="1415" spans="1:1" s="1129" customFormat="1" x14ac:dyDescent="0.25">
      <c r="A1415" s="463"/>
    </row>
    <row r="1416" spans="1:1" s="1129" customFormat="1" x14ac:dyDescent="0.25">
      <c r="A1416" s="463"/>
    </row>
    <row r="1417" spans="1:1" s="1129" customFormat="1" x14ac:dyDescent="0.25">
      <c r="A1417" s="463"/>
    </row>
    <row r="1418" spans="1:1" s="1129" customFormat="1" x14ac:dyDescent="0.25">
      <c r="A1418" s="463"/>
    </row>
    <row r="1419" spans="1:1" s="1129" customFormat="1" x14ac:dyDescent="0.25">
      <c r="A1419" s="463"/>
    </row>
    <row r="1420" spans="1:1" s="1129" customFormat="1" x14ac:dyDescent="0.25">
      <c r="A1420" s="463"/>
    </row>
    <row r="1421" spans="1:1" s="1129" customFormat="1" x14ac:dyDescent="0.25">
      <c r="A1421" s="463"/>
    </row>
    <row r="1422" spans="1:1" s="1129" customFormat="1" x14ac:dyDescent="0.25">
      <c r="A1422" s="463"/>
    </row>
    <row r="1423" spans="1:1" s="1129" customFormat="1" x14ac:dyDescent="0.25">
      <c r="A1423" s="463"/>
    </row>
    <row r="1424" spans="1:1" s="1129" customFormat="1" x14ac:dyDescent="0.25">
      <c r="A1424" s="463"/>
    </row>
    <row r="1425" spans="1:1" s="1129" customFormat="1" x14ac:dyDescent="0.25">
      <c r="A1425" s="463"/>
    </row>
    <row r="1426" spans="1:1" s="1129" customFormat="1" x14ac:dyDescent="0.25">
      <c r="A1426" s="463"/>
    </row>
    <row r="1427" spans="1:1" s="1129" customFormat="1" x14ac:dyDescent="0.25">
      <c r="A1427" s="463"/>
    </row>
    <row r="1428" spans="1:1" s="1129" customFormat="1" x14ac:dyDescent="0.25">
      <c r="A1428" s="463"/>
    </row>
    <row r="1429" spans="1:1" s="1129" customFormat="1" x14ac:dyDescent="0.25">
      <c r="A1429" s="463"/>
    </row>
    <row r="1430" spans="1:1" s="1129" customFormat="1" x14ac:dyDescent="0.25">
      <c r="A1430" s="463"/>
    </row>
    <row r="1431" spans="1:1" s="1129" customFormat="1" x14ac:dyDescent="0.25">
      <c r="A1431" s="463"/>
    </row>
    <row r="1432" spans="1:1" s="1129" customFormat="1" x14ac:dyDescent="0.25">
      <c r="A1432" s="463"/>
    </row>
    <row r="1433" spans="1:1" s="1129" customFormat="1" x14ac:dyDescent="0.25">
      <c r="A1433" s="463"/>
    </row>
    <row r="1434" spans="1:1" s="1129" customFormat="1" x14ac:dyDescent="0.25">
      <c r="A1434" s="463"/>
    </row>
    <row r="1435" spans="1:1" s="1129" customFormat="1" x14ac:dyDescent="0.25">
      <c r="A1435" s="463"/>
    </row>
    <row r="1436" spans="1:1" s="1129" customFormat="1" x14ac:dyDescent="0.25">
      <c r="A1436" s="463"/>
    </row>
    <row r="1437" spans="1:1" s="1129" customFormat="1" x14ac:dyDescent="0.25">
      <c r="A1437" s="463"/>
    </row>
    <row r="1438" spans="1:1" s="1129" customFormat="1" x14ac:dyDescent="0.25">
      <c r="A1438" s="463"/>
    </row>
    <row r="1439" spans="1:1" s="1129" customFormat="1" x14ac:dyDescent="0.25">
      <c r="A1439" s="463"/>
    </row>
    <row r="1440" spans="1:1" s="1129" customFormat="1" x14ac:dyDescent="0.25">
      <c r="A1440" s="463"/>
    </row>
    <row r="1441" spans="1:1" s="1129" customFormat="1" x14ac:dyDescent="0.25">
      <c r="A1441" s="463"/>
    </row>
    <row r="1442" spans="1:1" s="1129" customFormat="1" x14ac:dyDescent="0.25">
      <c r="A1442" s="463"/>
    </row>
    <row r="1443" spans="1:1" s="1129" customFormat="1" x14ac:dyDescent="0.25">
      <c r="A1443" s="463"/>
    </row>
    <row r="1444" spans="1:1" s="1129" customFormat="1" x14ac:dyDescent="0.25">
      <c r="A1444" s="463"/>
    </row>
    <row r="1445" spans="1:1" s="1129" customFormat="1" x14ac:dyDescent="0.25">
      <c r="A1445" s="463"/>
    </row>
    <row r="1446" spans="1:1" s="1129" customFormat="1" x14ac:dyDescent="0.25">
      <c r="A1446" s="463"/>
    </row>
    <row r="1447" spans="1:1" s="1129" customFormat="1" x14ac:dyDescent="0.25">
      <c r="A1447" s="463"/>
    </row>
    <row r="1448" spans="1:1" s="1129" customFormat="1" x14ac:dyDescent="0.25">
      <c r="A1448" s="463"/>
    </row>
    <row r="1449" spans="1:1" s="1129" customFormat="1" x14ac:dyDescent="0.25">
      <c r="A1449" s="463"/>
    </row>
    <row r="1450" spans="1:1" s="1129" customFormat="1" x14ac:dyDescent="0.25">
      <c r="A1450" s="463"/>
    </row>
    <row r="1451" spans="1:1" s="1129" customFormat="1" x14ac:dyDescent="0.25">
      <c r="A1451" s="463"/>
    </row>
    <row r="1452" spans="1:1" s="1129" customFormat="1" x14ac:dyDescent="0.25">
      <c r="A1452" s="463"/>
    </row>
    <row r="1453" spans="1:1" s="1129" customFormat="1" x14ac:dyDescent="0.25">
      <c r="A1453" s="463"/>
    </row>
    <row r="1454" spans="1:1" s="1129" customFormat="1" x14ac:dyDescent="0.25">
      <c r="A1454" s="463"/>
    </row>
    <row r="1455" spans="1:1" s="1129" customFormat="1" x14ac:dyDescent="0.25">
      <c r="A1455" s="463"/>
    </row>
    <row r="1456" spans="1:1" s="1129" customFormat="1" x14ac:dyDescent="0.25">
      <c r="A1456" s="463"/>
    </row>
    <row r="1457" spans="1:1" s="1129" customFormat="1" x14ac:dyDescent="0.25">
      <c r="A1457" s="463"/>
    </row>
    <row r="1458" spans="1:1" s="1129" customFormat="1" x14ac:dyDescent="0.25">
      <c r="A1458" s="463"/>
    </row>
    <row r="1459" spans="1:1" s="1129" customFormat="1" x14ac:dyDescent="0.25">
      <c r="A1459" s="463"/>
    </row>
    <row r="1460" spans="1:1" s="1129" customFormat="1" x14ac:dyDescent="0.25">
      <c r="A1460" s="463"/>
    </row>
    <row r="1461" spans="1:1" s="1129" customFormat="1" x14ac:dyDescent="0.25">
      <c r="A1461" s="463"/>
    </row>
    <row r="1462" spans="1:1" s="1129" customFormat="1" x14ac:dyDescent="0.25">
      <c r="A1462" s="463"/>
    </row>
    <row r="1463" spans="1:1" s="1129" customFormat="1" x14ac:dyDescent="0.25">
      <c r="A1463" s="463"/>
    </row>
    <row r="1464" spans="1:1" s="1129" customFormat="1" x14ac:dyDescent="0.25">
      <c r="A1464" s="463"/>
    </row>
    <row r="1465" spans="1:1" s="1129" customFormat="1" x14ac:dyDescent="0.25">
      <c r="A1465" s="463"/>
    </row>
    <row r="1466" spans="1:1" s="1129" customFormat="1" x14ac:dyDescent="0.25">
      <c r="A1466" s="463"/>
    </row>
    <row r="1467" spans="1:1" s="1129" customFormat="1" x14ac:dyDescent="0.25">
      <c r="A1467" s="463"/>
    </row>
    <row r="1468" spans="1:1" s="1129" customFormat="1" x14ac:dyDescent="0.25">
      <c r="A1468" s="463"/>
    </row>
    <row r="1469" spans="1:1" s="1129" customFormat="1" x14ac:dyDescent="0.25">
      <c r="A1469" s="463"/>
    </row>
    <row r="1470" spans="1:1" s="1129" customFormat="1" x14ac:dyDescent="0.25">
      <c r="A1470" s="463"/>
    </row>
    <row r="1471" spans="1:1" s="1129" customFormat="1" x14ac:dyDescent="0.25">
      <c r="A1471" s="463"/>
    </row>
    <row r="1472" spans="1:1" s="1129" customFormat="1" x14ac:dyDescent="0.25">
      <c r="A1472" s="463"/>
    </row>
    <row r="1473" spans="1:1" s="1129" customFormat="1" x14ac:dyDescent="0.25">
      <c r="A1473" s="463"/>
    </row>
    <row r="1474" spans="1:1" s="1129" customFormat="1" x14ac:dyDescent="0.25">
      <c r="A1474" s="463"/>
    </row>
    <row r="1475" spans="1:1" s="1129" customFormat="1" x14ac:dyDescent="0.25">
      <c r="A1475" s="463"/>
    </row>
    <row r="1476" spans="1:1" s="1129" customFormat="1" x14ac:dyDescent="0.25">
      <c r="A1476" s="463"/>
    </row>
    <row r="1477" spans="1:1" s="1129" customFormat="1" x14ac:dyDescent="0.25">
      <c r="A1477" s="463"/>
    </row>
    <row r="1478" spans="1:1" s="1129" customFormat="1" x14ac:dyDescent="0.25">
      <c r="A1478" s="463"/>
    </row>
    <row r="1479" spans="1:1" s="1129" customFormat="1" x14ac:dyDescent="0.25">
      <c r="A1479" s="463"/>
    </row>
    <row r="1480" spans="1:1" s="1129" customFormat="1" x14ac:dyDescent="0.25">
      <c r="A1480" s="463"/>
    </row>
    <row r="1481" spans="1:1" s="1129" customFormat="1" x14ac:dyDescent="0.25">
      <c r="A1481" s="463"/>
    </row>
    <row r="1482" spans="1:1" s="1129" customFormat="1" x14ac:dyDescent="0.25">
      <c r="A1482" s="463"/>
    </row>
    <row r="1483" spans="1:1" s="1129" customFormat="1" x14ac:dyDescent="0.25">
      <c r="A1483" s="463"/>
    </row>
    <row r="1484" spans="1:1" s="1129" customFormat="1" x14ac:dyDescent="0.25">
      <c r="A1484" s="463"/>
    </row>
    <row r="1485" spans="1:1" s="1129" customFormat="1" x14ac:dyDescent="0.25">
      <c r="A1485" s="463"/>
    </row>
    <row r="1486" spans="1:1" s="1129" customFormat="1" x14ac:dyDescent="0.25">
      <c r="A1486" s="463"/>
    </row>
    <row r="1487" spans="1:1" s="1129" customFormat="1" x14ac:dyDescent="0.25">
      <c r="A1487" s="463"/>
    </row>
    <row r="1488" spans="1:1" s="1129" customFormat="1" x14ac:dyDescent="0.25">
      <c r="A1488" s="463"/>
    </row>
    <row r="1489" spans="1:1" s="1129" customFormat="1" x14ac:dyDescent="0.25">
      <c r="A1489" s="463"/>
    </row>
    <row r="1490" spans="1:1" s="1129" customFormat="1" x14ac:dyDescent="0.25">
      <c r="A1490" s="463"/>
    </row>
    <row r="1491" spans="1:1" s="1129" customFormat="1" x14ac:dyDescent="0.25">
      <c r="A1491" s="463"/>
    </row>
    <row r="1492" spans="1:1" s="1129" customFormat="1" x14ac:dyDescent="0.25">
      <c r="A1492" s="463"/>
    </row>
    <row r="1493" spans="1:1" s="1129" customFormat="1" x14ac:dyDescent="0.25">
      <c r="A1493" s="463"/>
    </row>
    <row r="1494" spans="1:1" s="1129" customFormat="1" x14ac:dyDescent="0.25">
      <c r="A1494" s="463"/>
    </row>
    <row r="1495" spans="1:1" s="1129" customFormat="1" x14ac:dyDescent="0.25">
      <c r="A1495" s="463"/>
    </row>
    <row r="1496" spans="1:1" s="1129" customFormat="1" x14ac:dyDescent="0.25">
      <c r="A1496" s="463"/>
    </row>
    <row r="1497" spans="1:1" s="1129" customFormat="1" x14ac:dyDescent="0.25">
      <c r="A1497" s="463"/>
    </row>
    <row r="1498" spans="1:1" s="1129" customFormat="1" x14ac:dyDescent="0.25">
      <c r="A1498" s="463"/>
    </row>
    <row r="1499" spans="1:1" s="1129" customFormat="1" x14ac:dyDescent="0.25">
      <c r="A1499" s="463"/>
    </row>
    <row r="1500" spans="1:1" s="1129" customFormat="1" x14ac:dyDescent="0.25">
      <c r="A1500" s="463"/>
    </row>
    <row r="1501" spans="1:1" s="1129" customFormat="1" x14ac:dyDescent="0.25">
      <c r="A1501" s="463"/>
    </row>
    <row r="1502" spans="1:1" s="1129" customFormat="1" x14ac:dyDescent="0.25">
      <c r="A1502" s="463"/>
    </row>
    <row r="1503" spans="1:1" s="1129" customFormat="1" x14ac:dyDescent="0.25">
      <c r="A1503" s="463"/>
    </row>
    <row r="1504" spans="1:1" s="1129" customFormat="1" x14ac:dyDescent="0.25">
      <c r="A1504" s="463"/>
    </row>
    <row r="1505" spans="1:1" s="1129" customFormat="1" x14ac:dyDescent="0.25">
      <c r="A1505" s="463"/>
    </row>
    <row r="1506" spans="1:1" s="1129" customFormat="1" x14ac:dyDescent="0.25">
      <c r="A1506" s="463"/>
    </row>
    <row r="1507" spans="1:1" s="1129" customFormat="1" x14ac:dyDescent="0.25">
      <c r="A1507" s="463"/>
    </row>
    <row r="1508" spans="1:1" s="1129" customFormat="1" x14ac:dyDescent="0.25">
      <c r="A1508" s="463"/>
    </row>
    <row r="1509" spans="1:1" s="1129" customFormat="1" x14ac:dyDescent="0.25">
      <c r="A1509" s="463"/>
    </row>
    <row r="1510" spans="1:1" s="1129" customFormat="1" x14ac:dyDescent="0.25">
      <c r="A1510" s="463"/>
    </row>
    <row r="1511" spans="1:1" s="1129" customFormat="1" x14ac:dyDescent="0.25">
      <c r="A1511" s="463"/>
    </row>
    <row r="1512" spans="1:1" s="1129" customFormat="1" x14ac:dyDescent="0.25">
      <c r="A1512" s="463"/>
    </row>
    <row r="1513" spans="1:1" s="1129" customFormat="1" x14ac:dyDescent="0.25">
      <c r="A1513" s="463"/>
    </row>
    <row r="1514" spans="1:1" s="1129" customFormat="1" x14ac:dyDescent="0.25">
      <c r="A1514" s="463"/>
    </row>
    <row r="1515" spans="1:1" s="1129" customFormat="1" x14ac:dyDescent="0.25">
      <c r="A1515" s="463"/>
    </row>
    <row r="1516" spans="1:1" s="1129" customFormat="1" x14ac:dyDescent="0.25">
      <c r="A1516" s="463"/>
    </row>
    <row r="1517" spans="1:1" s="1129" customFormat="1" x14ac:dyDescent="0.25">
      <c r="A1517" s="463"/>
    </row>
    <row r="1518" spans="1:1" s="1129" customFormat="1" x14ac:dyDescent="0.25">
      <c r="A1518" s="463"/>
    </row>
    <row r="1519" spans="1:1" s="1129" customFormat="1" x14ac:dyDescent="0.25">
      <c r="A1519" s="463"/>
    </row>
    <row r="1520" spans="1:1" s="1129" customFormat="1" x14ac:dyDescent="0.25">
      <c r="A1520" s="463"/>
    </row>
    <row r="1521" spans="1:1" s="1129" customFormat="1" x14ac:dyDescent="0.25">
      <c r="A1521" s="463"/>
    </row>
    <row r="1522" spans="1:1" s="1129" customFormat="1" x14ac:dyDescent="0.25">
      <c r="A1522" s="463"/>
    </row>
    <row r="1523" spans="1:1" s="1129" customFormat="1" x14ac:dyDescent="0.25">
      <c r="A1523" s="463"/>
    </row>
    <row r="1524" spans="1:1" s="1129" customFormat="1" x14ac:dyDescent="0.25">
      <c r="A1524" s="463"/>
    </row>
    <row r="1525" spans="1:1" s="1129" customFormat="1" x14ac:dyDescent="0.25">
      <c r="A1525" s="463"/>
    </row>
    <row r="1526" spans="1:1" s="1129" customFormat="1" x14ac:dyDescent="0.25">
      <c r="A1526" s="463"/>
    </row>
    <row r="1527" spans="1:1" s="1129" customFormat="1" x14ac:dyDescent="0.25">
      <c r="A1527" s="463"/>
    </row>
    <row r="1528" spans="1:1" s="1129" customFormat="1" x14ac:dyDescent="0.25">
      <c r="A1528" s="463"/>
    </row>
    <row r="1529" spans="1:1" s="1129" customFormat="1" x14ac:dyDescent="0.25">
      <c r="A1529" s="463"/>
    </row>
    <row r="1530" spans="1:1" s="1129" customFormat="1" x14ac:dyDescent="0.25">
      <c r="A1530" s="463"/>
    </row>
    <row r="1531" spans="1:1" s="1129" customFormat="1" x14ac:dyDescent="0.25">
      <c r="A1531" s="463"/>
    </row>
    <row r="1532" spans="1:1" s="1129" customFormat="1" x14ac:dyDescent="0.25">
      <c r="A1532" s="463"/>
    </row>
    <row r="1533" spans="1:1" s="1129" customFormat="1" x14ac:dyDescent="0.25">
      <c r="A1533" s="463"/>
    </row>
    <row r="1534" spans="1:1" s="1129" customFormat="1" x14ac:dyDescent="0.25">
      <c r="A1534" s="463"/>
    </row>
    <row r="1535" spans="1:1" s="1129" customFormat="1" x14ac:dyDescent="0.25">
      <c r="A1535" s="463"/>
    </row>
    <row r="1536" spans="1:1" s="1129" customFormat="1" x14ac:dyDescent="0.25">
      <c r="A1536" s="463"/>
    </row>
    <row r="1537" spans="1:1" s="1129" customFormat="1" x14ac:dyDescent="0.25">
      <c r="A1537" s="463"/>
    </row>
    <row r="1538" spans="1:1" s="1129" customFormat="1" x14ac:dyDescent="0.25">
      <c r="A1538" s="463"/>
    </row>
    <row r="1539" spans="1:1" s="1129" customFormat="1" x14ac:dyDescent="0.25">
      <c r="A1539" s="463"/>
    </row>
    <row r="1540" spans="1:1" s="1129" customFormat="1" x14ac:dyDescent="0.25">
      <c r="A1540" s="463"/>
    </row>
    <row r="1541" spans="1:1" s="1129" customFormat="1" x14ac:dyDescent="0.25">
      <c r="A1541" s="463"/>
    </row>
    <row r="1542" spans="1:1" s="1129" customFormat="1" x14ac:dyDescent="0.25">
      <c r="A1542" s="463"/>
    </row>
    <row r="1543" spans="1:1" s="1129" customFormat="1" x14ac:dyDescent="0.25">
      <c r="A1543" s="463"/>
    </row>
    <row r="1544" spans="1:1" s="1129" customFormat="1" x14ac:dyDescent="0.25">
      <c r="A1544" s="463"/>
    </row>
    <row r="1545" spans="1:1" s="1129" customFormat="1" x14ac:dyDescent="0.25">
      <c r="A1545" s="463"/>
    </row>
    <row r="1546" spans="1:1" s="1129" customFormat="1" x14ac:dyDescent="0.25">
      <c r="A1546" s="463"/>
    </row>
    <row r="1547" spans="1:1" s="1129" customFormat="1" x14ac:dyDescent="0.25">
      <c r="A1547" s="463"/>
    </row>
    <row r="1548" spans="1:1" s="1129" customFormat="1" x14ac:dyDescent="0.25">
      <c r="A1548" s="463"/>
    </row>
    <row r="1549" spans="1:1" s="1129" customFormat="1" x14ac:dyDescent="0.25">
      <c r="A1549" s="463"/>
    </row>
    <row r="1550" spans="1:1" s="1129" customFormat="1" x14ac:dyDescent="0.25">
      <c r="A1550" s="463"/>
    </row>
    <row r="1551" spans="1:1" s="1129" customFormat="1" x14ac:dyDescent="0.25">
      <c r="A1551" s="463"/>
    </row>
    <row r="1552" spans="1:1" s="1129" customFormat="1" x14ac:dyDescent="0.25">
      <c r="A1552" s="463"/>
    </row>
    <row r="1553" spans="1:1" s="1129" customFormat="1" x14ac:dyDescent="0.25">
      <c r="A1553" s="463"/>
    </row>
    <row r="1554" spans="1:1" s="1129" customFormat="1" x14ac:dyDescent="0.25">
      <c r="A1554" s="463"/>
    </row>
    <row r="1555" spans="1:1" s="1129" customFormat="1" x14ac:dyDescent="0.25">
      <c r="A1555" s="463"/>
    </row>
    <row r="1556" spans="1:1" s="1129" customFormat="1" x14ac:dyDescent="0.25">
      <c r="A1556" s="463"/>
    </row>
    <row r="1557" spans="1:1" s="1129" customFormat="1" x14ac:dyDescent="0.25">
      <c r="A1557" s="463"/>
    </row>
    <row r="1558" spans="1:1" s="1129" customFormat="1" x14ac:dyDescent="0.25">
      <c r="A1558" s="463"/>
    </row>
    <row r="1559" spans="1:1" s="1129" customFormat="1" x14ac:dyDescent="0.25">
      <c r="A1559" s="463"/>
    </row>
    <row r="1560" spans="1:1" s="1129" customFormat="1" x14ac:dyDescent="0.25">
      <c r="A1560" s="463"/>
    </row>
    <row r="1561" spans="1:1" s="1129" customFormat="1" x14ac:dyDescent="0.25">
      <c r="A1561" s="463"/>
    </row>
    <row r="1562" spans="1:1" s="1129" customFormat="1" x14ac:dyDescent="0.25">
      <c r="A1562" s="463"/>
    </row>
    <row r="1563" spans="1:1" s="1129" customFormat="1" x14ac:dyDescent="0.25">
      <c r="A1563" s="463"/>
    </row>
    <row r="1564" spans="1:1" s="1129" customFormat="1" x14ac:dyDescent="0.25">
      <c r="A1564" s="463"/>
    </row>
    <row r="1565" spans="1:1" s="1129" customFormat="1" x14ac:dyDescent="0.25">
      <c r="A1565" s="463"/>
    </row>
    <row r="1566" spans="1:1" s="1129" customFormat="1" x14ac:dyDescent="0.25">
      <c r="A1566" s="463"/>
    </row>
    <row r="1567" spans="1:1" s="1129" customFormat="1" x14ac:dyDescent="0.25">
      <c r="A1567" s="463"/>
    </row>
    <row r="1568" spans="1:1" s="1129" customFormat="1" x14ac:dyDescent="0.25">
      <c r="A1568" s="463"/>
    </row>
    <row r="1569" spans="1:1" s="1129" customFormat="1" x14ac:dyDescent="0.25">
      <c r="A1569" s="463"/>
    </row>
    <row r="1570" spans="1:1" s="1129" customFormat="1" x14ac:dyDescent="0.25">
      <c r="A1570" s="463"/>
    </row>
    <row r="1571" spans="1:1" s="1129" customFormat="1" x14ac:dyDescent="0.25">
      <c r="A1571" s="463"/>
    </row>
    <row r="1572" spans="1:1" s="1129" customFormat="1" x14ac:dyDescent="0.25">
      <c r="A1572" s="463"/>
    </row>
    <row r="1573" spans="1:1" s="1129" customFormat="1" x14ac:dyDescent="0.25">
      <c r="A1573" s="463"/>
    </row>
    <row r="1574" spans="1:1" s="1129" customFormat="1" x14ac:dyDescent="0.25">
      <c r="A1574" s="463"/>
    </row>
    <row r="1575" spans="1:1" s="1129" customFormat="1" x14ac:dyDescent="0.25">
      <c r="A1575" s="463"/>
    </row>
    <row r="1576" spans="1:1" s="1129" customFormat="1" x14ac:dyDescent="0.25">
      <c r="A1576" s="463"/>
    </row>
    <row r="1577" spans="1:1" s="1129" customFormat="1" x14ac:dyDescent="0.25">
      <c r="A1577" s="463"/>
    </row>
    <row r="1578" spans="1:1" s="1129" customFormat="1" x14ac:dyDescent="0.25">
      <c r="A1578" s="463"/>
    </row>
    <row r="1579" spans="1:1" s="1129" customFormat="1" x14ac:dyDescent="0.25">
      <c r="A1579" s="463"/>
    </row>
    <row r="1580" spans="1:1" s="1129" customFormat="1" x14ac:dyDescent="0.25">
      <c r="A1580" s="463"/>
    </row>
    <row r="1581" spans="1:1" s="1129" customFormat="1" x14ac:dyDescent="0.25">
      <c r="A1581" s="463"/>
    </row>
    <row r="1582" spans="1:1" s="1129" customFormat="1" x14ac:dyDescent="0.25">
      <c r="A1582" s="463"/>
    </row>
    <row r="1583" spans="1:1" s="1129" customFormat="1" x14ac:dyDescent="0.25">
      <c r="A1583" s="463"/>
    </row>
    <row r="1584" spans="1:1" s="1129" customFormat="1" x14ac:dyDescent="0.25">
      <c r="A1584" s="463"/>
    </row>
    <row r="1585" spans="1:1" s="1129" customFormat="1" x14ac:dyDescent="0.25">
      <c r="A1585" s="463"/>
    </row>
    <row r="1586" spans="1:1" s="1129" customFormat="1" x14ac:dyDescent="0.25">
      <c r="A1586" s="463"/>
    </row>
    <row r="1587" spans="1:1" s="1129" customFormat="1" x14ac:dyDescent="0.25">
      <c r="A1587" s="463"/>
    </row>
    <row r="1588" spans="1:1" s="1129" customFormat="1" x14ac:dyDescent="0.25">
      <c r="A1588" s="463"/>
    </row>
    <row r="1589" spans="1:1" s="1129" customFormat="1" x14ac:dyDescent="0.25">
      <c r="A1589" s="463"/>
    </row>
    <row r="1590" spans="1:1" s="1129" customFormat="1" x14ac:dyDescent="0.25">
      <c r="A1590" s="463"/>
    </row>
    <row r="1591" spans="1:1" s="1129" customFormat="1" x14ac:dyDescent="0.25">
      <c r="A1591" s="463"/>
    </row>
    <row r="1592" spans="1:1" s="1129" customFormat="1" x14ac:dyDescent="0.25">
      <c r="A1592" s="463"/>
    </row>
    <row r="1593" spans="1:1" s="1129" customFormat="1" x14ac:dyDescent="0.25">
      <c r="A1593" s="463"/>
    </row>
    <row r="1594" spans="1:1" s="1129" customFormat="1" x14ac:dyDescent="0.25">
      <c r="A1594" s="463"/>
    </row>
    <row r="1595" spans="1:1" s="1129" customFormat="1" x14ac:dyDescent="0.25">
      <c r="A1595" s="463"/>
    </row>
    <row r="1596" spans="1:1" s="1129" customFormat="1" x14ac:dyDescent="0.25">
      <c r="A1596" s="463"/>
    </row>
    <row r="1597" spans="1:1" s="1129" customFormat="1" x14ac:dyDescent="0.25">
      <c r="A1597" s="463"/>
    </row>
    <row r="1598" spans="1:1" s="1129" customFormat="1" x14ac:dyDescent="0.25">
      <c r="A1598" s="463"/>
    </row>
    <row r="1599" spans="1:1" s="1129" customFormat="1" x14ac:dyDescent="0.25">
      <c r="A1599" s="463"/>
    </row>
    <row r="1600" spans="1:1" s="1129" customFormat="1" x14ac:dyDescent="0.25">
      <c r="A1600" s="463"/>
    </row>
    <row r="1601" spans="1:1" s="1129" customFormat="1" x14ac:dyDescent="0.25">
      <c r="A1601" s="463"/>
    </row>
    <row r="1602" spans="1:1" s="1129" customFormat="1" x14ac:dyDescent="0.25">
      <c r="A1602" s="463"/>
    </row>
    <row r="1603" spans="1:1" s="1129" customFormat="1" x14ac:dyDescent="0.25">
      <c r="A1603" s="463"/>
    </row>
    <row r="1604" spans="1:1" s="1129" customFormat="1" x14ac:dyDescent="0.25">
      <c r="A1604" s="463"/>
    </row>
    <row r="1605" spans="1:1" s="1129" customFormat="1" x14ac:dyDescent="0.25">
      <c r="A1605" s="463"/>
    </row>
    <row r="1606" spans="1:1" s="1129" customFormat="1" x14ac:dyDescent="0.25">
      <c r="A1606" s="463"/>
    </row>
    <row r="1607" spans="1:1" s="1129" customFormat="1" x14ac:dyDescent="0.25">
      <c r="A1607" s="463"/>
    </row>
    <row r="1608" spans="1:1" s="1129" customFormat="1" x14ac:dyDescent="0.25">
      <c r="A1608" s="463"/>
    </row>
    <row r="1609" spans="1:1" s="1129" customFormat="1" x14ac:dyDescent="0.25">
      <c r="A1609" s="463"/>
    </row>
    <row r="1610" spans="1:1" s="1129" customFormat="1" x14ac:dyDescent="0.25">
      <c r="A1610" s="463"/>
    </row>
    <row r="1611" spans="1:1" s="1129" customFormat="1" x14ac:dyDescent="0.25">
      <c r="A1611" s="463"/>
    </row>
    <row r="1612" spans="1:1" s="1129" customFormat="1" x14ac:dyDescent="0.25">
      <c r="A1612" s="463"/>
    </row>
    <row r="1613" spans="1:1" s="1129" customFormat="1" x14ac:dyDescent="0.25">
      <c r="A1613" s="463"/>
    </row>
    <row r="1614" spans="1:1" s="1129" customFormat="1" x14ac:dyDescent="0.25">
      <c r="A1614" s="463"/>
    </row>
    <row r="1615" spans="1:1" s="1129" customFormat="1" x14ac:dyDescent="0.25">
      <c r="A1615" s="463"/>
    </row>
    <row r="1616" spans="1:1" s="1129" customFormat="1" x14ac:dyDescent="0.25">
      <c r="A1616" s="463"/>
    </row>
    <row r="1617" spans="1:1" s="1129" customFormat="1" x14ac:dyDescent="0.25">
      <c r="A1617" s="463"/>
    </row>
    <row r="1618" spans="1:1" s="1129" customFormat="1" x14ac:dyDescent="0.25">
      <c r="A1618" s="463"/>
    </row>
    <row r="1619" spans="1:1" s="1129" customFormat="1" x14ac:dyDescent="0.25">
      <c r="A1619" s="463"/>
    </row>
    <row r="1620" spans="1:1" s="1129" customFormat="1" x14ac:dyDescent="0.25">
      <c r="A1620" s="463"/>
    </row>
    <row r="1621" spans="1:1" s="1129" customFormat="1" x14ac:dyDescent="0.25">
      <c r="A1621" s="463"/>
    </row>
    <row r="1622" spans="1:1" s="1129" customFormat="1" x14ac:dyDescent="0.25">
      <c r="A1622" s="463"/>
    </row>
    <row r="1623" spans="1:1" s="1129" customFormat="1" x14ac:dyDescent="0.25">
      <c r="A1623" s="463"/>
    </row>
    <row r="1624" spans="1:1" s="1129" customFormat="1" x14ac:dyDescent="0.25">
      <c r="A1624" s="463"/>
    </row>
    <row r="1625" spans="1:1" s="1129" customFormat="1" x14ac:dyDescent="0.25">
      <c r="A1625" s="463"/>
    </row>
    <row r="1626" spans="1:1" s="1129" customFormat="1" x14ac:dyDescent="0.25">
      <c r="A1626" s="463"/>
    </row>
    <row r="1627" spans="1:1" s="1129" customFormat="1" x14ac:dyDescent="0.25">
      <c r="A1627" s="463"/>
    </row>
    <row r="1628" spans="1:1" s="1129" customFormat="1" x14ac:dyDescent="0.25">
      <c r="A1628" s="463"/>
    </row>
    <row r="1629" spans="1:1" s="1129" customFormat="1" x14ac:dyDescent="0.25">
      <c r="A1629" s="463"/>
    </row>
    <row r="1630" spans="1:1" s="1129" customFormat="1" x14ac:dyDescent="0.25">
      <c r="A1630" s="463"/>
    </row>
    <row r="1631" spans="1:1" s="1129" customFormat="1" x14ac:dyDescent="0.25">
      <c r="A1631" s="463"/>
    </row>
    <row r="1632" spans="1:1" s="1129" customFormat="1" x14ac:dyDescent="0.25">
      <c r="A1632" s="463"/>
    </row>
    <row r="1633" spans="1:1" s="1129" customFormat="1" x14ac:dyDescent="0.25">
      <c r="A1633" s="463"/>
    </row>
    <row r="1634" spans="1:1" s="1129" customFormat="1" x14ac:dyDescent="0.25">
      <c r="A1634" s="463"/>
    </row>
    <row r="1635" spans="1:1" s="1129" customFormat="1" x14ac:dyDescent="0.25">
      <c r="A1635" s="463"/>
    </row>
    <row r="1636" spans="1:1" s="1129" customFormat="1" x14ac:dyDescent="0.25">
      <c r="A1636" s="463"/>
    </row>
    <row r="1637" spans="1:1" s="1129" customFormat="1" x14ac:dyDescent="0.25">
      <c r="A1637" s="463"/>
    </row>
    <row r="1638" spans="1:1" s="1129" customFormat="1" x14ac:dyDescent="0.25">
      <c r="A1638" s="463"/>
    </row>
    <row r="1639" spans="1:1" s="1129" customFormat="1" x14ac:dyDescent="0.25">
      <c r="A1639" s="463"/>
    </row>
    <row r="1640" spans="1:1" s="1129" customFormat="1" x14ac:dyDescent="0.25">
      <c r="A1640" s="463"/>
    </row>
    <row r="1641" spans="1:1" s="1129" customFormat="1" x14ac:dyDescent="0.25">
      <c r="A1641" s="463"/>
    </row>
    <row r="1642" spans="1:1" s="1129" customFormat="1" x14ac:dyDescent="0.25">
      <c r="A1642" s="463"/>
    </row>
    <row r="1643" spans="1:1" s="1129" customFormat="1" x14ac:dyDescent="0.25">
      <c r="A1643" s="463"/>
    </row>
    <row r="1644" spans="1:1" s="1129" customFormat="1" x14ac:dyDescent="0.25">
      <c r="A1644" s="463"/>
    </row>
    <row r="1645" spans="1:1" s="1129" customFormat="1" x14ac:dyDescent="0.25">
      <c r="A1645" s="463"/>
    </row>
    <row r="1646" spans="1:1" s="1129" customFormat="1" x14ac:dyDescent="0.25">
      <c r="A1646" s="463"/>
    </row>
    <row r="1647" spans="1:1" s="1129" customFormat="1" x14ac:dyDescent="0.25">
      <c r="A1647" s="463"/>
    </row>
    <row r="1648" spans="1:1" s="1129" customFormat="1" x14ac:dyDescent="0.25">
      <c r="A1648" s="463"/>
    </row>
    <row r="1649" spans="1:1" s="1129" customFormat="1" x14ac:dyDescent="0.25">
      <c r="A1649" s="463"/>
    </row>
    <row r="1650" spans="1:1" s="1129" customFormat="1" x14ac:dyDescent="0.25">
      <c r="A1650" s="463"/>
    </row>
    <row r="1651" spans="1:1" s="1129" customFormat="1" x14ac:dyDescent="0.25">
      <c r="A1651" s="463"/>
    </row>
    <row r="1652" spans="1:1" s="1129" customFormat="1" x14ac:dyDescent="0.25">
      <c r="A1652" s="463"/>
    </row>
    <row r="1653" spans="1:1" s="1129" customFormat="1" x14ac:dyDescent="0.25">
      <c r="A1653" s="463"/>
    </row>
    <row r="1654" spans="1:1" s="1129" customFormat="1" x14ac:dyDescent="0.25">
      <c r="A1654" s="463"/>
    </row>
    <row r="1655" spans="1:1" s="1129" customFormat="1" x14ac:dyDescent="0.25">
      <c r="A1655" s="463"/>
    </row>
    <row r="1656" spans="1:1" s="1129" customFormat="1" x14ac:dyDescent="0.25">
      <c r="A1656" s="463"/>
    </row>
    <row r="1657" spans="1:1" s="1129" customFormat="1" x14ac:dyDescent="0.25">
      <c r="A1657" s="463"/>
    </row>
    <row r="1658" spans="1:1" s="1129" customFormat="1" x14ac:dyDescent="0.25">
      <c r="A1658" s="463"/>
    </row>
    <row r="1659" spans="1:1" s="1129" customFormat="1" x14ac:dyDescent="0.25">
      <c r="A1659" s="463"/>
    </row>
    <row r="1660" spans="1:1" s="1129" customFormat="1" x14ac:dyDescent="0.25">
      <c r="A1660" s="463"/>
    </row>
    <row r="1661" spans="1:1" s="1129" customFormat="1" x14ac:dyDescent="0.25">
      <c r="A1661" s="463"/>
    </row>
    <row r="1662" spans="1:1" s="1129" customFormat="1" x14ac:dyDescent="0.25">
      <c r="A1662" s="463"/>
    </row>
    <row r="1663" spans="1:1" s="1129" customFormat="1" x14ac:dyDescent="0.25">
      <c r="A1663" s="463"/>
    </row>
    <row r="1664" spans="1:1" s="1129" customFormat="1" x14ac:dyDescent="0.25">
      <c r="A1664" s="463"/>
    </row>
    <row r="1665" spans="1:1" s="1129" customFormat="1" x14ac:dyDescent="0.25">
      <c r="A1665" s="463"/>
    </row>
    <row r="1666" spans="1:1" s="1129" customFormat="1" x14ac:dyDescent="0.25">
      <c r="A1666" s="463"/>
    </row>
    <row r="1667" spans="1:1" s="1129" customFormat="1" x14ac:dyDescent="0.25">
      <c r="A1667" s="463"/>
    </row>
    <row r="1668" spans="1:1" s="1129" customFormat="1" x14ac:dyDescent="0.25">
      <c r="A1668" s="463"/>
    </row>
    <row r="1669" spans="1:1" s="1129" customFormat="1" x14ac:dyDescent="0.25">
      <c r="A1669" s="463"/>
    </row>
    <row r="1670" spans="1:1" s="1129" customFormat="1" x14ac:dyDescent="0.25">
      <c r="A1670" s="463"/>
    </row>
    <row r="1671" spans="1:1" s="1129" customFormat="1" x14ac:dyDescent="0.25">
      <c r="A1671" s="463"/>
    </row>
    <row r="1672" spans="1:1" s="1129" customFormat="1" x14ac:dyDescent="0.25">
      <c r="A1672" s="463"/>
    </row>
    <row r="1673" spans="1:1" s="1129" customFormat="1" x14ac:dyDescent="0.25">
      <c r="A1673" s="463"/>
    </row>
    <row r="1674" spans="1:1" s="1129" customFormat="1" x14ac:dyDescent="0.25">
      <c r="A1674" s="463"/>
    </row>
    <row r="1675" spans="1:1" s="1129" customFormat="1" x14ac:dyDescent="0.25">
      <c r="A1675" s="463"/>
    </row>
    <row r="1676" spans="1:1" s="1129" customFormat="1" x14ac:dyDescent="0.25">
      <c r="A1676" s="463"/>
    </row>
    <row r="1677" spans="1:1" s="1129" customFormat="1" x14ac:dyDescent="0.25">
      <c r="A1677" s="463"/>
    </row>
    <row r="1678" spans="1:1" s="1129" customFormat="1" x14ac:dyDescent="0.25">
      <c r="A1678" s="463"/>
    </row>
    <row r="1679" spans="1:1" s="1129" customFormat="1" x14ac:dyDescent="0.25">
      <c r="A1679" s="463"/>
    </row>
    <row r="1680" spans="1:1" s="1129" customFormat="1" x14ac:dyDescent="0.25">
      <c r="A1680" s="463"/>
    </row>
    <row r="1681" spans="1:1" s="1129" customFormat="1" x14ac:dyDescent="0.25">
      <c r="A1681" s="463"/>
    </row>
    <row r="1682" spans="1:1" s="1129" customFormat="1" x14ac:dyDescent="0.25">
      <c r="A1682" s="463"/>
    </row>
    <row r="1683" spans="1:1" s="1129" customFormat="1" x14ac:dyDescent="0.25">
      <c r="A1683" s="463"/>
    </row>
    <row r="1684" spans="1:1" s="1129" customFormat="1" x14ac:dyDescent="0.25">
      <c r="A1684" s="463"/>
    </row>
    <row r="1685" spans="1:1" s="1129" customFormat="1" x14ac:dyDescent="0.25">
      <c r="A1685" s="463"/>
    </row>
    <row r="1686" spans="1:1" s="1129" customFormat="1" x14ac:dyDescent="0.25">
      <c r="A1686" s="463"/>
    </row>
    <row r="1687" spans="1:1" s="1129" customFormat="1" x14ac:dyDescent="0.25">
      <c r="A1687" s="463"/>
    </row>
    <row r="1688" spans="1:1" s="1129" customFormat="1" x14ac:dyDescent="0.25">
      <c r="A1688" s="463"/>
    </row>
    <row r="1689" spans="1:1" s="1129" customFormat="1" x14ac:dyDescent="0.25">
      <c r="A1689" s="463"/>
    </row>
    <row r="1690" spans="1:1" s="1129" customFormat="1" x14ac:dyDescent="0.25">
      <c r="A1690" s="463"/>
    </row>
    <row r="1691" spans="1:1" s="1129" customFormat="1" x14ac:dyDescent="0.25">
      <c r="A1691" s="463"/>
    </row>
    <row r="1692" spans="1:1" s="1129" customFormat="1" x14ac:dyDescent="0.25">
      <c r="A1692" s="463"/>
    </row>
    <row r="1693" spans="1:1" s="1129" customFormat="1" x14ac:dyDescent="0.25">
      <c r="A1693" s="463"/>
    </row>
    <row r="1694" spans="1:1" s="1129" customFormat="1" x14ac:dyDescent="0.25">
      <c r="A1694" s="463"/>
    </row>
    <row r="1695" spans="1:1" s="1129" customFormat="1" x14ac:dyDescent="0.25">
      <c r="A1695" s="463"/>
    </row>
    <row r="1696" spans="1:1" s="1129" customFormat="1" x14ac:dyDescent="0.25">
      <c r="A1696" s="463"/>
    </row>
    <row r="1697" spans="1:1" s="1129" customFormat="1" x14ac:dyDescent="0.25">
      <c r="A1697" s="463"/>
    </row>
    <row r="1698" spans="1:1" s="1129" customFormat="1" x14ac:dyDescent="0.25">
      <c r="A1698" s="463"/>
    </row>
    <row r="1699" spans="1:1" s="1129" customFormat="1" x14ac:dyDescent="0.25">
      <c r="A1699" s="463"/>
    </row>
    <row r="1700" spans="1:1" s="1129" customFormat="1" x14ac:dyDescent="0.25">
      <c r="A1700" s="463"/>
    </row>
    <row r="1701" spans="1:1" s="1129" customFormat="1" x14ac:dyDescent="0.25">
      <c r="A1701" s="463"/>
    </row>
    <row r="1702" spans="1:1" s="1129" customFormat="1" x14ac:dyDescent="0.25">
      <c r="A1702" s="463"/>
    </row>
    <row r="1703" spans="1:1" s="1129" customFormat="1" x14ac:dyDescent="0.25">
      <c r="A1703" s="463"/>
    </row>
    <row r="1704" spans="1:1" s="1129" customFormat="1" x14ac:dyDescent="0.25">
      <c r="A1704" s="463"/>
    </row>
    <row r="1705" spans="1:1" s="1129" customFormat="1" x14ac:dyDescent="0.25">
      <c r="A1705" s="463"/>
    </row>
    <row r="1706" spans="1:1" s="1129" customFormat="1" x14ac:dyDescent="0.25">
      <c r="A1706" s="463"/>
    </row>
    <row r="1707" spans="1:1" s="1129" customFormat="1" x14ac:dyDescent="0.25">
      <c r="A1707" s="463"/>
    </row>
    <row r="1708" spans="1:1" s="1129" customFormat="1" x14ac:dyDescent="0.25">
      <c r="A1708" s="463"/>
    </row>
    <row r="1709" spans="1:1" s="1129" customFormat="1" x14ac:dyDescent="0.25">
      <c r="A1709" s="463"/>
    </row>
    <row r="1710" spans="1:1" s="1129" customFormat="1" x14ac:dyDescent="0.25">
      <c r="A1710" s="463"/>
    </row>
    <row r="1711" spans="1:1" s="1129" customFormat="1" x14ac:dyDescent="0.25">
      <c r="A1711" s="463"/>
    </row>
    <row r="1712" spans="1:1" s="1129" customFormat="1" x14ac:dyDescent="0.25">
      <c r="A1712" s="463"/>
    </row>
    <row r="1713" spans="1:1" s="1129" customFormat="1" x14ac:dyDescent="0.25">
      <c r="A1713" s="463"/>
    </row>
    <row r="1714" spans="1:1" s="1129" customFormat="1" x14ac:dyDescent="0.25">
      <c r="A1714" s="463"/>
    </row>
    <row r="1715" spans="1:1" s="1129" customFormat="1" x14ac:dyDescent="0.25">
      <c r="A1715" s="463"/>
    </row>
    <row r="1716" spans="1:1" s="1129" customFormat="1" x14ac:dyDescent="0.25">
      <c r="A1716" s="463"/>
    </row>
    <row r="1717" spans="1:1" s="1129" customFormat="1" x14ac:dyDescent="0.25">
      <c r="A1717" s="463"/>
    </row>
    <row r="1718" spans="1:1" s="1129" customFormat="1" x14ac:dyDescent="0.25">
      <c r="A1718" s="463"/>
    </row>
    <row r="1719" spans="1:1" s="1129" customFormat="1" x14ac:dyDescent="0.25">
      <c r="A1719" s="463"/>
    </row>
    <row r="1720" spans="1:1" s="1129" customFormat="1" x14ac:dyDescent="0.25">
      <c r="A1720" s="463"/>
    </row>
    <row r="1721" spans="1:1" s="1129" customFormat="1" x14ac:dyDescent="0.25">
      <c r="A1721" s="463"/>
    </row>
    <row r="1722" spans="1:1" s="1129" customFormat="1" x14ac:dyDescent="0.25">
      <c r="A1722" s="463"/>
    </row>
    <row r="1723" spans="1:1" s="1129" customFormat="1" x14ac:dyDescent="0.25">
      <c r="A1723" s="463"/>
    </row>
    <row r="1724" spans="1:1" s="1129" customFormat="1" x14ac:dyDescent="0.25">
      <c r="A1724" s="463"/>
    </row>
    <row r="1725" spans="1:1" s="1129" customFormat="1" x14ac:dyDescent="0.25">
      <c r="A1725" s="463"/>
    </row>
    <row r="1726" spans="1:1" s="1129" customFormat="1" x14ac:dyDescent="0.25">
      <c r="A1726" s="463"/>
    </row>
    <row r="1727" spans="1:1" s="1129" customFormat="1" x14ac:dyDescent="0.25">
      <c r="A1727" s="463"/>
    </row>
    <row r="1728" spans="1:1" s="1129" customFormat="1" x14ac:dyDescent="0.25">
      <c r="A1728" s="463"/>
    </row>
    <row r="1729" spans="1:1" s="1129" customFormat="1" x14ac:dyDescent="0.25">
      <c r="A1729" s="463"/>
    </row>
    <row r="1730" spans="1:1" s="1129" customFormat="1" x14ac:dyDescent="0.25">
      <c r="A1730" s="463"/>
    </row>
    <row r="1731" spans="1:1" s="1129" customFormat="1" x14ac:dyDescent="0.25">
      <c r="A1731" s="463"/>
    </row>
    <row r="1732" spans="1:1" s="1129" customFormat="1" x14ac:dyDescent="0.25">
      <c r="A1732" s="463"/>
    </row>
    <row r="1733" spans="1:1" s="1129" customFormat="1" x14ac:dyDescent="0.25">
      <c r="A1733" s="463"/>
    </row>
    <row r="1734" spans="1:1" s="1129" customFormat="1" x14ac:dyDescent="0.25">
      <c r="A1734" s="463"/>
    </row>
    <row r="1735" spans="1:1" s="1129" customFormat="1" x14ac:dyDescent="0.25">
      <c r="A1735" s="463"/>
    </row>
    <row r="1736" spans="1:1" s="1129" customFormat="1" x14ac:dyDescent="0.25">
      <c r="A1736" s="463"/>
    </row>
    <row r="1737" spans="1:1" s="1129" customFormat="1" x14ac:dyDescent="0.25">
      <c r="A1737" s="463"/>
    </row>
    <row r="1738" spans="1:1" s="1129" customFormat="1" x14ac:dyDescent="0.25">
      <c r="A1738" s="463"/>
    </row>
    <row r="1739" spans="1:1" s="1129" customFormat="1" x14ac:dyDescent="0.25">
      <c r="A1739" s="463"/>
    </row>
    <row r="1740" spans="1:1" s="1129" customFormat="1" x14ac:dyDescent="0.25">
      <c r="A1740" s="463"/>
    </row>
    <row r="1741" spans="1:1" s="1129" customFormat="1" x14ac:dyDescent="0.25">
      <c r="A1741" s="463"/>
    </row>
    <row r="1742" spans="1:1" s="1129" customFormat="1" x14ac:dyDescent="0.25">
      <c r="A1742" s="463"/>
    </row>
    <row r="1743" spans="1:1" s="1129" customFormat="1" x14ac:dyDescent="0.25">
      <c r="A1743" s="463"/>
    </row>
    <row r="1744" spans="1:1" s="1129" customFormat="1" x14ac:dyDescent="0.25">
      <c r="A1744" s="463"/>
    </row>
    <row r="1745" spans="1:1" s="1129" customFormat="1" x14ac:dyDescent="0.25">
      <c r="A1745" s="463"/>
    </row>
    <row r="1746" spans="1:1" s="1129" customFormat="1" x14ac:dyDescent="0.25">
      <c r="A1746" s="463"/>
    </row>
    <row r="1747" spans="1:1" s="1129" customFormat="1" x14ac:dyDescent="0.25">
      <c r="A1747" s="463"/>
    </row>
    <row r="1748" spans="1:1" s="1129" customFormat="1" x14ac:dyDescent="0.25">
      <c r="A1748" s="463"/>
    </row>
    <row r="1749" spans="1:1" s="1129" customFormat="1" x14ac:dyDescent="0.25">
      <c r="A1749" s="463"/>
    </row>
    <row r="1750" spans="1:1" s="1129" customFormat="1" x14ac:dyDescent="0.25">
      <c r="A1750" s="463"/>
    </row>
    <row r="1751" spans="1:1" s="1129" customFormat="1" x14ac:dyDescent="0.25">
      <c r="A1751" s="463"/>
    </row>
    <row r="1752" spans="1:1" s="1129" customFormat="1" x14ac:dyDescent="0.25">
      <c r="A1752" s="463"/>
    </row>
    <row r="1753" spans="1:1" s="1129" customFormat="1" x14ac:dyDescent="0.25">
      <c r="A1753" s="463"/>
    </row>
    <row r="1754" spans="1:1" s="1129" customFormat="1" x14ac:dyDescent="0.25">
      <c r="A1754" s="463"/>
    </row>
    <row r="1755" spans="1:1" s="1129" customFormat="1" x14ac:dyDescent="0.25">
      <c r="A1755" s="463"/>
    </row>
    <row r="1756" spans="1:1" s="1129" customFormat="1" x14ac:dyDescent="0.25">
      <c r="A1756" s="463"/>
    </row>
    <row r="1757" spans="1:1" s="1129" customFormat="1" x14ac:dyDescent="0.25">
      <c r="A1757" s="463"/>
    </row>
    <row r="1758" spans="1:1" s="1129" customFormat="1" x14ac:dyDescent="0.25">
      <c r="A1758" s="463"/>
    </row>
    <row r="1759" spans="1:1" s="1129" customFormat="1" x14ac:dyDescent="0.25">
      <c r="A1759" s="463"/>
    </row>
    <row r="1760" spans="1:1" s="1129" customFormat="1" x14ac:dyDescent="0.25">
      <c r="A1760" s="463"/>
    </row>
    <row r="1761" spans="1:1" s="1129" customFormat="1" x14ac:dyDescent="0.25">
      <c r="A1761" s="463"/>
    </row>
    <row r="1762" spans="1:1" s="1129" customFormat="1" x14ac:dyDescent="0.25">
      <c r="A1762" s="463"/>
    </row>
    <row r="1763" spans="1:1" s="1129" customFormat="1" x14ac:dyDescent="0.25">
      <c r="A1763" s="463"/>
    </row>
    <row r="1764" spans="1:1" s="1129" customFormat="1" x14ac:dyDescent="0.25">
      <c r="A1764" s="463"/>
    </row>
    <row r="1765" spans="1:1" s="1129" customFormat="1" x14ac:dyDescent="0.25">
      <c r="A1765" s="463"/>
    </row>
    <row r="1766" spans="1:1" s="1129" customFormat="1" x14ac:dyDescent="0.25">
      <c r="A1766" s="463"/>
    </row>
    <row r="1767" spans="1:1" s="1129" customFormat="1" x14ac:dyDescent="0.25">
      <c r="A1767" s="463"/>
    </row>
    <row r="1768" spans="1:1" s="1129" customFormat="1" x14ac:dyDescent="0.25">
      <c r="A1768" s="463"/>
    </row>
    <row r="1769" spans="1:1" s="1129" customFormat="1" x14ac:dyDescent="0.25">
      <c r="A1769" s="463"/>
    </row>
    <row r="1770" spans="1:1" s="1129" customFormat="1" x14ac:dyDescent="0.25">
      <c r="A1770" s="463"/>
    </row>
    <row r="1771" spans="1:1" s="1129" customFormat="1" x14ac:dyDescent="0.25">
      <c r="A1771" s="463"/>
    </row>
    <row r="1772" spans="1:1" s="1129" customFormat="1" x14ac:dyDescent="0.25">
      <c r="A1772" s="463"/>
    </row>
    <row r="1773" spans="1:1" s="1129" customFormat="1" x14ac:dyDescent="0.25">
      <c r="A1773" s="463"/>
    </row>
    <row r="1774" spans="1:1" s="1129" customFormat="1" x14ac:dyDescent="0.25">
      <c r="A1774" s="463"/>
    </row>
    <row r="1775" spans="1:1" s="1129" customFormat="1" x14ac:dyDescent="0.25">
      <c r="A1775" s="463"/>
    </row>
    <row r="1776" spans="1:1" s="1129" customFormat="1" x14ac:dyDescent="0.25">
      <c r="A1776" s="463"/>
    </row>
    <row r="1777" spans="1:1" s="1129" customFormat="1" x14ac:dyDescent="0.25">
      <c r="A1777" s="463"/>
    </row>
    <row r="1778" spans="1:1" s="1129" customFormat="1" x14ac:dyDescent="0.25">
      <c r="A1778" s="463"/>
    </row>
    <row r="1779" spans="1:1" s="1129" customFormat="1" x14ac:dyDescent="0.25">
      <c r="A1779" s="463"/>
    </row>
    <row r="1780" spans="1:1" s="1129" customFormat="1" x14ac:dyDescent="0.25">
      <c r="A1780" s="463"/>
    </row>
    <row r="1781" spans="1:1" s="1129" customFormat="1" x14ac:dyDescent="0.25">
      <c r="A1781" s="463"/>
    </row>
    <row r="1782" spans="1:1" s="1129" customFormat="1" x14ac:dyDescent="0.25">
      <c r="A1782" s="463"/>
    </row>
    <row r="1783" spans="1:1" s="1129" customFormat="1" x14ac:dyDescent="0.25">
      <c r="A1783" s="463"/>
    </row>
    <row r="1784" spans="1:1" s="1129" customFormat="1" x14ac:dyDescent="0.25">
      <c r="A1784" s="463"/>
    </row>
    <row r="1785" spans="1:1" s="1129" customFormat="1" x14ac:dyDescent="0.25">
      <c r="A1785" s="463"/>
    </row>
    <row r="1786" spans="1:1" s="1129" customFormat="1" x14ac:dyDescent="0.25">
      <c r="A1786" s="463"/>
    </row>
    <row r="1787" spans="1:1" s="1129" customFormat="1" x14ac:dyDescent="0.25">
      <c r="A1787" s="463"/>
    </row>
    <row r="1788" spans="1:1" s="1129" customFormat="1" x14ac:dyDescent="0.25">
      <c r="A1788" s="463"/>
    </row>
    <row r="1789" spans="1:1" s="1129" customFormat="1" x14ac:dyDescent="0.25">
      <c r="A1789" s="463"/>
    </row>
    <row r="1790" spans="1:1" s="1129" customFormat="1" x14ac:dyDescent="0.25">
      <c r="A1790" s="463"/>
    </row>
    <row r="1791" spans="1:1" s="1129" customFormat="1" x14ac:dyDescent="0.25">
      <c r="A1791" s="463"/>
    </row>
    <row r="1792" spans="1:1" s="1129" customFormat="1" x14ac:dyDescent="0.25">
      <c r="A1792" s="463"/>
    </row>
    <row r="1793" spans="1:1" s="1129" customFormat="1" x14ac:dyDescent="0.25">
      <c r="A1793" s="463"/>
    </row>
    <row r="1794" spans="1:1" s="1129" customFormat="1" x14ac:dyDescent="0.25">
      <c r="A1794" s="463"/>
    </row>
    <row r="1795" spans="1:1" s="1129" customFormat="1" x14ac:dyDescent="0.25">
      <c r="A1795" s="463"/>
    </row>
    <row r="1796" spans="1:1" s="1129" customFormat="1" x14ac:dyDescent="0.25">
      <c r="A1796" s="463"/>
    </row>
    <row r="1797" spans="1:1" s="1129" customFormat="1" x14ac:dyDescent="0.25">
      <c r="A1797" s="463"/>
    </row>
    <row r="1798" spans="1:1" s="1129" customFormat="1" x14ac:dyDescent="0.25">
      <c r="A1798" s="463"/>
    </row>
    <row r="1799" spans="1:1" s="1129" customFormat="1" x14ac:dyDescent="0.25">
      <c r="A1799" s="463"/>
    </row>
    <row r="1800" spans="1:1" s="1129" customFormat="1" x14ac:dyDescent="0.25">
      <c r="A1800" s="463"/>
    </row>
    <row r="1801" spans="1:1" s="1129" customFormat="1" x14ac:dyDescent="0.25">
      <c r="A1801" s="463"/>
    </row>
    <row r="1802" spans="1:1" s="1129" customFormat="1" x14ac:dyDescent="0.25">
      <c r="A1802" s="463"/>
    </row>
    <row r="1803" spans="1:1" s="1129" customFormat="1" x14ac:dyDescent="0.25">
      <c r="A1803" s="463"/>
    </row>
    <row r="1804" spans="1:1" s="1129" customFormat="1" x14ac:dyDescent="0.25">
      <c r="A1804" s="463"/>
    </row>
    <row r="1805" spans="1:1" s="1129" customFormat="1" x14ac:dyDescent="0.25">
      <c r="A1805" s="463"/>
    </row>
    <row r="1806" spans="1:1" s="1129" customFormat="1" x14ac:dyDescent="0.25">
      <c r="A1806" s="463"/>
    </row>
    <row r="1807" spans="1:1" s="1129" customFormat="1" x14ac:dyDescent="0.25">
      <c r="A1807" s="463"/>
    </row>
    <row r="1808" spans="1:1" s="1129" customFormat="1" x14ac:dyDescent="0.25">
      <c r="A1808" s="463"/>
    </row>
    <row r="1809" spans="1:1" s="1129" customFormat="1" x14ac:dyDescent="0.25">
      <c r="A1809" s="463"/>
    </row>
    <row r="1810" spans="1:1" s="1129" customFormat="1" x14ac:dyDescent="0.25">
      <c r="A1810" s="463"/>
    </row>
    <row r="1811" spans="1:1" s="1129" customFormat="1" x14ac:dyDescent="0.25">
      <c r="A1811" s="463"/>
    </row>
    <row r="1812" spans="1:1" s="1129" customFormat="1" x14ac:dyDescent="0.25">
      <c r="A1812" s="463"/>
    </row>
    <row r="1813" spans="1:1" s="1129" customFormat="1" x14ac:dyDescent="0.25">
      <c r="A1813" s="463"/>
    </row>
    <row r="1814" spans="1:1" s="1129" customFormat="1" x14ac:dyDescent="0.25">
      <c r="A1814" s="463"/>
    </row>
    <row r="1815" spans="1:1" s="1129" customFormat="1" x14ac:dyDescent="0.25">
      <c r="A1815" s="463"/>
    </row>
    <row r="1816" spans="1:1" s="1129" customFormat="1" x14ac:dyDescent="0.25">
      <c r="A1816" s="463"/>
    </row>
    <row r="1817" spans="1:1" s="1129" customFormat="1" x14ac:dyDescent="0.25">
      <c r="A1817" s="463"/>
    </row>
    <row r="1818" spans="1:1" s="1129" customFormat="1" x14ac:dyDescent="0.25">
      <c r="A1818" s="463"/>
    </row>
    <row r="1819" spans="1:1" s="1129" customFormat="1" x14ac:dyDescent="0.25">
      <c r="A1819" s="463"/>
    </row>
    <row r="1820" spans="1:1" s="1129" customFormat="1" x14ac:dyDescent="0.25">
      <c r="A1820" s="463"/>
    </row>
    <row r="1821" spans="1:1" s="1129" customFormat="1" x14ac:dyDescent="0.25">
      <c r="A1821" s="463"/>
    </row>
    <row r="1822" spans="1:1" s="1129" customFormat="1" x14ac:dyDescent="0.25">
      <c r="A1822" s="463"/>
    </row>
    <row r="1823" spans="1:1" s="1129" customFormat="1" x14ac:dyDescent="0.25">
      <c r="A1823" s="463"/>
    </row>
    <row r="1824" spans="1:1" s="1129" customFormat="1" x14ac:dyDescent="0.25">
      <c r="A1824" s="463"/>
    </row>
    <row r="1825" spans="1:1" s="1129" customFormat="1" x14ac:dyDescent="0.25">
      <c r="A1825" s="463"/>
    </row>
    <row r="1826" spans="1:1" s="1129" customFormat="1" x14ac:dyDescent="0.25">
      <c r="A1826" s="463"/>
    </row>
    <row r="1827" spans="1:1" s="1129" customFormat="1" x14ac:dyDescent="0.25">
      <c r="A1827" s="463"/>
    </row>
    <row r="1828" spans="1:1" s="1129" customFormat="1" x14ac:dyDescent="0.25">
      <c r="A1828" s="463"/>
    </row>
    <row r="1829" spans="1:1" s="1129" customFormat="1" x14ac:dyDescent="0.25">
      <c r="A1829" s="463"/>
    </row>
    <row r="1830" spans="1:1" s="1129" customFormat="1" x14ac:dyDescent="0.25">
      <c r="A1830" s="463"/>
    </row>
    <row r="1831" spans="1:1" s="1129" customFormat="1" x14ac:dyDescent="0.25">
      <c r="A1831" s="463"/>
    </row>
    <row r="1832" spans="1:1" s="1129" customFormat="1" x14ac:dyDescent="0.25">
      <c r="A1832" s="463"/>
    </row>
    <row r="1833" spans="1:1" s="1129" customFormat="1" x14ac:dyDescent="0.25">
      <c r="A1833" s="463"/>
    </row>
    <row r="1834" spans="1:1" s="1129" customFormat="1" x14ac:dyDescent="0.25">
      <c r="A1834" s="463"/>
    </row>
    <row r="1835" spans="1:1" s="1129" customFormat="1" x14ac:dyDescent="0.25">
      <c r="A1835" s="463"/>
    </row>
    <row r="1836" spans="1:1" s="1129" customFormat="1" x14ac:dyDescent="0.25">
      <c r="A1836" s="463"/>
    </row>
    <row r="1837" spans="1:1" s="1129" customFormat="1" x14ac:dyDescent="0.25">
      <c r="A1837" s="463"/>
    </row>
    <row r="1838" spans="1:1" s="1129" customFormat="1" x14ac:dyDescent="0.25">
      <c r="A1838" s="463"/>
    </row>
    <row r="1839" spans="1:1" s="1129" customFormat="1" x14ac:dyDescent="0.25">
      <c r="A1839" s="463"/>
    </row>
    <row r="1840" spans="1:1" s="1129" customFormat="1" x14ac:dyDescent="0.25">
      <c r="A1840" s="463"/>
    </row>
    <row r="1841" spans="1:1" s="1129" customFormat="1" x14ac:dyDescent="0.25">
      <c r="A1841" s="463"/>
    </row>
    <row r="1842" spans="1:1" s="1129" customFormat="1" x14ac:dyDescent="0.25">
      <c r="A1842" s="463"/>
    </row>
    <row r="1843" spans="1:1" s="1129" customFormat="1" x14ac:dyDescent="0.25">
      <c r="A1843" s="463"/>
    </row>
    <row r="1844" spans="1:1" s="1129" customFormat="1" x14ac:dyDescent="0.25">
      <c r="A1844" s="463"/>
    </row>
    <row r="1845" spans="1:1" s="1129" customFormat="1" x14ac:dyDescent="0.25">
      <c r="A1845" s="463"/>
    </row>
    <row r="1846" spans="1:1" s="1129" customFormat="1" x14ac:dyDescent="0.25">
      <c r="A1846" s="463"/>
    </row>
    <row r="1847" spans="1:1" s="1129" customFormat="1" x14ac:dyDescent="0.25">
      <c r="A1847" s="463"/>
    </row>
    <row r="1848" spans="1:1" s="1129" customFormat="1" x14ac:dyDescent="0.25">
      <c r="A1848" s="463"/>
    </row>
    <row r="1849" spans="1:1" s="1129" customFormat="1" x14ac:dyDescent="0.25">
      <c r="A1849" s="463"/>
    </row>
    <row r="1850" spans="1:1" s="1129" customFormat="1" x14ac:dyDescent="0.25">
      <c r="A1850" s="463"/>
    </row>
    <row r="1851" spans="1:1" s="1129" customFormat="1" x14ac:dyDescent="0.25">
      <c r="A1851" s="463"/>
    </row>
    <row r="1852" spans="1:1" s="1129" customFormat="1" x14ac:dyDescent="0.25">
      <c r="A1852" s="463"/>
    </row>
    <row r="1853" spans="1:1" s="1129" customFormat="1" x14ac:dyDescent="0.25">
      <c r="A1853" s="463"/>
    </row>
    <row r="1854" spans="1:1" s="1129" customFormat="1" x14ac:dyDescent="0.25">
      <c r="A1854" s="463"/>
    </row>
    <row r="1855" spans="1:1" s="1129" customFormat="1" x14ac:dyDescent="0.25">
      <c r="A1855" s="463"/>
    </row>
    <row r="1856" spans="1:1" s="1129" customFormat="1" x14ac:dyDescent="0.25">
      <c r="A1856" s="463"/>
    </row>
    <row r="1857" spans="1:1" s="1129" customFormat="1" x14ac:dyDescent="0.25">
      <c r="A1857" s="463"/>
    </row>
    <row r="1858" spans="1:1" s="1129" customFormat="1" x14ac:dyDescent="0.25">
      <c r="A1858" s="463"/>
    </row>
    <row r="1859" spans="1:1" s="1129" customFormat="1" x14ac:dyDescent="0.25">
      <c r="A1859" s="463"/>
    </row>
    <row r="1860" spans="1:1" s="1129" customFormat="1" x14ac:dyDescent="0.25">
      <c r="A1860" s="463"/>
    </row>
    <row r="1861" spans="1:1" s="1129" customFormat="1" x14ac:dyDescent="0.25">
      <c r="A1861" s="463"/>
    </row>
    <row r="1862" spans="1:1" s="1129" customFormat="1" x14ac:dyDescent="0.25">
      <c r="A1862" s="463"/>
    </row>
    <row r="1863" spans="1:1" s="1129" customFormat="1" x14ac:dyDescent="0.25">
      <c r="A1863" s="463"/>
    </row>
    <row r="1864" spans="1:1" s="1129" customFormat="1" x14ac:dyDescent="0.25">
      <c r="A1864" s="463"/>
    </row>
    <row r="1865" spans="1:1" s="1129" customFormat="1" x14ac:dyDescent="0.25">
      <c r="A1865" s="463"/>
    </row>
    <row r="1866" spans="1:1" s="1129" customFormat="1" x14ac:dyDescent="0.25">
      <c r="A1866" s="463"/>
    </row>
    <row r="1867" spans="1:1" s="1129" customFormat="1" x14ac:dyDescent="0.25">
      <c r="A1867" s="463"/>
    </row>
    <row r="1868" spans="1:1" s="1129" customFormat="1" x14ac:dyDescent="0.25">
      <c r="A1868" s="463"/>
    </row>
    <row r="1869" spans="1:1" s="1129" customFormat="1" x14ac:dyDescent="0.25">
      <c r="A1869" s="463"/>
    </row>
    <row r="1870" spans="1:1" s="1129" customFormat="1" x14ac:dyDescent="0.25">
      <c r="A1870" s="463"/>
    </row>
    <row r="1871" spans="1:1" s="1129" customFormat="1" x14ac:dyDescent="0.25">
      <c r="A1871" s="463"/>
    </row>
    <row r="1872" spans="1:1" s="1129" customFormat="1" x14ac:dyDescent="0.25">
      <c r="A1872" s="463"/>
    </row>
    <row r="1873" spans="1:1" s="1129" customFormat="1" x14ac:dyDescent="0.25">
      <c r="A1873" s="463"/>
    </row>
    <row r="1874" spans="1:1" s="1129" customFormat="1" x14ac:dyDescent="0.25">
      <c r="A1874" s="463"/>
    </row>
    <row r="1875" spans="1:1" s="1129" customFormat="1" x14ac:dyDescent="0.25">
      <c r="A1875" s="463"/>
    </row>
    <row r="1876" spans="1:1" s="1129" customFormat="1" x14ac:dyDescent="0.25">
      <c r="A1876" s="463"/>
    </row>
    <row r="1877" spans="1:1" s="1129" customFormat="1" x14ac:dyDescent="0.25">
      <c r="A1877" s="463"/>
    </row>
    <row r="1878" spans="1:1" s="1129" customFormat="1" x14ac:dyDescent="0.25">
      <c r="A1878" s="463"/>
    </row>
    <row r="1879" spans="1:1" s="1129" customFormat="1" x14ac:dyDescent="0.25">
      <c r="A1879" s="463"/>
    </row>
    <row r="1880" spans="1:1" s="1129" customFormat="1" x14ac:dyDescent="0.25">
      <c r="A1880" s="463"/>
    </row>
    <row r="1881" spans="1:1" s="1129" customFormat="1" x14ac:dyDescent="0.25">
      <c r="A1881" s="463"/>
    </row>
    <row r="1882" spans="1:1" s="1129" customFormat="1" x14ac:dyDescent="0.25">
      <c r="A1882" s="463"/>
    </row>
    <row r="1883" spans="1:1" s="1129" customFormat="1" x14ac:dyDescent="0.25">
      <c r="A1883" s="463"/>
    </row>
    <row r="1884" spans="1:1" s="1129" customFormat="1" x14ac:dyDescent="0.25">
      <c r="A1884" s="463"/>
    </row>
    <row r="1885" spans="1:1" s="1129" customFormat="1" x14ac:dyDescent="0.25">
      <c r="A1885" s="463"/>
    </row>
    <row r="1886" spans="1:1" s="1129" customFormat="1" x14ac:dyDescent="0.25">
      <c r="A1886" s="463"/>
    </row>
    <row r="1887" spans="1:1" s="1129" customFormat="1" x14ac:dyDescent="0.25">
      <c r="A1887" s="463"/>
    </row>
    <row r="1888" spans="1:1" s="1129" customFormat="1" x14ac:dyDescent="0.25">
      <c r="A1888" s="463"/>
    </row>
    <row r="1889" spans="1:1" s="1129" customFormat="1" x14ac:dyDescent="0.25">
      <c r="A1889" s="463"/>
    </row>
    <row r="1890" spans="1:1" s="1129" customFormat="1" x14ac:dyDescent="0.25">
      <c r="A1890" s="463"/>
    </row>
    <row r="1891" spans="1:1" s="1129" customFormat="1" x14ac:dyDescent="0.25">
      <c r="A1891" s="463"/>
    </row>
    <row r="1892" spans="1:1" s="1129" customFormat="1" x14ac:dyDescent="0.25">
      <c r="A1892" s="463"/>
    </row>
    <row r="1893" spans="1:1" s="1129" customFormat="1" x14ac:dyDescent="0.25">
      <c r="A1893" s="463"/>
    </row>
    <row r="1894" spans="1:1" s="1129" customFormat="1" x14ac:dyDescent="0.25">
      <c r="A1894" s="463"/>
    </row>
    <row r="1895" spans="1:1" s="1129" customFormat="1" x14ac:dyDescent="0.25">
      <c r="A1895" s="463"/>
    </row>
    <row r="1896" spans="1:1" s="1129" customFormat="1" x14ac:dyDescent="0.25">
      <c r="A1896" s="463"/>
    </row>
    <row r="1897" spans="1:1" s="1129" customFormat="1" x14ac:dyDescent="0.25">
      <c r="A1897" s="463"/>
    </row>
    <row r="1898" spans="1:1" s="1129" customFormat="1" x14ac:dyDescent="0.25">
      <c r="A1898" s="463"/>
    </row>
    <row r="1899" spans="1:1" s="1129" customFormat="1" x14ac:dyDescent="0.25">
      <c r="A1899" s="463"/>
    </row>
    <row r="1900" spans="1:1" s="1129" customFormat="1" x14ac:dyDescent="0.25">
      <c r="A1900" s="463"/>
    </row>
    <row r="1901" spans="1:1" s="1129" customFormat="1" x14ac:dyDescent="0.25">
      <c r="A1901" s="463"/>
    </row>
    <row r="1902" spans="1:1" s="1129" customFormat="1" x14ac:dyDescent="0.25">
      <c r="A1902" s="463"/>
    </row>
    <row r="1903" spans="1:1" s="1129" customFormat="1" x14ac:dyDescent="0.25">
      <c r="A1903" s="463"/>
    </row>
    <row r="1904" spans="1:1" s="1129" customFormat="1" x14ac:dyDescent="0.25">
      <c r="A1904" s="463"/>
    </row>
    <row r="1905" spans="1:1" s="1129" customFormat="1" x14ac:dyDescent="0.25">
      <c r="A1905" s="463"/>
    </row>
    <row r="1906" spans="1:1" s="1129" customFormat="1" x14ac:dyDescent="0.25">
      <c r="A1906" s="463"/>
    </row>
    <row r="1907" spans="1:1" s="1129" customFormat="1" x14ac:dyDescent="0.25">
      <c r="A1907" s="463"/>
    </row>
    <row r="1908" spans="1:1" s="1129" customFormat="1" x14ac:dyDescent="0.25">
      <c r="A1908" s="463"/>
    </row>
    <row r="1909" spans="1:1" s="1129" customFormat="1" x14ac:dyDescent="0.25">
      <c r="A1909" s="463"/>
    </row>
    <row r="1910" spans="1:1" s="1129" customFormat="1" x14ac:dyDescent="0.25">
      <c r="A1910" s="463"/>
    </row>
    <row r="1911" spans="1:1" s="1129" customFormat="1" x14ac:dyDescent="0.25">
      <c r="A1911" s="463"/>
    </row>
    <row r="1912" spans="1:1" s="1129" customFormat="1" x14ac:dyDescent="0.25">
      <c r="A1912" s="463"/>
    </row>
    <row r="1913" spans="1:1" s="1129" customFormat="1" x14ac:dyDescent="0.25">
      <c r="A1913" s="463"/>
    </row>
    <row r="1914" spans="1:1" s="1129" customFormat="1" x14ac:dyDescent="0.25">
      <c r="A1914" s="463"/>
    </row>
    <row r="1915" spans="1:1" s="1129" customFormat="1" x14ac:dyDescent="0.25">
      <c r="A1915" s="463"/>
    </row>
    <row r="1916" spans="1:1" s="1129" customFormat="1" x14ac:dyDescent="0.25">
      <c r="A1916" s="463"/>
    </row>
    <row r="1917" spans="1:1" s="1129" customFormat="1" x14ac:dyDescent="0.25">
      <c r="A1917" s="463"/>
    </row>
    <row r="1918" spans="1:1" s="1129" customFormat="1" x14ac:dyDescent="0.25">
      <c r="A1918" s="463"/>
    </row>
    <row r="1919" spans="1:1" s="1129" customFormat="1" x14ac:dyDescent="0.25">
      <c r="A1919" s="463"/>
    </row>
    <row r="1920" spans="1:1" s="1129" customFormat="1" x14ac:dyDescent="0.25">
      <c r="A1920" s="463"/>
    </row>
    <row r="1921" spans="1:1" s="1129" customFormat="1" x14ac:dyDescent="0.25">
      <c r="A1921" s="463"/>
    </row>
    <row r="1922" spans="1:1" s="1129" customFormat="1" x14ac:dyDescent="0.25">
      <c r="A1922" s="463"/>
    </row>
    <row r="1923" spans="1:1" s="1129" customFormat="1" x14ac:dyDescent="0.25">
      <c r="A1923" s="463"/>
    </row>
    <row r="1924" spans="1:1" s="1129" customFormat="1" x14ac:dyDescent="0.25">
      <c r="A1924" s="463"/>
    </row>
    <row r="1925" spans="1:1" s="1129" customFormat="1" x14ac:dyDescent="0.25">
      <c r="A1925" s="463"/>
    </row>
    <row r="1926" spans="1:1" s="1129" customFormat="1" x14ac:dyDescent="0.25">
      <c r="A1926" s="463"/>
    </row>
    <row r="1927" spans="1:1" s="1129" customFormat="1" x14ac:dyDescent="0.25">
      <c r="A1927" s="463"/>
    </row>
    <row r="1928" spans="1:1" s="1129" customFormat="1" x14ac:dyDescent="0.25">
      <c r="A1928" s="463"/>
    </row>
    <row r="1929" spans="1:1" s="1129" customFormat="1" x14ac:dyDescent="0.25">
      <c r="A1929" s="463"/>
    </row>
    <row r="1930" spans="1:1" s="1129" customFormat="1" x14ac:dyDescent="0.25">
      <c r="A1930" s="463"/>
    </row>
    <row r="1931" spans="1:1" s="1129" customFormat="1" x14ac:dyDescent="0.25">
      <c r="A1931" s="463"/>
    </row>
    <row r="1932" spans="1:1" s="1129" customFormat="1" x14ac:dyDescent="0.25">
      <c r="A1932" s="463"/>
    </row>
    <row r="1933" spans="1:1" s="1129" customFormat="1" x14ac:dyDescent="0.25">
      <c r="A1933" s="463"/>
    </row>
    <row r="1934" spans="1:1" s="1129" customFormat="1" x14ac:dyDescent="0.25">
      <c r="A1934" s="463"/>
    </row>
    <row r="1935" spans="1:1" s="1129" customFormat="1" x14ac:dyDescent="0.25">
      <c r="A1935" s="463"/>
    </row>
    <row r="1936" spans="1:1" s="1129" customFormat="1" x14ac:dyDescent="0.25">
      <c r="A1936" s="463"/>
    </row>
    <row r="1937" spans="1:1" s="1129" customFormat="1" x14ac:dyDescent="0.25">
      <c r="A1937" s="463"/>
    </row>
    <row r="1938" spans="1:1" s="1129" customFormat="1" x14ac:dyDescent="0.25">
      <c r="A1938" s="463"/>
    </row>
    <row r="1939" spans="1:1" s="1129" customFormat="1" x14ac:dyDescent="0.25">
      <c r="A1939" s="463"/>
    </row>
    <row r="1940" spans="1:1" s="1129" customFormat="1" x14ac:dyDescent="0.25">
      <c r="A1940" s="463"/>
    </row>
    <row r="1941" spans="1:1" s="1129" customFormat="1" x14ac:dyDescent="0.25">
      <c r="A1941" s="463"/>
    </row>
    <row r="1942" spans="1:1" s="1129" customFormat="1" x14ac:dyDescent="0.25">
      <c r="A1942" s="463"/>
    </row>
    <row r="1943" spans="1:1" s="1129" customFormat="1" x14ac:dyDescent="0.25">
      <c r="A1943" s="463"/>
    </row>
    <row r="1944" spans="1:1" s="1129" customFormat="1" x14ac:dyDescent="0.25">
      <c r="A1944" s="463"/>
    </row>
    <row r="1945" spans="1:1" s="1129" customFormat="1" x14ac:dyDescent="0.25">
      <c r="A1945" s="463"/>
    </row>
    <row r="1946" spans="1:1" s="1129" customFormat="1" x14ac:dyDescent="0.25">
      <c r="A1946" s="463"/>
    </row>
    <row r="1947" spans="1:1" s="1129" customFormat="1" x14ac:dyDescent="0.25">
      <c r="A1947" s="463"/>
    </row>
    <row r="1948" spans="1:1" s="1129" customFormat="1" x14ac:dyDescent="0.25">
      <c r="A1948" s="463"/>
    </row>
    <row r="1949" spans="1:1" s="1129" customFormat="1" x14ac:dyDescent="0.25">
      <c r="A1949" s="463"/>
    </row>
    <row r="1950" spans="1:1" s="1129" customFormat="1" x14ac:dyDescent="0.25">
      <c r="A1950" s="463"/>
    </row>
    <row r="1951" spans="1:1" s="1129" customFormat="1" x14ac:dyDescent="0.25">
      <c r="A1951" s="463"/>
    </row>
    <row r="1952" spans="1:1" s="1129" customFormat="1" x14ac:dyDescent="0.25">
      <c r="A1952" s="463"/>
    </row>
    <row r="1953" spans="1:1" s="1129" customFormat="1" x14ac:dyDescent="0.25">
      <c r="A1953" s="463"/>
    </row>
    <row r="1954" spans="1:1" s="1129" customFormat="1" x14ac:dyDescent="0.25">
      <c r="A1954" s="463"/>
    </row>
    <row r="1955" spans="1:1" s="1129" customFormat="1" x14ac:dyDescent="0.25">
      <c r="A1955" s="463"/>
    </row>
    <row r="1956" spans="1:1" s="1129" customFormat="1" x14ac:dyDescent="0.25">
      <c r="A1956" s="463"/>
    </row>
    <row r="1957" spans="1:1" s="1129" customFormat="1" x14ac:dyDescent="0.25">
      <c r="A1957" s="463"/>
    </row>
    <row r="1958" spans="1:1" s="1129" customFormat="1" x14ac:dyDescent="0.25">
      <c r="A1958" s="463"/>
    </row>
    <row r="1959" spans="1:1" s="1129" customFormat="1" x14ac:dyDescent="0.25">
      <c r="A1959" s="463"/>
    </row>
    <row r="1960" spans="1:1" s="1129" customFormat="1" x14ac:dyDescent="0.25">
      <c r="A1960" s="463"/>
    </row>
    <row r="1961" spans="1:1" s="1129" customFormat="1" x14ac:dyDescent="0.25">
      <c r="A1961" s="463"/>
    </row>
    <row r="1962" spans="1:1" s="1129" customFormat="1" x14ac:dyDescent="0.25">
      <c r="A1962" s="463"/>
    </row>
    <row r="1963" spans="1:1" s="1129" customFormat="1" x14ac:dyDescent="0.25">
      <c r="A1963" s="463"/>
    </row>
    <row r="1964" spans="1:1" s="1129" customFormat="1" x14ac:dyDescent="0.25">
      <c r="A1964" s="463"/>
    </row>
    <row r="1965" spans="1:1" s="1129" customFormat="1" x14ac:dyDescent="0.25">
      <c r="A1965" s="463"/>
    </row>
    <row r="1966" spans="1:1" s="1129" customFormat="1" x14ac:dyDescent="0.25">
      <c r="A1966" s="463"/>
    </row>
    <row r="1967" spans="1:1" s="1129" customFormat="1" x14ac:dyDescent="0.25">
      <c r="A1967" s="463"/>
    </row>
    <row r="1968" spans="1:1" s="1129" customFormat="1" x14ac:dyDescent="0.25">
      <c r="A1968" s="463"/>
    </row>
    <row r="1969" spans="1:1" s="1129" customFormat="1" x14ac:dyDescent="0.25">
      <c r="A1969" s="463"/>
    </row>
    <row r="1970" spans="1:1" s="1129" customFormat="1" x14ac:dyDescent="0.25">
      <c r="A1970" s="463"/>
    </row>
    <row r="1971" spans="1:1" s="1129" customFormat="1" x14ac:dyDescent="0.25">
      <c r="A1971" s="463"/>
    </row>
    <row r="1972" spans="1:1" s="1129" customFormat="1" x14ac:dyDescent="0.25">
      <c r="A1972" s="463"/>
    </row>
    <row r="1973" spans="1:1" s="1129" customFormat="1" x14ac:dyDescent="0.25">
      <c r="A1973" s="463"/>
    </row>
    <row r="1974" spans="1:1" s="1129" customFormat="1" x14ac:dyDescent="0.25">
      <c r="A1974" s="463"/>
    </row>
    <row r="1975" spans="1:1" s="1129" customFormat="1" x14ac:dyDescent="0.25">
      <c r="A1975" s="463"/>
    </row>
    <row r="1976" spans="1:1" s="1129" customFormat="1" x14ac:dyDescent="0.25">
      <c r="A1976" s="463"/>
    </row>
    <row r="1977" spans="1:1" s="1129" customFormat="1" x14ac:dyDescent="0.25">
      <c r="A1977" s="463"/>
    </row>
    <row r="1978" spans="1:1" s="1129" customFormat="1" x14ac:dyDescent="0.25">
      <c r="A1978" s="463"/>
    </row>
    <row r="1979" spans="1:1" s="1129" customFormat="1" x14ac:dyDescent="0.25">
      <c r="A1979" s="463"/>
    </row>
    <row r="1980" spans="1:1" s="1129" customFormat="1" x14ac:dyDescent="0.25">
      <c r="A1980" s="463"/>
    </row>
    <row r="1981" spans="1:1" s="1129" customFormat="1" x14ac:dyDescent="0.25">
      <c r="A1981" s="463"/>
    </row>
    <row r="1982" spans="1:1" s="1129" customFormat="1" x14ac:dyDescent="0.25">
      <c r="A1982" s="463"/>
    </row>
    <row r="1983" spans="1:1" s="1129" customFormat="1" x14ac:dyDescent="0.25">
      <c r="A1983" s="463"/>
    </row>
    <row r="1984" spans="1:1" s="1129" customFormat="1" x14ac:dyDescent="0.25">
      <c r="A1984" s="463"/>
    </row>
    <row r="1985" spans="1:1" s="1129" customFormat="1" x14ac:dyDescent="0.25">
      <c r="A1985" s="463"/>
    </row>
    <row r="1986" spans="1:1" s="1129" customFormat="1" x14ac:dyDescent="0.25">
      <c r="A1986" s="463"/>
    </row>
    <row r="1987" spans="1:1" s="1129" customFormat="1" x14ac:dyDescent="0.25">
      <c r="A1987" s="463"/>
    </row>
    <row r="1988" spans="1:1" s="1129" customFormat="1" x14ac:dyDescent="0.25">
      <c r="A1988" s="463"/>
    </row>
    <row r="1989" spans="1:1" s="1129" customFormat="1" x14ac:dyDescent="0.25">
      <c r="A1989" s="463"/>
    </row>
    <row r="1990" spans="1:1" s="1129" customFormat="1" x14ac:dyDescent="0.25">
      <c r="A1990" s="463"/>
    </row>
    <row r="1991" spans="1:1" s="1129" customFormat="1" x14ac:dyDescent="0.25">
      <c r="A1991" s="463"/>
    </row>
    <row r="1992" spans="1:1" s="1129" customFormat="1" x14ac:dyDescent="0.25">
      <c r="A1992" s="463"/>
    </row>
    <row r="1993" spans="1:1" s="1129" customFormat="1" x14ac:dyDescent="0.25">
      <c r="A1993" s="463"/>
    </row>
    <row r="1994" spans="1:1" s="1129" customFormat="1" x14ac:dyDescent="0.25">
      <c r="A1994" s="463"/>
    </row>
    <row r="1995" spans="1:1" s="1129" customFormat="1" x14ac:dyDescent="0.25">
      <c r="A1995" s="463"/>
    </row>
    <row r="1996" spans="1:1" s="1129" customFormat="1" x14ac:dyDescent="0.25">
      <c r="A1996" s="463"/>
    </row>
    <row r="1997" spans="1:1" s="1129" customFormat="1" x14ac:dyDescent="0.25">
      <c r="A1997" s="463"/>
    </row>
    <row r="1998" spans="1:1" s="1129" customFormat="1" x14ac:dyDescent="0.25">
      <c r="A1998" s="463"/>
    </row>
    <row r="1999" spans="1:1" s="1129" customFormat="1" x14ac:dyDescent="0.25">
      <c r="A1999" s="463"/>
    </row>
    <row r="2000" spans="1:1" s="1129" customFormat="1" x14ac:dyDescent="0.25">
      <c r="A2000" s="463"/>
    </row>
    <row r="2001" spans="1:1" s="1129" customFormat="1" x14ac:dyDescent="0.25">
      <c r="A2001" s="463"/>
    </row>
    <row r="2002" spans="1:1" s="1129" customFormat="1" x14ac:dyDescent="0.25">
      <c r="A2002" s="463"/>
    </row>
    <row r="2003" spans="1:1" s="1129" customFormat="1" x14ac:dyDescent="0.25">
      <c r="A2003" s="463"/>
    </row>
    <row r="2004" spans="1:1" s="1129" customFormat="1" x14ac:dyDescent="0.25">
      <c r="A2004" s="463"/>
    </row>
    <row r="2005" spans="1:1" s="1129" customFormat="1" x14ac:dyDescent="0.25">
      <c r="A2005" s="463"/>
    </row>
    <row r="2006" spans="1:1" s="1129" customFormat="1" x14ac:dyDescent="0.25">
      <c r="A2006" s="463"/>
    </row>
    <row r="2007" spans="1:1" s="1129" customFormat="1" x14ac:dyDescent="0.25">
      <c r="A2007" s="463"/>
    </row>
    <row r="2008" spans="1:1" s="1129" customFormat="1" x14ac:dyDescent="0.25">
      <c r="A2008" s="463"/>
    </row>
    <row r="2009" spans="1:1" s="1129" customFormat="1" x14ac:dyDescent="0.25">
      <c r="A2009" s="463"/>
    </row>
    <row r="2010" spans="1:1" s="1129" customFormat="1" x14ac:dyDescent="0.25">
      <c r="A2010" s="463"/>
    </row>
    <row r="2011" spans="1:1" s="1129" customFormat="1" x14ac:dyDescent="0.25">
      <c r="A2011" s="463"/>
    </row>
    <row r="2012" spans="1:1" s="1129" customFormat="1" x14ac:dyDescent="0.25">
      <c r="A2012" s="463"/>
    </row>
    <row r="2013" spans="1:1" s="1129" customFormat="1" x14ac:dyDescent="0.25">
      <c r="A2013" s="463"/>
    </row>
    <row r="2014" spans="1:1" s="1129" customFormat="1" x14ac:dyDescent="0.25">
      <c r="A2014" s="463"/>
    </row>
    <row r="2015" spans="1:1" s="1129" customFormat="1" x14ac:dyDescent="0.25">
      <c r="A2015" s="463"/>
    </row>
    <row r="2016" spans="1:1" s="1129" customFormat="1" x14ac:dyDescent="0.25">
      <c r="A2016" s="463"/>
    </row>
    <row r="2017" spans="1:1" s="1129" customFormat="1" x14ac:dyDescent="0.25">
      <c r="A2017" s="463"/>
    </row>
    <row r="2018" spans="1:1" s="1129" customFormat="1" x14ac:dyDescent="0.25">
      <c r="A2018" s="463"/>
    </row>
    <row r="2019" spans="1:1" s="1129" customFormat="1" x14ac:dyDescent="0.25">
      <c r="A2019" s="463"/>
    </row>
    <row r="2020" spans="1:1" s="1129" customFormat="1" x14ac:dyDescent="0.25">
      <c r="A2020" s="463"/>
    </row>
    <row r="2021" spans="1:1" s="1129" customFormat="1" x14ac:dyDescent="0.25">
      <c r="A2021" s="463"/>
    </row>
    <row r="2022" spans="1:1" s="1129" customFormat="1" x14ac:dyDescent="0.25">
      <c r="A2022" s="463"/>
    </row>
    <row r="2023" spans="1:1" s="1129" customFormat="1" x14ac:dyDescent="0.25">
      <c r="A2023" s="463"/>
    </row>
    <row r="2024" spans="1:1" s="1129" customFormat="1" x14ac:dyDescent="0.25">
      <c r="A2024" s="463"/>
    </row>
    <row r="2025" spans="1:1" s="1129" customFormat="1" x14ac:dyDescent="0.25">
      <c r="A2025" s="463"/>
    </row>
    <row r="2026" spans="1:1" s="1129" customFormat="1" x14ac:dyDescent="0.25">
      <c r="A2026" s="463"/>
    </row>
    <row r="2027" spans="1:1" s="1129" customFormat="1" x14ac:dyDescent="0.25">
      <c r="A2027" s="463"/>
    </row>
    <row r="2028" spans="1:1" s="1129" customFormat="1" x14ac:dyDescent="0.25">
      <c r="A2028" s="463"/>
    </row>
    <row r="2029" spans="1:1" s="1129" customFormat="1" x14ac:dyDescent="0.25">
      <c r="A2029" s="463"/>
    </row>
    <row r="2030" spans="1:1" s="1129" customFormat="1" x14ac:dyDescent="0.25">
      <c r="A2030" s="463"/>
    </row>
    <row r="2031" spans="1:1" s="1129" customFormat="1" x14ac:dyDescent="0.25">
      <c r="A2031" s="463"/>
    </row>
    <row r="2032" spans="1:1" s="1129" customFormat="1" x14ac:dyDescent="0.25">
      <c r="A2032" s="463"/>
    </row>
    <row r="2033" spans="1:1" s="1129" customFormat="1" x14ac:dyDescent="0.25">
      <c r="A2033" s="463"/>
    </row>
    <row r="2034" spans="1:1" s="1129" customFormat="1" x14ac:dyDescent="0.25">
      <c r="A2034" s="463"/>
    </row>
    <row r="2035" spans="1:1" s="1129" customFormat="1" x14ac:dyDescent="0.25">
      <c r="A2035" s="463"/>
    </row>
    <row r="2036" spans="1:1" s="1129" customFormat="1" x14ac:dyDescent="0.25">
      <c r="A2036" s="463"/>
    </row>
    <row r="2037" spans="1:1" s="1129" customFormat="1" x14ac:dyDescent="0.25">
      <c r="A2037" s="463"/>
    </row>
    <row r="2038" spans="1:1" s="1129" customFormat="1" x14ac:dyDescent="0.25">
      <c r="A2038" s="463"/>
    </row>
    <row r="2039" spans="1:1" s="1129" customFormat="1" x14ac:dyDescent="0.25">
      <c r="A2039" s="463"/>
    </row>
    <row r="2040" spans="1:1" s="1129" customFormat="1" x14ac:dyDescent="0.25">
      <c r="A2040" s="463"/>
    </row>
    <row r="2041" spans="1:1" s="1129" customFormat="1" x14ac:dyDescent="0.25">
      <c r="A2041" s="463"/>
    </row>
    <row r="2042" spans="1:1" s="1129" customFormat="1" x14ac:dyDescent="0.25">
      <c r="A2042" s="463"/>
    </row>
    <row r="2043" spans="1:1" s="1129" customFormat="1" x14ac:dyDescent="0.25">
      <c r="A2043" s="463"/>
    </row>
    <row r="2044" spans="1:1" s="1129" customFormat="1" x14ac:dyDescent="0.25">
      <c r="A2044" s="463"/>
    </row>
    <row r="2045" spans="1:1" s="1129" customFormat="1" x14ac:dyDescent="0.25">
      <c r="A2045" s="463"/>
    </row>
    <row r="2046" spans="1:1" s="1129" customFormat="1" x14ac:dyDescent="0.25">
      <c r="A2046" s="463"/>
    </row>
    <row r="2047" spans="1:1" s="1129" customFormat="1" x14ac:dyDescent="0.25">
      <c r="A2047" s="463"/>
    </row>
    <row r="2048" spans="1:1" s="1129" customFormat="1" x14ac:dyDescent="0.25">
      <c r="A2048" s="463"/>
    </row>
    <row r="2049" spans="1:1" s="1129" customFormat="1" x14ac:dyDescent="0.25">
      <c r="A2049" s="463"/>
    </row>
    <row r="2050" spans="1:1" s="1129" customFormat="1" x14ac:dyDescent="0.25">
      <c r="A2050" s="463"/>
    </row>
    <row r="2051" spans="1:1" s="1129" customFormat="1" x14ac:dyDescent="0.25">
      <c r="A2051" s="463"/>
    </row>
    <row r="2052" spans="1:1" s="1129" customFormat="1" x14ac:dyDescent="0.25">
      <c r="A2052" s="463"/>
    </row>
    <row r="2053" spans="1:1" s="1129" customFormat="1" x14ac:dyDescent="0.25">
      <c r="A2053" s="463"/>
    </row>
    <row r="2054" spans="1:1" s="1129" customFormat="1" x14ac:dyDescent="0.25">
      <c r="A2054" s="463"/>
    </row>
    <row r="2055" spans="1:1" s="1129" customFormat="1" x14ac:dyDescent="0.25">
      <c r="A2055" s="463"/>
    </row>
    <row r="2056" spans="1:1" s="1129" customFormat="1" x14ac:dyDescent="0.25">
      <c r="A2056" s="463"/>
    </row>
    <row r="2057" spans="1:1" s="1129" customFormat="1" x14ac:dyDescent="0.25">
      <c r="A2057" s="463"/>
    </row>
    <row r="2058" spans="1:1" s="1129" customFormat="1" x14ac:dyDescent="0.25">
      <c r="A2058" s="463"/>
    </row>
    <row r="2059" spans="1:1" s="1129" customFormat="1" x14ac:dyDescent="0.25">
      <c r="A2059" s="463"/>
    </row>
    <row r="2060" spans="1:1" s="1129" customFormat="1" x14ac:dyDescent="0.25">
      <c r="A2060" s="463"/>
    </row>
    <row r="2061" spans="1:1" s="1129" customFormat="1" x14ac:dyDescent="0.25">
      <c r="A2061" s="463"/>
    </row>
    <row r="2062" spans="1:1" s="1129" customFormat="1" x14ac:dyDescent="0.25">
      <c r="A2062" s="463"/>
    </row>
    <row r="2063" spans="1:1" s="1129" customFormat="1" x14ac:dyDescent="0.25">
      <c r="A2063" s="463"/>
    </row>
    <row r="2064" spans="1:1" s="1129" customFormat="1" x14ac:dyDescent="0.25">
      <c r="A2064" s="463"/>
    </row>
    <row r="2065" spans="1:1" s="1129" customFormat="1" x14ac:dyDescent="0.25">
      <c r="A2065" s="463"/>
    </row>
    <row r="2066" spans="1:1" s="1129" customFormat="1" x14ac:dyDescent="0.25">
      <c r="A2066" s="463"/>
    </row>
    <row r="2067" spans="1:1" s="1129" customFormat="1" x14ac:dyDescent="0.25">
      <c r="A2067" s="463"/>
    </row>
    <row r="2068" spans="1:1" s="1129" customFormat="1" x14ac:dyDescent="0.25">
      <c r="A2068" s="463"/>
    </row>
    <row r="2069" spans="1:1" s="1129" customFormat="1" x14ac:dyDescent="0.25">
      <c r="A2069" s="463"/>
    </row>
    <row r="2070" spans="1:1" s="1129" customFormat="1" x14ac:dyDescent="0.25">
      <c r="A2070" s="463"/>
    </row>
    <row r="2071" spans="1:1" s="1129" customFormat="1" x14ac:dyDescent="0.25">
      <c r="A2071" s="463"/>
    </row>
    <row r="2072" spans="1:1" s="1129" customFormat="1" x14ac:dyDescent="0.25">
      <c r="A2072" s="463"/>
    </row>
    <row r="2073" spans="1:1" s="1129" customFormat="1" x14ac:dyDescent="0.25">
      <c r="A2073" s="463"/>
    </row>
    <row r="2074" spans="1:1" s="1129" customFormat="1" x14ac:dyDescent="0.25">
      <c r="A2074" s="463"/>
    </row>
    <row r="2075" spans="1:1" s="1129" customFormat="1" x14ac:dyDescent="0.25">
      <c r="A2075" s="463"/>
    </row>
    <row r="2076" spans="1:1" s="1129" customFormat="1" x14ac:dyDescent="0.25">
      <c r="A2076" s="463"/>
    </row>
    <row r="2077" spans="1:1" s="1129" customFormat="1" x14ac:dyDescent="0.25">
      <c r="A2077" s="463"/>
    </row>
    <row r="2078" spans="1:1" s="1129" customFormat="1" x14ac:dyDescent="0.25">
      <c r="A2078" s="463"/>
    </row>
    <row r="2079" spans="1:1" s="1129" customFormat="1" x14ac:dyDescent="0.25">
      <c r="A2079" s="463"/>
    </row>
    <row r="2080" spans="1:1" s="1129" customFormat="1" x14ac:dyDescent="0.25">
      <c r="A2080" s="463"/>
    </row>
    <row r="2081" spans="1:1" s="1129" customFormat="1" x14ac:dyDescent="0.25">
      <c r="A2081" s="463"/>
    </row>
    <row r="2082" spans="1:1" s="1129" customFormat="1" x14ac:dyDescent="0.25">
      <c r="A2082" s="463"/>
    </row>
    <row r="2083" spans="1:1" s="1129" customFormat="1" x14ac:dyDescent="0.25">
      <c r="A2083" s="463"/>
    </row>
    <row r="2084" spans="1:1" s="1129" customFormat="1" x14ac:dyDescent="0.25">
      <c r="A2084" s="463"/>
    </row>
    <row r="2085" spans="1:1" s="1129" customFormat="1" x14ac:dyDescent="0.25">
      <c r="A2085" s="463"/>
    </row>
    <row r="2086" spans="1:1" s="1129" customFormat="1" x14ac:dyDescent="0.25">
      <c r="A2086" s="463"/>
    </row>
    <row r="2087" spans="1:1" s="1129" customFormat="1" x14ac:dyDescent="0.25">
      <c r="A2087" s="463"/>
    </row>
    <row r="2088" spans="1:1" s="1129" customFormat="1" x14ac:dyDescent="0.25">
      <c r="A2088" s="463"/>
    </row>
    <row r="2089" spans="1:1" s="1129" customFormat="1" x14ac:dyDescent="0.25">
      <c r="A2089" s="463"/>
    </row>
    <row r="2090" spans="1:1" s="1129" customFormat="1" x14ac:dyDescent="0.25">
      <c r="A2090" s="463"/>
    </row>
    <row r="2091" spans="1:1" s="1129" customFormat="1" x14ac:dyDescent="0.25">
      <c r="A2091" s="463"/>
    </row>
    <row r="2092" spans="1:1" s="1129" customFormat="1" x14ac:dyDescent="0.25">
      <c r="A2092" s="463"/>
    </row>
    <row r="2093" spans="1:1" s="1129" customFormat="1" x14ac:dyDescent="0.25">
      <c r="A2093" s="463"/>
    </row>
    <row r="2094" spans="1:1" s="1129" customFormat="1" x14ac:dyDescent="0.25">
      <c r="A2094" s="463"/>
    </row>
    <row r="2095" spans="1:1" s="1129" customFormat="1" x14ac:dyDescent="0.25">
      <c r="A2095" s="463"/>
    </row>
    <row r="2096" spans="1:1" s="1129" customFormat="1" x14ac:dyDescent="0.25">
      <c r="A2096" s="463"/>
    </row>
    <row r="2097" spans="1:1" s="1129" customFormat="1" x14ac:dyDescent="0.25">
      <c r="A2097" s="463"/>
    </row>
    <row r="2098" spans="1:1" s="1129" customFormat="1" x14ac:dyDescent="0.25">
      <c r="A2098" s="463"/>
    </row>
    <row r="2099" spans="1:1" s="1129" customFormat="1" x14ac:dyDescent="0.25">
      <c r="A2099" s="463"/>
    </row>
    <row r="2100" spans="1:1" s="1129" customFormat="1" x14ac:dyDescent="0.25">
      <c r="A2100" s="463"/>
    </row>
    <row r="2101" spans="1:1" s="1129" customFormat="1" x14ac:dyDescent="0.25">
      <c r="A2101" s="463"/>
    </row>
    <row r="2102" spans="1:1" s="1129" customFormat="1" x14ac:dyDescent="0.25">
      <c r="A2102" s="463"/>
    </row>
  </sheetData>
  <mergeCells count="2">
    <mergeCell ref="A1:K1"/>
    <mergeCell ref="B4:D4"/>
  </mergeCells>
  <printOptions horizontalCentered="1"/>
  <pageMargins left="0.23622047244094491" right="0.19685039370078741" top="1.0236220472440944" bottom="0.55118110236220474" header="0.31496062992125984" footer="0.31496062992125984"/>
  <pageSetup paperSize="9" scale="61" orientation="landscape" r:id="rId1"/>
  <headerFooter>
    <oddHeader>&amp;C&amp;"-,Félkövér"
&amp;"Times New Roman,Félkövér"
&amp;R&amp;"Times New Roman,Dőlt"&amp;10 10. melléklet
a 3/2016.(II.12.) önkormányzati rendelethez&amp;X9</oddHeader>
    <oddFooter>&amp;L&amp;X9&amp;XMódosította a 43/2016.(XII.16.) önkormányzati rendelet 2.§ (9) bekezdése, hatályos 2016. december 19-től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7"/>
  <sheetViews>
    <sheetView zoomScaleNormal="100" workbookViewId="0">
      <pane xSplit="2" ySplit="9" topLeftCell="C167" activePane="bottomRight" state="frozen"/>
      <selection activeCell="AH33" sqref="AH33"/>
      <selection pane="topRight" activeCell="AH33" sqref="AH33"/>
      <selection pane="bottomLeft" activeCell="AH33" sqref="AH33"/>
      <selection pane="bottomRight" activeCell="AH33" sqref="AH33"/>
    </sheetView>
  </sheetViews>
  <sheetFormatPr defaultRowHeight="15.75" x14ac:dyDescent="0.25"/>
  <cols>
    <col min="1" max="1" width="5" style="209" customWidth="1"/>
    <col min="2" max="2" width="41.875" style="209" customWidth="1"/>
    <col min="3" max="3" width="10.125" style="209" customWidth="1"/>
    <col min="4" max="4" width="10.75" style="209" customWidth="1"/>
    <col min="5" max="5" width="10" style="209" customWidth="1"/>
    <col min="6" max="6" width="9.625" style="209" bestFit="1" customWidth="1"/>
    <col min="7" max="7" width="10.75" style="209" customWidth="1"/>
    <col min="8" max="8" width="12.25" style="209" customWidth="1"/>
    <col min="9" max="9" width="11.625" style="209" customWidth="1"/>
    <col min="10" max="10" width="9.75" style="209" customWidth="1"/>
    <col min="11" max="11" width="9.875" style="209" customWidth="1"/>
    <col min="12" max="12" width="12" style="209" customWidth="1"/>
    <col min="13" max="13" width="9.875" style="209" customWidth="1"/>
    <col min="14" max="15" width="10.375" style="209" customWidth="1"/>
    <col min="16" max="16" width="16.25" style="209" customWidth="1"/>
    <col min="17" max="17" width="9.875" style="209" bestFit="1" customWidth="1"/>
    <col min="18" max="256" width="9" style="209"/>
    <col min="257" max="257" width="5" style="209" customWidth="1"/>
    <col min="258" max="258" width="40.875" style="209" customWidth="1"/>
    <col min="259" max="259" width="10.125" style="209" customWidth="1"/>
    <col min="260" max="260" width="10.75" style="209" customWidth="1"/>
    <col min="261" max="261" width="10" style="209" customWidth="1"/>
    <col min="262" max="262" width="9.625" style="209" bestFit="1" customWidth="1"/>
    <col min="263" max="263" width="10.75" style="209" customWidth="1"/>
    <col min="264" max="264" width="12.25" style="209" customWidth="1"/>
    <col min="265" max="265" width="11.625" style="209" customWidth="1"/>
    <col min="266" max="266" width="9.75" style="209" customWidth="1"/>
    <col min="267" max="267" width="9.875" style="209" customWidth="1"/>
    <col min="268" max="268" width="12" style="209" customWidth="1"/>
    <col min="269" max="269" width="9.875" style="209" customWidth="1"/>
    <col min="270" max="271" width="10.375" style="209" customWidth="1"/>
    <col min="272" max="272" width="16.25" style="209" customWidth="1"/>
    <col min="273" max="273" width="9.875" style="209" bestFit="1" customWidth="1"/>
    <col min="274" max="512" width="9" style="209"/>
    <col min="513" max="513" width="5" style="209" customWidth="1"/>
    <col min="514" max="514" width="40.875" style="209" customWidth="1"/>
    <col min="515" max="515" width="10.125" style="209" customWidth="1"/>
    <col min="516" max="516" width="10.75" style="209" customWidth="1"/>
    <col min="517" max="517" width="10" style="209" customWidth="1"/>
    <col min="518" max="518" width="9.625" style="209" bestFit="1" customWidth="1"/>
    <col min="519" max="519" width="10.75" style="209" customWidth="1"/>
    <col min="520" max="520" width="12.25" style="209" customWidth="1"/>
    <col min="521" max="521" width="11.625" style="209" customWidth="1"/>
    <col min="522" max="522" width="9.75" style="209" customWidth="1"/>
    <col min="523" max="523" width="9.875" style="209" customWidth="1"/>
    <col min="524" max="524" width="12" style="209" customWidth="1"/>
    <col min="525" max="525" width="9.875" style="209" customWidth="1"/>
    <col min="526" max="527" width="10.375" style="209" customWidth="1"/>
    <col min="528" max="528" width="16.25" style="209" customWidth="1"/>
    <col min="529" max="529" width="9.875" style="209" bestFit="1" customWidth="1"/>
    <col min="530" max="768" width="9" style="209"/>
    <col min="769" max="769" width="5" style="209" customWidth="1"/>
    <col min="770" max="770" width="40.875" style="209" customWidth="1"/>
    <col min="771" max="771" width="10.125" style="209" customWidth="1"/>
    <col min="772" max="772" width="10.75" style="209" customWidth="1"/>
    <col min="773" max="773" width="10" style="209" customWidth="1"/>
    <col min="774" max="774" width="9.625" style="209" bestFit="1" customWidth="1"/>
    <col min="775" max="775" width="10.75" style="209" customWidth="1"/>
    <col min="776" max="776" width="12.25" style="209" customWidth="1"/>
    <col min="777" max="777" width="11.625" style="209" customWidth="1"/>
    <col min="778" max="778" width="9.75" style="209" customWidth="1"/>
    <col min="779" max="779" width="9.875" style="209" customWidth="1"/>
    <col min="780" max="780" width="12" style="209" customWidth="1"/>
    <col min="781" max="781" width="9.875" style="209" customWidth="1"/>
    <col min="782" max="783" width="10.375" style="209" customWidth="1"/>
    <col min="784" max="784" width="16.25" style="209" customWidth="1"/>
    <col min="785" max="785" width="9.875" style="209" bestFit="1" customWidth="1"/>
    <col min="786" max="1024" width="9" style="209"/>
    <col min="1025" max="1025" width="5" style="209" customWidth="1"/>
    <col min="1026" max="1026" width="40.875" style="209" customWidth="1"/>
    <col min="1027" max="1027" width="10.125" style="209" customWidth="1"/>
    <col min="1028" max="1028" width="10.75" style="209" customWidth="1"/>
    <col min="1029" max="1029" width="10" style="209" customWidth="1"/>
    <col min="1030" max="1030" width="9.625" style="209" bestFit="1" customWidth="1"/>
    <col min="1031" max="1031" width="10.75" style="209" customWidth="1"/>
    <col min="1032" max="1032" width="12.25" style="209" customWidth="1"/>
    <col min="1033" max="1033" width="11.625" style="209" customWidth="1"/>
    <col min="1034" max="1034" width="9.75" style="209" customWidth="1"/>
    <col min="1035" max="1035" width="9.875" style="209" customWidth="1"/>
    <col min="1036" max="1036" width="12" style="209" customWidth="1"/>
    <col min="1037" max="1037" width="9.875" style="209" customWidth="1"/>
    <col min="1038" max="1039" width="10.375" style="209" customWidth="1"/>
    <col min="1040" max="1040" width="16.25" style="209" customWidth="1"/>
    <col min="1041" max="1041" width="9.875" style="209" bestFit="1" customWidth="1"/>
    <col min="1042" max="1280" width="9" style="209"/>
    <col min="1281" max="1281" width="5" style="209" customWidth="1"/>
    <col min="1282" max="1282" width="40.875" style="209" customWidth="1"/>
    <col min="1283" max="1283" width="10.125" style="209" customWidth="1"/>
    <col min="1284" max="1284" width="10.75" style="209" customWidth="1"/>
    <col min="1285" max="1285" width="10" style="209" customWidth="1"/>
    <col min="1286" max="1286" width="9.625" style="209" bestFit="1" customWidth="1"/>
    <col min="1287" max="1287" width="10.75" style="209" customWidth="1"/>
    <col min="1288" max="1288" width="12.25" style="209" customWidth="1"/>
    <col min="1289" max="1289" width="11.625" style="209" customWidth="1"/>
    <col min="1290" max="1290" width="9.75" style="209" customWidth="1"/>
    <col min="1291" max="1291" width="9.875" style="209" customWidth="1"/>
    <col min="1292" max="1292" width="12" style="209" customWidth="1"/>
    <col min="1293" max="1293" width="9.875" style="209" customWidth="1"/>
    <col min="1294" max="1295" width="10.375" style="209" customWidth="1"/>
    <col min="1296" max="1296" width="16.25" style="209" customWidth="1"/>
    <col min="1297" max="1297" width="9.875" style="209" bestFit="1" customWidth="1"/>
    <col min="1298" max="1536" width="9" style="209"/>
    <col min="1537" max="1537" width="5" style="209" customWidth="1"/>
    <col min="1538" max="1538" width="40.875" style="209" customWidth="1"/>
    <col min="1539" max="1539" width="10.125" style="209" customWidth="1"/>
    <col min="1540" max="1540" width="10.75" style="209" customWidth="1"/>
    <col min="1541" max="1541" width="10" style="209" customWidth="1"/>
    <col min="1542" max="1542" width="9.625" style="209" bestFit="1" customWidth="1"/>
    <col min="1543" max="1543" width="10.75" style="209" customWidth="1"/>
    <col min="1544" max="1544" width="12.25" style="209" customWidth="1"/>
    <col min="1545" max="1545" width="11.625" style="209" customWidth="1"/>
    <col min="1546" max="1546" width="9.75" style="209" customWidth="1"/>
    <col min="1547" max="1547" width="9.875" style="209" customWidth="1"/>
    <col min="1548" max="1548" width="12" style="209" customWidth="1"/>
    <col min="1549" max="1549" width="9.875" style="209" customWidth="1"/>
    <col min="1550" max="1551" width="10.375" style="209" customWidth="1"/>
    <col min="1552" max="1552" width="16.25" style="209" customWidth="1"/>
    <col min="1553" max="1553" width="9.875" style="209" bestFit="1" customWidth="1"/>
    <col min="1554" max="1792" width="9" style="209"/>
    <col min="1793" max="1793" width="5" style="209" customWidth="1"/>
    <col min="1794" max="1794" width="40.875" style="209" customWidth="1"/>
    <col min="1795" max="1795" width="10.125" style="209" customWidth="1"/>
    <col min="1796" max="1796" width="10.75" style="209" customWidth="1"/>
    <col min="1797" max="1797" width="10" style="209" customWidth="1"/>
    <col min="1798" max="1798" width="9.625" style="209" bestFit="1" customWidth="1"/>
    <col min="1799" max="1799" width="10.75" style="209" customWidth="1"/>
    <col min="1800" max="1800" width="12.25" style="209" customWidth="1"/>
    <col min="1801" max="1801" width="11.625" style="209" customWidth="1"/>
    <col min="1802" max="1802" width="9.75" style="209" customWidth="1"/>
    <col min="1803" max="1803" width="9.875" style="209" customWidth="1"/>
    <col min="1804" max="1804" width="12" style="209" customWidth="1"/>
    <col min="1805" max="1805" width="9.875" style="209" customWidth="1"/>
    <col min="1806" max="1807" width="10.375" style="209" customWidth="1"/>
    <col min="1808" max="1808" width="16.25" style="209" customWidth="1"/>
    <col min="1809" max="1809" width="9.875" style="209" bestFit="1" customWidth="1"/>
    <col min="1810" max="2048" width="9" style="209"/>
    <col min="2049" max="2049" width="5" style="209" customWidth="1"/>
    <col min="2050" max="2050" width="40.875" style="209" customWidth="1"/>
    <col min="2051" max="2051" width="10.125" style="209" customWidth="1"/>
    <col min="2052" max="2052" width="10.75" style="209" customWidth="1"/>
    <col min="2053" max="2053" width="10" style="209" customWidth="1"/>
    <col min="2054" max="2054" width="9.625" style="209" bestFit="1" customWidth="1"/>
    <col min="2055" max="2055" width="10.75" style="209" customWidth="1"/>
    <col min="2056" max="2056" width="12.25" style="209" customWidth="1"/>
    <col min="2057" max="2057" width="11.625" style="209" customWidth="1"/>
    <col min="2058" max="2058" width="9.75" style="209" customWidth="1"/>
    <col min="2059" max="2059" width="9.875" style="209" customWidth="1"/>
    <col min="2060" max="2060" width="12" style="209" customWidth="1"/>
    <col min="2061" max="2061" width="9.875" style="209" customWidth="1"/>
    <col min="2062" max="2063" width="10.375" style="209" customWidth="1"/>
    <col min="2064" max="2064" width="16.25" style="209" customWidth="1"/>
    <col min="2065" max="2065" width="9.875" style="209" bestFit="1" customWidth="1"/>
    <col min="2066" max="2304" width="9" style="209"/>
    <col min="2305" max="2305" width="5" style="209" customWidth="1"/>
    <col min="2306" max="2306" width="40.875" style="209" customWidth="1"/>
    <col min="2307" max="2307" width="10.125" style="209" customWidth="1"/>
    <col min="2308" max="2308" width="10.75" style="209" customWidth="1"/>
    <col min="2309" max="2309" width="10" style="209" customWidth="1"/>
    <col min="2310" max="2310" width="9.625" style="209" bestFit="1" customWidth="1"/>
    <col min="2311" max="2311" width="10.75" style="209" customWidth="1"/>
    <col min="2312" max="2312" width="12.25" style="209" customWidth="1"/>
    <col min="2313" max="2313" width="11.625" style="209" customWidth="1"/>
    <col min="2314" max="2314" width="9.75" style="209" customWidth="1"/>
    <col min="2315" max="2315" width="9.875" style="209" customWidth="1"/>
    <col min="2316" max="2316" width="12" style="209" customWidth="1"/>
    <col min="2317" max="2317" width="9.875" style="209" customWidth="1"/>
    <col min="2318" max="2319" width="10.375" style="209" customWidth="1"/>
    <col min="2320" max="2320" width="16.25" style="209" customWidth="1"/>
    <col min="2321" max="2321" width="9.875" style="209" bestFit="1" customWidth="1"/>
    <col min="2322" max="2560" width="9" style="209"/>
    <col min="2561" max="2561" width="5" style="209" customWidth="1"/>
    <col min="2562" max="2562" width="40.875" style="209" customWidth="1"/>
    <col min="2563" max="2563" width="10.125" style="209" customWidth="1"/>
    <col min="2564" max="2564" width="10.75" style="209" customWidth="1"/>
    <col min="2565" max="2565" width="10" style="209" customWidth="1"/>
    <col min="2566" max="2566" width="9.625" style="209" bestFit="1" customWidth="1"/>
    <col min="2567" max="2567" width="10.75" style="209" customWidth="1"/>
    <col min="2568" max="2568" width="12.25" style="209" customWidth="1"/>
    <col min="2569" max="2569" width="11.625" style="209" customWidth="1"/>
    <col min="2570" max="2570" width="9.75" style="209" customWidth="1"/>
    <col min="2571" max="2571" width="9.875" style="209" customWidth="1"/>
    <col min="2572" max="2572" width="12" style="209" customWidth="1"/>
    <col min="2573" max="2573" width="9.875" style="209" customWidth="1"/>
    <col min="2574" max="2575" width="10.375" style="209" customWidth="1"/>
    <col min="2576" max="2576" width="16.25" style="209" customWidth="1"/>
    <col min="2577" max="2577" width="9.875" style="209" bestFit="1" customWidth="1"/>
    <col min="2578" max="2816" width="9" style="209"/>
    <col min="2817" max="2817" width="5" style="209" customWidth="1"/>
    <col min="2818" max="2818" width="40.875" style="209" customWidth="1"/>
    <col min="2819" max="2819" width="10.125" style="209" customWidth="1"/>
    <col min="2820" max="2820" width="10.75" style="209" customWidth="1"/>
    <col min="2821" max="2821" width="10" style="209" customWidth="1"/>
    <col min="2822" max="2822" width="9.625" style="209" bestFit="1" customWidth="1"/>
    <col min="2823" max="2823" width="10.75" style="209" customWidth="1"/>
    <col min="2824" max="2824" width="12.25" style="209" customWidth="1"/>
    <col min="2825" max="2825" width="11.625" style="209" customWidth="1"/>
    <col min="2826" max="2826" width="9.75" style="209" customWidth="1"/>
    <col min="2827" max="2827" width="9.875" style="209" customWidth="1"/>
    <col min="2828" max="2828" width="12" style="209" customWidth="1"/>
    <col min="2829" max="2829" width="9.875" style="209" customWidth="1"/>
    <col min="2830" max="2831" width="10.375" style="209" customWidth="1"/>
    <col min="2832" max="2832" width="16.25" style="209" customWidth="1"/>
    <col min="2833" max="2833" width="9.875" style="209" bestFit="1" customWidth="1"/>
    <col min="2834" max="3072" width="9" style="209"/>
    <col min="3073" max="3073" width="5" style="209" customWidth="1"/>
    <col min="3074" max="3074" width="40.875" style="209" customWidth="1"/>
    <col min="3075" max="3075" width="10.125" style="209" customWidth="1"/>
    <col min="3076" max="3076" width="10.75" style="209" customWidth="1"/>
    <col min="3077" max="3077" width="10" style="209" customWidth="1"/>
    <col min="3078" max="3078" width="9.625" style="209" bestFit="1" customWidth="1"/>
    <col min="3079" max="3079" width="10.75" style="209" customWidth="1"/>
    <col min="3080" max="3080" width="12.25" style="209" customWidth="1"/>
    <col min="3081" max="3081" width="11.625" style="209" customWidth="1"/>
    <col min="3082" max="3082" width="9.75" style="209" customWidth="1"/>
    <col min="3083" max="3083" width="9.875" style="209" customWidth="1"/>
    <col min="3084" max="3084" width="12" style="209" customWidth="1"/>
    <col min="3085" max="3085" width="9.875" style="209" customWidth="1"/>
    <col min="3086" max="3087" width="10.375" style="209" customWidth="1"/>
    <col min="3088" max="3088" width="16.25" style="209" customWidth="1"/>
    <col min="3089" max="3089" width="9.875" style="209" bestFit="1" customWidth="1"/>
    <col min="3090" max="3328" width="9" style="209"/>
    <col min="3329" max="3329" width="5" style="209" customWidth="1"/>
    <col min="3330" max="3330" width="40.875" style="209" customWidth="1"/>
    <col min="3331" max="3331" width="10.125" style="209" customWidth="1"/>
    <col min="3332" max="3332" width="10.75" style="209" customWidth="1"/>
    <col min="3333" max="3333" width="10" style="209" customWidth="1"/>
    <col min="3334" max="3334" width="9.625" style="209" bestFit="1" customWidth="1"/>
    <col min="3335" max="3335" width="10.75" style="209" customWidth="1"/>
    <col min="3336" max="3336" width="12.25" style="209" customWidth="1"/>
    <col min="3337" max="3337" width="11.625" style="209" customWidth="1"/>
    <col min="3338" max="3338" width="9.75" style="209" customWidth="1"/>
    <col min="3339" max="3339" width="9.875" style="209" customWidth="1"/>
    <col min="3340" max="3340" width="12" style="209" customWidth="1"/>
    <col min="3341" max="3341" width="9.875" style="209" customWidth="1"/>
    <col min="3342" max="3343" width="10.375" style="209" customWidth="1"/>
    <col min="3344" max="3344" width="16.25" style="209" customWidth="1"/>
    <col min="3345" max="3345" width="9.875" style="209" bestFit="1" customWidth="1"/>
    <col min="3346" max="3584" width="9" style="209"/>
    <col min="3585" max="3585" width="5" style="209" customWidth="1"/>
    <col min="3586" max="3586" width="40.875" style="209" customWidth="1"/>
    <col min="3587" max="3587" width="10.125" style="209" customWidth="1"/>
    <col min="3588" max="3588" width="10.75" style="209" customWidth="1"/>
    <col min="3589" max="3589" width="10" style="209" customWidth="1"/>
    <col min="3590" max="3590" width="9.625" style="209" bestFit="1" customWidth="1"/>
    <col min="3591" max="3591" width="10.75" style="209" customWidth="1"/>
    <col min="3592" max="3592" width="12.25" style="209" customWidth="1"/>
    <col min="3593" max="3593" width="11.625" style="209" customWidth="1"/>
    <col min="3594" max="3594" width="9.75" style="209" customWidth="1"/>
    <col min="3595" max="3595" width="9.875" style="209" customWidth="1"/>
    <col min="3596" max="3596" width="12" style="209" customWidth="1"/>
    <col min="3597" max="3597" width="9.875" style="209" customWidth="1"/>
    <col min="3598" max="3599" width="10.375" style="209" customWidth="1"/>
    <col min="3600" max="3600" width="16.25" style="209" customWidth="1"/>
    <col min="3601" max="3601" width="9.875" style="209" bestFit="1" customWidth="1"/>
    <col min="3602" max="3840" width="9" style="209"/>
    <col min="3841" max="3841" width="5" style="209" customWidth="1"/>
    <col min="3842" max="3842" width="40.875" style="209" customWidth="1"/>
    <col min="3843" max="3843" width="10.125" style="209" customWidth="1"/>
    <col min="3844" max="3844" width="10.75" style="209" customWidth="1"/>
    <col min="3845" max="3845" width="10" style="209" customWidth="1"/>
    <col min="3846" max="3846" width="9.625" style="209" bestFit="1" customWidth="1"/>
    <col min="3847" max="3847" width="10.75" style="209" customWidth="1"/>
    <col min="3848" max="3848" width="12.25" style="209" customWidth="1"/>
    <col min="3849" max="3849" width="11.625" style="209" customWidth="1"/>
    <col min="3850" max="3850" width="9.75" style="209" customWidth="1"/>
    <col min="3851" max="3851" width="9.875" style="209" customWidth="1"/>
    <col min="3852" max="3852" width="12" style="209" customWidth="1"/>
    <col min="3853" max="3853" width="9.875" style="209" customWidth="1"/>
    <col min="3854" max="3855" width="10.375" style="209" customWidth="1"/>
    <col min="3856" max="3856" width="16.25" style="209" customWidth="1"/>
    <col min="3857" max="3857" width="9.875" style="209" bestFit="1" customWidth="1"/>
    <col min="3858" max="4096" width="9" style="209"/>
    <col min="4097" max="4097" width="5" style="209" customWidth="1"/>
    <col min="4098" max="4098" width="40.875" style="209" customWidth="1"/>
    <col min="4099" max="4099" width="10.125" style="209" customWidth="1"/>
    <col min="4100" max="4100" width="10.75" style="209" customWidth="1"/>
    <col min="4101" max="4101" width="10" style="209" customWidth="1"/>
    <col min="4102" max="4102" width="9.625" style="209" bestFit="1" customWidth="1"/>
    <col min="4103" max="4103" width="10.75" style="209" customWidth="1"/>
    <col min="4104" max="4104" width="12.25" style="209" customWidth="1"/>
    <col min="4105" max="4105" width="11.625" style="209" customWidth="1"/>
    <col min="4106" max="4106" width="9.75" style="209" customWidth="1"/>
    <col min="4107" max="4107" width="9.875" style="209" customWidth="1"/>
    <col min="4108" max="4108" width="12" style="209" customWidth="1"/>
    <col min="4109" max="4109" width="9.875" style="209" customWidth="1"/>
    <col min="4110" max="4111" width="10.375" style="209" customWidth="1"/>
    <col min="4112" max="4112" width="16.25" style="209" customWidth="1"/>
    <col min="4113" max="4113" width="9.875" style="209" bestFit="1" customWidth="1"/>
    <col min="4114" max="4352" width="9" style="209"/>
    <col min="4353" max="4353" width="5" style="209" customWidth="1"/>
    <col min="4354" max="4354" width="40.875" style="209" customWidth="1"/>
    <col min="4355" max="4355" width="10.125" style="209" customWidth="1"/>
    <col min="4356" max="4356" width="10.75" style="209" customWidth="1"/>
    <col min="4357" max="4357" width="10" style="209" customWidth="1"/>
    <col min="4358" max="4358" width="9.625" style="209" bestFit="1" customWidth="1"/>
    <col min="4359" max="4359" width="10.75" style="209" customWidth="1"/>
    <col min="4360" max="4360" width="12.25" style="209" customWidth="1"/>
    <col min="4361" max="4361" width="11.625" style="209" customWidth="1"/>
    <col min="4362" max="4362" width="9.75" style="209" customWidth="1"/>
    <col min="4363" max="4363" width="9.875" style="209" customWidth="1"/>
    <col min="4364" max="4364" width="12" style="209" customWidth="1"/>
    <col min="4365" max="4365" width="9.875" style="209" customWidth="1"/>
    <col min="4366" max="4367" width="10.375" style="209" customWidth="1"/>
    <col min="4368" max="4368" width="16.25" style="209" customWidth="1"/>
    <col min="4369" max="4369" width="9.875" style="209" bestFit="1" customWidth="1"/>
    <col min="4370" max="4608" width="9" style="209"/>
    <col min="4609" max="4609" width="5" style="209" customWidth="1"/>
    <col min="4610" max="4610" width="40.875" style="209" customWidth="1"/>
    <col min="4611" max="4611" width="10.125" style="209" customWidth="1"/>
    <col min="4612" max="4612" width="10.75" style="209" customWidth="1"/>
    <col min="4613" max="4613" width="10" style="209" customWidth="1"/>
    <col min="4614" max="4614" width="9.625" style="209" bestFit="1" customWidth="1"/>
    <col min="4615" max="4615" width="10.75" style="209" customWidth="1"/>
    <col min="4616" max="4616" width="12.25" style="209" customWidth="1"/>
    <col min="4617" max="4617" width="11.625" style="209" customWidth="1"/>
    <col min="4618" max="4618" width="9.75" style="209" customWidth="1"/>
    <col min="4619" max="4619" width="9.875" style="209" customWidth="1"/>
    <col min="4620" max="4620" width="12" style="209" customWidth="1"/>
    <col min="4621" max="4621" width="9.875" style="209" customWidth="1"/>
    <col min="4622" max="4623" width="10.375" style="209" customWidth="1"/>
    <col min="4624" max="4624" width="16.25" style="209" customWidth="1"/>
    <col min="4625" max="4625" width="9.875" style="209" bestFit="1" customWidth="1"/>
    <col min="4626" max="4864" width="9" style="209"/>
    <col min="4865" max="4865" width="5" style="209" customWidth="1"/>
    <col min="4866" max="4866" width="40.875" style="209" customWidth="1"/>
    <col min="4867" max="4867" width="10.125" style="209" customWidth="1"/>
    <col min="4868" max="4868" width="10.75" style="209" customWidth="1"/>
    <col min="4869" max="4869" width="10" style="209" customWidth="1"/>
    <col min="4870" max="4870" width="9.625" style="209" bestFit="1" customWidth="1"/>
    <col min="4871" max="4871" width="10.75" style="209" customWidth="1"/>
    <col min="4872" max="4872" width="12.25" style="209" customWidth="1"/>
    <col min="4873" max="4873" width="11.625" style="209" customWidth="1"/>
    <col min="4874" max="4874" width="9.75" style="209" customWidth="1"/>
    <col min="4875" max="4875" width="9.875" style="209" customWidth="1"/>
    <col min="4876" max="4876" width="12" style="209" customWidth="1"/>
    <col min="4877" max="4877" width="9.875" style="209" customWidth="1"/>
    <col min="4878" max="4879" width="10.375" style="209" customWidth="1"/>
    <col min="4880" max="4880" width="16.25" style="209" customWidth="1"/>
    <col min="4881" max="4881" width="9.875" style="209" bestFit="1" customWidth="1"/>
    <col min="4882" max="5120" width="9" style="209"/>
    <col min="5121" max="5121" width="5" style="209" customWidth="1"/>
    <col min="5122" max="5122" width="40.875" style="209" customWidth="1"/>
    <col min="5123" max="5123" width="10.125" style="209" customWidth="1"/>
    <col min="5124" max="5124" width="10.75" style="209" customWidth="1"/>
    <col min="5125" max="5125" width="10" style="209" customWidth="1"/>
    <col min="5126" max="5126" width="9.625" style="209" bestFit="1" customWidth="1"/>
    <col min="5127" max="5127" width="10.75" style="209" customWidth="1"/>
    <col min="5128" max="5128" width="12.25" style="209" customWidth="1"/>
    <col min="5129" max="5129" width="11.625" style="209" customWidth="1"/>
    <col min="5130" max="5130" width="9.75" style="209" customWidth="1"/>
    <col min="5131" max="5131" width="9.875" style="209" customWidth="1"/>
    <col min="5132" max="5132" width="12" style="209" customWidth="1"/>
    <col min="5133" max="5133" width="9.875" style="209" customWidth="1"/>
    <col min="5134" max="5135" width="10.375" style="209" customWidth="1"/>
    <col min="5136" max="5136" width="16.25" style="209" customWidth="1"/>
    <col min="5137" max="5137" width="9.875" style="209" bestFit="1" customWidth="1"/>
    <col min="5138" max="5376" width="9" style="209"/>
    <col min="5377" max="5377" width="5" style="209" customWidth="1"/>
    <col min="5378" max="5378" width="40.875" style="209" customWidth="1"/>
    <col min="5379" max="5379" width="10.125" style="209" customWidth="1"/>
    <col min="5380" max="5380" width="10.75" style="209" customWidth="1"/>
    <col min="5381" max="5381" width="10" style="209" customWidth="1"/>
    <col min="5382" max="5382" width="9.625" style="209" bestFit="1" customWidth="1"/>
    <col min="5383" max="5383" width="10.75" style="209" customWidth="1"/>
    <col min="5384" max="5384" width="12.25" style="209" customWidth="1"/>
    <col min="5385" max="5385" width="11.625" style="209" customWidth="1"/>
    <col min="5386" max="5386" width="9.75" style="209" customWidth="1"/>
    <col min="5387" max="5387" width="9.875" style="209" customWidth="1"/>
    <col min="5388" max="5388" width="12" style="209" customWidth="1"/>
    <col min="5389" max="5389" width="9.875" style="209" customWidth="1"/>
    <col min="5390" max="5391" width="10.375" style="209" customWidth="1"/>
    <col min="5392" max="5392" width="16.25" style="209" customWidth="1"/>
    <col min="5393" max="5393" width="9.875" style="209" bestFit="1" customWidth="1"/>
    <col min="5394" max="5632" width="9" style="209"/>
    <col min="5633" max="5633" width="5" style="209" customWidth="1"/>
    <col min="5634" max="5634" width="40.875" style="209" customWidth="1"/>
    <col min="5635" max="5635" width="10.125" style="209" customWidth="1"/>
    <col min="5636" max="5636" width="10.75" style="209" customWidth="1"/>
    <col min="5637" max="5637" width="10" style="209" customWidth="1"/>
    <col min="5638" max="5638" width="9.625" style="209" bestFit="1" customWidth="1"/>
    <col min="5639" max="5639" width="10.75" style="209" customWidth="1"/>
    <col min="5640" max="5640" width="12.25" style="209" customWidth="1"/>
    <col min="5641" max="5641" width="11.625" style="209" customWidth="1"/>
    <col min="5642" max="5642" width="9.75" style="209" customWidth="1"/>
    <col min="5643" max="5643" width="9.875" style="209" customWidth="1"/>
    <col min="5644" max="5644" width="12" style="209" customWidth="1"/>
    <col min="5645" max="5645" width="9.875" style="209" customWidth="1"/>
    <col min="5646" max="5647" width="10.375" style="209" customWidth="1"/>
    <col min="5648" max="5648" width="16.25" style="209" customWidth="1"/>
    <col min="5649" max="5649" width="9.875" style="209" bestFit="1" customWidth="1"/>
    <col min="5650" max="5888" width="9" style="209"/>
    <col min="5889" max="5889" width="5" style="209" customWidth="1"/>
    <col min="5890" max="5890" width="40.875" style="209" customWidth="1"/>
    <col min="5891" max="5891" width="10.125" style="209" customWidth="1"/>
    <col min="5892" max="5892" width="10.75" style="209" customWidth="1"/>
    <col min="5893" max="5893" width="10" style="209" customWidth="1"/>
    <col min="5894" max="5894" width="9.625" style="209" bestFit="1" customWidth="1"/>
    <col min="5895" max="5895" width="10.75" style="209" customWidth="1"/>
    <col min="5896" max="5896" width="12.25" style="209" customWidth="1"/>
    <col min="5897" max="5897" width="11.625" style="209" customWidth="1"/>
    <col min="5898" max="5898" width="9.75" style="209" customWidth="1"/>
    <col min="5899" max="5899" width="9.875" style="209" customWidth="1"/>
    <col min="5900" max="5900" width="12" style="209" customWidth="1"/>
    <col min="5901" max="5901" width="9.875" style="209" customWidth="1"/>
    <col min="5902" max="5903" width="10.375" style="209" customWidth="1"/>
    <col min="5904" max="5904" width="16.25" style="209" customWidth="1"/>
    <col min="5905" max="5905" width="9.875" style="209" bestFit="1" customWidth="1"/>
    <col min="5906" max="6144" width="9" style="209"/>
    <col min="6145" max="6145" width="5" style="209" customWidth="1"/>
    <col min="6146" max="6146" width="40.875" style="209" customWidth="1"/>
    <col min="6147" max="6147" width="10.125" style="209" customWidth="1"/>
    <col min="6148" max="6148" width="10.75" style="209" customWidth="1"/>
    <col min="6149" max="6149" width="10" style="209" customWidth="1"/>
    <col min="6150" max="6150" width="9.625" style="209" bestFit="1" customWidth="1"/>
    <col min="6151" max="6151" width="10.75" style="209" customWidth="1"/>
    <col min="6152" max="6152" width="12.25" style="209" customWidth="1"/>
    <col min="6153" max="6153" width="11.625" style="209" customWidth="1"/>
    <col min="6154" max="6154" width="9.75" style="209" customWidth="1"/>
    <col min="6155" max="6155" width="9.875" style="209" customWidth="1"/>
    <col min="6156" max="6156" width="12" style="209" customWidth="1"/>
    <col min="6157" max="6157" width="9.875" style="209" customWidth="1"/>
    <col min="6158" max="6159" width="10.375" style="209" customWidth="1"/>
    <col min="6160" max="6160" width="16.25" style="209" customWidth="1"/>
    <col min="6161" max="6161" width="9.875" style="209" bestFit="1" customWidth="1"/>
    <col min="6162" max="6400" width="9" style="209"/>
    <col min="6401" max="6401" width="5" style="209" customWidth="1"/>
    <col min="6402" max="6402" width="40.875" style="209" customWidth="1"/>
    <col min="6403" max="6403" width="10.125" style="209" customWidth="1"/>
    <col min="6404" max="6404" width="10.75" style="209" customWidth="1"/>
    <col min="6405" max="6405" width="10" style="209" customWidth="1"/>
    <col min="6406" max="6406" width="9.625" style="209" bestFit="1" customWidth="1"/>
    <col min="6407" max="6407" width="10.75" style="209" customWidth="1"/>
    <col min="6408" max="6408" width="12.25" style="209" customWidth="1"/>
    <col min="6409" max="6409" width="11.625" style="209" customWidth="1"/>
    <col min="6410" max="6410" width="9.75" style="209" customWidth="1"/>
    <col min="6411" max="6411" width="9.875" style="209" customWidth="1"/>
    <col min="6412" max="6412" width="12" style="209" customWidth="1"/>
    <col min="6413" max="6413" width="9.875" style="209" customWidth="1"/>
    <col min="6414" max="6415" width="10.375" style="209" customWidth="1"/>
    <col min="6416" max="6416" width="16.25" style="209" customWidth="1"/>
    <col min="6417" max="6417" width="9.875" style="209" bestFit="1" customWidth="1"/>
    <col min="6418" max="6656" width="9" style="209"/>
    <col min="6657" max="6657" width="5" style="209" customWidth="1"/>
    <col min="6658" max="6658" width="40.875" style="209" customWidth="1"/>
    <col min="6659" max="6659" width="10.125" style="209" customWidth="1"/>
    <col min="6660" max="6660" width="10.75" style="209" customWidth="1"/>
    <col min="6661" max="6661" width="10" style="209" customWidth="1"/>
    <col min="6662" max="6662" width="9.625" style="209" bestFit="1" customWidth="1"/>
    <col min="6663" max="6663" width="10.75" style="209" customWidth="1"/>
    <col min="6664" max="6664" width="12.25" style="209" customWidth="1"/>
    <col min="6665" max="6665" width="11.625" style="209" customWidth="1"/>
    <col min="6666" max="6666" width="9.75" style="209" customWidth="1"/>
    <col min="6667" max="6667" width="9.875" style="209" customWidth="1"/>
    <col min="6668" max="6668" width="12" style="209" customWidth="1"/>
    <col min="6669" max="6669" width="9.875" style="209" customWidth="1"/>
    <col min="6670" max="6671" width="10.375" style="209" customWidth="1"/>
    <col min="6672" max="6672" width="16.25" style="209" customWidth="1"/>
    <col min="6673" max="6673" width="9.875" style="209" bestFit="1" customWidth="1"/>
    <col min="6674" max="6912" width="9" style="209"/>
    <col min="6913" max="6913" width="5" style="209" customWidth="1"/>
    <col min="6914" max="6914" width="40.875" style="209" customWidth="1"/>
    <col min="6915" max="6915" width="10.125" style="209" customWidth="1"/>
    <col min="6916" max="6916" width="10.75" style="209" customWidth="1"/>
    <col min="6917" max="6917" width="10" style="209" customWidth="1"/>
    <col min="6918" max="6918" width="9.625" style="209" bestFit="1" customWidth="1"/>
    <col min="6919" max="6919" width="10.75" style="209" customWidth="1"/>
    <col min="6920" max="6920" width="12.25" style="209" customWidth="1"/>
    <col min="6921" max="6921" width="11.625" style="209" customWidth="1"/>
    <col min="6922" max="6922" width="9.75" style="209" customWidth="1"/>
    <col min="6923" max="6923" width="9.875" style="209" customWidth="1"/>
    <col min="6924" max="6924" width="12" style="209" customWidth="1"/>
    <col min="6925" max="6925" width="9.875" style="209" customWidth="1"/>
    <col min="6926" max="6927" width="10.375" style="209" customWidth="1"/>
    <col min="6928" max="6928" width="16.25" style="209" customWidth="1"/>
    <col min="6929" max="6929" width="9.875" style="209" bestFit="1" customWidth="1"/>
    <col min="6930" max="7168" width="9" style="209"/>
    <col min="7169" max="7169" width="5" style="209" customWidth="1"/>
    <col min="7170" max="7170" width="40.875" style="209" customWidth="1"/>
    <col min="7171" max="7171" width="10.125" style="209" customWidth="1"/>
    <col min="7172" max="7172" width="10.75" style="209" customWidth="1"/>
    <col min="7173" max="7173" width="10" style="209" customWidth="1"/>
    <col min="7174" max="7174" width="9.625" style="209" bestFit="1" customWidth="1"/>
    <col min="7175" max="7175" width="10.75" style="209" customWidth="1"/>
    <col min="7176" max="7176" width="12.25" style="209" customWidth="1"/>
    <col min="7177" max="7177" width="11.625" style="209" customWidth="1"/>
    <col min="7178" max="7178" width="9.75" style="209" customWidth="1"/>
    <col min="7179" max="7179" width="9.875" style="209" customWidth="1"/>
    <col min="7180" max="7180" width="12" style="209" customWidth="1"/>
    <col min="7181" max="7181" width="9.875" style="209" customWidth="1"/>
    <col min="7182" max="7183" width="10.375" style="209" customWidth="1"/>
    <col min="7184" max="7184" width="16.25" style="209" customWidth="1"/>
    <col min="7185" max="7185" width="9.875" style="209" bestFit="1" customWidth="1"/>
    <col min="7186" max="7424" width="9" style="209"/>
    <col min="7425" max="7425" width="5" style="209" customWidth="1"/>
    <col min="7426" max="7426" width="40.875" style="209" customWidth="1"/>
    <col min="7427" max="7427" width="10.125" style="209" customWidth="1"/>
    <col min="7428" max="7428" width="10.75" style="209" customWidth="1"/>
    <col min="7429" max="7429" width="10" style="209" customWidth="1"/>
    <col min="7430" max="7430" width="9.625" style="209" bestFit="1" customWidth="1"/>
    <col min="7431" max="7431" width="10.75" style="209" customWidth="1"/>
    <col min="7432" max="7432" width="12.25" style="209" customWidth="1"/>
    <col min="7433" max="7433" width="11.625" style="209" customWidth="1"/>
    <col min="7434" max="7434" width="9.75" style="209" customWidth="1"/>
    <col min="7435" max="7435" width="9.875" style="209" customWidth="1"/>
    <col min="7436" max="7436" width="12" style="209" customWidth="1"/>
    <col min="7437" max="7437" width="9.875" style="209" customWidth="1"/>
    <col min="7438" max="7439" width="10.375" style="209" customWidth="1"/>
    <col min="7440" max="7440" width="16.25" style="209" customWidth="1"/>
    <col min="7441" max="7441" width="9.875" style="209" bestFit="1" customWidth="1"/>
    <col min="7442" max="7680" width="9" style="209"/>
    <col min="7681" max="7681" width="5" style="209" customWidth="1"/>
    <col min="7682" max="7682" width="40.875" style="209" customWidth="1"/>
    <col min="7683" max="7683" width="10.125" style="209" customWidth="1"/>
    <col min="7684" max="7684" width="10.75" style="209" customWidth="1"/>
    <col min="7685" max="7685" width="10" style="209" customWidth="1"/>
    <col min="7686" max="7686" width="9.625" style="209" bestFit="1" customWidth="1"/>
    <col min="7687" max="7687" width="10.75" style="209" customWidth="1"/>
    <col min="7688" max="7688" width="12.25" style="209" customWidth="1"/>
    <col min="7689" max="7689" width="11.625" style="209" customWidth="1"/>
    <col min="7690" max="7690" width="9.75" style="209" customWidth="1"/>
    <col min="7691" max="7691" width="9.875" style="209" customWidth="1"/>
    <col min="7692" max="7692" width="12" style="209" customWidth="1"/>
    <col min="7693" max="7693" width="9.875" style="209" customWidth="1"/>
    <col min="7694" max="7695" width="10.375" style="209" customWidth="1"/>
    <col min="7696" max="7696" width="16.25" style="209" customWidth="1"/>
    <col min="7697" max="7697" width="9.875" style="209" bestFit="1" customWidth="1"/>
    <col min="7698" max="7936" width="9" style="209"/>
    <col min="7937" max="7937" width="5" style="209" customWidth="1"/>
    <col min="7938" max="7938" width="40.875" style="209" customWidth="1"/>
    <col min="7939" max="7939" width="10.125" style="209" customWidth="1"/>
    <col min="7940" max="7940" width="10.75" style="209" customWidth="1"/>
    <col min="7941" max="7941" width="10" style="209" customWidth="1"/>
    <col min="7942" max="7942" width="9.625" style="209" bestFit="1" customWidth="1"/>
    <col min="7943" max="7943" width="10.75" style="209" customWidth="1"/>
    <col min="7944" max="7944" width="12.25" style="209" customWidth="1"/>
    <col min="7945" max="7945" width="11.625" style="209" customWidth="1"/>
    <col min="7946" max="7946" width="9.75" style="209" customWidth="1"/>
    <col min="7947" max="7947" width="9.875" style="209" customWidth="1"/>
    <col min="7948" max="7948" width="12" style="209" customWidth="1"/>
    <col min="7949" max="7949" width="9.875" style="209" customWidth="1"/>
    <col min="7950" max="7951" width="10.375" style="209" customWidth="1"/>
    <col min="7952" max="7952" width="16.25" style="209" customWidth="1"/>
    <col min="7953" max="7953" width="9.875" style="209" bestFit="1" customWidth="1"/>
    <col min="7954" max="8192" width="9" style="209"/>
    <col min="8193" max="8193" width="5" style="209" customWidth="1"/>
    <col min="8194" max="8194" width="40.875" style="209" customWidth="1"/>
    <col min="8195" max="8195" width="10.125" style="209" customWidth="1"/>
    <col min="8196" max="8196" width="10.75" style="209" customWidth="1"/>
    <col min="8197" max="8197" width="10" style="209" customWidth="1"/>
    <col min="8198" max="8198" width="9.625" style="209" bestFit="1" customWidth="1"/>
    <col min="8199" max="8199" width="10.75" style="209" customWidth="1"/>
    <col min="8200" max="8200" width="12.25" style="209" customWidth="1"/>
    <col min="8201" max="8201" width="11.625" style="209" customWidth="1"/>
    <col min="8202" max="8202" width="9.75" style="209" customWidth="1"/>
    <col min="8203" max="8203" width="9.875" style="209" customWidth="1"/>
    <col min="8204" max="8204" width="12" style="209" customWidth="1"/>
    <col min="8205" max="8205" width="9.875" style="209" customWidth="1"/>
    <col min="8206" max="8207" width="10.375" style="209" customWidth="1"/>
    <col min="8208" max="8208" width="16.25" style="209" customWidth="1"/>
    <col min="8209" max="8209" width="9.875" style="209" bestFit="1" customWidth="1"/>
    <col min="8210" max="8448" width="9" style="209"/>
    <col min="8449" max="8449" width="5" style="209" customWidth="1"/>
    <col min="8450" max="8450" width="40.875" style="209" customWidth="1"/>
    <col min="8451" max="8451" width="10.125" style="209" customWidth="1"/>
    <col min="8452" max="8452" width="10.75" style="209" customWidth="1"/>
    <col min="8453" max="8453" width="10" style="209" customWidth="1"/>
    <col min="8454" max="8454" width="9.625" style="209" bestFit="1" customWidth="1"/>
    <col min="8455" max="8455" width="10.75" style="209" customWidth="1"/>
    <col min="8456" max="8456" width="12.25" style="209" customWidth="1"/>
    <col min="8457" max="8457" width="11.625" style="209" customWidth="1"/>
    <col min="8458" max="8458" width="9.75" style="209" customWidth="1"/>
    <col min="8459" max="8459" width="9.875" style="209" customWidth="1"/>
    <col min="8460" max="8460" width="12" style="209" customWidth="1"/>
    <col min="8461" max="8461" width="9.875" style="209" customWidth="1"/>
    <col min="8462" max="8463" width="10.375" style="209" customWidth="1"/>
    <col min="8464" max="8464" width="16.25" style="209" customWidth="1"/>
    <col min="8465" max="8465" width="9.875" style="209" bestFit="1" customWidth="1"/>
    <col min="8466" max="8704" width="9" style="209"/>
    <col min="8705" max="8705" width="5" style="209" customWidth="1"/>
    <col min="8706" max="8706" width="40.875" style="209" customWidth="1"/>
    <col min="8707" max="8707" width="10.125" style="209" customWidth="1"/>
    <col min="8708" max="8708" width="10.75" style="209" customWidth="1"/>
    <col min="8709" max="8709" width="10" style="209" customWidth="1"/>
    <col min="8710" max="8710" width="9.625" style="209" bestFit="1" customWidth="1"/>
    <col min="8711" max="8711" width="10.75" style="209" customWidth="1"/>
    <col min="8712" max="8712" width="12.25" style="209" customWidth="1"/>
    <col min="8713" max="8713" width="11.625" style="209" customWidth="1"/>
    <col min="8714" max="8714" width="9.75" style="209" customWidth="1"/>
    <col min="8715" max="8715" width="9.875" style="209" customWidth="1"/>
    <col min="8716" max="8716" width="12" style="209" customWidth="1"/>
    <col min="8717" max="8717" width="9.875" style="209" customWidth="1"/>
    <col min="8718" max="8719" width="10.375" style="209" customWidth="1"/>
    <col min="8720" max="8720" width="16.25" style="209" customWidth="1"/>
    <col min="8721" max="8721" width="9.875" style="209" bestFit="1" customWidth="1"/>
    <col min="8722" max="8960" width="9" style="209"/>
    <col min="8961" max="8961" width="5" style="209" customWidth="1"/>
    <col min="8962" max="8962" width="40.875" style="209" customWidth="1"/>
    <col min="8963" max="8963" width="10.125" style="209" customWidth="1"/>
    <col min="8964" max="8964" width="10.75" style="209" customWidth="1"/>
    <col min="8965" max="8965" width="10" style="209" customWidth="1"/>
    <col min="8966" max="8966" width="9.625" style="209" bestFit="1" customWidth="1"/>
    <col min="8967" max="8967" width="10.75" style="209" customWidth="1"/>
    <col min="8968" max="8968" width="12.25" style="209" customWidth="1"/>
    <col min="8969" max="8969" width="11.625" style="209" customWidth="1"/>
    <col min="8970" max="8970" width="9.75" style="209" customWidth="1"/>
    <col min="8971" max="8971" width="9.875" style="209" customWidth="1"/>
    <col min="8972" max="8972" width="12" style="209" customWidth="1"/>
    <col min="8973" max="8973" width="9.875" style="209" customWidth="1"/>
    <col min="8974" max="8975" width="10.375" style="209" customWidth="1"/>
    <col min="8976" max="8976" width="16.25" style="209" customWidth="1"/>
    <col min="8977" max="8977" width="9.875" style="209" bestFit="1" customWidth="1"/>
    <col min="8978" max="9216" width="9" style="209"/>
    <col min="9217" max="9217" width="5" style="209" customWidth="1"/>
    <col min="9218" max="9218" width="40.875" style="209" customWidth="1"/>
    <col min="9219" max="9219" width="10.125" style="209" customWidth="1"/>
    <col min="9220" max="9220" width="10.75" style="209" customWidth="1"/>
    <col min="9221" max="9221" width="10" style="209" customWidth="1"/>
    <col min="9222" max="9222" width="9.625" style="209" bestFit="1" customWidth="1"/>
    <col min="9223" max="9223" width="10.75" style="209" customWidth="1"/>
    <col min="9224" max="9224" width="12.25" style="209" customWidth="1"/>
    <col min="9225" max="9225" width="11.625" style="209" customWidth="1"/>
    <col min="9226" max="9226" width="9.75" style="209" customWidth="1"/>
    <col min="9227" max="9227" width="9.875" style="209" customWidth="1"/>
    <col min="9228" max="9228" width="12" style="209" customWidth="1"/>
    <col min="9229" max="9229" width="9.875" style="209" customWidth="1"/>
    <col min="9230" max="9231" width="10.375" style="209" customWidth="1"/>
    <col min="9232" max="9232" width="16.25" style="209" customWidth="1"/>
    <col min="9233" max="9233" width="9.875" style="209" bestFit="1" customWidth="1"/>
    <col min="9234" max="9472" width="9" style="209"/>
    <col min="9473" max="9473" width="5" style="209" customWidth="1"/>
    <col min="9474" max="9474" width="40.875" style="209" customWidth="1"/>
    <col min="9475" max="9475" width="10.125" style="209" customWidth="1"/>
    <col min="9476" max="9476" width="10.75" style="209" customWidth="1"/>
    <col min="9477" max="9477" width="10" style="209" customWidth="1"/>
    <col min="9478" max="9478" width="9.625" style="209" bestFit="1" customWidth="1"/>
    <col min="9479" max="9479" width="10.75" style="209" customWidth="1"/>
    <col min="9480" max="9480" width="12.25" style="209" customWidth="1"/>
    <col min="9481" max="9481" width="11.625" style="209" customWidth="1"/>
    <col min="9482" max="9482" width="9.75" style="209" customWidth="1"/>
    <col min="9483" max="9483" width="9.875" style="209" customWidth="1"/>
    <col min="9484" max="9484" width="12" style="209" customWidth="1"/>
    <col min="9485" max="9485" width="9.875" style="209" customWidth="1"/>
    <col min="9486" max="9487" width="10.375" style="209" customWidth="1"/>
    <col min="9488" max="9488" width="16.25" style="209" customWidth="1"/>
    <col min="9489" max="9489" width="9.875" style="209" bestFit="1" customWidth="1"/>
    <col min="9490" max="9728" width="9" style="209"/>
    <col min="9729" max="9729" width="5" style="209" customWidth="1"/>
    <col min="9730" max="9730" width="40.875" style="209" customWidth="1"/>
    <col min="9731" max="9731" width="10.125" style="209" customWidth="1"/>
    <col min="9732" max="9732" width="10.75" style="209" customWidth="1"/>
    <col min="9733" max="9733" width="10" style="209" customWidth="1"/>
    <col min="9734" max="9734" width="9.625" style="209" bestFit="1" customWidth="1"/>
    <col min="9735" max="9735" width="10.75" style="209" customWidth="1"/>
    <col min="9736" max="9736" width="12.25" style="209" customWidth="1"/>
    <col min="9737" max="9737" width="11.625" style="209" customWidth="1"/>
    <col min="9738" max="9738" width="9.75" style="209" customWidth="1"/>
    <col min="9739" max="9739" width="9.875" style="209" customWidth="1"/>
    <col min="9740" max="9740" width="12" style="209" customWidth="1"/>
    <col min="9741" max="9741" width="9.875" style="209" customWidth="1"/>
    <col min="9742" max="9743" width="10.375" style="209" customWidth="1"/>
    <col min="9744" max="9744" width="16.25" style="209" customWidth="1"/>
    <col min="9745" max="9745" width="9.875" style="209" bestFit="1" customWidth="1"/>
    <col min="9746" max="9984" width="9" style="209"/>
    <col min="9985" max="9985" width="5" style="209" customWidth="1"/>
    <col min="9986" max="9986" width="40.875" style="209" customWidth="1"/>
    <col min="9987" max="9987" width="10.125" style="209" customWidth="1"/>
    <col min="9988" max="9988" width="10.75" style="209" customWidth="1"/>
    <col min="9989" max="9989" width="10" style="209" customWidth="1"/>
    <col min="9990" max="9990" width="9.625" style="209" bestFit="1" customWidth="1"/>
    <col min="9991" max="9991" width="10.75" style="209" customWidth="1"/>
    <col min="9992" max="9992" width="12.25" style="209" customWidth="1"/>
    <col min="9993" max="9993" width="11.625" style="209" customWidth="1"/>
    <col min="9994" max="9994" width="9.75" style="209" customWidth="1"/>
    <col min="9995" max="9995" width="9.875" style="209" customWidth="1"/>
    <col min="9996" max="9996" width="12" style="209" customWidth="1"/>
    <col min="9997" max="9997" width="9.875" style="209" customWidth="1"/>
    <col min="9998" max="9999" width="10.375" style="209" customWidth="1"/>
    <col min="10000" max="10000" width="16.25" style="209" customWidth="1"/>
    <col min="10001" max="10001" width="9.875" style="209" bestFit="1" customWidth="1"/>
    <col min="10002" max="10240" width="9" style="209"/>
    <col min="10241" max="10241" width="5" style="209" customWidth="1"/>
    <col min="10242" max="10242" width="40.875" style="209" customWidth="1"/>
    <col min="10243" max="10243" width="10.125" style="209" customWidth="1"/>
    <col min="10244" max="10244" width="10.75" style="209" customWidth="1"/>
    <col min="10245" max="10245" width="10" style="209" customWidth="1"/>
    <col min="10246" max="10246" width="9.625" style="209" bestFit="1" customWidth="1"/>
    <col min="10247" max="10247" width="10.75" style="209" customWidth="1"/>
    <col min="10248" max="10248" width="12.25" style="209" customWidth="1"/>
    <col min="10249" max="10249" width="11.625" style="209" customWidth="1"/>
    <col min="10250" max="10250" width="9.75" style="209" customWidth="1"/>
    <col min="10251" max="10251" width="9.875" style="209" customWidth="1"/>
    <col min="10252" max="10252" width="12" style="209" customWidth="1"/>
    <col min="10253" max="10253" width="9.875" style="209" customWidth="1"/>
    <col min="10254" max="10255" width="10.375" style="209" customWidth="1"/>
    <col min="10256" max="10256" width="16.25" style="209" customWidth="1"/>
    <col min="10257" max="10257" width="9.875" style="209" bestFit="1" customWidth="1"/>
    <col min="10258" max="10496" width="9" style="209"/>
    <col min="10497" max="10497" width="5" style="209" customWidth="1"/>
    <col min="10498" max="10498" width="40.875" style="209" customWidth="1"/>
    <col min="10499" max="10499" width="10.125" style="209" customWidth="1"/>
    <col min="10500" max="10500" width="10.75" style="209" customWidth="1"/>
    <col min="10501" max="10501" width="10" style="209" customWidth="1"/>
    <col min="10502" max="10502" width="9.625" style="209" bestFit="1" customWidth="1"/>
    <col min="10503" max="10503" width="10.75" style="209" customWidth="1"/>
    <col min="10504" max="10504" width="12.25" style="209" customWidth="1"/>
    <col min="10505" max="10505" width="11.625" style="209" customWidth="1"/>
    <col min="10506" max="10506" width="9.75" style="209" customWidth="1"/>
    <col min="10507" max="10507" width="9.875" style="209" customWidth="1"/>
    <col min="10508" max="10508" width="12" style="209" customWidth="1"/>
    <col min="10509" max="10509" width="9.875" style="209" customWidth="1"/>
    <col min="10510" max="10511" width="10.375" style="209" customWidth="1"/>
    <col min="10512" max="10512" width="16.25" style="209" customWidth="1"/>
    <col min="10513" max="10513" width="9.875" style="209" bestFit="1" customWidth="1"/>
    <col min="10514" max="10752" width="9" style="209"/>
    <col min="10753" max="10753" width="5" style="209" customWidth="1"/>
    <col min="10754" max="10754" width="40.875" style="209" customWidth="1"/>
    <col min="10755" max="10755" width="10.125" style="209" customWidth="1"/>
    <col min="10756" max="10756" width="10.75" style="209" customWidth="1"/>
    <col min="10757" max="10757" width="10" style="209" customWidth="1"/>
    <col min="10758" max="10758" width="9.625" style="209" bestFit="1" customWidth="1"/>
    <col min="10759" max="10759" width="10.75" style="209" customWidth="1"/>
    <col min="10760" max="10760" width="12.25" style="209" customWidth="1"/>
    <col min="10761" max="10761" width="11.625" style="209" customWidth="1"/>
    <col min="10762" max="10762" width="9.75" style="209" customWidth="1"/>
    <col min="10763" max="10763" width="9.875" style="209" customWidth="1"/>
    <col min="10764" max="10764" width="12" style="209" customWidth="1"/>
    <col min="10765" max="10765" width="9.875" style="209" customWidth="1"/>
    <col min="10766" max="10767" width="10.375" style="209" customWidth="1"/>
    <col min="10768" max="10768" width="16.25" style="209" customWidth="1"/>
    <col min="10769" max="10769" width="9.875" style="209" bestFit="1" customWidth="1"/>
    <col min="10770" max="11008" width="9" style="209"/>
    <col min="11009" max="11009" width="5" style="209" customWidth="1"/>
    <col min="11010" max="11010" width="40.875" style="209" customWidth="1"/>
    <col min="11011" max="11011" width="10.125" style="209" customWidth="1"/>
    <col min="11012" max="11012" width="10.75" style="209" customWidth="1"/>
    <col min="11013" max="11013" width="10" style="209" customWidth="1"/>
    <col min="11014" max="11014" width="9.625" style="209" bestFit="1" customWidth="1"/>
    <col min="11015" max="11015" width="10.75" style="209" customWidth="1"/>
    <col min="11016" max="11016" width="12.25" style="209" customWidth="1"/>
    <col min="11017" max="11017" width="11.625" style="209" customWidth="1"/>
    <col min="11018" max="11018" width="9.75" style="209" customWidth="1"/>
    <col min="11019" max="11019" width="9.875" style="209" customWidth="1"/>
    <col min="11020" max="11020" width="12" style="209" customWidth="1"/>
    <col min="11021" max="11021" width="9.875" style="209" customWidth="1"/>
    <col min="11022" max="11023" width="10.375" style="209" customWidth="1"/>
    <col min="11024" max="11024" width="16.25" style="209" customWidth="1"/>
    <col min="11025" max="11025" width="9.875" style="209" bestFit="1" customWidth="1"/>
    <col min="11026" max="11264" width="9" style="209"/>
    <col min="11265" max="11265" width="5" style="209" customWidth="1"/>
    <col min="11266" max="11266" width="40.875" style="209" customWidth="1"/>
    <col min="11267" max="11267" width="10.125" style="209" customWidth="1"/>
    <col min="11268" max="11268" width="10.75" style="209" customWidth="1"/>
    <col min="11269" max="11269" width="10" style="209" customWidth="1"/>
    <col min="11270" max="11270" width="9.625" style="209" bestFit="1" customWidth="1"/>
    <col min="11271" max="11271" width="10.75" style="209" customWidth="1"/>
    <col min="11272" max="11272" width="12.25" style="209" customWidth="1"/>
    <col min="11273" max="11273" width="11.625" style="209" customWidth="1"/>
    <col min="11274" max="11274" width="9.75" style="209" customWidth="1"/>
    <col min="11275" max="11275" width="9.875" style="209" customWidth="1"/>
    <col min="11276" max="11276" width="12" style="209" customWidth="1"/>
    <col min="11277" max="11277" width="9.875" style="209" customWidth="1"/>
    <col min="11278" max="11279" width="10.375" style="209" customWidth="1"/>
    <col min="11280" max="11280" width="16.25" style="209" customWidth="1"/>
    <col min="11281" max="11281" width="9.875" style="209" bestFit="1" customWidth="1"/>
    <col min="11282" max="11520" width="9" style="209"/>
    <col min="11521" max="11521" width="5" style="209" customWidth="1"/>
    <col min="11522" max="11522" width="40.875" style="209" customWidth="1"/>
    <col min="11523" max="11523" width="10.125" style="209" customWidth="1"/>
    <col min="11524" max="11524" width="10.75" style="209" customWidth="1"/>
    <col min="11525" max="11525" width="10" style="209" customWidth="1"/>
    <col min="11526" max="11526" width="9.625" style="209" bestFit="1" customWidth="1"/>
    <col min="11527" max="11527" width="10.75" style="209" customWidth="1"/>
    <col min="11528" max="11528" width="12.25" style="209" customWidth="1"/>
    <col min="11529" max="11529" width="11.625" style="209" customWidth="1"/>
    <col min="11530" max="11530" width="9.75" style="209" customWidth="1"/>
    <col min="11531" max="11531" width="9.875" style="209" customWidth="1"/>
    <col min="11532" max="11532" width="12" style="209" customWidth="1"/>
    <col min="11533" max="11533" width="9.875" style="209" customWidth="1"/>
    <col min="11534" max="11535" width="10.375" style="209" customWidth="1"/>
    <col min="11536" max="11536" width="16.25" style="209" customWidth="1"/>
    <col min="11537" max="11537" width="9.875" style="209" bestFit="1" customWidth="1"/>
    <col min="11538" max="11776" width="9" style="209"/>
    <col min="11777" max="11777" width="5" style="209" customWidth="1"/>
    <col min="11778" max="11778" width="40.875" style="209" customWidth="1"/>
    <col min="11779" max="11779" width="10.125" style="209" customWidth="1"/>
    <col min="11780" max="11780" width="10.75" style="209" customWidth="1"/>
    <col min="11781" max="11781" width="10" style="209" customWidth="1"/>
    <col min="11782" max="11782" width="9.625" style="209" bestFit="1" customWidth="1"/>
    <col min="11783" max="11783" width="10.75" style="209" customWidth="1"/>
    <col min="11784" max="11784" width="12.25" style="209" customWidth="1"/>
    <col min="11785" max="11785" width="11.625" style="209" customWidth="1"/>
    <col min="11786" max="11786" width="9.75" style="209" customWidth="1"/>
    <col min="11787" max="11787" width="9.875" style="209" customWidth="1"/>
    <col min="11788" max="11788" width="12" style="209" customWidth="1"/>
    <col min="11789" max="11789" width="9.875" style="209" customWidth="1"/>
    <col min="11790" max="11791" width="10.375" style="209" customWidth="1"/>
    <col min="11792" max="11792" width="16.25" style="209" customWidth="1"/>
    <col min="11793" max="11793" width="9.875" style="209" bestFit="1" customWidth="1"/>
    <col min="11794" max="12032" width="9" style="209"/>
    <col min="12033" max="12033" width="5" style="209" customWidth="1"/>
    <col min="12034" max="12034" width="40.875" style="209" customWidth="1"/>
    <col min="12035" max="12035" width="10.125" style="209" customWidth="1"/>
    <col min="12036" max="12036" width="10.75" style="209" customWidth="1"/>
    <col min="12037" max="12037" width="10" style="209" customWidth="1"/>
    <col min="12038" max="12038" width="9.625" style="209" bestFit="1" customWidth="1"/>
    <col min="12039" max="12039" width="10.75" style="209" customWidth="1"/>
    <col min="12040" max="12040" width="12.25" style="209" customWidth="1"/>
    <col min="12041" max="12041" width="11.625" style="209" customWidth="1"/>
    <col min="12042" max="12042" width="9.75" style="209" customWidth="1"/>
    <col min="12043" max="12043" width="9.875" style="209" customWidth="1"/>
    <col min="12044" max="12044" width="12" style="209" customWidth="1"/>
    <col min="12045" max="12045" width="9.875" style="209" customWidth="1"/>
    <col min="12046" max="12047" width="10.375" style="209" customWidth="1"/>
    <col min="12048" max="12048" width="16.25" style="209" customWidth="1"/>
    <col min="12049" max="12049" width="9.875" style="209" bestFit="1" customWidth="1"/>
    <col min="12050" max="12288" width="9" style="209"/>
    <col min="12289" max="12289" width="5" style="209" customWidth="1"/>
    <col min="12290" max="12290" width="40.875" style="209" customWidth="1"/>
    <col min="12291" max="12291" width="10.125" style="209" customWidth="1"/>
    <col min="12292" max="12292" width="10.75" style="209" customWidth="1"/>
    <col min="12293" max="12293" width="10" style="209" customWidth="1"/>
    <col min="12294" max="12294" width="9.625" style="209" bestFit="1" customWidth="1"/>
    <col min="12295" max="12295" width="10.75" style="209" customWidth="1"/>
    <col min="12296" max="12296" width="12.25" style="209" customWidth="1"/>
    <col min="12297" max="12297" width="11.625" style="209" customWidth="1"/>
    <col min="12298" max="12298" width="9.75" style="209" customWidth="1"/>
    <col min="12299" max="12299" width="9.875" style="209" customWidth="1"/>
    <col min="12300" max="12300" width="12" style="209" customWidth="1"/>
    <col min="12301" max="12301" width="9.875" style="209" customWidth="1"/>
    <col min="12302" max="12303" width="10.375" style="209" customWidth="1"/>
    <col min="12304" max="12304" width="16.25" style="209" customWidth="1"/>
    <col min="12305" max="12305" width="9.875" style="209" bestFit="1" customWidth="1"/>
    <col min="12306" max="12544" width="9" style="209"/>
    <col min="12545" max="12545" width="5" style="209" customWidth="1"/>
    <col min="12546" max="12546" width="40.875" style="209" customWidth="1"/>
    <col min="12547" max="12547" width="10.125" style="209" customWidth="1"/>
    <col min="12548" max="12548" width="10.75" style="209" customWidth="1"/>
    <col min="12549" max="12549" width="10" style="209" customWidth="1"/>
    <col min="12550" max="12550" width="9.625" style="209" bestFit="1" customWidth="1"/>
    <col min="12551" max="12551" width="10.75" style="209" customWidth="1"/>
    <col min="12552" max="12552" width="12.25" style="209" customWidth="1"/>
    <col min="12553" max="12553" width="11.625" style="209" customWidth="1"/>
    <col min="12554" max="12554" width="9.75" style="209" customWidth="1"/>
    <col min="12555" max="12555" width="9.875" style="209" customWidth="1"/>
    <col min="12556" max="12556" width="12" style="209" customWidth="1"/>
    <col min="12557" max="12557" width="9.875" style="209" customWidth="1"/>
    <col min="12558" max="12559" width="10.375" style="209" customWidth="1"/>
    <col min="12560" max="12560" width="16.25" style="209" customWidth="1"/>
    <col min="12561" max="12561" width="9.875" style="209" bestFit="1" customWidth="1"/>
    <col min="12562" max="12800" width="9" style="209"/>
    <col min="12801" max="12801" width="5" style="209" customWidth="1"/>
    <col min="12802" max="12802" width="40.875" style="209" customWidth="1"/>
    <col min="12803" max="12803" width="10.125" style="209" customWidth="1"/>
    <col min="12804" max="12804" width="10.75" style="209" customWidth="1"/>
    <col min="12805" max="12805" width="10" style="209" customWidth="1"/>
    <col min="12806" max="12806" width="9.625" style="209" bestFit="1" customWidth="1"/>
    <col min="12807" max="12807" width="10.75" style="209" customWidth="1"/>
    <col min="12808" max="12808" width="12.25" style="209" customWidth="1"/>
    <col min="12809" max="12809" width="11.625" style="209" customWidth="1"/>
    <col min="12810" max="12810" width="9.75" style="209" customWidth="1"/>
    <col min="12811" max="12811" width="9.875" style="209" customWidth="1"/>
    <col min="12812" max="12812" width="12" style="209" customWidth="1"/>
    <col min="12813" max="12813" width="9.875" style="209" customWidth="1"/>
    <col min="12814" max="12815" width="10.375" style="209" customWidth="1"/>
    <col min="12816" max="12816" width="16.25" style="209" customWidth="1"/>
    <col min="12817" max="12817" width="9.875" style="209" bestFit="1" customWidth="1"/>
    <col min="12818" max="13056" width="9" style="209"/>
    <col min="13057" max="13057" width="5" style="209" customWidth="1"/>
    <col min="13058" max="13058" width="40.875" style="209" customWidth="1"/>
    <col min="13059" max="13059" width="10.125" style="209" customWidth="1"/>
    <col min="13060" max="13060" width="10.75" style="209" customWidth="1"/>
    <col min="13061" max="13061" width="10" style="209" customWidth="1"/>
    <col min="13062" max="13062" width="9.625" style="209" bestFit="1" customWidth="1"/>
    <col min="13063" max="13063" width="10.75" style="209" customWidth="1"/>
    <col min="13064" max="13064" width="12.25" style="209" customWidth="1"/>
    <col min="13065" max="13065" width="11.625" style="209" customWidth="1"/>
    <col min="13066" max="13066" width="9.75" style="209" customWidth="1"/>
    <col min="13067" max="13067" width="9.875" style="209" customWidth="1"/>
    <col min="13068" max="13068" width="12" style="209" customWidth="1"/>
    <col min="13069" max="13069" width="9.875" style="209" customWidth="1"/>
    <col min="13070" max="13071" width="10.375" style="209" customWidth="1"/>
    <col min="13072" max="13072" width="16.25" style="209" customWidth="1"/>
    <col min="13073" max="13073" width="9.875" style="209" bestFit="1" customWidth="1"/>
    <col min="13074" max="13312" width="9" style="209"/>
    <col min="13313" max="13313" width="5" style="209" customWidth="1"/>
    <col min="13314" max="13314" width="40.875" style="209" customWidth="1"/>
    <col min="13315" max="13315" width="10.125" style="209" customWidth="1"/>
    <col min="13316" max="13316" width="10.75" style="209" customWidth="1"/>
    <col min="13317" max="13317" width="10" style="209" customWidth="1"/>
    <col min="13318" max="13318" width="9.625" style="209" bestFit="1" customWidth="1"/>
    <col min="13319" max="13319" width="10.75" style="209" customWidth="1"/>
    <col min="13320" max="13320" width="12.25" style="209" customWidth="1"/>
    <col min="13321" max="13321" width="11.625" style="209" customWidth="1"/>
    <col min="13322" max="13322" width="9.75" style="209" customWidth="1"/>
    <col min="13323" max="13323" width="9.875" style="209" customWidth="1"/>
    <col min="13324" max="13324" width="12" style="209" customWidth="1"/>
    <col min="13325" max="13325" width="9.875" style="209" customWidth="1"/>
    <col min="13326" max="13327" width="10.375" style="209" customWidth="1"/>
    <col min="13328" max="13328" width="16.25" style="209" customWidth="1"/>
    <col min="13329" max="13329" width="9.875" style="209" bestFit="1" customWidth="1"/>
    <col min="13330" max="13568" width="9" style="209"/>
    <col min="13569" max="13569" width="5" style="209" customWidth="1"/>
    <col min="13570" max="13570" width="40.875" style="209" customWidth="1"/>
    <col min="13571" max="13571" width="10.125" style="209" customWidth="1"/>
    <col min="13572" max="13572" width="10.75" style="209" customWidth="1"/>
    <col min="13573" max="13573" width="10" style="209" customWidth="1"/>
    <col min="13574" max="13574" width="9.625" style="209" bestFit="1" customWidth="1"/>
    <col min="13575" max="13575" width="10.75" style="209" customWidth="1"/>
    <col min="13576" max="13576" width="12.25" style="209" customWidth="1"/>
    <col min="13577" max="13577" width="11.625" style="209" customWidth="1"/>
    <col min="13578" max="13578" width="9.75" style="209" customWidth="1"/>
    <col min="13579" max="13579" width="9.875" style="209" customWidth="1"/>
    <col min="13580" max="13580" width="12" style="209" customWidth="1"/>
    <col min="13581" max="13581" width="9.875" style="209" customWidth="1"/>
    <col min="13582" max="13583" width="10.375" style="209" customWidth="1"/>
    <col min="13584" max="13584" width="16.25" style="209" customWidth="1"/>
    <col min="13585" max="13585" width="9.875" style="209" bestFit="1" customWidth="1"/>
    <col min="13586" max="13824" width="9" style="209"/>
    <col min="13825" max="13825" width="5" style="209" customWidth="1"/>
    <col min="13826" max="13826" width="40.875" style="209" customWidth="1"/>
    <col min="13827" max="13827" width="10.125" style="209" customWidth="1"/>
    <col min="13828" max="13828" width="10.75" style="209" customWidth="1"/>
    <col min="13829" max="13829" width="10" style="209" customWidth="1"/>
    <col min="13830" max="13830" width="9.625" style="209" bestFit="1" customWidth="1"/>
    <col min="13831" max="13831" width="10.75" style="209" customWidth="1"/>
    <col min="13832" max="13832" width="12.25" style="209" customWidth="1"/>
    <col min="13833" max="13833" width="11.625" style="209" customWidth="1"/>
    <col min="13834" max="13834" width="9.75" style="209" customWidth="1"/>
    <col min="13835" max="13835" width="9.875" style="209" customWidth="1"/>
    <col min="13836" max="13836" width="12" style="209" customWidth="1"/>
    <col min="13837" max="13837" width="9.875" style="209" customWidth="1"/>
    <col min="13838" max="13839" width="10.375" style="209" customWidth="1"/>
    <col min="13840" max="13840" width="16.25" style="209" customWidth="1"/>
    <col min="13841" max="13841" width="9.875" style="209" bestFit="1" customWidth="1"/>
    <col min="13842" max="14080" width="9" style="209"/>
    <col min="14081" max="14081" width="5" style="209" customWidth="1"/>
    <col min="14082" max="14082" width="40.875" style="209" customWidth="1"/>
    <col min="14083" max="14083" width="10.125" style="209" customWidth="1"/>
    <col min="14084" max="14084" width="10.75" style="209" customWidth="1"/>
    <col min="14085" max="14085" width="10" style="209" customWidth="1"/>
    <col min="14086" max="14086" width="9.625" style="209" bestFit="1" customWidth="1"/>
    <col min="14087" max="14087" width="10.75" style="209" customWidth="1"/>
    <col min="14088" max="14088" width="12.25" style="209" customWidth="1"/>
    <col min="14089" max="14089" width="11.625" style="209" customWidth="1"/>
    <col min="14090" max="14090" width="9.75" style="209" customWidth="1"/>
    <col min="14091" max="14091" width="9.875" style="209" customWidth="1"/>
    <col min="14092" max="14092" width="12" style="209" customWidth="1"/>
    <col min="14093" max="14093" width="9.875" style="209" customWidth="1"/>
    <col min="14094" max="14095" width="10.375" style="209" customWidth="1"/>
    <col min="14096" max="14096" width="16.25" style="209" customWidth="1"/>
    <col min="14097" max="14097" width="9.875" style="209" bestFit="1" customWidth="1"/>
    <col min="14098" max="14336" width="9" style="209"/>
    <col min="14337" max="14337" width="5" style="209" customWidth="1"/>
    <col min="14338" max="14338" width="40.875" style="209" customWidth="1"/>
    <col min="14339" max="14339" width="10.125" style="209" customWidth="1"/>
    <col min="14340" max="14340" width="10.75" style="209" customWidth="1"/>
    <col min="14341" max="14341" width="10" style="209" customWidth="1"/>
    <col min="14342" max="14342" width="9.625" style="209" bestFit="1" customWidth="1"/>
    <col min="14343" max="14343" width="10.75" style="209" customWidth="1"/>
    <col min="14344" max="14344" width="12.25" style="209" customWidth="1"/>
    <col min="14345" max="14345" width="11.625" style="209" customWidth="1"/>
    <col min="14346" max="14346" width="9.75" style="209" customWidth="1"/>
    <col min="14347" max="14347" width="9.875" style="209" customWidth="1"/>
    <col min="14348" max="14348" width="12" style="209" customWidth="1"/>
    <col min="14349" max="14349" width="9.875" style="209" customWidth="1"/>
    <col min="14350" max="14351" width="10.375" style="209" customWidth="1"/>
    <col min="14352" max="14352" width="16.25" style="209" customWidth="1"/>
    <col min="14353" max="14353" width="9.875" style="209" bestFit="1" customWidth="1"/>
    <col min="14354" max="14592" width="9" style="209"/>
    <col min="14593" max="14593" width="5" style="209" customWidth="1"/>
    <col min="14594" max="14594" width="40.875" style="209" customWidth="1"/>
    <col min="14595" max="14595" width="10.125" style="209" customWidth="1"/>
    <col min="14596" max="14596" width="10.75" style="209" customWidth="1"/>
    <col min="14597" max="14597" width="10" style="209" customWidth="1"/>
    <col min="14598" max="14598" width="9.625" style="209" bestFit="1" customWidth="1"/>
    <col min="14599" max="14599" width="10.75" style="209" customWidth="1"/>
    <col min="14600" max="14600" width="12.25" style="209" customWidth="1"/>
    <col min="14601" max="14601" width="11.625" style="209" customWidth="1"/>
    <col min="14602" max="14602" width="9.75" style="209" customWidth="1"/>
    <col min="14603" max="14603" width="9.875" style="209" customWidth="1"/>
    <col min="14604" max="14604" width="12" style="209" customWidth="1"/>
    <col min="14605" max="14605" width="9.875" style="209" customWidth="1"/>
    <col min="14606" max="14607" width="10.375" style="209" customWidth="1"/>
    <col min="14608" max="14608" width="16.25" style="209" customWidth="1"/>
    <col min="14609" max="14609" width="9.875" style="209" bestFit="1" customWidth="1"/>
    <col min="14610" max="14848" width="9" style="209"/>
    <col min="14849" max="14849" width="5" style="209" customWidth="1"/>
    <col min="14850" max="14850" width="40.875" style="209" customWidth="1"/>
    <col min="14851" max="14851" width="10.125" style="209" customWidth="1"/>
    <col min="14852" max="14852" width="10.75" style="209" customWidth="1"/>
    <col min="14853" max="14853" width="10" style="209" customWidth="1"/>
    <col min="14854" max="14854" width="9.625" style="209" bestFit="1" customWidth="1"/>
    <col min="14855" max="14855" width="10.75" style="209" customWidth="1"/>
    <col min="14856" max="14856" width="12.25" style="209" customWidth="1"/>
    <col min="14857" max="14857" width="11.625" style="209" customWidth="1"/>
    <col min="14858" max="14858" width="9.75" style="209" customWidth="1"/>
    <col min="14859" max="14859" width="9.875" style="209" customWidth="1"/>
    <col min="14860" max="14860" width="12" style="209" customWidth="1"/>
    <col min="14861" max="14861" width="9.875" style="209" customWidth="1"/>
    <col min="14862" max="14863" width="10.375" style="209" customWidth="1"/>
    <col min="14864" max="14864" width="16.25" style="209" customWidth="1"/>
    <col min="14865" max="14865" width="9.875" style="209" bestFit="1" customWidth="1"/>
    <col min="14866" max="15104" width="9" style="209"/>
    <col min="15105" max="15105" width="5" style="209" customWidth="1"/>
    <col min="15106" max="15106" width="40.875" style="209" customWidth="1"/>
    <col min="15107" max="15107" width="10.125" style="209" customWidth="1"/>
    <col min="15108" max="15108" width="10.75" style="209" customWidth="1"/>
    <col min="15109" max="15109" width="10" style="209" customWidth="1"/>
    <col min="15110" max="15110" width="9.625" style="209" bestFit="1" customWidth="1"/>
    <col min="15111" max="15111" width="10.75" style="209" customWidth="1"/>
    <col min="15112" max="15112" width="12.25" style="209" customWidth="1"/>
    <col min="15113" max="15113" width="11.625" style="209" customWidth="1"/>
    <col min="15114" max="15114" width="9.75" style="209" customWidth="1"/>
    <col min="15115" max="15115" width="9.875" style="209" customWidth="1"/>
    <col min="15116" max="15116" width="12" style="209" customWidth="1"/>
    <col min="15117" max="15117" width="9.875" style="209" customWidth="1"/>
    <col min="15118" max="15119" width="10.375" style="209" customWidth="1"/>
    <col min="15120" max="15120" width="16.25" style="209" customWidth="1"/>
    <col min="15121" max="15121" width="9.875" style="209" bestFit="1" customWidth="1"/>
    <col min="15122" max="15360" width="9" style="209"/>
    <col min="15361" max="15361" width="5" style="209" customWidth="1"/>
    <col min="15362" max="15362" width="40.875" style="209" customWidth="1"/>
    <col min="15363" max="15363" width="10.125" style="209" customWidth="1"/>
    <col min="15364" max="15364" width="10.75" style="209" customWidth="1"/>
    <col min="15365" max="15365" width="10" style="209" customWidth="1"/>
    <col min="15366" max="15366" width="9.625" style="209" bestFit="1" customWidth="1"/>
    <col min="15367" max="15367" width="10.75" style="209" customWidth="1"/>
    <col min="15368" max="15368" width="12.25" style="209" customWidth="1"/>
    <col min="15369" max="15369" width="11.625" style="209" customWidth="1"/>
    <col min="15370" max="15370" width="9.75" style="209" customWidth="1"/>
    <col min="15371" max="15371" width="9.875" style="209" customWidth="1"/>
    <col min="15372" max="15372" width="12" style="209" customWidth="1"/>
    <col min="15373" max="15373" width="9.875" style="209" customWidth="1"/>
    <col min="15374" max="15375" width="10.375" style="209" customWidth="1"/>
    <col min="15376" max="15376" width="16.25" style="209" customWidth="1"/>
    <col min="15377" max="15377" width="9.875" style="209" bestFit="1" customWidth="1"/>
    <col min="15378" max="15616" width="9" style="209"/>
    <col min="15617" max="15617" width="5" style="209" customWidth="1"/>
    <col min="15618" max="15618" width="40.875" style="209" customWidth="1"/>
    <col min="15619" max="15619" width="10.125" style="209" customWidth="1"/>
    <col min="15620" max="15620" width="10.75" style="209" customWidth="1"/>
    <col min="15621" max="15621" width="10" style="209" customWidth="1"/>
    <col min="15622" max="15622" width="9.625" style="209" bestFit="1" customWidth="1"/>
    <col min="15623" max="15623" width="10.75" style="209" customWidth="1"/>
    <col min="15624" max="15624" width="12.25" style="209" customWidth="1"/>
    <col min="15625" max="15625" width="11.625" style="209" customWidth="1"/>
    <col min="15626" max="15626" width="9.75" style="209" customWidth="1"/>
    <col min="15627" max="15627" width="9.875" style="209" customWidth="1"/>
    <col min="15628" max="15628" width="12" style="209" customWidth="1"/>
    <col min="15629" max="15629" width="9.875" style="209" customWidth="1"/>
    <col min="15630" max="15631" width="10.375" style="209" customWidth="1"/>
    <col min="15632" max="15632" width="16.25" style="209" customWidth="1"/>
    <col min="15633" max="15633" width="9.875" style="209" bestFit="1" customWidth="1"/>
    <col min="15634" max="15872" width="9" style="209"/>
    <col min="15873" max="15873" width="5" style="209" customWidth="1"/>
    <col min="15874" max="15874" width="40.875" style="209" customWidth="1"/>
    <col min="15875" max="15875" width="10.125" style="209" customWidth="1"/>
    <col min="15876" max="15876" width="10.75" style="209" customWidth="1"/>
    <col min="15877" max="15877" width="10" style="209" customWidth="1"/>
    <col min="15878" max="15878" width="9.625" style="209" bestFit="1" customWidth="1"/>
    <col min="15879" max="15879" width="10.75" style="209" customWidth="1"/>
    <col min="15880" max="15880" width="12.25" style="209" customWidth="1"/>
    <col min="15881" max="15881" width="11.625" style="209" customWidth="1"/>
    <col min="15882" max="15882" width="9.75" style="209" customWidth="1"/>
    <col min="15883" max="15883" width="9.875" style="209" customWidth="1"/>
    <col min="15884" max="15884" width="12" style="209" customWidth="1"/>
    <col min="15885" max="15885" width="9.875" style="209" customWidth="1"/>
    <col min="15886" max="15887" width="10.375" style="209" customWidth="1"/>
    <col min="15888" max="15888" width="16.25" style="209" customWidth="1"/>
    <col min="15889" max="15889" width="9.875" style="209" bestFit="1" customWidth="1"/>
    <col min="15890" max="16128" width="9" style="209"/>
    <col min="16129" max="16129" width="5" style="209" customWidth="1"/>
    <col min="16130" max="16130" width="40.875" style="209" customWidth="1"/>
    <col min="16131" max="16131" width="10.125" style="209" customWidth="1"/>
    <col min="16132" max="16132" width="10.75" style="209" customWidth="1"/>
    <col min="16133" max="16133" width="10" style="209" customWidth="1"/>
    <col min="16134" max="16134" width="9.625" style="209" bestFit="1" customWidth="1"/>
    <col min="16135" max="16135" width="10.75" style="209" customWidth="1"/>
    <col min="16136" max="16136" width="12.25" style="209" customWidth="1"/>
    <col min="16137" max="16137" width="11.625" style="209" customWidth="1"/>
    <col min="16138" max="16138" width="9.75" style="209" customWidth="1"/>
    <col min="16139" max="16139" width="9.875" style="209" customWidth="1"/>
    <col min="16140" max="16140" width="12" style="209" customWidth="1"/>
    <col min="16141" max="16141" width="9.875" style="209" customWidth="1"/>
    <col min="16142" max="16143" width="10.375" style="209" customWidth="1"/>
    <col min="16144" max="16144" width="16.25" style="209" customWidth="1"/>
    <col min="16145" max="16145" width="9.875" style="209" bestFit="1" customWidth="1"/>
    <col min="16146" max="16384" width="9" style="209"/>
  </cols>
  <sheetData>
    <row r="1" spans="1:16" x14ac:dyDescent="0.25">
      <c r="A1" s="1272" t="s">
        <v>1176</v>
      </c>
      <c r="B1" s="1272"/>
      <c r="C1" s="1272"/>
      <c r="D1" s="1272"/>
      <c r="E1" s="1272"/>
      <c r="F1" s="1272"/>
      <c r="G1" s="1272"/>
      <c r="H1" s="1272"/>
      <c r="I1" s="1272"/>
      <c r="J1" s="1272"/>
      <c r="K1" s="1272"/>
      <c r="L1" s="1272"/>
      <c r="M1" s="1272"/>
      <c r="N1" s="1272"/>
      <c r="O1" s="1272"/>
      <c r="P1" s="1272"/>
    </row>
    <row r="2" spans="1:16" x14ac:dyDescent="0.25">
      <c r="A2" s="1145"/>
      <c r="B2" s="1145"/>
      <c r="C2" s="1145"/>
      <c r="D2" s="1145"/>
      <c r="E2" s="1145"/>
      <c r="F2" s="1145"/>
      <c r="G2" s="1145"/>
      <c r="H2" s="1145"/>
      <c r="I2" s="1145"/>
      <c r="J2" s="1145"/>
      <c r="K2" s="1145"/>
      <c r="L2" s="1145"/>
      <c r="M2" s="1145"/>
      <c r="N2" s="1145"/>
      <c r="O2" s="1145"/>
      <c r="P2" s="1145"/>
    </row>
    <row r="3" spans="1:16" ht="16.5" thickBot="1" x14ac:dyDescent="0.3"/>
    <row r="4" spans="1:16" s="215" customFormat="1" ht="77.25" thickBot="1" x14ac:dyDescent="0.3">
      <c r="A4" s="210"/>
      <c r="B4" s="211" t="s">
        <v>249</v>
      </c>
      <c r="C4" s="212" t="s">
        <v>95</v>
      </c>
      <c r="D4" s="212" t="s">
        <v>96</v>
      </c>
      <c r="E4" s="212" t="s">
        <v>97</v>
      </c>
      <c r="F4" s="213" t="s">
        <v>98</v>
      </c>
      <c r="G4" s="213" t="s">
        <v>604</v>
      </c>
      <c r="H4" s="212" t="s">
        <v>1177</v>
      </c>
      <c r="I4" s="214" t="s">
        <v>142</v>
      </c>
      <c r="J4" s="214" t="s">
        <v>151</v>
      </c>
      <c r="K4" s="213" t="s">
        <v>605</v>
      </c>
      <c r="L4" s="212" t="s">
        <v>1178</v>
      </c>
      <c r="M4" s="214" t="s">
        <v>173</v>
      </c>
      <c r="N4" s="213" t="s">
        <v>167</v>
      </c>
      <c r="O4" s="212" t="s">
        <v>116</v>
      </c>
      <c r="P4" s="212" t="s">
        <v>533</v>
      </c>
    </row>
    <row r="5" spans="1:16" s="215" customFormat="1" ht="16.5" thickBot="1" x14ac:dyDescent="0.3">
      <c r="A5" s="210"/>
      <c r="B5" s="211"/>
      <c r="C5" s="212" t="s">
        <v>346</v>
      </c>
      <c r="D5" s="212" t="s">
        <v>347</v>
      </c>
      <c r="E5" s="212" t="s">
        <v>348</v>
      </c>
      <c r="F5" s="213" t="s">
        <v>349</v>
      </c>
      <c r="G5" s="213" t="s">
        <v>536</v>
      </c>
      <c r="H5" s="212" t="s">
        <v>609</v>
      </c>
      <c r="I5" s="214" t="s">
        <v>350</v>
      </c>
      <c r="J5" s="214" t="s">
        <v>351</v>
      </c>
      <c r="K5" s="213" t="s">
        <v>352</v>
      </c>
      <c r="L5" s="212" t="s">
        <v>610</v>
      </c>
      <c r="M5" s="475"/>
      <c r="N5" s="213"/>
      <c r="O5" s="212" t="s">
        <v>607</v>
      </c>
      <c r="P5" s="212" t="s">
        <v>608</v>
      </c>
    </row>
    <row r="6" spans="1:16" s="218" customFormat="1" ht="16.5" thickBot="1" x14ac:dyDescent="0.3">
      <c r="A6" s="216"/>
      <c r="B6" s="216" t="s">
        <v>253</v>
      </c>
      <c r="C6" s="216" t="s">
        <v>254</v>
      </c>
      <c r="D6" s="216" t="s">
        <v>255</v>
      </c>
      <c r="E6" s="216" t="s">
        <v>256</v>
      </c>
      <c r="F6" s="217" t="s">
        <v>257</v>
      </c>
      <c r="G6" s="217" t="s">
        <v>258</v>
      </c>
      <c r="H6" s="216" t="s">
        <v>99</v>
      </c>
      <c r="I6" s="483" t="s">
        <v>100</v>
      </c>
      <c r="J6" s="216" t="s">
        <v>101</v>
      </c>
      <c r="K6" s="217" t="s">
        <v>102</v>
      </c>
      <c r="L6" s="216" t="s">
        <v>103</v>
      </c>
      <c r="M6" s="484" t="s">
        <v>104</v>
      </c>
      <c r="N6" s="217" t="s">
        <v>105</v>
      </c>
      <c r="O6" s="216" t="s">
        <v>587</v>
      </c>
      <c r="P6" s="216" t="s">
        <v>613</v>
      </c>
    </row>
    <row r="7" spans="1:16" s="222" customFormat="1" x14ac:dyDescent="0.25">
      <c r="A7" s="219"/>
      <c r="B7" s="220"/>
      <c r="C7" s="221"/>
      <c r="D7" s="221"/>
      <c r="E7" s="221"/>
      <c r="F7" s="221"/>
      <c r="G7" s="225"/>
      <c r="H7" s="224"/>
      <c r="I7" s="221"/>
      <c r="J7" s="221"/>
      <c r="K7" s="225"/>
      <c r="L7" s="224"/>
      <c r="M7" s="221"/>
      <c r="N7" s="225"/>
      <c r="O7" s="476"/>
      <c r="P7" s="224"/>
    </row>
    <row r="8" spans="1:16" s="868" customFormat="1" x14ac:dyDescent="0.25">
      <c r="A8" s="862"/>
      <c r="B8" s="863" t="s">
        <v>1179</v>
      </c>
      <c r="C8" s="864">
        <v>227871</v>
      </c>
      <c r="D8" s="864">
        <v>74004</v>
      </c>
      <c r="E8" s="864">
        <v>5531780</v>
      </c>
      <c r="F8" s="865">
        <v>60881</v>
      </c>
      <c r="G8" s="866">
        <v>5977896</v>
      </c>
      <c r="H8" s="867">
        <f t="shared" ref="H8:H13" si="0">SUM(C8:G8)</f>
        <v>11872432</v>
      </c>
      <c r="I8" s="864">
        <v>18487991</v>
      </c>
      <c r="J8" s="864">
        <v>1452173</v>
      </c>
      <c r="K8" s="866">
        <v>331725</v>
      </c>
      <c r="L8" s="867">
        <f t="shared" ref="L8:L13" si="1">SUM(I8:K8)</f>
        <v>20271889</v>
      </c>
      <c r="M8" s="864">
        <v>250000</v>
      </c>
      <c r="N8" s="866">
        <v>4523184</v>
      </c>
      <c r="O8" s="867">
        <f>SUM(M8:N8)</f>
        <v>4773184</v>
      </c>
      <c r="P8" s="867">
        <f t="shared" ref="P8:P13" si="2">SUM(O8+L8+H8)</f>
        <v>36917505</v>
      </c>
    </row>
    <row r="9" spans="1:16" x14ac:dyDescent="0.25">
      <c r="A9" s="219"/>
      <c r="B9" s="863" t="s">
        <v>1231</v>
      </c>
      <c r="C9" s="864">
        <v>227271</v>
      </c>
      <c r="D9" s="984">
        <v>73858</v>
      </c>
      <c r="E9" s="984">
        <v>5531100</v>
      </c>
      <c r="F9" s="984">
        <v>60881</v>
      </c>
      <c r="G9" s="866">
        <v>5982476</v>
      </c>
      <c r="H9" s="867">
        <f t="shared" si="0"/>
        <v>11875586</v>
      </c>
      <c r="I9" s="864">
        <v>18616769</v>
      </c>
      <c r="J9" s="864">
        <v>1447753</v>
      </c>
      <c r="K9" s="985">
        <v>334225</v>
      </c>
      <c r="L9" s="867">
        <f t="shared" si="1"/>
        <v>20398747</v>
      </c>
      <c r="M9" s="864">
        <v>224822</v>
      </c>
      <c r="N9" s="985">
        <v>4417471</v>
      </c>
      <c r="O9" s="867">
        <f t="shared" ref="O9:O13" si="3">SUM(M9:N9)</f>
        <v>4642293</v>
      </c>
      <c r="P9" s="867">
        <f t="shared" si="2"/>
        <v>36916626</v>
      </c>
    </row>
    <row r="10" spans="1:16" x14ac:dyDescent="0.25">
      <c r="A10" s="219"/>
      <c r="B10" s="863" t="s">
        <v>1258</v>
      </c>
      <c r="C10" s="864">
        <v>223534</v>
      </c>
      <c r="D10" s="984">
        <v>74489</v>
      </c>
      <c r="E10" s="984">
        <v>5713434</v>
      </c>
      <c r="F10" s="984">
        <v>60875</v>
      </c>
      <c r="G10" s="866">
        <v>6371682</v>
      </c>
      <c r="H10" s="867">
        <f t="shared" si="0"/>
        <v>12444014</v>
      </c>
      <c r="I10" s="864">
        <v>18735663</v>
      </c>
      <c r="J10" s="864">
        <v>1610858</v>
      </c>
      <c r="K10" s="985">
        <v>361905</v>
      </c>
      <c r="L10" s="867">
        <f t="shared" si="1"/>
        <v>20708426</v>
      </c>
      <c r="M10" s="864">
        <v>22317</v>
      </c>
      <c r="N10" s="985">
        <v>6551787</v>
      </c>
      <c r="O10" s="867">
        <f t="shared" si="3"/>
        <v>6574104</v>
      </c>
      <c r="P10" s="867">
        <f t="shared" si="2"/>
        <v>39726544</v>
      </c>
    </row>
    <row r="11" spans="1:16" x14ac:dyDescent="0.25">
      <c r="A11" s="219"/>
      <c r="B11" s="863" t="s">
        <v>1372</v>
      </c>
      <c r="C11" s="864">
        <v>253040</v>
      </c>
      <c r="D11" s="984">
        <v>82492</v>
      </c>
      <c r="E11" s="984">
        <v>5730882</v>
      </c>
      <c r="F11" s="984">
        <v>60261</v>
      </c>
      <c r="G11" s="866">
        <v>6485843</v>
      </c>
      <c r="H11" s="867">
        <f t="shared" si="0"/>
        <v>12612518</v>
      </c>
      <c r="I11" s="864">
        <v>19554667</v>
      </c>
      <c r="J11" s="864">
        <v>1750897</v>
      </c>
      <c r="K11" s="985">
        <v>401368</v>
      </c>
      <c r="L11" s="867">
        <f t="shared" si="1"/>
        <v>21706932</v>
      </c>
      <c r="M11" s="864">
        <v>104840</v>
      </c>
      <c r="N11" s="985">
        <v>6507758</v>
      </c>
      <c r="O11" s="867">
        <f t="shared" si="3"/>
        <v>6612598</v>
      </c>
      <c r="P11" s="867">
        <f t="shared" si="2"/>
        <v>40932048</v>
      </c>
    </row>
    <row r="12" spans="1:16" x14ac:dyDescent="0.25">
      <c r="A12" s="219"/>
      <c r="B12" s="863" t="s">
        <v>1373</v>
      </c>
      <c r="C12" s="864">
        <v>256870</v>
      </c>
      <c r="D12" s="984">
        <v>87801</v>
      </c>
      <c r="E12" s="984">
        <v>5768764</v>
      </c>
      <c r="F12" s="984">
        <v>63560</v>
      </c>
      <c r="G12" s="866">
        <v>7010232</v>
      </c>
      <c r="H12" s="867">
        <f t="shared" si="0"/>
        <v>13187227</v>
      </c>
      <c r="I12" s="864">
        <v>19811093</v>
      </c>
      <c r="J12" s="864">
        <v>2107947</v>
      </c>
      <c r="K12" s="985">
        <v>412294</v>
      </c>
      <c r="L12" s="867">
        <f t="shared" si="1"/>
        <v>22331334</v>
      </c>
      <c r="M12" s="864">
        <v>52227</v>
      </c>
      <c r="N12" s="985">
        <v>5408444</v>
      </c>
      <c r="O12" s="867">
        <f t="shared" si="3"/>
        <v>5460671</v>
      </c>
      <c r="P12" s="867">
        <f t="shared" si="2"/>
        <v>40979232</v>
      </c>
    </row>
    <row r="13" spans="1:16" x14ac:dyDescent="0.25">
      <c r="A13" s="219"/>
      <c r="B13" s="863" t="s">
        <v>1442</v>
      </c>
      <c r="C13" s="864">
        <v>264578</v>
      </c>
      <c r="D13" s="864">
        <v>89939</v>
      </c>
      <c r="E13" s="864">
        <v>5900468</v>
      </c>
      <c r="F13" s="864">
        <v>65034</v>
      </c>
      <c r="G13" s="866">
        <v>7299001</v>
      </c>
      <c r="H13" s="867">
        <f t="shared" si="0"/>
        <v>13619020</v>
      </c>
      <c r="I13" s="864">
        <v>19682740</v>
      </c>
      <c r="J13" s="864">
        <v>2167651</v>
      </c>
      <c r="K13" s="866">
        <v>466296</v>
      </c>
      <c r="L13" s="867">
        <f t="shared" si="1"/>
        <v>22316687</v>
      </c>
      <c r="M13" s="864">
        <v>65767</v>
      </c>
      <c r="N13" s="866">
        <v>4985855</v>
      </c>
      <c r="O13" s="867">
        <f t="shared" si="3"/>
        <v>5051622</v>
      </c>
      <c r="P13" s="867">
        <f t="shared" si="2"/>
        <v>40987329</v>
      </c>
    </row>
    <row r="14" spans="1:16" x14ac:dyDescent="0.25">
      <c r="A14" s="219"/>
      <c r="B14" s="870"/>
      <c r="C14" s="864"/>
      <c r="D14" s="864"/>
      <c r="E14" s="864"/>
      <c r="F14" s="864"/>
      <c r="G14" s="866"/>
      <c r="H14" s="867"/>
      <c r="I14" s="864"/>
      <c r="J14" s="864"/>
      <c r="K14" s="866"/>
      <c r="L14" s="867"/>
      <c r="M14" s="864"/>
      <c r="N14" s="866"/>
      <c r="O14" s="867"/>
      <c r="P14" s="867"/>
    </row>
    <row r="15" spans="1:16" x14ac:dyDescent="0.25">
      <c r="A15" s="219" t="s">
        <v>1180</v>
      </c>
      <c r="B15" s="254" t="s">
        <v>107</v>
      </c>
      <c r="C15" s="226"/>
      <c r="D15" s="226"/>
      <c r="E15" s="226"/>
      <c r="F15" s="226"/>
      <c r="G15" s="869"/>
      <c r="H15" s="224"/>
      <c r="I15" s="226"/>
      <c r="J15" s="226"/>
      <c r="K15" s="869"/>
      <c r="L15" s="229"/>
      <c r="M15" s="226"/>
      <c r="N15" s="869"/>
      <c r="O15" s="477"/>
      <c r="P15" s="224"/>
    </row>
    <row r="16" spans="1:16" s="886" customFormat="1" x14ac:dyDescent="0.25">
      <c r="A16" s="881"/>
      <c r="B16" s="254" t="s">
        <v>176</v>
      </c>
      <c r="C16" s="882"/>
      <c r="D16" s="882"/>
      <c r="E16" s="882"/>
      <c r="F16" s="882"/>
      <c r="G16" s="986"/>
      <c r="H16" s="885"/>
      <c r="I16" s="882"/>
      <c r="J16" s="882"/>
      <c r="K16" s="986"/>
      <c r="L16" s="875"/>
      <c r="M16" s="882"/>
      <c r="N16" s="986"/>
      <c r="O16" s="885"/>
      <c r="P16" s="885"/>
    </row>
    <row r="17" spans="1:16" s="886" customFormat="1" x14ac:dyDescent="0.25">
      <c r="A17" s="881"/>
      <c r="B17" s="870" t="s">
        <v>177</v>
      </c>
      <c r="C17" s="882"/>
      <c r="D17" s="882"/>
      <c r="E17" s="882"/>
      <c r="F17" s="882"/>
      <c r="G17" s="986"/>
      <c r="H17" s="885"/>
      <c r="I17" s="882"/>
      <c r="J17" s="882"/>
      <c r="K17" s="986"/>
      <c r="L17" s="875"/>
      <c r="M17" s="882"/>
      <c r="N17" s="986"/>
      <c r="O17" s="885"/>
      <c r="P17" s="885"/>
    </row>
    <row r="18" spans="1:16" s="886" customFormat="1" x14ac:dyDescent="0.25">
      <c r="A18" s="881"/>
      <c r="B18" s="871" t="s">
        <v>1184</v>
      </c>
      <c r="C18" s="882"/>
      <c r="D18" s="882"/>
      <c r="E18" s="882"/>
      <c r="F18" s="882"/>
      <c r="G18" s="986"/>
      <c r="H18" s="885"/>
      <c r="I18" s="882"/>
      <c r="J18" s="882"/>
      <c r="K18" s="986"/>
      <c r="L18" s="875"/>
      <c r="M18" s="882"/>
      <c r="N18" s="986"/>
      <c r="O18" s="885"/>
      <c r="P18" s="885"/>
    </row>
    <row r="19" spans="1:16" s="886" customFormat="1" x14ac:dyDescent="0.25">
      <c r="A19" s="881"/>
      <c r="B19" s="872" t="s">
        <v>1332</v>
      </c>
      <c r="C19" s="882"/>
      <c r="D19" s="882"/>
      <c r="E19" s="882">
        <v>3008</v>
      </c>
      <c r="F19" s="882"/>
      <c r="G19" s="986"/>
      <c r="H19" s="224">
        <f>SUM(C19:G19)</f>
        <v>3008</v>
      </c>
      <c r="I19" s="882"/>
      <c r="J19" s="882"/>
      <c r="K19" s="986"/>
      <c r="L19" s="229">
        <f>SUM(I19:K19)</f>
        <v>0</v>
      </c>
      <c r="M19" s="882"/>
      <c r="N19" s="986"/>
      <c r="O19" s="885"/>
      <c r="P19" s="224">
        <f>O19+L19+H19</f>
        <v>3008</v>
      </c>
    </row>
    <row r="20" spans="1:16" s="886" customFormat="1" x14ac:dyDescent="0.25">
      <c r="A20" s="881"/>
      <c r="B20" s="872" t="s">
        <v>1374</v>
      </c>
      <c r="C20" s="882"/>
      <c r="D20" s="882"/>
      <c r="E20" s="882">
        <v>1932</v>
      </c>
      <c r="F20" s="882"/>
      <c r="G20" s="986"/>
      <c r="H20" s="224">
        <f>SUM(C20:G20)</f>
        <v>1932</v>
      </c>
      <c r="I20" s="882"/>
      <c r="J20" s="882"/>
      <c r="K20" s="986"/>
      <c r="L20" s="229">
        <f>SUM(I20:K20)</f>
        <v>0</v>
      </c>
      <c r="M20" s="882"/>
      <c r="N20" s="986"/>
      <c r="O20" s="885"/>
      <c r="P20" s="224">
        <f>O20+L20+H20</f>
        <v>1932</v>
      </c>
    </row>
    <row r="21" spans="1:16" s="886" customFormat="1" x14ac:dyDescent="0.25">
      <c r="A21" s="881"/>
      <c r="B21" s="872"/>
      <c r="C21" s="882"/>
      <c r="D21" s="882"/>
      <c r="E21" s="882"/>
      <c r="F21" s="882"/>
      <c r="G21" s="986"/>
      <c r="H21" s="224"/>
      <c r="I21" s="882"/>
      <c r="J21" s="882"/>
      <c r="K21" s="986"/>
      <c r="L21" s="229"/>
      <c r="M21" s="882"/>
      <c r="N21" s="986"/>
      <c r="O21" s="885"/>
      <c r="P21" s="224"/>
    </row>
    <row r="22" spans="1:16" s="886" customFormat="1" ht="31.5" x14ac:dyDescent="0.25">
      <c r="A22" s="881"/>
      <c r="B22" s="871" t="s">
        <v>1259</v>
      </c>
      <c r="C22" s="882"/>
      <c r="D22" s="882"/>
      <c r="E22" s="882"/>
      <c r="F22" s="882"/>
      <c r="G22" s="986"/>
      <c r="H22" s="885"/>
      <c r="I22" s="882"/>
      <c r="J22" s="882"/>
      <c r="K22" s="986"/>
      <c r="L22" s="875"/>
      <c r="M22" s="882"/>
      <c r="N22" s="986"/>
      <c r="O22" s="885"/>
      <c r="P22" s="885"/>
    </row>
    <row r="23" spans="1:16" s="886" customFormat="1" ht="31.5" x14ac:dyDescent="0.25">
      <c r="A23" s="890"/>
      <c r="B23" s="892" t="s">
        <v>1443</v>
      </c>
      <c r="C23" s="873"/>
      <c r="D23" s="873"/>
      <c r="E23" s="873">
        <v>-8425</v>
      </c>
      <c r="F23" s="873"/>
      <c r="G23" s="988">
        <v>8425</v>
      </c>
      <c r="H23" s="229">
        <f t="shared" ref="H23" si="4">SUM(C23:G23)</f>
        <v>0</v>
      </c>
      <c r="I23" s="873"/>
      <c r="J23" s="873"/>
      <c r="K23" s="988"/>
      <c r="L23" s="229">
        <f t="shared" ref="L23" si="5">SUM(I23:K23)</f>
        <v>0</v>
      </c>
      <c r="M23" s="873"/>
      <c r="N23" s="988"/>
      <c r="O23" s="875"/>
      <c r="P23" s="229">
        <f t="shared" ref="P23" si="6">O23+L23+H23</f>
        <v>0</v>
      </c>
    </row>
    <row r="24" spans="1:16" s="886" customFormat="1" x14ac:dyDescent="0.25">
      <c r="A24" s="881"/>
      <c r="B24" s="872"/>
      <c r="C24" s="882"/>
      <c r="D24" s="882"/>
      <c r="E24" s="882"/>
      <c r="F24" s="882"/>
      <c r="G24" s="986"/>
      <c r="H24" s="224"/>
      <c r="I24" s="226"/>
      <c r="J24" s="226"/>
      <c r="K24" s="869"/>
      <c r="L24" s="229"/>
      <c r="M24" s="226"/>
      <c r="N24" s="869"/>
      <c r="O24" s="477"/>
      <c r="P24" s="224"/>
    </row>
    <row r="25" spans="1:16" x14ac:dyDescent="0.25">
      <c r="A25" s="219"/>
      <c r="B25" s="1110" t="s">
        <v>1444</v>
      </c>
      <c r="C25" s="226"/>
      <c r="D25" s="226"/>
      <c r="E25" s="226"/>
      <c r="F25" s="226"/>
      <c r="G25" s="869"/>
      <c r="H25" s="224"/>
      <c r="I25" s="226"/>
      <c r="J25" s="226"/>
      <c r="K25" s="869"/>
      <c r="L25" s="229"/>
      <c r="M25" s="226"/>
      <c r="N25" s="869"/>
      <c r="O25" s="477"/>
      <c r="P25" s="224"/>
    </row>
    <row r="26" spans="1:16" ht="31.5" x14ac:dyDescent="0.25">
      <c r="A26" s="219"/>
      <c r="B26" s="889" t="s">
        <v>1443</v>
      </c>
      <c r="C26" s="226"/>
      <c r="D26" s="226"/>
      <c r="E26" s="226">
        <v>-633</v>
      </c>
      <c r="F26" s="226"/>
      <c r="G26" s="869">
        <v>633</v>
      </c>
      <c r="H26" s="224">
        <f t="shared" ref="H26" si="7">SUM(C26:G26)</f>
        <v>0</v>
      </c>
      <c r="I26" s="226"/>
      <c r="J26" s="226"/>
      <c r="K26" s="869"/>
      <c r="L26" s="229">
        <f t="shared" ref="L26" si="8">SUM(I26:K26)</f>
        <v>0</v>
      </c>
      <c r="M26" s="226"/>
      <c r="N26" s="869"/>
      <c r="O26" s="477"/>
      <c r="P26" s="224">
        <f t="shared" ref="P26" si="9">O26+L26+H26</f>
        <v>0</v>
      </c>
    </row>
    <row r="27" spans="1:16" x14ac:dyDescent="0.25">
      <c r="A27" s="219"/>
      <c r="B27" s="889"/>
      <c r="C27" s="226"/>
      <c r="D27" s="226"/>
      <c r="E27" s="226"/>
      <c r="F27" s="226"/>
      <c r="G27" s="869"/>
      <c r="H27" s="224"/>
      <c r="I27" s="226"/>
      <c r="J27" s="226"/>
      <c r="K27" s="869"/>
      <c r="L27" s="229"/>
      <c r="M27" s="226"/>
      <c r="N27" s="869"/>
      <c r="O27" s="477"/>
      <c r="P27" s="224"/>
    </row>
    <row r="28" spans="1:16" ht="31.5" x14ac:dyDescent="0.25">
      <c r="A28" s="219"/>
      <c r="B28" s="254" t="s">
        <v>178</v>
      </c>
      <c r="C28" s="226"/>
      <c r="D28" s="226"/>
      <c r="E28" s="226"/>
      <c r="F28" s="226"/>
      <c r="G28" s="869"/>
      <c r="H28" s="224"/>
      <c r="I28" s="226"/>
      <c r="J28" s="226"/>
      <c r="K28" s="869"/>
      <c r="L28" s="229"/>
      <c r="M28" s="226"/>
      <c r="N28" s="869"/>
      <c r="O28" s="477"/>
      <c r="P28" s="224"/>
    </row>
    <row r="29" spans="1:16" x14ac:dyDescent="0.25">
      <c r="A29" s="219"/>
      <c r="B29" s="870" t="s">
        <v>179</v>
      </c>
      <c r="C29" s="226"/>
      <c r="D29" s="226"/>
      <c r="E29" s="226"/>
      <c r="F29" s="226"/>
      <c r="G29" s="869"/>
      <c r="H29" s="224"/>
      <c r="I29" s="226"/>
      <c r="J29" s="226"/>
      <c r="K29" s="869"/>
      <c r="L29" s="229"/>
      <c r="M29" s="226"/>
      <c r="N29" s="869"/>
      <c r="O29" s="477"/>
      <c r="P29" s="224"/>
    </row>
    <row r="30" spans="1:16" ht="31.5" x14ac:dyDescent="0.25">
      <c r="A30" s="219"/>
      <c r="B30" s="1110" t="s">
        <v>1445</v>
      </c>
      <c r="C30" s="226"/>
      <c r="D30" s="226"/>
      <c r="E30" s="226"/>
      <c r="F30" s="226"/>
      <c r="G30" s="869"/>
      <c r="H30" s="224"/>
      <c r="I30" s="226"/>
      <c r="J30" s="226"/>
      <c r="K30" s="869"/>
      <c r="L30" s="229"/>
      <c r="M30" s="226"/>
      <c r="N30" s="869"/>
      <c r="O30" s="477"/>
      <c r="P30" s="224"/>
    </row>
    <row r="31" spans="1:16" ht="31.5" x14ac:dyDescent="0.25">
      <c r="A31" s="219"/>
      <c r="B31" s="1112" t="s">
        <v>1446</v>
      </c>
      <c r="C31" s="226">
        <v>-16528</v>
      </c>
      <c r="D31" s="226">
        <v>-4462</v>
      </c>
      <c r="E31" s="226">
        <v>-8772</v>
      </c>
      <c r="F31" s="226"/>
      <c r="G31" s="869"/>
      <c r="H31" s="224">
        <f>SUM(C31:G31)</f>
        <v>-29762</v>
      </c>
      <c r="I31" s="226">
        <v>-2229</v>
      </c>
      <c r="J31" s="226"/>
      <c r="K31" s="987"/>
      <c r="L31" s="229">
        <f>SUM(I31:K31)</f>
        <v>-2229</v>
      </c>
      <c r="M31" s="226"/>
      <c r="N31" s="869"/>
      <c r="O31" s="477"/>
      <c r="P31" s="224">
        <f>O31+L31+H31</f>
        <v>-31991</v>
      </c>
    </row>
    <row r="32" spans="1:16" x14ac:dyDescent="0.25">
      <c r="A32" s="219"/>
      <c r="B32" s="889"/>
      <c r="C32" s="226"/>
      <c r="D32" s="226"/>
      <c r="E32" s="226"/>
      <c r="F32" s="226"/>
      <c r="G32" s="869"/>
      <c r="H32" s="224"/>
      <c r="I32" s="226"/>
      <c r="J32" s="226"/>
      <c r="K32" s="869"/>
      <c r="L32" s="229"/>
      <c r="M32" s="226"/>
      <c r="N32" s="869"/>
      <c r="O32" s="477"/>
      <c r="P32" s="224"/>
    </row>
    <row r="33" spans="1:16" s="886" customFormat="1" ht="31.5" x14ac:dyDescent="0.25">
      <c r="A33" s="881"/>
      <c r="B33" s="871" t="s">
        <v>1259</v>
      </c>
      <c r="C33" s="882"/>
      <c r="D33" s="882"/>
      <c r="E33" s="882"/>
      <c r="F33" s="882"/>
      <c r="G33" s="986"/>
      <c r="H33" s="885"/>
      <c r="I33" s="882"/>
      <c r="J33" s="882"/>
      <c r="K33" s="986"/>
      <c r="L33" s="875"/>
      <c r="M33" s="882"/>
      <c r="N33" s="986"/>
      <c r="O33" s="885"/>
      <c r="P33" s="885"/>
    </row>
    <row r="34" spans="1:16" s="886" customFormat="1" x14ac:dyDescent="0.25">
      <c r="A34" s="890"/>
      <c r="B34" s="892" t="s">
        <v>1333</v>
      </c>
      <c r="C34" s="873">
        <v>666</v>
      </c>
      <c r="D34" s="873">
        <v>177</v>
      </c>
      <c r="E34" s="873">
        <v>-843</v>
      </c>
      <c r="F34" s="873"/>
      <c r="G34" s="988"/>
      <c r="H34" s="229">
        <f t="shared" ref="H34" si="10">SUM(C34:G34)</f>
        <v>0</v>
      </c>
      <c r="I34" s="873"/>
      <c r="J34" s="873"/>
      <c r="K34" s="988"/>
      <c r="L34" s="229">
        <f t="shared" ref="L34:L36" si="11">SUM(I34:K34)</f>
        <v>0</v>
      </c>
      <c r="M34" s="873"/>
      <c r="N34" s="988"/>
      <c r="O34" s="875"/>
      <c r="P34" s="229">
        <f t="shared" ref="P34:P36" si="12">O34+L34+H34</f>
        <v>0</v>
      </c>
    </row>
    <row r="35" spans="1:16" s="886" customFormat="1" x14ac:dyDescent="0.25">
      <c r="A35" s="890"/>
      <c r="B35" s="892" t="s">
        <v>1447</v>
      </c>
      <c r="C35" s="873"/>
      <c r="D35" s="873"/>
      <c r="E35" s="873">
        <v>-1000</v>
      </c>
      <c r="F35" s="873"/>
      <c r="G35" s="988">
        <v>1000</v>
      </c>
      <c r="H35" s="229">
        <f t="shared" ref="H35:H36" si="13">SUM(C35:G35)</f>
        <v>0</v>
      </c>
      <c r="I35" s="873"/>
      <c r="J35" s="873"/>
      <c r="K35" s="988"/>
      <c r="L35" s="229">
        <f t="shared" si="11"/>
        <v>0</v>
      </c>
      <c r="M35" s="873"/>
      <c r="N35" s="988"/>
      <c r="O35" s="875"/>
      <c r="P35" s="229">
        <f t="shared" si="12"/>
        <v>0</v>
      </c>
    </row>
    <row r="36" spans="1:16" s="886" customFormat="1" ht="31.5" x14ac:dyDescent="0.25">
      <c r="A36" s="881"/>
      <c r="B36" s="1130" t="s">
        <v>1375</v>
      </c>
      <c r="C36" s="882">
        <v>117</v>
      </c>
      <c r="D36" s="882">
        <v>51</v>
      </c>
      <c r="E36" s="882">
        <v>-3468</v>
      </c>
      <c r="F36" s="882"/>
      <c r="G36" s="986">
        <v>3300</v>
      </c>
      <c r="H36" s="229">
        <f t="shared" si="13"/>
        <v>0</v>
      </c>
      <c r="I36" s="882"/>
      <c r="J36" s="882"/>
      <c r="K36" s="986"/>
      <c r="L36" s="229">
        <f t="shared" si="11"/>
        <v>0</v>
      </c>
      <c r="M36" s="873"/>
      <c r="N36" s="988"/>
      <c r="O36" s="875"/>
      <c r="P36" s="229">
        <f t="shared" si="12"/>
        <v>0</v>
      </c>
    </row>
    <row r="37" spans="1:16" s="886" customFormat="1" x14ac:dyDescent="0.25">
      <c r="A37" s="881"/>
      <c r="B37" s="872"/>
      <c r="C37" s="882"/>
      <c r="D37" s="882"/>
      <c r="E37" s="882"/>
      <c r="F37" s="882"/>
      <c r="G37" s="986"/>
      <c r="H37" s="224"/>
      <c r="I37" s="882"/>
      <c r="J37" s="882"/>
      <c r="K37" s="986"/>
      <c r="L37" s="229"/>
      <c r="M37" s="882"/>
      <c r="N37" s="986"/>
      <c r="O37" s="885"/>
      <c r="P37" s="224"/>
    </row>
    <row r="38" spans="1:16" s="886" customFormat="1" x14ac:dyDescent="0.25">
      <c r="A38" s="881"/>
      <c r="B38" s="254" t="s">
        <v>180</v>
      </c>
      <c r="C38" s="882"/>
      <c r="D38" s="882"/>
      <c r="E38" s="882"/>
      <c r="F38" s="882"/>
      <c r="G38" s="986"/>
      <c r="H38" s="224"/>
      <c r="I38" s="882"/>
      <c r="J38" s="882"/>
      <c r="K38" s="986"/>
      <c r="L38" s="229"/>
      <c r="M38" s="882"/>
      <c r="N38" s="986"/>
      <c r="O38" s="885"/>
      <c r="P38" s="224"/>
    </row>
    <row r="39" spans="1:16" s="886" customFormat="1" ht="31.5" x14ac:dyDescent="0.25">
      <c r="A39" s="881"/>
      <c r="B39" s="871" t="s">
        <v>1259</v>
      </c>
      <c r="C39" s="882"/>
      <c r="D39" s="882"/>
      <c r="E39" s="882"/>
      <c r="F39" s="882"/>
      <c r="G39" s="986"/>
      <c r="H39" s="224"/>
      <c r="I39" s="882"/>
      <c r="J39" s="882"/>
      <c r="K39" s="986"/>
      <c r="L39" s="229"/>
      <c r="M39" s="882"/>
      <c r="N39" s="986"/>
      <c r="O39" s="885"/>
      <c r="P39" s="224"/>
    </row>
    <row r="40" spans="1:16" s="886" customFormat="1" x14ac:dyDescent="0.25">
      <c r="A40" s="890"/>
      <c r="B40" s="892" t="s">
        <v>1376</v>
      </c>
      <c r="C40" s="873">
        <v>11</v>
      </c>
      <c r="D40" s="873"/>
      <c r="E40" s="873">
        <v>-11</v>
      </c>
      <c r="F40" s="873"/>
      <c r="G40" s="988"/>
      <c r="H40" s="229">
        <f t="shared" ref="H40" si="14">SUM(C40:G40)</f>
        <v>0</v>
      </c>
      <c r="I40" s="873"/>
      <c r="J40" s="873"/>
      <c r="K40" s="988"/>
      <c r="L40" s="229">
        <f t="shared" ref="L40" si="15">SUM(I40:K40)</f>
        <v>0</v>
      </c>
      <c r="M40" s="873"/>
      <c r="N40" s="988"/>
      <c r="O40" s="875"/>
      <c r="P40" s="229">
        <f t="shared" ref="P40" si="16">O40+L40+H40</f>
        <v>0</v>
      </c>
    </row>
    <row r="41" spans="1:16" s="886" customFormat="1" x14ac:dyDescent="0.25">
      <c r="A41" s="890"/>
      <c r="B41" s="892"/>
      <c r="C41" s="873"/>
      <c r="D41" s="873"/>
      <c r="E41" s="873"/>
      <c r="F41" s="873"/>
      <c r="G41" s="988"/>
      <c r="H41" s="229"/>
      <c r="I41" s="873"/>
      <c r="J41" s="873"/>
      <c r="K41" s="988"/>
      <c r="L41" s="229"/>
      <c r="M41" s="873"/>
      <c r="N41" s="988"/>
      <c r="O41" s="875"/>
      <c r="P41" s="229"/>
    </row>
    <row r="42" spans="1:16" s="886" customFormat="1" x14ac:dyDescent="0.25">
      <c r="A42" s="881"/>
      <c r="B42" s="871" t="s">
        <v>1444</v>
      </c>
      <c r="C42" s="882"/>
      <c r="D42" s="882"/>
      <c r="E42" s="882"/>
      <c r="F42" s="882"/>
      <c r="G42" s="986"/>
      <c r="H42" s="224"/>
      <c r="I42" s="882"/>
      <c r="J42" s="882"/>
      <c r="K42" s="986"/>
      <c r="L42" s="229"/>
      <c r="M42" s="882"/>
      <c r="N42" s="986"/>
      <c r="O42" s="885"/>
      <c r="P42" s="224"/>
    </row>
    <row r="43" spans="1:16" s="886" customFormat="1" x14ac:dyDescent="0.25">
      <c r="A43" s="881"/>
      <c r="B43" s="872" t="s">
        <v>1448</v>
      </c>
      <c r="C43" s="882">
        <v>1176</v>
      </c>
      <c r="D43" s="882"/>
      <c r="E43" s="882">
        <v>12</v>
      </c>
      <c r="F43" s="882"/>
      <c r="G43" s="986"/>
      <c r="H43" s="224">
        <f t="shared" ref="H43:H44" si="17">SUM(C43:G43)</f>
        <v>1188</v>
      </c>
      <c r="I43" s="882"/>
      <c r="J43" s="882"/>
      <c r="K43" s="986"/>
      <c r="L43" s="229">
        <f t="shared" ref="L43:L44" si="18">SUM(I43:K43)</f>
        <v>0</v>
      </c>
      <c r="M43" s="882"/>
      <c r="N43" s="986"/>
      <c r="O43" s="885"/>
      <c r="P43" s="224">
        <f t="shared" ref="P43:P44" si="19">O43+L43+H43</f>
        <v>1188</v>
      </c>
    </row>
    <row r="44" spans="1:16" s="886" customFormat="1" x14ac:dyDescent="0.25">
      <c r="A44" s="881"/>
      <c r="B44" s="872" t="s">
        <v>1376</v>
      </c>
      <c r="C44" s="882"/>
      <c r="D44" s="882"/>
      <c r="E44" s="882">
        <v>-1188</v>
      </c>
      <c r="F44" s="882"/>
      <c r="G44" s="986"/>
      <c r="H44" s="224">
        <f t="shared" si="17"/>
        <v>-1188</v>
      </c>
      <c r="I44" s="882"/>
      <c r="J44" s="882"/>
      <c r="K44" s="986"/>
      <c r="L44" s="229">
        <f t="shared" si="18"/>
        <v>0</v>
      </c>
      <c r="M44" s="882"/>
      <c r="N44" s="986"/>
      <c r="O44" s="885"/>
      <c r="P44" s="224">
        <f t="shared" si="19"/>
        <v>-1188</v>
      </c>
    </row>
    <row r="45" spans="1:16" s="886" customFormat="1" x14ac:dyDescent="0.25">
      <c r="A45" s="881"/>
      <c r="B45" s="872"/>
      <c r="C45" s="882"/>
      <c r="D45" s="882"/>
      <c r="E45" s="882"/>
      <c r="F45" s="882"/>
      <c r="G45" s="986"/>
      <c r="H45" s="224"/>
      <c r="I45" s="882"/>
      <c r="J45" s="882"/>
      <c r="K45" s="986"/>
      <c r="L45" s="229"/>
      <c r="M45" s="882"/>
      <c r="N45" s="986"/>
      <c r="O45" s="885"/>
      <c r="P45" s="224"/>
    </row>
    <row r="46" spans="1:16" s="222" customFormat="1" x14ac:dyDescent="0.25">
      <c r="A46" s="234" t="s">
        <v>108</v>
      </c>
      <c r="B46" s="223" t="s">
        <v>109</v>
      </c>
      <c r="C46" s="235"/>
      <c r="D46" s="235"/>
      <c r="E46" s="235"/>
      <c r="F46" s="235"/>
      <c r="G46" s="237"/>
      <c r="H46" s="229"/>
      <c r="I46" s="235"/>
      <c r="J46" s="235"/>
      <c r="K46" s="237"/>
      <c r="L46" s="229"/>
      <c r="M46" s="235"/>
      <c r="N46" s="237"/>
      <c r="O46" s="229"/>
      <c r="P46" s="229"/>
    </row>
    <row r="47" spans="1:16" x14ac:dyDescent="0.25">
      <c r="A47" s="234"/>
      <c r="B47" s="238" t="s">
        <v>614</v>
      </c>
      <c r="C47" s="231"/>
      <c r="D47" s="232"/>
      <c r="E47" s="232"/>
      <c r="F47" s="232"/>
      <c r="G47" s="248"/>
      <c r="H47" s="229"/>
      <c r="I47" s="231"/>
      <c r="J47" s="231"/>
      <c r="K47" s="233"/>
      <c r="L47" s="229"/>
      <c r="M47" s="231"/>
      <c r="N47" s="233"/>
      <c r="O47" s="478"/>
      <c r="P47" s="229"/>
    </row>
    <row r="48" spans="1:16" ht="31.5" x14ac:dyDescent="0.25">
      <c r="A48" s="230"/>
      <c r="B48" s="888" t="s">
        <v>1259</v>
      </c>
      <c r="C48" s="231"/>
      <c r="D48" s="232"/>
      <c r="E48" s="232"/>
      <c r="F48" s="233"/>
      <c r="G48" s="233"/>
      <c r="H48" s="224"/>
      <c r="I48" s="231"/>
      <c r="J48" s="231"/>
      <c r="K48" s="233"/>
      <c r="L48" s="229"/>
      <c r="M48" s="231"/>
      <c r="N48" s="233"/>
      <c r="O48" s="478"/>
      <c r="P48" s="224"/>
    </row>
    <row r="49" spans="1:16" ht="63" x14ac:dyDescent="0.25">
      <c r="A49" s="230"/>
      <c r="B49" s="989" t="s">
        <v>1449</v>
      </c>
      <c r="C49" s="231"/>
      <c r="D49" s="232"/>
      <c r="E49" s="232"/>
      <c r="F49" s="233"/>
      <c r="G49" s="233"/>
      <c r="H49" s="224">
        <f t="shared" ref="H49:H53" si="20">SUM(C49:G49)</f>
        <v>0</v>
      </c>
      <c r="I49" s="231">
        <v>2801</v>
      </c>
      <c r="J49" s="231">
        <v>-2801</v>
      </c>
      <c r="K49" s="233"/>
      <c r="L49" s="229">
        <f t="shared" ref="L49:L53" si="21">SUM(I49:K49)</f>
        <v>0</v>
      </c>
      <c r="M49" s="231"/>
      <c r="N49" s="233"/>
      <c r="O49" s="478"/>
      <c r="P49" s="224">
        <f t="shared" ref="P49:P53" si="22">O49+L49+H49</f>
        <v>0</v>
      </c>
    </row>
    <row r="50" spans="1:16" ht="66.75" customHeight="1" x14ac:dyDescent="0.25">
      <c r="A50" s="230"/>
      <c r="B50" s="989" t="s">
        <v>1450</v>
      </c>
      <c r="C50" s="231"/>
      <c r="D50" s="232"/>
      <c r="E50" s="232"/>
      <c r="F50" s="233"/>
      <c r="G50" s="233"/>
      <c r="H50" s="224">
        <f t="shared" si="20"/>
        <v>0</v>
      </c>
      <c r="I50" s="231">
        <v>2965</v>
      </c>
      <c r="J50" s="231">
        <v>-2965</v>
      </c>
      <c r="K50" s="233"/>
      <c r="L50" s="229">
        <f t="shared" si="21"/>
        <v>0</v>
      </c>
      <c r="M50" s="231"/>
      <c r="N50" s="233"/>
      <c r="O50" s="478"/>
      <c r="P50" s="224">
        <f t="shared" si="22"/>
        <v>0</v>
      </c>
    </row>
    <row r="51" spans="1:16" x14ac:dyDescent="0.25">
      <c r="A51" s="230"/>
      <c r="B51" s="989"/>
      <c r="C51" s="231"/>
      <c r="D51" s="232"/>
      <c r="E51" s="232"/>
      <c r="F51" s="233"/>
      <c r="G51" s="233"/>
      <c r="H51" s="224"/>
      <c r="I51" s="231"/>
      <c r="J51" s="231"/>
      <c r="K51" s="233"/>
      <c r="L51" s="229"/>
      <c r="M51" s="231"/>
      <c r="N51" s="233"/>
      <c r="O51" s="478"/>
      <c r="P51" s="224"/>
    </row>
    <row r="52" spans="1:16" x14ac:dyDescent="0.25">
      <c r="A52" s="230"/>
      <c r="B52" s="1062" t="s">
        <v>1444</v>
      </c>
      <c r="C52" s="231"/>
      <c r="D52" s="232"/>
      <c r="E52" s="232"/>
      <c r="F52" s="233"/>
      <c r="G52" s="233"/>
      <c r="H52" s="224"/>
      <c r="I52" s="231"/>
      <c r="J52" s="231"/>
      <c r="K52" s="233"/>
      <c r="L52" s="229"/>
      <c r="M52" s="231"/>
      <c r="N52" s="233"/>
      <c r="O52" s="478"/>
      <c r="P52" s="224"/>
    </row>
    <row r="53" spans="1:16" ht="63" x14ac:dyDescent="0.25">
      <c r="A53" s="230"/>
      <c r="B53" s="989" t="s">
        <v>1449</v>
      </c>
      <c r="C53" s="231"/>
      <c r="D53" s="232"/>
      <c r="E53" s="232">
        <v>-2</v>
      </c>
      <c r="F53" s="233"/>
      <c r="G53" s="233"/>
      <c r="H53" s="224">
        <f t="shared" si="20"/>
        <v>-2</v>
      </c>
      <c r="I53" s="231">
        <v>2</v>
      </c>
      <c r="J53" s="231"/>
      <c r="K53" s="233"/>
      <c r="L53" s="229">
        <f t="shared" si="21"/>
        <v>2</v>
      </c>
      <c r="M53" s="231"/>
      <c r="N53" s="233"/>
      <c r="O53" s="478"/>
      <c r="P53" s="224">
        <f t="shared" si="22"/>
        <v>0</v>
      </c>
    </row>
    <row r="54" spans="1:16" s="886" customFormat="1" x14ac:dyDescent="0.25">
      <c r="A54" s="890"/>
      <c r="B54" s="239"/>
      <c r="C54" s="873"/>
      <c r="D54" s="249"/>
      <c r="E54" s="249"/>
      <c r="F54" s="249"/>
      <c r="G54" s="988"/>
      <c r="H54" s="224"/>
      <c r="I54" s="873"/>
      <c r="J54" s="873"/>
      <c r="K54" s="874"/>
      <c r="L54" s="229"/>
      <c r="M54" s="235"/>
      <c r="N54" s="236"/>
      <c r="O54" s="229"/>
      <c r="P54" s="224"/>
    </row>
    <row r="55" spans="1:16" s="886" customFormat="1" ht="31.5" x14ac:dyDescent="0.25">
      <c r="A55" s="890"/>
      <c r="B55" s="876" t="s">
        <v>1445</v>
      </c>
      <c r="C55" s="873"/>
      <c r="D55" s="249"/>
      <c r="E55" s="249"/>
      <c r="F55" s="249"/>
      <c r="G55" s="988"/>
      <c r="H55" s="229"/>
      <c r="I55" s="873"/>
      <c r="J55" s="873"/>
      <c r="K55" s="874"/>
      <c r="L55" s="229"/>
      <c r="M55" s="235"/>
      <c r="N55" s="236"/>
      <c r="O55" s="229"/>
      <c r="P55" s="229"/>
    </row>
    <row r="56" spans="1:16" s="886" customFormat="1" ht="63" x14ac:dyDescent="0.25">
      <c r="A56" s="890"/>
      <c r="B56" s="240" t="s">
        <v>1449</v>
      </c>
      <c r="C56" s="873"/>
      <c r="D56" s="249"/>
      <c r="E56" s="249">
        <v>-1407</v>
      </c>
      <c r="F56" s="249"/>
      <c r="G56" s="988"/>
      <c r="H56" s="224">
        <f t="shared" ref="H56:H58" si="23">SUM(C56:G56)</f>
        <v>-1407</v>
      </c>
      <c r="I56" s="873"/>
      <c r="J56" s="873">
        <v>-95903</v>
      </c>
      <c r="K56" s="874"/>
      <c r="L56" s="229">
        <f t="shared" ref="L56:L58" si="24">SUM(I56:K56)</f>
        <v>-95903</v>
      </c>
      <c r="M56" s="235"/>
      <c r="N56" s="236"/>
      <c r="O56" s="229"/>
      <c r="P56" s="224">
        <f t="shared" ref="P56:P58" si="25">O56+L56+H56</f>
        <v>-97310</v>
      </c>
    </row>
    <row r="57" spans="1:16" s="886" customFormat="1" ht="63" x14ac:dyDescent="0.25">
      <c r="A57" s="890"/>
      <c r="B57" s="240" t="s">
        <v>1450</v>
      </c>
      <c r="C57" s="873"/>
      <c r="D57" s="249"/>
      <c r="E57" s="249">
        <v>-1282</v>
      </c>
      <c r="F57" s="249"/>
      <c r="G57" s="988"/>
      <c r="H57" s="224">
        <f t="shared" si="23"/>
        <v>-1282</v>
      </c>
      <c r="I57" s="873"/>
      <c r="J57" s="873">
        <v>-73387</v>
      </c>
      <c r="K57" s="874"/>
      <c r="L57" s="229">
        <f t="shared" si="24"/>
        <v>-73387</v>
      </c>
      <c r="M57" s="235"/>
      <c r="N57" s="236"/>
      <c r="O57" s="229"/>
      <c r="P57" s="224">
        <f t="shared" si="25"/>
        <v>-74669</v>
      </c>
    </row>
    <row r="58" spans="1:16" ht="75.75" customHeight="1" x14ac:dyDescent="0.25">
      <c r="A58" s="230"/>
      <c r="B58" s="877" t="s">
        <v>1451</v>
      </c>
      <c r="C58" s="231"/>
      <c r="D58" s="232"/>
      <c r="E58" s="232"/>
      <c r="F58" s="232"/>
      <c r="G58" s="990"/>
      <c r="H58" s="224">
        <f t="shared" si="23"/>
        <v>0</v>
      </c>
      <c r="I58" s="873">
        <v>-2438</v>
      </c>
      <c r="J58" s="873">
        <v>-127316</v>
      </c>
      <c r="K58" s="874"/>
      <c r="L58" s="229">
        <f t="shared" si="24"/>
        <v>-129754</v>
      </c>
      <c r="M58" s="235"/>
      <c r="N58" s="236"/>
      <c r="O58" s="229"/>
      <c r="P58" s="224">
        <f t="shared" si="25"/>
        <v>-129754</v>
      </c>
    </row>
    <row r="59" spans="1:16" x14ac:dyDescent="0.25">
      <c r="A59" s="234"/>
      <c r="B59" s="1111"/>
      <c r="C59" s="231"/>
      <c r="D59" s="232"/>
      <c r="E59" s="232"/>
      <c r="F59" s="232"/>
      <c r="G59" s="248"/>
      <c r="H59" s="224"/>
      <c r="I59" s="242"/>
      <c r="J59" s="231"/>
      <c r="K59" s="233"/>
      <c r="L59" s="229"/>
      <c r="M59" s="231"/>
      <c r="N59" s="233"/>
      <c r="O59" s="478"/>
      <c r="P59" s="224"/>
    </row>
    <row r="60" spans="1:16" x14ac:dyDescent="0.25">
      <c r="A60" s="234"/>
      <c r="B60" s="238" t="s">
        <v>183</v>
      </c>
      <c r="C60" s="231"/>
      <c r="D60" s="232"/>
      <c r="E60" s="232"/>
      <c r="F60" s="232"/>
      <c r="G60" s="248"/>
      <c r="H60" s="224"/>
      <c r="I60" s="231"/>
      <c r="J60" s="231"/>
      <c r="K60" s="233"/>
      <c r="L60" s="229"/>
      <c r="M60" s="231"/>
      <c r="N60" s="233"/>
      <c r="O60" s="478"/>
      <c r="P60" s="224"/>
    </row>
    <row r="61" spans="1:16" ht="31.5" x14ac:dyDescent="0.25">
      <c r="A61" s="234"/>
      <c r="B61" s="876" t="s">
        <v>1445</v>
      </c>
      <c r="C61" s="231"/>
      <c r="D61" s="232"/>
      <c r="E61" s="232"/>
      <c r="F61" s="232"/>
      <c r="G61" s="248"/>
      <c r="H61" s="229"/>
      <c r="I61" s="242"/>
      <c r="J61" s="231"/>
      <c r="K61" s="233"/>
      <c r="L61" s="229"/>
      <c r="M61" s="231"/>
      <c r="N61" s="233"/>
      <c r="O61" s="478"/>
      <c r="P61" s="229"/>
    </row>
    <row r="62" spans="1:16" ht="31.5" x14ac:dyDescent="0.25">
      <c r="A62" s="234"/>
      <c r="B62" s="240" t="s">
        <v>1334</v>
      </c>
      <c r="C62" s="231">
        <v>-1132</v>
      </c>
      <c r="D62" s="232">
        <v>-275</v>
      </c>
      <c r="E62" s="232">
        <v>-9081</v>
      </c>
      <c r="F62" s="232"/>
      <c r="G62" s="248"/>
      <c r="H62" s="229">
        <f t="shared" ref="H62:H83" si="26">SUM(C62:G62)</f>
        <v>-10488</v>
      </c>
      <c r="I62" s="242">
        <v>-389512</v>
      </c>
      <c r="J62" s="231"/>
      <c r="K62" s="233"/>
      <c r="L62" s="229">
        <f t="shared" ref="L62:L83" si="27">SUM(I62:K62)</f>
        <v>-389512</v>
      </c>
      <c r="M62" s="231"/>
      <c r="N62" s="233"/>
      <c r="O62" s="478"/>
      <c r="P62" s="229">
        <f t="shared" ref="P62:P83" si="28">O62+L62+H62</f>
        <v>-400000</v>
      </c>
    </row>
    <row r="63" spans="1:16" ht="47.25" x14ac:dyDescent="0.25">
      <c r="A63" s="234"/>
      <c r="B63" s="240" t="s">
        <v>1452</v>
      </c>
      <c r="C63" s="231"/>
      <c r="D63" s="232"/>
      <c r="E63" s="232"/>
      <c r="F63" s="232"/>
      <c r="G63" s="248"/>
      <c r="H63" s="224">
        <f t="shared" si="26"/>
        <v>0</v>
      </c>
      <c r="I63" s="242">
        <v>-286740</v>
      </c>
      <c r="J63" s="231"/>
      <c r="K63" s="233"/>
      <c r="L63" s="229">
        <f t="shared" si="27"/>
        <v>-286740</v>
      </c>
      <c r="M63" s="231"/>
      <c r="N63" s="233"/>
      <c r="O63" s="478"/>
      <c r="P63" s="224">
        <f t="shared" si="28"/>
        <v>-286740</v>
      </c>
    </row>
    <row r="64" spans="1:16" ht="63" x14ac:dyDescent="0.25">
      <c r="A64" s="234"/>
      <c r="B64" s="240" t="s">
        <v>1453</v>
      </c>
      <c r="C64" s="231"/>
      <c r="D64" s="232"/>
      <c r="E64" s="232">
        <v>-2347796</v>
      </c>
      <c r="F64" s="232"/>
      <c r="G64" s="248"/>
      <c r="H64" s="224">
        <f t="shared" si="26"/>
        <v>-2347796</v>
      </c>
      <c r="I64" s="242">
        <v>-7813619</v>
      </c>
      <c r="J64" s="231"/>
      <c r="K64" s="233"/>
      <c r="L64" s="229">
        <f t="shared" si="27"/>
        <v>-7813619</v>
      </c>
      <c r="M64" s="231"/>
      <c r="N64" s="233"/>
      <c r="O64" s="478"/>
      <c r="P64" s="224">
        <f t="shared" si="28"/>
        <v>-10161415</v>
      </c>
    </row>
    <row r="65" spans="1:16" ht="63" x14ac:dyDescent="0.25">
      <c r="A65" s="234"/>
      <c r="B65" s="240" t="s">
        <v>1454</v>
      </c>
      <c r="C65" s="231"/>
      <c r="D65" s="232"/>
      <c r="E65" s="232">
        <v>-98730</v>
      </c>
      <c r="F65" s="232"/>
      <c r="G65" s="248"/>
      <c r="H65" s="224">
        <f t="shared" si="26"/>
        <v>-98730</v>
      </c>
      <c r="I65" s="242">
        <v>-2734737</v>
      </c>
      <c r="J65" s="231"/>
      <c r="K65" s="233"/>
      <c r="L65" s="229">
        <f t="shared" si="27"/>
        <v>-2734737</v>
      </c>
      <c r="M65" s="231"/>
      <c r="N65" s="233"/>
      <c r="O65" s="478"/>
      <c r="P65" s="224">
        <f t="shared" si="28"/>
        <v>-2833467</v>
      </c>
    </row>
    <row r="66" spans="1:16" ht="31.5" x14ac:dyDescent="0.25">
      <c r="A66" s="234"/>
      <c r="B66" s="240" t="s">
        <v>1455</v>
      </c>
      <c r="C66" s="231"/>
      <c r="D66" s="232"/>
      <c r="E66" s="232"/>
      <c r="F66" s="232"/>
      <c r="G66" s="248"/>
      <c r="H66" s="224">
        <f t="shared" si="26"/>
        <v>0</v>
      </c>
      <c r="I66" s="242">
        <v>-1098000</v>
      </c>
      <c r="J66" s="231"/>
      <c r="K66" s="233"/>
      <c r="L66" s="229">
        <f t="shared" si="27"/>
        <v>-1098000</v>
      </c>
      <c r="M66" s="231"/>
      <c r="N66" s="233"/>
      <c r="O66" s="478"/>
      <c r="P66" s="224">
        <f t="shared" si="28"/>
        <v>-1098000</v>
      </c>
    </row>
    <row r="67" spans="1:16" ht="47.25" x14ac:dyDescent="0.25">
      <c r="A67" s="234"/>
      <c r="B67" s="240" t="s">
        <v>1456</v>
      </c>
      <c r="C67" s="231"/>
      <c r="D67" s="232"/>
      <c r="E67" s="232"/>
      <c r="F67" s="232"/>
      <c r="G67" s="248"/>
      <c r="H67" s="224">
        <f t="shared" si="26"/>
        <v>0</v>
      </c>
      <c r="I67" s="242">
        <v>-564604</v>
      </c>
      <c r="J67" s="231"/>
      <c r="K67" s="233"/>
      <c r="L67" s="229">
        <f t="shared" si="27"/>
        <v>-564604</v>
      </c>
      <c r="M67" s="231"/>
      <c r="N67" s="233"/>
      <c r="O67" s="478"/>
      <c r="P67" s="224">
        <f t="shared" si="28"/>
        <v>-564604</v>
      </c>
    </row>
    <row r="68" spans="1:16" x14ac:dyDescent="0.25">
      <c r="A68" s="234"/>
      <c r="B68" s="240" t="s">
        <v>1457</v>
      </c>
      <c r="C68" s="231"/>
      <c r="D68" s="232"/>
      <c r="E68" s="232">
        <v>353</v>
      </c>
      <c r="F68" s="232"/>
      <c r="G68" s="248"/>
      <c r="H68" s="224">
        <f t="shared" si="26"/>
        <v>353</v>
      </c>
      <c r="I68" s="242">
        <v>-492453</v>
      </c>
      <c r="J68" s="231"/>
      <c r="K68" s="233"/>
      <c r="L68" s="229">
        <f t="shared" si="27"/>
        <v>-492453</v>
      </c>
      <c r="M68" s="231"/>
      <c r="N68" s="233"/>
      <c r="O68" s="478"/>
      <c r="P68" s="224">
        <f t="shared" si="28"/>
        <v>-492100</v>
      </c>
    </row>
    <row r="69" spans="1:16" ht="47.25" x14ac:dyDescent="0.25">
      <c r="A69" s="234"/>
      <c r="B69" s="240" t="s">
        <v>1378</v>
      </c>
      <c r="C69" s="231"/>
      <c r="D69" s="232"/>
      <c r="E69" s="232"/>
      <c r="F69" s="232"/>
      <c r="G69" s="248"/>
      <c r="H69" s="224">
        <f t="shared" si="26"/>
        <v>0</v>
      </c>
      <c r="I69" s="242">
        <v>-111331</v>
      </c>
      <c r="J69" s="231"/>
      <c r="K69" s="233"/>
      <c r="L69" s="229">
        <f t="shared" si="27"/>
        <v>-111331</v>
      </c>
      <c r="M69" s="231"/>
      <c r="N69" s="233"/>
      <c r="O69" s="478"/>
      <c r="P69" s="224">
        <f t="shared" si="28"/>
        <v>-111331</v>
      </c>
    </row>
    <row r="70" spans="1:16" x14ac:dyDescent="0.25">
      <c r="A70" s="234"/>
      <c r="B70" s="240" t="s">
        <v>1458</v>
      </c>
      <c r="C70" s="231"/>
      <c r="D70" s="232"/>
      <c r="E70" s="232">
        <v>-40</v>
      </c>
      <c r="F70" s="232"/>
      <c r="G70" s="248"/>
      <c r="H70" s="224">
        <f t="shared" si="26"/>
        <v>-40</v>
      </c>
      <c r="I70" s="242">
        <v>-106494</v>
      </c>
      <c r="J70" s="231"/>
      <c r="K70" s="233"/>
      <c r="L70" s="229">
        <f t="shared" si="27"/>
        <v>-106494</v>
      </c>
      <c r="M70" s="231"/>
      <c r="N70" s="233"/>
      <c r="O70" s="478"/>
      <c r="P70" s="224">
        <f t="shared" si="28"/>
        <v>-106534</v>
      </c>
    </row>
    <row r="71" spans="1:16" ht="31.5" x14ac:dyDescent="0.25">
      <c r="A71" s="234"/>
      <c r="B71" s="240" t="s">
        <v>1459</v>
      </c>
      <c r="C71" s="231"/>
      <c r="D71" s="232"/>
      <c r="E71" s="232"/>
      <c r="F71" s="232"/>
      <c r="G71" s="248"/>
      <c r="H71" s="224">
        <f t="shared" si="26"/>
        <v>0</v>
      </c>
      <c r="I71" s="242">
        <v>-130920</v>
      </c>
      <c r="J71" s="231"/>
      <c r="K71" s="233"/>
      <c r="L71" s="229">
        <f t="shared" si="27"/>
        <v>-130920</v>
      </c>
      <c r="M71" s="231"/>
      <c r="N71" s="233"/>
      <c r="O71" s="478"/>
      <c r="P71" s="224">
        <f t="shared" si="28"/>
        <v>-130920</v>
      </c>
    </row>
    <row r="72" spans="1:16" ht="48" customHeight="1" x14ac:dyDescent="0.25">
      <c r="A72" s="234"/>
      <c r="B72" s="240" t="s">
        <v>1460</v>
      </c>
      <c r="C72" s="231"/>
      <c r="D72" s="232"/>
      <c r="E72" s="232"/>
      <c r="F72" s="232"/>
      <c r="G72" s="248"/>
      <c r="H72" s="224">
        <f t="shared" si="26"/>
        <v>0</v>
      </c>
      <c r="I72" s="242">
        <v>92423</v>
      </c>
      <c r="J72" s="231"/>
      <c r="K72" s="233"/>
      <c r="L72" s="229">
        <f t="shared" si="27"/>
        <v>92423</v>
      </c>
      <c r="M72" s="231"/>
      <c r="N72" s="233"/>
      <c r="O72" s="478"/>
      <c r="P72" s="224">
        <f t="shared" si="28"/>
        <v>92423</v>
      </c>
    </row>
    <row r="73" spans="1:16" ht="47.25" x14ac:dyDescent="0.25">
      <c r="A73" s="234"/>
      <c r="B73" s="240" t="s">
        <v>1461</v>
      </c>
      <c r="C73" s="231"/>
      <c r="D73" s="232"/>
      <c r="E73" s="232"/>
      <c r="F73" s="232"/>
      <c r="G73" s="248"/>
      <c r="H73" s="224">
        <f t="shared" si="26"/>
        <v>0</v>
      </c>
      <c r="I73" s="242">
        <v>21501</v>
      </c>
      <c r="J73" s="231"/>
      <c r="K73" s="233"/>
      <c r="L73" s="229">
        <f t="shared" si="27"/>
        <v>21501</v>
      </c>
      <c r="M73" s="231"/>
      <c r="N73" s="233"/>
      <c r="O73" s="478"/>
      <c r="P73" s="224">
        <f t="shared" si="28"/>
        <v>21501</v>
      </c>
    </row>
    <row r="74" spans="1:16" ht="31.5" x14ac:dyDescent="0.25">
      <c r="A74" s="234"/>
      <c r="B74" s="240" t="s">
        <v>1462</v>
      </c>
      <c r="C74" s="231"/>
      <c r="D74" s="232"/>
      <c r="E74" s="232"/>
      <c r="F74" s="232"/>
      <c r="G74" s="248"/>
      <c r="H74" s="224">
        <f t="shared" si="26"/>
        <v>0</v>
      </c>
      <c r="I74" s="242">
        <v>37421</v>
      </c>
      <c r="J74" s="231"/>
      <c r="K74" s="233"/>
      <c r="L74" s="229">
        <f t="shared" si="27"/>
        <v>37421</v>
      </c>
      <c r="M74" s="231"/>
      <c r="N74" s="233"/>
      <c r="O74" s="478"/>
      <c r="P74" s="224">
        <f t="shared" si="28"/>
        <v>37421</v>
      </c>
    </row>
    <row r="75" spans="1:16" x14ac:dyDescent="0.25">
      <c r="A75" s="234"/>
      <c r="B75" s="240" t="s">
        <v>1463</v>
      </c>
      <c r="C75" s="231"/>
      <c r="D75" s="232"/>
      <c r="E75" s="232"/>
      <c r="F75" s="232"/>
      <c r="G75" s="248"/>
      <c r="H75" s="224">
        <f t="shared" si="26"/>
        <v>0</v>
      </c>
      <c r="I75" s="242">
        <v>129649</v>
      </c>
      <c r="J75" s="231"/>
      <c r="K75" s="233"/>
      <c r="L75" s="229">
        <f t="shared" si="27"/>
        <v>129649</v>
      </c>
      <c r="M75" s="231"/>
      <c r="N75" s="233"/>
      <c r="O75" s="478"/>
      <c r="P75" s="224">
        <f t="shared" si="28"/>
        <v>129649</v>
      </c>
    </row>
    <row r="76" spans="1:16" x14ac:dyDescent="0.25">
      <c r="A76" s="234"/>
      <c r="B76" s="240" t="s">
        <v>1464</v>
      </c>
      <c r="C76" s="231"/>
      <c r="D76" s="232"/>
      <c r="E76" s="232">
        <v>6033</v>
      </c>
      <c r="F76" s="232"/>
      <c r="G76" s="248"/>
      <c r="H76" s="224">
        <f t="shared" si="26"/>
        <v>6033</v>
      </c>
      <c r="I76" s="242">
        <v>7493967</v>
      </c>
      <c r="J76" s="231"/>
      <c r="K76" s="233"/>
      <c r="L76" s="229">
        <f t="shared" si="27"/>
        <v>7493967</v>
      </c>
      <c r="M76" s="231"/>
      <c r="N76" s="233"/>
      <c r="O76" s="478"/>
      <c r="P76" s="224">
        <f t="shared" si="28"/>
        <v>7500000</v>
      </c>
    </row>
    <row r="77" spans="1:16" x14ac:dyDescent="0.25">
      <c r="A77" s="234"/>
      <c r="B77" s="240"/>
      <c r="C77" s="231"/>
      <c r="D77" s="232"/>
      <c r="E77" s="232"/>
      <c r="F77" s="232"/>
      <c r="G77" s="248"/>
      <c r="H77" s="224"/>
      <c r="I77" s="242"/>
      <c r="J77" s="231"/>
      <c r="K77" s="233"/>
      <c r="L77" s="229"/>
      <c r="M77" s="231"/>
      <c r="N77" s="233"/>
      <c r="O77" s="478"/>
      <c r="P77" s="224"/>
    </row>
    <row r="78" spans="1:16" ht="31.5" x14ac:dyDescent="0.25">
      <c r="A78" s="234"/>
      <c r="B78" s="876" t="s">
        <v>1465</v>
      </c>
      <c r="C78" s="231"/>
      <c r="D78" s="232"/>
      <c r="E78" s="232"/>
      <c r="F78" s="232"/>
      <c r="G78" s="248"/>
      <c r="H78" s="224"/>
      <c r="I78" s="242"/>
      <c r="J78" s="231"/>
      <c r="K78" s="233"/>
      <c r="L78" s="229"/>
      <c r="M78" s="231"/>
      <c r="N78" s="233"/>
      <c r="O78" s="478"/>
      <c r="P78" s="224"/>
    </row>
    <row r="79" spans="1:16" ht="31.5" x14ac:dyDescent="0.25">
      <c r="A79" s="234"/>
      <c r="B79" s="240" t="s">
        <v>1334</v>
      </c>
      <c r="C79" s="231">
        <f>832+300</f>
        <v>1132</v>
      </c>
      <c r="D79" s="232">
        <f>202+73</f>
        <v>275</v>
      </c>
      <c r="E79" s="232">
        <v>32224</v>
      </c>
      <c r="F79" s="232"/>
      <c r="G79" s="248"/>
      <c r="H79" s="224">
        <f t="shared" si="26"/>
        <v>33631</v>
      </c>
      <c r="I79" s="242">
        <v>1524</v>
      </c>
      <c r="J79" s="231"/>
      <c r="K79" s="233"/>
      <c r="L79" s="229">
        <f t="shared" si="27"/>
        <v>1524</v>
      </c>
      <c r="M79" s="231"/>
      <c r="N79" s="233"/>
      <c r="O79" s="478"/>
      <c r="P79" s="224">
        <f t="shared" si="28"/>
        <v>35155</v>
      </c>
    </row>
    <row r="80" spans="1:16" ht="47.25" x14ac:dyDescent="0.25">
      <c r="A80" s="234"/>
      <c r="B80" s="240" t="s">
        <v>1452</v>
      </c>
      <c r="C80" s="231"/>
      <c r="D80" s="232"/>
      <c r="E80" s="232"/>
      <c r="F80" s="232"/>
      <c r="G80" s="248"/>
      <c r="H80" s="229">
        <f t="shared" si="26"/>
        <v>0</v>
      </c>
      <c r="I80" s="242">
        <v>100090</v>
      </c>
      <c r="J80" s="231"/>
      <c r="K80" s="233"/>
      <c r="L80" s="229">
        <f t="shared" si="27"/>
        <v>100090</v>
      </c>
      <c r="M80" s="231"/>
      <c r="N80" s="233"/>
      <c r="O80" s="478"/>
      <c r="P80" s="229">
        <f t="shared" si="28"/>
        <v>100090</v>
      </c>
    </row>
    <row r="81" spans="1:16" ht="63" x14ac:dyDescent="0.25">
      <c r="A81" s="234"/>
      <c r="B81" s="240" t="s">
        <v>1454</v>
      </c>
      <c r="C81" s="231"/>
      <c r="D81" s="232"/>
      <c r="E81" s="232">
        <v>73933</v>
      </c>
      <c r="F81" s="232"/>
      <c r="G81" s="248"/>
      <c r="H81" s="229">
        <f t="shared" si="26"/>
        <v>73933</v>
      </c>
      <c r="I81" s="242">
        <v>225069</v>
      </c>
      <c r="J81" s="231"/>
      <c r="K81" s="233"/>
      <c r="L81" s="229">
        <f t="shared" si="27"/>
        <v>225069</v>
      </c>
      <c r="M81" s="231"/>
      <c r="N81" s="233"/>
      <c r="O81" s="478"/>
      <c r="P81" s="229">
        <f t="shared" si="28"/>
        <v>299002</v>
      </c>
    </row>
    <row r="82" spans="1:16" ht="31.5" x14ac:dyDescent="0.25">
      <c r="A82" s="234"/>
      <c r="B82" s="240" t="s">
        <v>1455</v>
      </c>
      <c r="C82" s="231"/>
      <c r="D82" s="232"/>
      <c r="E82" s="232"/>
      <c r="F82" s="232"/>
      <c r="G82" s="248"/>
      <c r="H82" s="224">
        <f t="shared" si="26"/>
        <v>0</v>
      </c>
      <c r="I82" s="242">
        <v>3543</v>
      </c>
      <c r="J82" s="231"/>
      <c r="K82" s="233"/>
      <c r="L82" s="229">
        <f t="shared" si="27"/>
        <v>3543</v>
      </c>
      <c r="M82" s="231"/>
      <c r="N82" s="233"/>
      <c r="O82" s="478"/>
      <c r="P82" s="224">
        <f t="shared" si="28"/>
        <v>3543</v>
      </c>
    </row>
    <row r="83" spans="1:16" x14ac:dyDescent="0.25">
      <c r="A83" s="234"/>
      <c r="B83" s="240" t="s">
        <v>1458</v>
      </c>
      <c r="C83" s="231"/>
      <c r="D83" s="232"/>
      <c r="E83" s="232"/>
      <c r="F83" s="232"/>
      <c r="G83" s="248"/>
      <c r="H83" s="224">
        <f t="shared" si="26"/>
        <v>0</v>
      </c>
      <c r="I83" s="242">
        <v>5843</v>
      </c>
      <c r="J83" s="231"/>
      <c r="K83" s="233"/>
      <c r="L83" s="229">
        <f t="shared" si="27"/>
        <v>5843</v>
      </c>
      <c r="M83" s="231"/>
      <c r="N83" s="233"/>
      <c r="O83" s="478"/>
      <c r="P83" s="224">
        <f t="shared" si="28"/>
        <v>5843</v>
      </c>
    </row>
    <row r="84" spans="1:16" x14ac:dyDescent="0.25">
      <c r="A84" s="234"/>
      <c r="B84" s="238"/>
      <c r="C84" s="231"/>
      <c r="D84" s="232"/>
      <c r="E84" s="232"/>
      <c r="F84" s="232"/>
      <c r="G84" s="248"/>
      <c r="H84" s="224"/>
      <c r="I84" s="231"/>
      <c r="J84" s="231"/>
      <c r="K84" s="233"/>
      <c r="L84" s="229"/>
      <c r="M84" s="231"/>
      <c r="N84" s="233"/>
      <c r="O84" s="478"/>
      <c r="P84" s="224"/>
    </row>
    <row r="85" spans="1:16" s="886" customFormat="1" x14ac:dyDescent="0.25">
      <c r="A85" s="890"/>
      <c r="B85" s="876" t="s">
        <v>1444</v>
      </c>
      <c r="C85" s="873"/>
      <c r="D85" s="249"/>
      <c r="E85" s="249"/>
      <c r="F85" s="249"/>
      <c r="G85" s="988"/>
      <c r="H85" s="885"/>
      <c r="I85" s="873"/>
      <c r="J85" s="873"/>
      <c r="K85" s="874"/>
      <c r="L85" s="875"/>
      <c r="M85" s="873"/>
      <c r="N85" s="874"/>
      <c r="O85" s="875"/>
      <c r="P85" s="885"/>
    </row>
    <row r="86" spans="1:16" x14ac:dyDescent="0.25">
      <c r="A86" s="230"/>
      <c r="B86" s="989" t="s">
        <v>1466</v>
      </c>
      <c r="C86" s="231"/>
      <c r="D86" s="232"/>
      <c r="E86" s="232"/>
      <c r="F86" s="233"/>
      <c r="G86" s="233"/>
      <c r="H86" s="224">
        <f t="shared" ref="H86:H89" si="29">SUM(C86:G86)</f>
        <v>0</v>
      </c>
      <c r="I86" s="231">
        <v>-12867</v>
      </c>
      <c r="J86" s="231"/>
      <c r="K86" s="233"/>
      <c r="L86" s="229">
        <f t="shared" ref="L86:L89" si="30">SUM(I86:K86)</f>
        <v>-12867</v>
      </c>
      <c r="M86" s="231"/>
      <c r="N86" s="233"/>
      <c r="O86" s="478"/>
      <c r="P86" s="224">
        <f t="shared" ref="P86:P89" si="31">O86+L86+H86</f>
        <v>-12867</v>
      </c>
    </row>
    <row r="87" spans="1:16" ht="47.25" x14ac:dyDescent="0.25">
      <c r="A87" s="230"/>
      <c r="B87" s="989" t="s">
        <v>1452</v>
      </c>
      <c r="C87" s="231"/>
      <c r="D87" s="232"/>
      <c r="E87" s="232">
        <v>-29970</v>
      </c>
      <c r="F87" s="233"/>
      <c r="G87" s="233"/>
      <c r="H87" s="224">
        <f t="shared" si="29"/>
        <v>-29970</v>
      </c>
      <c r="I87" s="231">
        <f>12867+29970</f>
        <v>42837</v>
      </c>
      <c r="J87" s="231"/>
      <c r="K87" s="233"/>
      <c r="L87" s="229">
        <f t="shared" si="30"/>
        <v>42837</v>
      </c>
      <c r="M87" s="231"/>
      <c r="N87" s="233"/>
      <c r="O87" s="478"/>
      <c r="P87" s="224">
        <f t="shared" si="31"/>
        <v>12867</v>
      </c>
    </row>
    <row r="88" spans="1:16" ht="31.5" x14ac:dyDescent="0.25">
      <c r="A88" s="230"/>
      <c r="B88" s="989" t="s">
        <v>1467</v>
      </c>
      <c r="C88" s="231"/>
      <c r="D88" s="232"/>
      <c r="E88" s="232">
        <v>-307</v>
      </c>
      <c r="F88" s="233"/>
      <c r="G88" s="233"/>
      <c r="H88" s="224">
        <f t="shared" si="29"/>
        <v>-307</v>
      </c>
      <c r="I88" s="231">
        <v>-93693</v>
      </c>
      <c r="J88" s="231"/>
      <c r="K88" s="233"/>
      <c r="L88" s="229">
        <f t="shared" si="30"/>
        <v>-93693</v>
      </c>
      <c r="M88" s="231"/>
      <c r="N88" s="233"/>
      <c r="O88" s="478"/>
      <c r="P88" s="224">
        <f t="shared" si="31"/>
        <v>-94000</v>
      </c>
    </row>
    <row r="89" spans="1:16" ht="43.5" customHeight="1" x14ac:dyDescent="0.25">
      <c r="A89" s="230"/>
      <c r="B89" s="989" t="s">
        <v>1460</v>
      </c>
      <c r="C89" s="231"/>
      <c r="D89" s="232"/>
      <c r="E89" s="232"/>
      <c r="F89" s="233"/>
      <c r="G89" s="233"/>
      <c r="H89" s="224">
        <f t="shared" si="29"/>
        <v>0</v>
      </c>
      <c r="I89" s="231">
        <v>94000</v>
      </c>
      <c r="J89" s="231"/>
      <c r="K89" s="233"/>
      <c r="L89" s="229">
        <f t="shared" si="30"/>
        <v>94000</v>
      </c>
      <c r="M89" s="231"/>
      <c r="N89" s="233"/>
      <c r="O89" s="478"/>
      <c r="P89" s="224">
        <f t="shared" si="31"/>
        <v>94000</v>
      </c>
    </row>
    <row r="90" spans="1:16" x14ac:dyDescent="0.25">
      <c r="A90" s="230"/>
      <c r="B90" s="989"/>
      <c r="C90" s="231"/>
      <c r="D90" s="232"/>
      <c r="E90" s="232"/>
      <c r="F90" s="233"/>
      <c r="G90" s="233"/>
      <c r="H90" s="229"/>
      <c r="I90" s="231"/>
      <c r="J90" s="231"/>
      <c r="K90" s="233"/>
      <c r="L90" s="229"/>
      <c r="M90" s="231"/>
      <c r="N90" s="233"/>
      <c r="O90" s="478"/>
      <c r="P90" s="229"/>
    </row>
    <row r="91" spans="1:16" s="886" customFormat="1" ht="31.5" x14ac:dyDescent="0.25">
      <c r="A91" s="890"/>
      <c r="B91" s="876" t="s">
        <v>1259</v>
      </c>
      <c r="C91" s="873"/>
      <c r="D91" s="249"/>
      <c r="E91" s="249"/>
      <c r="F91" s="249"/>
      <c r="G91" s="988"/>
      <c r="H91" s="885"/>
      <c r="I91" s="873"/>
      <c r="J91" s="873"/>
      <c r="K91" s="874"/>
      <c r="L91" s="875"/>
      <c r="M91" s="873"/>
      <c r="N91" s="874"/>
      <c r="O91" s="875"/>
      <c r="P91" s="885"/>
    </row>
    <row r="92" spans="1:16" ht="31.5" x14ac:dyDescent="0.25">
      <c r="A92" s="230"/>
      <c r="B92" s="989" t="s">
        <v>1334</v>
      </c>
      <c r="C92" s="231"/>
      <c r="D92" s="232"/>
      <c r="E92" s="232">
        <v>1524</v>
      </c>
      <c r="F92" s="233"/>
      <c r="G92" s="233"/>
      <c r="H92" s="224">
        <f t="shared" ref="H92:H94" si="32">SUM(C92:G92)</f>
        <v>1524</v>
      </c>
      <c r="I92" s="231">
        <v>-1524</v>
      </c>
      <c r="J92" s="231"/>
      <c r="K92" s="233"/>
      <c r="L92" s="229">
        <f t="shared" ref="L92:L94" si="33">SUM(I92:K92)</f>
        <v>-1524</v>
      </c>
      <c r="M92" s="231"/>
      <c r="N92" s="233"/>
      <c r="O92" s="478"/>
      <c r="P92" s="224">
        <f t="shared" ref="P92:P94" si="34">O92+L92+H92</f>
        <v>0</v>
      </c>
    </row>
    <row r="93" spans="1:16" x14ac:dyDescent="0.25">
      <c r="A93" s="230"/>
      <c r="B93" s="989" t="s">
        <v>1457</v>
      </c>
      <c r="C93" s="231"/>
      <c r="D93" s="232"/>
      <c r="E93" s="232">
        <v>329</v>
      </c>
      <c r="F93" s="233"/>
      <c r="G93" s="233"/>
      <c r="H93" s="224">
        <f t="shared" si="32"/>
        <v>329</v>
      </c>
      <c r="I93" s="231">
        <v>-329</v>
      </c>
      <c r="J93" s="231"/>
      <c r="K93" s="233"/>
      <c r="L93" s="229">
        <f t="shared" si="33"/>
        <v>-329</v>
      </c>
      <c r="M93" s="231"/>
      <c r="N93" s="233"/>
      <c r="O93" s="478"/>
      <c r="P93" s="224">
        <f t="shared" si="34"/>
        <v>0</v>
      </c>
    </row>
    <row r="94" spans="1:16" ht="31.5" x14ac:dyDescent="0.25">
      <c r="A94" s="230"/>
      <c r="B94" s="877" t="s">
        <v>1459</v>
      </c>
      <c r="C94" s="231"/>
      <c r="D94" s="232"/>
      <c r="E94" s="232">
        <v>1000</v>
      </c>
      <c r="F94" s="232"/>
      <c r="G94" s="990"/>
      <c r="H94" s="224">
        <f t="shared" si="32"/>
        <v>1000</v>
      </c>
      <c r="I94" s="231">
        <v>-1000</v>
      </c>
      <c r="J94" s="231"/>
      <c r="K94" s="233"/>
      <c r="L94" s="229">
        <f t="shared" si="33"/>
        <v>-1000</v>
      </c>
      <c r="M94" s="231"/>
      <c r="N94" s="233"/>
      <c r="O94" s="478"/>
      <c r="P94" s="224">
        <f t="shared" si="34"/>
        <v>0</v>
      </c>
    </row>
    <row r="95" spans="1:16" x14ac:dyDescent="0.25">
      <c r="A95" s="230"/>
      <c r="B95" s="989"/>
      <c r="C95" s="231"/>
      <c r="D95" s="232"/>
      <c r="E95" s="232"/>
      <c r="F95" s="233"/>
      <c r="G95" s="233"/>
      <c r="H95" s="229"/>
      <c r="I95" s="231"/>
      <c r="J95" s="231"/>
      <c r="K95" s="233"/>
      <c r="L95" s="229"/>
      <c r="M95" s="231"/>
      <c r="N95" s="233"/>
      <c r="O95" s="478"/>
      <c r="P95" s="229"/>
    </row>
    <row r="96" spans="1:16" x14ac:dyDescent="0.25">
      <c r="A96" s="230"/>
      <c r="B96" s="887" t="s">
        <v>114</v>
      </c>
      <c r="C96" s="231"/>
      <c r="D96" s="232"/>
      <c r="E96" s="232"/>
      <c r="F96" s="233"/>
      <c r="G96" s="233"/>
      <c r="H96" s="224"/>
      <c r="I96" s="231"/>
      <c r="J96" s="231"/>
      <c r="K96" s="233"/>
      <c r="L96" s="229"/>
      <c r="M96" s="231"/>
      <c r="N96" s="233"/>
      <c r="O96" s="478"/>
      <c r="P96" s="224"/>
    </row>
    <row r="97" spans="1:16" x14ac:dyDescent="0.25">
      <c r="A97" s="230"/>
      <c r="B97" s="888" t="s">
        <v>1184</v>
      </c>
      <c r="C97" s="231"/>
      <c r="D97" s="232"/>
      <c r="E97" s="232">
        <v>12510</v>
      </c>
      <c r="F97" s="233"/>
      <c r="G97" s="233"/>
      <c r="H97" s="224">
        <f t="shared" ref="H97" si="35">SUM(C97:G97)</f>
        <v>12510</v>
      </c>
      <c r="I97" s="231"/>
      <c r="J97" s="231"/>
      <c r="K97" s="233"/>
      <c r="L97" s="229">
        <f t="shared" ref="L97" si="36">SUM(I97:K97)</f>
        <v>0</v>
      </c>
      <c r="M97" s="231"/>
      <c r="N97" s="233"/>
      <c r="O97" s="478"/>
      <c r="P97" s="224">
        <f t="shared" ref="P97" si="37">O97+L97+H97</f>
        <v>12510</v>
      </c>
    </row>
    <row r="98" spans="1:16" x14ac:dyDescent="0.25">
      <c r="A98" s="230"/>
      <c r="B98" s="877"/>
      <c r="C98" s="231"/>
      <c r="D98" s="232"/>
      <c r="E98" s="232"/>
      <c r="F98" s="233"/>
      <c r="G98" s="233"/>
      <c r="H98" s="224"/>
      <c r="I98" s="231"/>
      <c r="J98" s="231"/>
      <c r="K98" s="233"/>
      <c r="L98" s="229"/>
      <c r="M98" s="231"/>
      <c r="N98" s="233"/>
      <c r="O98" s="478"/>
      <c r="P98" s="224"/>
    </row>
    <row r="99" spans="1:16" x14ac:dyDescent="0.25">
      <c r="A99" s="234" t="s">
        <v>184</v>
      </c>
      <c r="B99" s="887" t="s">
        <v>1232</v>
      </c>
      <c r="C99" s="231"/>
      <c r="D99" s="232"/>
      <c r="E99" s="232"/>
      <c r="F99" s="232"/>
      <c r="G99" s="990"/>
      <c r="H99" s="224"/>
      <c r="I99" s="231"/>
      <c r="J99" s="231"/>
      <c r="K99" s="233"/>
      <c r="L99" s="229"/>
      <c r="M99" s="231"/>
      <c r="N99" s="233"/>
      <c r="O99" s="478"/>
      <c r="P99" s="224"/>
    </row>
    <row r="100" spans="1:16" x14ac:dyDescent="0.25">
      <c r="A100" s="230"/>
      <c r="B100" s="887" t="s">
        <v>185</v>
      </c>
      <c r="C100" s="231"/>
      <c r="D100" s="232"/>
      <c r="E100" s="232"/>
      <c r="F100" s="232"/>
      <c r="G100" s="990"/>
      <c r="H100" s="224"/>
      <c r="I100" s="231"/>
      <c r="J100" s="231"/>
      <c r="K100" s="233"/>
      <c r="L100" s="229"/>
      <c r="M100" s="231"/>
      <c r="N100" s="233"/>
      <c r="O100" s="478"/>
      <c r="P100" s="224"/>
    </row>
    <row r="101" spans="1:16" x14ac:dyDescent="0.25">
      <c r="A101" s="230"/>
      <c r="B101" s="888" t="s">
        <v>1184</v>
      </c>
      <c r="C101" s="231"/>
      <c r="D101" s="232"/>
      <c r="E101" s="232"/>
      <c r="F101" s="232"/>
      <c r="G101" s="990"/>
      <c r="H101" s="224"/>
      <c r="I101" s="231"/>
      <c r="J101" s="231"/>
      <c r="K101" s="233"/>
      <c r="L101" s="229"/>
      <c r="M101" s="231"/>
      <c r="N101" s="233"/>
      <c r="O101" s="478"/>
      <c r="P101" s="224"/>
    </row>
    <row r="102" spans="1:16" ht="36.75" customHeight="1" x14ac:dyDescent="0.25">
      <c r="A102" s="230"/>
      <c r="B102" s="877" t="s">
        <v>1335</v>
      </c>
      <c r="C102" s="231"/>
      <c r="D102" s="232"/>
      <c r="E102" s="232"/>
      <c r="F102" s="232">
        <v>2647</v>
      </c>
      <c r="G102" s="990"/>
      <c r="H102" s="224">
        <f t="shared" ref="H102:H103" si="38">SUM(C102:G102)</f>
        <v>2647</v>
      </c>
      <c r="I102" s="231"/>
      <c r="J102" s="231"/>
      <c r="K102" s="233"/>
      <c r="L102" s="229">
        <f t="shared" ref="L102:L103" si="39">SUM(I102:K102)</f>
        <v>0</v>
      </c>
      <c r="M102" s="231"/>
      <c r="N102" s="233"/>
      <c r="O102" s="478"/>
      <c r="P102" s="224">
        <f t="shared" ref="P102:P103" si="40">O102+L102+H102</f>
        <v>2647</v>
      </c>
    </row>
    <row r="103" spans="1:16" x14ac:dyDescent="0.25">
      <c r="A103" s="230"/>
      <c r="B103" s="877" t="s">
        <v>1468</v>
      </c>
      <c r="C103" s="231"/>
      <c r="D103" s="231"/>
      <c r="E103" s="231">
        <v>2</v>
      </c>
      <c r="F103" s="231"/>
      <c r="G103" s="248"/>
      <c r="H103" s="224">
        <f t="shared" si="38"/>
        <v>2</v>
      </c>
      <c r="I103" s="231"/>
      <c r="J103" s="231"/>
      <c r="K103" s="233"/>
      <c r="L103" s="229">
        <f t="shared" si="39"/>
        <v>0</v>
      </c>
      <c r="M103" s="231"/>
      <c r="N103" s="233"/>
      <c r="O103" s="478"/>
      <c r="P103" s="224">
        <f t="shared" si="40"/>
        <v>2</v>
      </c>
    </row>
    <row r="104" spans="1:16" s="886" customFormat="1" x14ac:dyDescent="0.25">
      <c r="A104" s="890"/>
      <c r="B104" s="892"/>
      <c r="C104" s="873"/>
      <c r="D104" s="873"/>
      <c r="E104" s="873"/>
      <c r="F104" s="873"/>
      <c r="G104" s="988"/>
      <c r="H104" s="245"/>
      <c r="I104" s="878"/>
      <c r="J104" s="878"/>
      <c r="K104" s="879"/>
      <c r="L104" s="246"/>
      <c r="M104" s="878"/>
      <c r="N104" s="879"/>
      <c r="O104" s="880"/>
      <c r="P104" s="245"/>
    </row>
    <row r="105" spans="1:16" x14ac:dyDescent="0.25">
      <c r="A105" s="230"/>
      <c r="B105" s="877"/>
      <c r="C105" s="231"/>
      <c r="D105" s="232"/>
      <c r="E105" s="232"/>
      <c r="F105" s="232"/>
      <c r="G105" s="990"/>
      <c r="H105" s="224"/>
      <c r="I105" s="231"/>
      <c r="J105" s="231"/>
      <c r="K105" s="233"/>
      <c r="L105" s="229"/>
      <c r="M105" s="231"/>
      <c r="N105" s="233"/>
      <c r="O105" s="478"/>
      <c r="P105" s="224"/>
    </row>
    <row r="106" spans="1:16" x14ac:dyDescent="0.25">
      <c r="A106" s="234" t="s">
        <v>186</v>
      </c>
      <c r="B106" s="887" t="s">
        <v>1233</v>
      </c>
      <c r="C106" s="231"/>
      <c r="D106" s="232"/>
      <c r="E106" s="232"/>
      <c r="F106" s="232"/>
      <c r="G106" s="990"/>
      <c r="H106" s="224"/>
      <c r="I106" s="231"/>
      <c r="J106" s="231"/>
      <c r="K106" s="233"/>
      <c r="L106" s="229"/>
      <c r="M106" s="231"/>
      <c r="N106" s="233"/>
      <c r="O106" s="478"/>
      <c r="P106" s="224"/>
    </row>
    <row r="107" spans="1:16" x14ac:dyDescent="0.25">
      <c r="A107" s="230"/>
      <c r="B107" s="887" t="s">
        <v>188</v>
      </c>
      <c r="C107" s="231"/>
      <c r="D107" s="232"/>
      <c r="E107" s="232"/>
      <c r="F107" s="232"/>
      <c r="G107" s="990"/>
      <c r="H107" s="229"/>
      <c r="I107" s="231"/>
      <c r="J107" s="231"/>
      <c r="K107" s="233"/>
      <c r="L107" s="229"/>
      <c r="M107" s="231"/>
      <c r="N107" s="233"/>
      <c r="O107" s="478"/>
      <c r="P107" s="229"/>
    </row>
    <row r="108" spans="1:16" ht="31.5" x14ac:dyDescent="0.25">
      <c r="A108" s="230"/>
      <c r="B108" s="888" t="s">
        <v>1259</v>
      </c>
      <c r="C108" s="231"/>
      <c r="D108" s="232"/>
      <c r="E108" s="232"/>
      <c r="F108" s="232"/>
      <c r="G108" s="990"/>
      <c r="H108" s="229"/>
      <c r="I108" s="231"/>
      <c r="J108" s="231"/>
      <c r="K108" s="233"/>
      <c r="L108" s="229"/>
      <c r="M108" s="231"/>
      <c r="N108" s="233"/>
      <c r="O108" s="478"/>
      <c r="P108" s="229"/>
    </row>
    <row r="109" spans="1:16" ht="78.75" x14ac:dyDescent="0.25">
      <c r="A109" s="230"/>
      <c r="B109" s="877" t="s">
        <v>1379</v>
      </c>
      <c r="C109" s="231"/>
      <c r="D109" s="232"/>
      <c r="E109" s="232">
        <v>449</v>
      </c>
      <c r="F109" s="232"/>
      <c r="G109" s="248"/>
      <c r="H109" s="229">
        <f t="shared" ref="H109" si="41">SUM(C109:G109)</f>
        <v>449</v>
      </c>
      <c r="I109" s="231">
        <v>-449</v>
      </c>
      <c r="J109" s="231"/>
      <c r="K109" s="233"/>
      <c r="L109" s="229">
        <f t="shared" ref="L109" si="42">SUM(I109:K109)</f>
        <v>-449</v>
      </c>
      <c r="M109" s="231"/>
      <c r="N109" s="233"/>
      <c r="O109" s="478"/>
      <c r="P109" s="229">
        <f t="shared" ref="P109" si="43">O109+L109+H109</f>
        <v>0</v>
      </c>
    </row>
    <row r="110" spans="1:16" x14ac:dyDescent="0.25">
      <c r="A110" s="234"/>
      <c r="B110" s="240"/>
      <c r="C110" s="231"/>
      <c r="D110" s="232"/>
      <c r="E110" s="232"/>
      <c r="F110" s="232"/>
      <c r="G110" s="248"/>
      <c r="H110" s="224"/>
      <c r="I110" s="873"/>
      <c r="J110" s="873"/>
      <c r="K110" s="874"/>
      <c r="L110" s="229"/>
      <c r="M110" s="873"/>
      <c r="N110" s="874"/>
      <c r="O110" s="875"/>
      <c r="P110" s="224"/>
    </row>
    <row r="111" spans="1:16" x14ac:dyDescent="0.25">
      <c r="A111" s="234"/>
      <c r="B111" s="240"/>
      <c r="C111" s="231"/>
      <c r="D111" s="232"/>
      <c r="E111" s="232"/>
      <c r="F111" s="232"/>
      <c r="G111" s="248"/>
      <c r="H111" s="224"/>
      <c r="I111" s="873"/>
      <c r="J111" s="873"/>
      <c r="K111" s="874"/>
      <c r="L111" s="229"/>
      <c r="M111" s="873"/>
      <c r="N111" s="874"/>
      <c r="O111" s="875"/>
      <c r="P111" s="224"/>
    </row>
    <row r="112" spans="1:16" s="222" customFormat="1" x14ac:dyDescent="0.25">
      <c r="A112" s="234" t="s">
        <v>190</v>
      </c>
      <c r="B112" s="223" t="s">
        <v>110</v>
      </c>
      <c r="C112" s="235"/>
      <c r="D112" s="235"/>
      <c r="E112" s="235"/>
      <c r="F112" s="235"/>
      <c r="G112" s="235"/>
      <c r="H112" s="229"/>
      <c r="I112" s="235"/>
      <c r="J112" s="235"/>
      <c r="K112" s="235"/>
      <c r="L112" s="229"/>
      <c r="M112" s="235"/>
      <c r="N112" s="235"/>
      <c r="O112" s="229"/>
      <c r="P112" s="224"/>
    </row>
    <row r="113" spans="1:16" s="886" customFormat="1" x14ac:dyDescent="0.25">
      <c r="A113" s="890"/>
      <c r="B113" s="223" t="s">
        <v>191</v>
      </c>
      <c r="C113" s="873"/>
      <c r="D113" s="873"/>
      <c r="E113" s="873"/>
      <c r="F113" s="873"/>
      <c r="G113" s="988"/>
      <c r="H113" s="885"/>
      <c r="I113" s="873"/>
      <c r="J113" s="873"/>
      <c r="K113" s="988"/>
      <c r="L113" s="875"/>
      <c r="M113" s="873"/>
      <c r="N113" s="988"/>
      <c r="O113" s="875"/>
      <c r="P113" s="885"/>
    </row>
    <row r="114" spans="1:16" s="886" customFormat="1" ht="31.5" x14ac:dyDescent="0.25">
      <c r="A114" s="890"/>
      <c r="B114" s="891" t="s">
        <v>1259</v>
      </c>
      <c r="C114" s="873"/>
      <c r="D114" s="873"/>
      <c r="E114" s="873"/>
      <c r="F114" s="873"/>
      <c r="G114" s="988"/>
      <c r="H114" s="885"/>
      <c r="I114" s="873"/>
      <c r="J114" s="873"/>
      <c r="K114" s="988"/>
      <c r="L114" s="875"/>
      <c r="M114" s="873"/>
      <c r="N114" s="988"/>
      <c r="O114" s="875"/>
      <c r="P114" s="885"/>
    </row>
    <row r="115" spans="1:16" s="886" customFormat="1" x14ac:dyDescent="0.25">
      <c r="A115" s="890"/>
      <c r="B115" s="1131" t="s">
        <v>1469</v>
      </c>
      <c r="C115" s="873"/>
      <c r="D115" s="873"/>
      <c r="E115" s="873">
        <v>1539</v>
      </c>
      <c r="F115" s="873"/>
      <c r="G115" s="988">
        <v>-1539</v>
      </c>
      <c r="H115" s="224">
        <f t="shared" ref="H115:H116" si="44">SUM(C115:G115)</f>
        <v>0</v>
      </c>
      <c r="I115" s="873"/>
      <c r="J115" s="235"/>
      <c r="K115" s="237"/>
      <c r="L115" s="229">
        <f t="shared" ref="L115:L116" si="45">SUM(I115:K115)</f>
        <v>0</v>
      </c>
      <c r="M115" s="235"/>
      <c r="N115" s="237"/>
      <c r="O115" s="229"/>
      <c r="P115" s="224">
        <f t="shared" ref="P115:P116" si="46">O115+L115+H115</f>
        <v>0</v>
      </c>
    </row>
    <row r="116" spans="1:16" s="886" customFormat="1" x14ac:dyDescent="0.25">
      <c r="A116" s="890"/>
      <c r="B116" s="1131" t="s">
        <v>1380</v>
      </c>
      <c r="C116" s="873">
        <v>-1</v>
      </c>
      <c r="D116" s="873">
        <v>1</v>
      </c>
      <c r="E116" s="873"/>
      <c r="F116" s="873"/>
      <c r="G116" s="988"/>
      <c r="H116" s="224">
        <f t="shared" si="44"/>
        <v>0</v>
      </c>
      <c r="I116" s="235"/>
      <c r="J116" s="235"/>
      <c r="K116" s="237"/>
      <c r="L116" s="229">
        <f t="shared" si="45"/>
        <v>0</v>
      </c>
      <c r="M116" s="235"/>
      <c r="N116" s="237"/>
      <c r="O116" s="229"/>
      <c r="P116" s="224">
        <f t="shared" si="46"/>
        <v>0</v>
      </c>
    </row>
    <row r="117" spans="1:16" s="886" customFormat="1" x14ac:dyDescent="0.25">
      <c r="A117" s="890"/>
      <c r="B117" s="892"/>
      <c r="C117" s="873"/>
      <c r="D117" s="873"/>
      <c r="E117" s="873"/>
      <c r="F117" s="873"/>
      <c r="G117" s="988"/>
      <c r="H117" s="224"/>
      <c r="I117" s="235"/>
      <c r="J117" s="235"/>
      <c r="K117" s="237"/>
      <c r="L117" s="229"/>
      <c r="M117" s="235"/>
      <c r="N117" s="237"/>
      <c r="O117" s="229"/>
      <c r="P117" s="224"/>
    </row>
    <row r="118" spans="1:16" x14ac:dyDescent="0.25">
      <c r="A118" s="234"/>
      <c r="B118" s="238" t="s">
        <v>193</v>
      </c>
      <c r="C118" s="231"/>
      <c r="D118" s="232"/>
      <c r="E118" s="232"/>
      <c r="F118" s="232"/>
      <c r="G118" s="248"/>
      <c r="H118" s="224"/>
      <c r="I118" s="231"/>
      <c r="J118" s="231"/>
      <c r="K118" s="233"/>
      <c r="L118" s="229"/>
      <c r="M118" s="231"/>
      <c r="N118" s="233"/>
      <c r="O118" s="478"/>
      <c r="P118" s="224"/>
    </row>
    <row r="119" spans="1:16" x14ac:dyDescent="0.25">
      <c r="A119" s="234"/>
      <c r="B119" s="876" t="s">
        <v>1181</v>
      </c>
      <c r="C119" s="231"/>
      <c r="D119" s="232"/>
      <c r="E119" s="232"/>
      <c r="F119" s="232"/>
      <c r="G119" s="248"/>
      <c r="H119" s="224"/>
      <c r="I119" s="231"/>
      <c r="J119" s="231"/>
      <c r="K119" s="233"/>
      <c r="L119" s="229"/>
      <c r="M119" s="231"/>
      <c r="N119" s="233"/>
      <c r="O119" s="478"/>
      <c r="P119" s="224"/>
    </row>
    <row r="120" spans="1:16" ht="47.25" x14ac:dyDescent="0.25">
      <c r="A120" s="234"/>
      <c r="B120" s="240" t="s">
        <v>1470</v>
      </c>
      <c r="C120" s="231"/>
      <c r="D120" s="232"/>
      <c r="E120" s="232">
        <v>-1000</v>
      </c>
      <c r="F120" s="232"/>
      <c r="G120" s="248"/>
      <c r="H120" s="224">
        <f>SUM(C120:G120)</f>
        <v>-1000</v>
      </c>
      <c r="I120" s="231"/>
      <c r="J120" s="231"/>
      <c r="K120" s="233"/>
      <c r="L120" s="229">
        <f>SUM(I120:K120)</f>
        <v>0</v>
      </c>
      <c r="M120" s="231"/>
      <c r="N120" s="233"/>
      <c r="O120" s="478"/>
      <c r="P120" s="224">
        <f>O120+L120+H120</f>
        <v>-1000</v>
      </c>
    </row>
    <row r="121" spans="1:16" ht="47.25" x14ac:dyDescent="0.25">
      <c r="A121" s="234"/>
      <c r="B121" s="240" t="s">
        <v>1471</v>
      </c>
      <c r="C121" s="231"/>
      <c r="D121" s="232"/>
      <c r="E121" s="232">
        <v>-899</v>
      </c>
      <c r="F121" s="232"/>
      <c r="G121" s="248"/>
      <c r="H121" s="224">
        <f>SUM(C121:G121)</f>
        <v>-899</v>
      </c>
      <c r="I121" s="231"/>
      <c r="J121" s="231"/>
      <c r="K121" s="233"/>
      <c r="L121" s="229">
        <f>SUM(I121:K121)</f>
        <v>0</v>
      </c>
      <c r="M121" s="231"/>
      <c r="N121" s="233"/>
      <c r="O121" s="478"/>
      <c r="P121" s="224">
        <f>O121+L121+H121</f>
        <v>-899</v>
      </c>
    </row>
    <row r="122" spans="1:16" ht="63" x14ac:dyDescent="0.25">
      <c r="A122" s="234"/>
      <c r="B122" s="240" t="s">
        <v>1472</v>
      </c>
      <c r="C122" s="1132"/>
      <c r="D122" s="1133"/>
      <c r="E122" s="231"/>
      <c r="F122" s="232"/>
      <c r="G122" s="248">
        <v>-400</v>
      </c>
      <c r="H122" s="224">
        <f t="shared" ref="H122" si="47">SUM(C122:G122)</f>
        <v>-400</v>
      </c>
      <c r="I122" s="231"/>
      <c r="J122" s="231"/>
      <c r="K122" s="233"/>
      <c r="L122" s="229">
        <f t="shared" ref="L122" si="48">SUM(I122:K122)</f>
        <v>0</v>
      </c>
      <c r="M122" s="231"/>
      <c r="N122" s="233"/>
      <c r="O122" s="478"/>
      <c r="P122" s="224">
        <f t="shared" ref="P122" si="49">O122+L122+H122</f>
        <v>-400</v>
      </c>
    </row>
    <row r="123" spans="1:16" s="247" customFormat="1" x14ac:dyDescent="0.25">
      <c r="A123" s="241"/>
      <c r="B123" s="665"/>
      <c r="C123" s="242"/>
      <c r="D123" s="243"/>
      <c r="E123" s="243"/>
      <c r="F123" s="243"/>
      <c r="G123" s="481"/>
      <c r="H123" s="245"/>
      <c r="I123" s="242"/>
      <c r="J123" s="242"/>
      <c r="K123" s="244"/>
      <c r="L123" s="246"/>
      <c r="M123" s="242"/>
      <c r="N123" s="244"/>
      <c r="O123" s="479"/>
      <c r="P123" s="245"/>
    </row>
    <row r="124" spans="1:16" ht="31.5" x14ac:dyDescent="0.25">
      <c r="A124" s="230"/>
      <c r="B124" s="888" t="s">
        <v>1259</v>
      </c>
      <c r="C124" s="231"/>
      <c r="D124" s="232"/>
      <c r="E124" s="232"/>
      <c r="F124" s="232"/>
      <c r="G124" s="990"/>
      <c r="H124" s="224"/>
      <c r="I124" s="231"/>
      <c r="J124" s="231"/>
      <c r="K124" s="233"/>
      <c r="L124" s="229"/>
      <c r="M124" s="231"/>
      <c r="N124" s="233"/>
      <c r="O124" s="478"/>
      <c r="P124" s="224"/>
    </row>
    <row r="125" spans="1:16" ht="31.5" x14ac:dyDescent="0.25">
      <c r="A125" s="230"/>
      <c r="B125" s="877" t="s">
        <v>1381</v>
      </c>
      <c r="C125" s="231">
        <v>3</v>
      </c>
      <c r="D125" s="232"/>
      <c r="E125" s="232">
        <v>-3</v>
      </c>
      <c r="F125" s="232"/>
      <c r="G125" s="248"/>
      <c r="H125" s="224">
        <f t="shared" ref="H125:H126" si="50">SUM(C125:G125)</f>
        <v>0</v>
      </c>
      <c r="I125" s="231"/>
      <c r="J125" s="231"/>
      <c r="K125" s="233"/>
      <c r="L125" s="229">
        <f t="shared" ref="L125:L126" si="51">SUM(I125:K125)</f>
        <v>0</v>
      </c>
      <c r="M125" s="231"/>
      <c r="N125" s="233"/>
      <c r="O125" s="478"/>
      <c r="P125" s="224">
        <f t="shared" ref="P125:P126" si="52">O125+L125+H125</f>
        <v>0</v>
      </c>
    </row>
    <row r="126" spans="1:16" x14ac:dyDescent="0.25">
      <c r="A126" s="230"/>
      <c r="B126" s="877" t="s">
        <v>1336</v>
      </c>
      <c r="C126" s="231">
        <v>453</v>
      </c>
      <c r="D126" s="232">
        <v>187</v>
      </c>
      <c r="E126" s="232">
        <v>-640</v>
      </c>
      <c r="F126" s="232"/>
      <c r="G126" s="248"/>
      <c r="H126" s="224">
        <f t="shared" si="50"/>
        <v>0</v>
      </c>
      <c r="I126" s="231"/>
      <c r="J126" s="231"/>
      <c r="K126" s="233"/>
      <c r="L126" s="229">
        <f t="shared" si="51"/>
        <v>0</v>
      </c>
      <c r="M126" s="231"/>
      <c r="N126" s="233"/>
      <c r="O126" s="478"/>
      <c r="P126" s="224">
        <f t="shared" si="52"/>
        <v>0</v>
      </c>
    </row>
    <row r="127" spans="1:16" x14ac:dyDescent="0.25">
      <c r="A127" s="230"/>
      <c r="B127" s="877"/>
      <c r="C127" s="231"/>
      <c r="D127" s="232"/>
      <c r="E127" s="232"/>
      <c r="F127" s="232"/>
      <c r="G127" s="248"/>
      <c r="H127" s="224"/>
      <c r="I127" s="231"/>
      <c r="J127" s="231"/>
      <c r="K127" s="233"/>
      <c r="L127" s="229"/>
      <c r="M127" s="231"/>
      <c r="N127" s="233"/>
      <c r="O127" s="478"/>
      <c r="P127" s="224"/>
    </row>
    <row r="128" spans="1:16" x14ac:dyDescent="0.25">
      <c r="A128" s="234"/>
      <c r="B128" s="887" t="s">
        <v>508</v>
      </c>
      <c r="C128" s="231"/>
      <c r="D128" s="232"/>
      <c r="E128" s="232"/>
      <c r="F128" s="232"/>
      <c r="G128" s="482"/>
      <c r="H128" s="224"/>
      <c r="I128" s="231"/>
      <c r="J128" s="231"/>
      <c r="K128" s="233"/>
      <c r="L128" s="229"/>
      <c r="M128" s="231"/>
      <c r="N128" s="233"/>
      <c r="O128" s="478"/>
      <c r="P128" s="224"/>
    </row>
    <row r="129" spans="1:16" ht="31.5" x14ac:dyDescent="0.25">
      <c r="A129" s="234"/>
      <c r="B129" s="888" t="s">
        <v>1182</v>
      </c>
      <c r="C129" s="231"/>
      <c r="D129" s="232"/>
      <c r="E129" s="232"/>
      <c r="F129" s="232"/>
      <c r="G129" s="482"/>
      <c r="H129" s="224"/>
      <c r="I129" s="231"/>
      <c r="J129" s="231"/>
      <c r="K129" s="233"/>
      <c r="L129" s="229"/>
      <c r="M129" s="231"/>
      <c r="N129" s="233"/>
      <c r="O129" s="478"/>
      <c r="P129" s="224"/>
    </row>
    <row r="130" spans="1:16" ht="47.25" x14ac:dyDescent="0.25">
      <c r="A130" s="234"/>
      <c r="B130" s="877" t="s">
        <v>1473</v>
      </c>
      <c r="C130" s="231"/>
      <c r="D130" s="232"/>
      <c r="E130" s="232"/>
      <c r="F130" s="232"/>
      <c r="G130" s="482"/>
      <c r="H130" s="229">
        <f t="shared" ref="H130:H131" si="53">SUM(C130:G130)</f>
        <v>0</v>
      </c>
      <c r="I130" s="231"/>
      <c r="J130" s="231"/>
      <c r="K130" s="233">
        <v>21611</v>
      </c>
      <c r="L130" s="229">
        <f t="shared" ref="L130:L131" si="54">SUM(I130:K130)</f>
        <v>21611</v>
      </c>
      <c r="M130" s="231"/>
      <c r="N130" s="233"/>
      <c r="O130" s="478"/>
      <c r="P130" s="229">
        <f t="shared" ref="P130:P131" si="55">O130+L130+H130</f>
        <v>21611</v>
      </c>
    </row>
    <row r="131" spans="1:16" ht="63" x14ac:dyDescent="0.25">
      <c r="A131" s="234"/>
      <c r="B131" s="877" t="s">
        <v>1474</v>
      </c>
      <c r="C131" s="231"/>
      <c r="D131" s="232"/>
      <c r="E131" s="232"/>
      <c r="F131" s="232"/>
      <c r="G131" s="482"/>
      <c r="H131" s="229">
        <f t="shared" si="53"/>
        <v>0</v>
      </c>
      <c r="I131" s="231"/>
      <c r="J131" s="231"/>
      <c r="K131" s="233">
        <v>7231</v>
      </c>
      <c r="L131" s="229">
        <f t="shared" si="54"/>
        <v>7231</v>
      </c>
      <c r="M131" s="231"/>
      <c r="N131" s="233"/>
      <c r="O131" s="478"/>
      <c r="P131" s="229">
        <f t="shared" si="55"/>
        <v>7231</v>
      </c>
    </row>
    <row r="132" spans="1:16" x14ac:dyDescent="0.25">
      <c r="A132" s="234"/>
      <c r="B132" s="877"/>
      <c r="C132" s="231"/>
      <c r="D132" s="232"/>
      <c r="E132" s="232"/>
      <c r="F132" s="232"/>
      <c r="G132" s="482"/>
      <c r="H132" s="229"/>
      <c r="I132" s="231"/>
      <c r="J132" s="231"/>
      <c r="K132" s="233"/>
      <c r="L132" s="229"/>
      <c r="M132" s="231"/>
      <c r="N132" s="233"/>
      <c r="O132" s="478"/>
      <c r="P132" s="229"/>
    </row>
    <row r="133" spans="1:16" x14ac:dyDescent="0.25">
      <c r="A133" s="234" t="s">
        <v>196</v>
      </c>
      <c r="B133" s="887" t="s">
        <v>666</v>
      </c>
      <c r="C133" s="231"/>
      <c r="D133" s="232"/>
      <c r="E133" s="232"/>
      <c r="F133" s="232"/>
      <c r="G133" s="482"/>
      <c r="H133" s="224"/>
      <c r="I133" s="231"/>
      <c r="J133" s="231"/>
      <c r="K133" s="233"/>
      <c r="L133" s="229"/>
      <c r="M133" s="231"/>
      <c r="N133" s="233"/>
      <c r="O133" s="478"/>
      <c r="P133" s="224"/>
    </row>
    <row r="134" spans="1:16" x14ac:dyDescent="0.25">
      <c r="A134" s="234"/>
      <c r="B134" s="887" t="s">
        <v>215</v>
      </c>
      <c r="C134" s="231"/>
      <c r="D134" s="232"/>
      <c r="E134" s="232"/>
      <c r="F134" s="232"/>
      <c r="G134" s="482"/>
      <c r="H134" s="224"/>
      <c r="I134" s="231"/>
      <c r="J134" s="231"/>
      <c r="K134" s="233"/>
      <c r="L134" s="229"/>
      <c r="M134" s="231"/>
      <c r="N134" s="233"/>
      <c r="O134" s="478"/>
      <c r="P134" s="224"/>
    </row>
    <row r="135" spans="1:16" x14ac:dyDescent="0.25">
      <c r="A135" s="234"/>
      <c r="B135" s="888" t="s">
        <v>1184</v>
      </c>
      <c r="C135" s="231"/>
      <c r="D135" s="232"/>
      <c r="E135" s="232"/>
      <c r="F135" s="232"/>
      <c r="G135" s="482">
        <v>3481</v>
      </c>
      <c r="H135" s="224">
        <f t="shared" ref="H135" si="56">SUM(C135:G135)</f>
        <v>3481</v>
      </c>
      <c r="I135" s="231"/>
      <c r="J135" s="231"/>
      <c r="K135" s="233"/>
      <c r="L135" s="229">
        <f t="shared" ref="L135" si="57">SUM(I135:K135)</f>
        <v>0</v>
      </c>
      <c r="M135" s="231"/>
      <c r="N135" s="233"/>
      <c r="O135" s="478"/>
      <c r="P135" s="224">
        <f t="shared" ref="P135" si="58">O135+L135+H135</f>
        <v>3481</v>
      </c>
    </row>
    <row r="136" spans="1:16" x14ac:dyDescent="0.25">
      <c r="A136" s="234"/>
      <c r="B136" s="887"/>
      <c r="C136" s="231"/>
      <c r="D136" s="232"/>
      <c r="E136" s="232"/>
      <c r="F136" s="232"/>
      <c r="G136" s="482"/>
      <c r="H136" s="224"/>
      <c r="I136" s="231"/>
      <c r="J136" s="231"/>
      <c r="K136" s="233"/>
      <c r="L136" s="229"/>
      <c r="M136" s="231"/>
      <c r="N136" s="233"/>
      <c r="O136" s="478"/>
      <c r="P136" s="224"/>
    </row>
    <row r="137" spans="1:16" x14ac:dyDescent="0.25">
      <c r="A137" s="234"/>
      <c r="B137" s="888" t="s">
        <v>1444</v>
      </c>
      <c r="C137" s="231"/>
      <c r="D137" s="232"/>
      <c r="E137" s="232">
        <v>63</v>
      </c>
      <c r="F137" s="232"/>
      <c r="G137" s="482">
        <v>-63</v>
      </c>
      <c r="H137" s="224">
        <f t="shared" ref="H137" si="59">SUM(C137:G137)</f>
        <v>0</v>
      </c>
      <c r="I137" s="231"/>
      <c r="J137" s="231"/>
      <c r="K137" s="233"/>
      <c r="L137" s="229">
        <f t="shared" ref="L137" si="60">SUM(I137:K137)</f>
        <v>0</v>
      </c>
      <c r="M137" s="231"/>
      <c r="N137" s="233"/>
      <c r="O137" s="478"/>
      <c r="P137" s="224">
        <f t="shared" ref="P137" si="61">O137+L137+H137</f>
        <v>0</v>
      </c>
    </row>
    <row r="138" spans="1:16" x14ac:dyDescent="0.25">
      <c r="A138" s="234"/>
      <c r="B138" s="887"/>
      <c r="C138" s="231"/>
      <c r="D138" s="232"/>
      <c r="E138" s="232"/>
      <c r="F138" s="232"/>
      <c r="G138" s="482"/>
      <c r="H138" s="224"/>
      <c r="I138" s="231"/>
      <c r="J138" s="231"/>
      <c r="K138" s="233"/>
      <c r="L138" s="229"/>
      <c r="M138" s="231"/>
      <c r="N138" s="233"/>
      <c r="O138" s="478"/>
      <c r="P138" s="224"/>
    </row>
    <row r="139" spans="1:16" ht="31.5" x14ac:dyDescent="0.25">
      <c r="A139" s="234"/>
      <c r="B139" s="888" t="s">
        <v>1259</v>
      </c>
      <c r="C139" s="231"/>
      <c r="D139" s="232"/>
      <c r="E139" s="232">
        <v>411</v>
      </c>
      <c r="F139" s="232"/>
      <c r="G139" s="482">
        <v>-411</v>
      </c>
      <c r="H139" s="224">
        <f t="shared" ref="H139" si="62">SUM(C139:G139)</f>
        <v>0</v>
      </c>
      <c r="I139" s="231"/>
      <c r="J139" s="231"/>
      <c r="K139" s="233"/>
      <c r="L139" s="229">
        <f t="shared" ref="L139" si="63">SUM(I139:K139)</f>
        <v>0</v>
      </c>
      <c r="M139" s="231"/>
      <c r="N139" s="233"/>
      <c r="O139" s="478"/>
      <c r="P139" s="224">
        <f t="shared" ref="P139" si="64">O139+L139+H139</f>
        <v>0</v>
      </c>
    </row>
    <row r="140" spans="1:16" x14ac:dyDescent="0.25">
      <c r="A140" s="234"/>
      <c r="B140" s="887"/>
      <c r="C140" s="231"/>
      <c r="D140" s="232"/>
      <c r="E140" s="232"/>
      <c r="F140" s="232"/>
      <c r="G140" s="482"/>
      <c r="H140" s="224"/>
      <c r="I140" s="231"/>
      <c r="J140" s="231"/>
      <c r="K140" s="233"/>
      <c r="L140" s="229"/>
      <c r="M140" s="231"/>
      <c r="N140" s="233"/>
      <c r="O140" s="478"/>
      <c r="P140" s="224"/>
    </row>
    <row r="141" spans="1:16" x14ac:dyDescent="0.25">
      <c r="A141" s="234"/>
      <c r="B141" s="887" t="s">
        <v>198</v>
      </c>
      <c r="C141" s="231"/>
      <c r="D141" s="232"/>
      <c r="E141" s="232"/>
      <c r="F141" s="232"/>
      <c r="G141" s="482"/>
      <c r="H141" s="224"/>
      <c r="I141" s="231"/>
      <c r="J141" s="231"/>
      <c r="K141" s="233"/>
      <c r="L141" s="229"/>
      <c r="M141" s="231"/>
      <c r="N141" s="233"/>
      <c r="O141" s="478"/>
      <c r="P141" s="224"/>
    </row>
    <row r="142" spans="1:16" x14ac:dyDescent="0.25">
      <c r="A142" s="234"/>
      <c r="B142" s="888" t="s">
        <v>1181</v>
      </c>
      <c r="C142" s="231"/>
      <c r="D142" s="232"/>
      <c r="E142" s="232"/>
      <c r="F142" s="232"/>
      <c r="G142" s="482"/>
      <c r="H142" s="224"/>
      <c r="I142" s="231"/>
      <c r="J142" s="231"/>
      <c r="K142" s="233"/>
      <c r="L142" s="229"/>
      <c r="M142" s="231"/>
      <c r="N142" s="233"/>
      <c r="O142" s="478"/>
      <c r="P142" s="224"/>
    </row>
    <row r="143" spans="1:16" ht="31.5" x14ac:dyDescent="0.25">
      <c r="A143" s="234"/>
      <c r="B143" s="877" t="s">
        <v>1475</v>
      </c>
      <c r="C143" s="231"/>
      <c r="D143" s="232"/>
      <c r="E143" s="232"/>
      <c r="F143" s="232"/>
      <c r="G143" s="482">
        <v>-500</v>
      </c>
      <c r="H143" s="229">
        <f t="shared" ref="H143" si="65">SUM(C143:G143)</f>
        <v>-500</v>
      </c>
      <c r="I143" s="231"/>
      <c r="J143" s="231"/>
      <c r="K143" s="233"/>
      <c r="L143" s="229">
        <f t="shared" ref="L143" si="66">SUM(I143:K143)</f>
        <v>0</v>
      </c>
      <c r="M143" s="231"/>
      <c r="N143" s="233"/>
      <c r="O143" s="478"/>
      <c r="P143" s="229">
        <f t="shared" ref="P143" si="67">O143+L143+H143</f>
        <v>-500</v>
      </c>
    </row>
    <row r="144" spans="1:16" x14ac:dyDescent="0.25">
      <c r="A144" s="234"/>
      <c r="B144" s="877"/>
      <c r="C144" s="231"/>
      <c r="D144" s="232"/>
      <c r="E144" s="232"/>
      <c r="F144" s="232"/>
      <c r="G144" s="482"/>
      <c r="H144" s="224"/>
      <c r="I144" s="231"/>
      <c r="J144" s="231"/>
      <c r="K144" s="233"/>
      <c r="L144" s="229"/>
      <c r="M144" s="231"/>
      <c r="N144" s="233"/>
      <c r="O144" s="478"/>
      <c r="P144" s="224"/>
    </row>
    <row r="145" spans="1:16" x14ac:dyDescent="0.25">
      <c r="A145" s="234"/>
      <c r="B145" s="887" t="s">
        <v>199</v>
      </c>
      <c r="C145" s="231"/>
      <c r="D145" s="232"/>
      <c r="E145" s="232"/>
      <c r="F145" s="232"/>
      <c r="G145" s="482"/>
      <c r="H145" s="224"/>
      <c r="I145" s="231"/>
      <c r="J145" s="231"/>
      <c r="K145" s="233"/>
      <c r="L145" s="229"/>
      <c r="M145" s="231"/>
      <c r="N145" s="233"/>
      <c r="O145" s="478"/>
      <c r="P145" s="224"/>
    </row>
    <row r="146" spans="1:16" x14ac:dyDescent="0.25">
      <c r="A146" s="234"/>
      <c r="B146" s="888" t="s">
        <v>1181</v>
      </c>
      <c r="C146" s="231"/>
      <c r="D146" s="232"/>
      <c r="E146" s="232"/>
      <c r="F146" s="232"/>
      <c r="G146" s="482"/>
      <c r="H146" s="224"/>
      <c r="I146" s="231"/>
      <c r="J146" s="231"/>
      <c r="K146" s="233"/>
      <c r="L146" s="229"/>
      <c r="M146" s="231"/>
      <c r="N146" s="233"/>
      <c r="O146" s="478"/>
      <c r="P146" s="224"/>
    </row>
    <row r="147" spans="1:16" ht="78.75" x14ac:dyDescent="0.25">
      <c r="A147" s="234"/>
      <c r="B147" s="877" t="s">
        <v>1476</v>
      </c>
      <c r="C147" s="231"/>
      <c r="D147" s="232"/>
      <c r="E147" s="232"/>
      <c r="F147" s="232"/>
      <c r="G147" s="482">
        <v>-200</v>
      </c>
      <c r="H147" s="224">
        <f t="shared" ref="H147" si="68">SUM(C147:G147)</f>
        <v>-200</v>
      </c>
      <c r="I147" s="231"/>
      <c r="J147" s="231"/>
      <c r="K147" s="233"/>
      <c r="L147" s="229">
        <f t="shared" ref="L147" si="69">SUM(I147:K147)</f>
        <v>0</v>
      </c>
      <c r="M147" s="231"/>
      <c r="N147" s="233"/>
      <c r="O147" s="478"/>
      <c r="P147" s="224">
        <f t="shared" ref="P147" si="70">O147+L147+H147</f>
        <v>-200</v>
      </c>
    </row>
    <row r="148" spans="1:16" x14ac:dyDescent="0.25">
      <c r="A148" s="234"/>
      <c r="B148" s="877"/>
      <c r="C148" s="231"/>
      <c r="D148" s="232"/>
      <c r="E148" s="232"/>
      <c r="F148" s="232"/>
      <c r="G148" s="482"/>
      <c r="H148" s="224"/>
      <c r="I148" s="231"/>
      <c r="J148" s="231"/>
      <c r="K148" s="233"/>
      <c r="L148" s="229"/>
      <c r="M148" s="231"/>
      <c r="N148" s="233"/>
      <c r="O148" s="478"/>
      <c r="P148" s="224"/>
    </row>
    <row r="149" spans="1:16" ht="31.5" x14ac:dyDescent="0.25">
      <c r="A149" s="234"/>
      <c r="B149" s="888" t="s">
        <v>1259</v>
      </c>
      <c r="C149" s="231">
        <v>197</v>
      </c>
      <c r="D149" s="232">
        <v>53</v>
      </c>
      <c r="E149" s="232"/>
      <c r="F149" s="232"/>
      <c r="G149" s="482">
        <v>-446</v>
      </c>
      <c r="H149" s="224">
        <f t="shared" ref="H149" si="71">SUM(C149:G149)</f>
        <v>-196</v>
      </c>
      <c r="I149" s="231"/>
      <c r="J149" s="231"/>
      <c r="K149" s="233">
        <v>196</v>
      </c>
      <c r="L149" s="229">
        <f t="shared" ref="L149" si="72">SUM(I149:K149)</f>
        <v>196</v>
      </c>
      <c r="M149" s="231"/>
      <c r="N149" s="233"/>
      <c r="O149" s="478"/>
      <c r="P149" s="224">
        <f t="shared" ref="P149" si="73">O149+L149+H149</f>
        <v>0</v>
      </c>
    </row>
    <row r="150" spans="1:16" x14ac:dyDescent="0.25">
      <c r="A150" s="234"/>
      <c r="B150" s="877"/>
      <c r="C150" s="231"/>
      <c r="D150" s="232"/>
      <c r="E150" s="232"/>
      <c r="F150" s="232"/>
      <c r="G150" s="482"/>
      <c r="H150" s="224"/>
      <c r="I150" s="231"/>
      <c r="J150" s="231"/>
      <c r="K150" s="233"/>
      <c r="L150" s="229"/>
      <c r="M150" s="231"/>
      <c r="N150" s="233"/>
      <c r="O150" s="478"/>
      <c r="P150" s="224"/>
    </row>
    <row r="151" spans="1:16" x14ac:dyDescent="0.25">
      <c r="A151" s="234"/>
      <c r="B151" s="887" t="s">
        <v>166</v>
      </c>
      <c r="C151" s="231"/>
      <c r="D151" s="232"/>
      <c r="E151" s="232"/>
      <c r="F151" s="232"/>
      <c r="G151" s="482"/>
      <c r="H151" s="224"/>
      <c r="I151" s="231"/>
      <c r="J151" s="231"/>
      <c r="K151" s="233"/>
      <c r="L151" s="229"/>
      <c r="M151" s="231"/>
      <c r="N151" s="233"/>
      <c r="O151" s="478"/>
      <c r="P151" s="224"/>
    </row>
    <row r="152" spans="1:16" ht="31.5" x14ac:dyDescent="0.25">
      <c r="A152" s="234"/>
      <c r="B152" s="888" t="s">
        <v>1259</v>
      </c>
      <c r="C152" s="231"/>
      <c r="D152" s="232"/>
      <c r="E152" s="232"/>
      <c r="F152" s="232"/>
      <c r="G152" s="482">
        <v>-209</v>
      </c>
      <c r="H152" s="224">
        <f t="shared" ref="H152" si="74">SUM(C152:G152)</f>
        <v>-209</v>
      </c>
      <c r="I152" s="231"/>
      <c r="J152" s="231"/>
      <c r="K152" s="233">
        <v>209</v>
      </c>
      <c r="L152" s="229">
        <f t="shared" ref="L152" si="75">SUM(I152:K152)</f>
        <v>209</v>
      </c>
      <c r="M152" s="231"/>
      <c r="N152" s="233"/>
      <c r="O152" s="478"/>
      <c r="P152" s="224">
        <f t="shared" ref="P152" si="76">O152+L152+H152</f>
        <v>0</v>
      </c>
    </row>
    <row r="153" spans="1:16" ht="16.5" thickBot="1" x14ac:dyDescent="0.3">
      <c r="A153" s="234"/>
      <c r="B153" s="877"/>
      <c r="C153" s="231"/>
      <c r="D153" s="232"/>
      <c r="E153" s="232"/>
      <c r="F153" s="232"/>
      <c r="G153" s="482"/>
      <c r="H153" s="224"/>
      <c r="I153" s="231"/>
      <c r="J153" s="231"/>
      <c r="K153" s="233"/>
      <c r="L153" s="229"/>
      <c r="M153" s="231"/>
      <c r="N153" s="233"/>
      <c r="O153" s="478"/>
      <c r="P153" s="224"/>
    </row>
    <row r="154" spans="1:16" ht="16.5" thickBot="1" x14ac:dyDescent="0.3">
      <c r="A154" s="250" t="s">
        <v>111</v>
      </c>
      <c r="B154" s="251" t="s">
        <v>112</v>
      </c>
      <c r="C154" s="252">
        <f t="shared" ref="C154:P154" si="77">SUM(C13:C153)</f>
        <v>250672</v>
      </c>
      <c r="D154" s="252">
        <f t="shared" si="77"/>
        <v>85946</v>
      </c>
      <c r="E154" s="252">
        <f t="shared" si="77"/>
        <v>3520293</v>
      </c>
      <c r="F154" s="252">
        <f t="shared" si="77"/>
        <v>67681</v>
      </c>
      <c r="G154" s="252">
        <f t="shared" si="77"/>
        <v>7312072</v>
      </c>
      <c r="H154" s="252">
        <f t="shared" si="77"/>
        <v>11236664</v>
      </c>
      <c r="I154" s="252">
        <f t="shared" si="77"/>
        <v>14093436</v>
      </c>
      <c r="J154" s="252">
        <f t="shared" si="77"/>
        <v>1865279</v>
      </c>
      <c r="K154" s="252">
        <f t="shared" si="77"/>
        <v>495543</v>
      </c>
      <c r="L154" s="252">
        <f t="shared" si="77"/>
        <v>16454258</v>
      </c>
      <c r="M154" s="252">
        <f t="shared" si="77"/>
        <v>65767</v>
      </c>
      <c r="N154" s="252">
        <f t="shared" si="77"/>
        <v>4985855</v>
      </c>
      <c r="O154" s="252">
        <f t="shared" si="77"/>
        <v>5051622</v>
      </c>
      <c r="P154" s="252">
        <f t="shared" si="77"/>
        <v>32742544</v>
      </c>
    </row>
    <row r="155" spans="1:16" x14ac:dyDescent="0.25">
      <c r="A155" s="253"/>
      <c r="B155" s="254" t="s">
        <v>173</v>
      </c>
      <c r="C155" s="226"/>
      <c r="D155" s="227"/>
      <c r="E155" s="227"/>
      <c r="F155" s="228"/>
      <c r="G155" s="228"/>
      <c r="H155" s="224"/>
      <c r="I155" s="226"/>
      <c r="J155" s="226"/>
      <c r="K155" s="228"/>
      <c r="L155" s="224"/>
      <c r="M155" s="221"/>
      <c r="N155" s="228"/>
      <c r="O155" s="477"/>
      <c r="P155" s="224"/>
    </row>
    <row r="156" spans="1:16" s="886" customFormat="1" x14ac:dyDescent="0.25">
      <c r="A156" s="881"/>
      <c r="B156" s="1062" t="s">
        <v>1184</v>
      </c>
      <c r="C156" s="882"/>
      <c r="D156" s="883"/>
      <c r="E156" s="883"/>
      <c r="F156" s="884"/>
      <c r="G156" s="884"/>
      <c r="H156" s="885"/>
      <c r="I156" s="882"/>
      <c r="J156" s="882"/>
      <c r="K156" s="884"/>
      <c r="L156" s="885"/>
      <c r="M156" s="882">
        <v>11507</v>
      </c>
      <c r="N156" s="884"/>
      <c r="O156" s="885">
        <f t="shared" ref="O156" si="78">SUM(M156:N156)</f>
        <v>11507</v>
      </c>
      <c r="P156" s="885">
        <f>SUM(O156+L156+H156)</f>
        <v>11507</v>
      </c>
    </row>
    <row r="157" spans="1:16" s="886" customFormat="1" x14ac:dyDescent="0.25">
      <c r="A157" s="881"/>
      <c r="B157" s="888" t="s">
        <v>1183</v>
      </c>
      <c r="C157" s="882"/>
      <c r="D157" s="883"/>
      <c r="E157" s="883"/>
      <c r="F157" s="884"/>
      <c r="G157" s="884"/>
      <c r="H157" s="885"/>
      <c r="I157" s="882"/>
      <c r="J157" s="882"/>
      <c r="K157" s="884"/>
      <c r="L157" s="885"/>
      <c r="M157" s="882"/>
      <c r="N157" s="884"/>
      <c r="O157" s="885"/>
      <c r="P157" s="885"/>
    </row>
    <row r="158" spans="1:16" s="886" customFormat="1" ht="47.25" x14ac:dyDescent="0.25">
      <c r="A158" s="881"/>
      <c r="B158" s="1112" t="s">
        <v>1473</v>
      </c>
      <c r="C158" s="882"/>
      <c r="D158" s="883"/>
      <c r="E158" s="883"/>
      <c r="F158" s="884"/>
      <c r="G158" s="884"/>
      <c r="H158" s="885"/>
      <c r="I158" s="882"/>
      <c r="J158" s="882"/>
      <c r="K158" s="884"/>
      <c r="L158" s="885"/>
      <c r="M158" s="882">
        <v>-21611</v>
      </c>
      <c r="N158" s="884"/>
      <c r="O158" s="885">
        <f t="shared" ref="O158" si="79">SUM(M158:N158)</f>
        <v>-21611</v>
      </c>
      <c r="P158" s="885">
        <f>SUM(O158)</f>
        <v>-21611</v>
      </c>
    </row>
    <row r="159" spans="1:16" s="886" customFormat="1" ht="63" x14ac:dyDescent="0.25">
      <c r="A159" s="881"/>
      <c r="B159" s="889" t="s">
        <v>1474</v>
      </c>
      <c r="C159" s="882"/>
      <c r="D159" s="883"/>
      <c r="E159" s="883"/>
      <c r="F159" s="884"/>
      <c r="G159" s="884"/>
      <c r="H159" s="885"/>
      <c r="I159" s="882"/>
      <c r="J159" s="882"/>
      <c r="K159" s="884"/>
      <c r="L159" s="885"/>
      <c r="M159" s="882">
        <v>-7231</v>
      </c>
      <c r="N159" s="884"/>
      <c r="O159" s="885">
        <f t="shared" ref="O159" si="80">SUM(M159:N159)</f>
        <v>-7231</v>
      </c>
      <c r="P159" s="885">
        <f>SUM(O159)</f>
        <v>-7231</v>
      </c>
    </row>
    <row r="160" spans="1:16" s="886" customFormat="1" x14ac:dyDescent="0.25">
      <c r="A160" s="890"/>
      <c r="B160" s="888"/>
      <c r="C160" s="873"/>
      <c r="D160" s="249"/>
      <c r="E160" s="249"/>
      <c r="F160" s="874"/>
      <c r="G160" s="874"/>
      <c r="H160" s="875"/>
      <c r="I160" s="873"/>
      <c r="J160" s="873"/>
      <c r="K160" s="874"/>
      <c r="L160" s="875"/>
      <c r="M160" s="873"/>
      <c r="N160" s="874"/>
      <c r="O160" s="875"/>
      <c r="P160" s="875"/>
    </row>
    <row r="161" spans="1:16" x14ac:dyDescent="0.25">
      <c r="A161" s="230"/>
      <c r="B161" s="223" t="s">
        <v>113</v>
      </c>
      <c r="C161" s="231"/>
      <c r="D161" s="232"/>
      <c r="E161" s="232"/>
      <c r="F161" s="233"/>
      <c r="G161" s="233"/>
      <c r="H161" s="229"/>
      <c r="I161" s="231"/>
      <c r="J161" s="231"/>
      <c r="K161" s="233"/>
      <c r="L161" s="229"/>
      <c r="M161" s="231"/>
      <c r="N161" s="236"/>
      <c r="O161" s="229"/>
      <c r="P161" s="229"/>
    </row>
    <row r="162" spans="1:16" x14ac:dyDescent="0.25">
      <c r="A162" s="230"/>
      <c r="B162" s="891" t="s">
        <v>1184</v>
      </c>
      <c r="C162" s="231"/>
      <c r="D162" s="232"/>
      <c r="E162" s="232"/>
      <c r="F162" s="233"/>
      <c r="G162" s="233"/>
      <c r="H162" s="229"/>
      <c r="I162" s="231"/>
      <c r="J162" s="231"/>
      <c r="K162" s="233"/>
      <c r="L162" s="229"/>
      <c r="M162" s="231"/>
      <c r="N162" s="236"/>
      <c r="O162" s="229"/>
      <c r="P162" s="224"/>
    </row>
    <row r="163" spans="1:16" ht="35.25" customHeight="1" x14ac:dyDescent="0.25">
      <c r="A163" s="230"/>
      <c r="B163" s="892" t="s">
        <v>1185</v>
      </c>
      <c r="C163" s="231"/>
      <c r="D163" s="232"/>
      <c r="E163" s="232"/>
      <c r="F163" s="233"/>
      <c r="G163" s="233"/>
      <c r="H163" s="229"/>
      <c r="I163" s="231"/>
      <c r="J163" s="231"/>
      <c r="K163" s="233"/>
      <c r="L163" s="229"/>
      <c r="M163" s="231"/>
      <c r="N163" s="874">
        <v>3441</v>
      </c>
      <c r="O163" s="478">
        <f t="shared" ref="O163:O168" si="81">SUM(M163:N163)</f>
        <v>3441</v>
      </c>
      <c r="P163" s="229">
        <f t="shared" ref="P163:P168" si="82">SUM(O163)</f>
        <v>3441</v>
      </c>
    </row>
    <row r="164" spans="1:16" ht="36.75" customHeight="1" x14ac:dyDescent="0.25">
      <c r="A164" s="230"/>
      <c r="B164" s="892" t="s">
        <v>1235</v>
      </c>
      <c r="C164" s="231"/>
      <c r="D164" s="232"/>
      <c r="E164" s="232"/>
      <c r="F164" s="233"/>
      <c r="G164" s="233"/>
      <c r="H164" s="229"/>
      <c r="I164" s="231"/>
      <c r="J164" s="231"/>
      <c r="K164" s="233"/>
      <c r="L164" s="229"/>
      <c r="M164" s="231"/>
      <c r="N164" s="879">
        <v>7694</v>
      </c>
      <c r="O164" s="478">
        <f t="shared" si="81"/>
        <v>7694</v>
      </c>
      <c r="P164" s="224">
        <f t="shared" si="82"/>
        <v>7694</v>
      </c>
    </row>
    <row r="165" spans="1:16" ht="36.75" customHeight="1" x14ac:dyDescent="0.25">
      <c r="A165" s="230"/>
      <c r="B165" s="892" t="s">
        <v>1477</v>
      </c>
      <c r="C165" s="231"/>
      <c r="D165" s="232"/>
      <c r="E165" s="232"/>
      <c r="F165" s="233"/>
      <c r="G165" s="233"/>
      <c r="H165" s="229"/>
      <c r="I165" s="231"/>
      <c r="J165" s="231"/>
      <c r="K165" s="233"/>
      <c r="L165" s="229"/>
      <c r="M165" s="231"/>
      <c r="N165" s="879">
        <v>100</v>
      </c>
      <c r="O165" s="478">
        <f t="shared" si="81"/>
        <v>100</v>
      </c>
      <c r="P165" s="224">
        <f t="shared" si="82"/>
        <v>100</v>
      </c>
    </row>
    <row r="166" spans="1:16" ht="48.75" customHeight="1" x14ac:dyDescent="0.25">
      <c r="A166" s="230"/>
      <c r="B166" s="892" t="s">
        <v>1478</v>
      </c>
      <c r="C166" s="231"/>
      <c r="D166" s="232"/>
      <c r="E166" s="232"/>
      <c r="F166" s="233"/>
      <c r="G166" s="233"/>
      <c r="H166" s="229"/>
      <c r="I166" s="231"/>
      <c r="J166" s="231"/>
      <c r="K166" s="233"/>
      <c r="L166" s="229"/>
      <c r="M166" s="231"/>
      <c r="N166" s="879">
        <v>9052</v>
      </c>
      <c r="O166" s="478">
        <f t="shared" si="81"/>
        <v>9052</v>
      </c>
      <c r="P166" s="224">
        <f t="shared" si="82"/>
        <v>9052</v>
      </c>
    </row>
    <row r="167" spans="1:16" ht="79.5" customHeight="1" x14ac:dyDescent="0.25">
      <c r="A167" s="230"/>
      <c r="B167" s="892" t="s">
        <v>1479</v>
      </c>
      <c r="C167" s="231"/>
      <c r="D167" s="232"/>
      <c r="E167" s="232"/>
      <c r="F167" s="233"/>
      <c r="G167" s="233"/>
      <c r="H167" s="229"/>
      <c r="I167" s="231"/>
      <c r="J167" s="231"/>
      <c r="K167" s="233"/>
      <c r="L167" s="229"/>
      <c r="M167" s="231"/>
      <c r="N167" s="879">
        <v>18080</v>
      </c>
      <c r="O167" s="478">
        <f t="shared" si="81"/>
        <v>18080</v>
      </c>
      <c r="P167" s="224">
        <f t="shared" si="82"/>
        <v>18080</v>
      </c>
    </row>
    <row r="168" spans="1:16" ht="51.75" customHeight="1" x14ac:dyDescent="0.25">
      <c r="A168" s="230"/>
      <c r="B168" s="892" t="s">
        <v>1480</v>
      </c>
      <c r="C168" s="231"/>
      <c r="D168" s="232"/>
      <c r="E168" s="232"/>
      <c r="F168" s="233"/>
      <c r="G168" s="233"/>
      <c r="H168" s="229"/>
      <c r="I168" s="231"/>
      <c r="J168" s="231"/>
      <c r="K168" s="233"/>
      <c r="L168" s="229"/>
      <c r="M168" s="231"/>
      <c r="N168" s="879">
        <v>2933356</v>
      </c>
      <c r="O168" s="478">
        <f t="shared" si="81"/>
        <v>2933356</v>
      </c>
      <c r="P168" s="224">
        <f t="shared" si="82"/>
        <v>2933356</v>
      </c>
    </row>
    <row r="169" spans="1:16" x14ac:dyDescent="0.25">
      <c r="A169" s="230"/>
      <c r="B169" s="891" t="s">
        <v>1481</v>
      </c>
      <c r="C169" s="231"/>
      <c r="D169" s="232"/>
      <c r="E169" s="232"/>
      <c r="F169" s="233"/>
      <c r="G169" s="233"/>
      <c r="H169" s="229"/>
      <c r="I169" s="231"/>
      <c r="J169" s="231"/>
      <c r="K169" s="233"/>
      <c r="L169" s="229"/>
      <c r="M169" s="231"/>
      <c r="N169" s="879"/>
      <c r="O169" s="478"/>
      <c r="P169" s="224"/>
    </row>
    <row r="170" spans="1:16" ht="48.75" customHeight="1" x14ac:dyDescent="0.25">
      <c r="A170" s="230"/>
      <c r="B170" s="892" t="s">
        <v>1482</v>
      </c>
      <c r="C170" s="231"/>
      <c r="D170" s="232"/>
      <c r="E170" s="232"/>
      <c r="F170" s="233"/>
      <c r="G170" s="233"/>
      <c r="H170" s="229"/>
      <c r="I170" s="231"/>
      <c r="J170" s="231"/>
      <c r="K170" s="233"/>
      <c r="L170" s="229"/>
      <c r="M170" s="231"/>
      <c r="N170" s="879">
        <v>-6250</v>
      </c>
      <c r="O170" s="478">
        <f t="shared" ref="O170" si="83">SUM(M170:N170)</f>
        <v>-6250</v>
      </c>
      <c r="P170" s="224">
        <f t="shared" ref="P170" si="84">SUM(O170)</f>
        <v>-6250</v>
      </c>
    </row>
    <row r="171" spans="1:16" x14ac:dyDescent="0.25">
      <c r="A171" s="230"/>
      <c r="B171" s="888" t="s">
        <v>1183</v>
      </c>
      <c r="C171" s="231"/>
      <c r="D171" s="232"/>
      <c r="E171" s="232"/>
      <c r="F171" s="233"/>
      <c r="G171" s="233"/>
      <c r="H171" s="229"/>
      <c r="I171" s="231"/>
      <c r="J171" s="231"/>
      <c r="K171" s="233"/>
      <c r="L171" s="229"/>
      <c r="M171" s="231"/>
      <c r="N171" s="244"/>
      <c r="O171" s="478"/>
      <c r="P171" s="224"/>
    </row>
    <row r="172" spans="1:16" s="886" customFormat="1" ht="55.5" customHeight="1" x14ac:dyDescent="0.25">
      <c r="A172" s="890"/>
      <c r="B172" s="239" t="s">
        <v>1483</v>
      </c>
      <c r="C172" s="873"/>
      <c r="D172" s="249"/>
      <c r="E172" s="249"/>
      <c r="F172" s="874"/>
      <c r="G172" s="874"/>
      <c r="H172" s="875"/>
      <c r="I172" s="873"/>
      <c r="J172" s="873"/>
      <c r="K172" s="874"/>
      <c r="L172" s="875"/>
      <c r="M172" s="873"/>
      <c r="N172" s="874">
        <v>-35155</v>
      </c>
      <c r="O172" s="875">
        <f>SUM(M172:N172)</f>
        <v>-35155</v>
      </c>
      <c r="P172" s="875">
        <f>SUM(O172+L172+H172)</f>
        <v>-35155</v>
      </c>
    </row>
    <row r="173" spans="1:16" s="886" customFormat="1" ht="68.25" customHeight="1" x14ac:dyDescent="0.25">
      <c r="A173" s="881"/>
      <c r="B173" s="665" t="s">
        <v>1484</v>
      </c>
      <c r="C173" s="882"/>
      <c r="D173" s="883"/>
      <c r="E173" s="883"/>
      <c r="F173" s="884"/>
      <c r="G173" s="884"/>
      <c r="H173" s="885"/>
      <c r="I173" s="882"/>
      <c r="J173" s="882"/>
      <c r="K173" s="884"/>
      <c r="L173" s="885"/>
      <c r="M173" s="882"/>
      <c r="N173" s="884">
        <v>-100090</v>
      </c>
      <c r="O173" s="885">
        <f>SUM(M173:N173)</f>
        <v>-100090</v>
      </c>
      <c r="P173" s="885">
        <f>SUM(O173+L173+H173)</f>
        <v>-100090</v>
      </c>
    </row>
    <row r="174" spans="1:16" s="886" customFormat="1" ht="97.5" customHeight="1" x14ac:dyDescent="0.25">
      <c r="A174" s="890"/>
      <c r="B174" s="1111" t="s">
        <v>1485</v>
      </c>
      <c r="C174" s="890"/>
      <c r="D174" s="249"/>
      <c r="E174" s="249"/>
      <c r="F174" s="874"/>
      <c r="G174" s="874"/>
      <c r="H174" s="875"/>
      <c r="I174" s="873"/>
      <c r="J174" s="873"/>
      <c r="K174" s="874"/>
      <c r="L174" s="875"/>
      <c r="M174" s="873"/>
      <c r="N174" s="1061">
        <v>-299002</v>
      </c>
      <c r="O174" s="885">
        <f>SUM(M174:N174)</f>
        <v>-299002</v>
      </c>
      <c r="P174" s="885">
        <f t="shared" ref="P174:P176" si="85">SUM(O174+L174+H174)</f>
        <v>-299002</v>
      </c>
    </row>
    <row r="175" spans="1:16" s="886" customFormat="1" ht="72.75" customHeight="1" x14ac:dyDescent="0.25">
      <c r="A175" s="890"/>
      <c r="B175" s="1111" t="s">
        <v>1486</v>
      </c>
      <c r="C175" s="890"/>
      <c r="D175" s="249"/>
      <c r="E175" s="249"/>
      <c r="F175" s="874"/>
      <c r="G175" s="874"/>
      <c r="H175" s="875"/>
      <c r="I175" s="873"/>
      <c r="J175" s="873"/>
      <c r="K175" s="874"/>
      <c r="L175" s="875"/>
      <c r="M175" s="873"/>
      <c r="N175" s="1061">
        <v>-3543</v>
      </c>
      <c r="O175" s="875">
        <f>SUM(M175:N175)</f>
        <v>-3543</v>
      </c>
      <c r="P175" s="875">
        <f t="shared" si="85"/>
        <v>-3543</v>
      </c>
    </row>
    <row r="176" spans="1:16" s="886" customFormat="1" ht="31.5" x14ac:dyDescent="0.25">
      <c r="A176" s="890"/>
      <c r="B176" s="1111" t="s">
        <v>1487</v>
      </c>
      <c r="C176" s="873"/>
      <c r="D176" s="249"/>
      <c r="E176" s="249"/>
      <c r="F176" s="874"/>
      <c r="G176" s="874"/>
      <c r="H176" s="875"/>
      <c r="I176" s="873"/>
      <c r="J176" s="873"/>
      <c r="K176" s="874"/>
      <c r="L176" s="875"/>
      <c r="M176" s="873"/>
      <c r="N176" s="874">
        <v>-5843</v>
      </c>
      <c r="O176" s="875">
        <f>SUM(M176:N176)</f>
        <v>-5843</v>
      </c>
      <c r="P176" s="875">
        <f t="shared" si="85"/>
        <v>-5843</v>
      </c>
    </row>
    <row r="177" spans="1:16" x14ac:dyDescent="0.25">
      <c r="A177" s="894"/>
      <c r="B177" s="895" t="s">
        <v>1186</v>
      </c>
      <c r="C177" s="257"/>
      <c r="D177" s="258"/>
      <c r="E177" s="258"/>
      <c r="F177" s="259"/>
      <c r="G177" s="259"/>
      <c r="H177" s="260"/>
      <c r="I177" s="257"/>
      <c r="J177" s="257"/>
      <c r="K177" s="259"/>
      <c r="L177" s="260"/>
      <c r="M177" s="257"/>
      <c r="N177" s="259"/>
      <c r="O177" s="478"/>
      <c r="P177" s="224"/>
    </row>
    <row r="178" spans="1:16" ht="33.75" customHeight="1" x14ac:dyDescent="0.25">
      <c r="A178" s="894"/>
      <c r="B178" s="896" t="s">
        <v>1236</v>
      </c>
      <c r="C178" s="257"/>
      <c r="D178" s="258"/>
      <c r="E178" s="258"/>
      <c r="F178" s="259"/>
      <c r="G178" s="259"/>
      <c r="H178" s="260"/>
      <c r="I178" s="257"/>
      <c r="J178" s="257"/>
      <c r="K178" s="259"/>
      <c r="L178" s="260"/>
      <c r="M178" s="257"/>
      <c r="N178" s="259">
        <v>-3207</v>
      </c>
      <c r="O178" s="478">
        <f t="shared" ref="O178:O187" si="86">SUM(M178:N178)</f>
        <v>-3207</v>
      </c>
      <c r="P178" s="224">
        <f t="shared" ref="P178:P187" si="87">SUM(O178)</f>
        <v>-3207</v>
      </c>
    </row>
    <row r="179" spans="1:16" x14ac:dyDescent="0.25">
      <c r="A179" s="894"/>
      <c r="B179" s="896" t="s">
        <v>1237</v>
      </c>
      <c r="C179" s="257"/>
      <c r="D179" s="258"/>
      <c r="E179" s="258"/>
      <c r="F179" s="259"/>
      <c r="G179" s="259"/>
      <c r="H179" s="260"/>
      <c r="I179" s="257"/>
      <c r="J179" s="257"/>
      <c r="K179" s="259"/>
      <c r="L179" s="260"/>
      <c r="M179" s="257"/>
      <c r="N179" s="259">
        <v>-34514</v>
      </c>
      <c r="O179" s="478">
        <f t="shared" si="86"/>
        <v>-34514</v>
      </c>
      <c r="P179" s="224">
        <f t="shared" si="87"/>
        <v>-34514</v>
      </c>
    </row>
    <row r="180" spans="1:16" ht="39" customHeight="1" x14ac:dyDescent="0.25">
      <c r="A180" s="230"/>
      <c r="B180" s="893" t="s">
        <v>1238</v>
      </c>
      <c r="C180" s="231"/>
      <c r="D180" s="232"/>
      <c r="E180" s="232"/>
      <c r="F180" s="233"/>
      <c r="G180" s="233"/>
      <c r="H180" s="229"/>
      <c r="I180" s="231"/>
      <c r="J180" s="231"/>
      <c r="K180" s="233"/>
      <c r="L180" s="229"/>
      <c r="M180" s="231"/>
      <c r="N180" s="233">
        <v>-22286</v>
      </c>
      <c r="O180" s="478">
        <f t="shared" si="86"/>
        <v>-22286</v>
      </c>
      <c r="P180" s="229">
        <f t="shared" si="87"/>
        <v>-22286</v>
      </c>
    </row>
    <row r="181" spans="1:16" ht="39" customHeight="1" x14ac:dyDescent="0.25">
      <c r="A181" s="230"/>
      <c r="B181" s="893" t="s">
        <v>1488</v>
      </c>
      <c r="C181" s="231"/>
      <c r="D181" s="232"/>
      <c r="E181" s="232"/>
      <c r="F181" s="233"/>
      <c r="G181" s="233"/>
      <c r="H181" s="229"/>
      <c r="I181" s="231"/>
      <c r="J181" s="231"/>
      <c r="K181" s="233"/>
      <c r="L181" s="229"/>
      <c r="M181" s="231"/>
      <c r="N181" s="233">
        <v>-291</v>
      </c>
      <c r="O181" s="478">
        <f t="shared" si="86"/>
        <v>-291</v>
      </c>
      <c r="P181" s="229">
        <f t="shared" si="87"/>
        <v>-291</v>
      </c>
    </row>
    <row r="182" spans="1:16" ht="94.5" x14ac:dyDescent="0.25">
      <c r="A182" s="230"/>
      <c r="B182" s="991" t="s">
        <v>1489</v>
      </c>
      <c r="C182" s="231"/>
      <c r="D182" s="232"/>
      <c r="E182" s="232"/>
      <c r="F182" s="233"/>
      <c r="G182" s="233"/>
      <c r="H182" s="229"/>
      <c r="I182" s="231"/>
      <c r="J182" s="231"/>
      <c r="K182" s="233"/>
      <c r="L182" s="229"/>
      <c r="M182" s="231"/>
      <c r="N182" s="233">
        <v>-77217</v>
      </c>
      <c r="O182" s="478">
        <f t="shared" si="86"/>
        <v>-77217</v>
      </c>
      <c r="P182" s="229">
        <f t="shared" si="87"/>
        <v>-77217</v>
      </c>
    </row>
    <row r="183" spans="1:16" s="886" customFormat="1" ht="47.25" x14ac:dyDescent="0.25">
      <c r="A183" s="890"/>
      <c r="B183" s="240" t="s">
        <v>1478</v>
      </c>
      <c r="C183" s="873"/>
      <c r="D183" s="249"/>
      <c r="E183" s="249"/>
      <c r="F183" s="874"/>
      <c r="G183" s="874"/>
      <c r="H183" s="875"/>
      <c r="I183" s="873"/>
      <c r="J183" s="873"/>
      <c r="K183" s="874"/>
      <c r="L183" s="875"/>
      <c r="M183" s="873"/>
      <c r="N183" s="874">
        <v>-12092</v>
      </c>
      <c r="O183" s="875">
        <f t="shared" si="86"/>
        <v>-12092</v>
      </c>
      <c r="P183" s="875">
        <f t="shared" ref="P183" si="88">SUM(O183+L183+H183)</f>
        <v>-12092</v>
      </c>
    </row>
    <row r="184" spans="1:16" ht="35.25" customHeight="1" x14ac:dyDescent="0.25">
      <c r="A184" s="894"/>
      <c r="B184" s="896" t="s">
        <v>1235</v>
      </c>
      <c r="C184" s="257"/>
      <c r="D184" s="258"/>
      <c r="E184" s="258"/>
      <c r="F184" s="259"/>
      <c r="G184" s="259"/>
      <c r="H184" s="260"/>
      <c r="I184" s="257"/>
      <c r="J184" s="257"/>
      <c r="K184" s="259"/>
      <c r="L184" s="260"/>
      <c r="M184" s="257"/>
      <c r="N184" s="259">
        <v>-7694</v>
      </c>
      <c r="O184" s="478">
        <f t="shared" si="86"/>
        <v>-7694</v>
      </c>
      <c r="P184" s="224">
        <f t="shared" si="87"/>
        <v>-7694</v>
      </c>
    </row>
    <row r="185" spans="1:16" ht="36.75" customHeight="1" x14ac:dyDescent="0.25">
      <c r="A185" s="230"/>
      <c r="B185" s="893" t="s">
        <v>1185</v>
      </c>
      <c r="C185" s="231"/>
      <c r="D185" s="232"/>
      <c r="E185" s="232"/>
      <c r="F185" s="233"/>
      <c r="G185" s="233"/>
      <c r="H185" s="229"/>
      <c r="I185" s="231"/>
      <c r="J185" s="231"/>
      <c r="K185" s="233"/>
      <c r="L185" s="229"/>
      <c r="M185" s="231"/>
      <c r="N185" s="233">
        <v>-6610</v>
      </c>
      <c r="O185" s="478">
        <f t="shared" si="86"/>
        <v>-6610</v>
      </c>
      <c r="P185" s="229">
        <f t="shared" si="87"/>
        <v>-6610</v>
      </c>
    </row>
    <row r="186" spans="1:16" x14ac:dyDescent="0.25">
      <c r="A186" s="230"/>
      <c r="B186" s="1134" t="s">
        <v>1234</v>
      </c>
      <c r="C186" s="231"/>
      <c r="D186" s="232"/>
      <c r="E186" s="232"/>
      <c r="F186" s="233"/>
      <c r="G186" s="233"/>
      <c r="H186" s="229"/>
      <c r="I186" s="231"/>
      <c r="J186" s="231"/>
      <c r="K186" s="233"/>
      <c r="L186" s="229"/>
      <c r="M186" s="231"/>
      <c r="N186" s="233"/>
      <c r="O186" s="478"/>
      <c r="P186" s="229"/>
    </row>
    <row r="187" spans="1:16" ht="36.75" customHeight="1" x14ac:dyDescent="0.25">
      <c r="A187" s="894"/>
      <c r="B187" s="896" t="s">
        <v>1185</v>
      </c>
      <c r="C187" s="257"/>
      <c r="D187" s="258"/>
      <c r="E187" s="258"/>
      <c r="F187" s="259"/>
      <c r="G187" s="259"/>
      <c r="H187" s="260"/>
      <c r="I187" s="257"/>
      <c r="J187" s="257"/>
      <c r="K187" s="259"/>
      <c r="L187" s="260"/>
      <c r="M187" s="257"/>
      <c r="N187" s="1163">
        <v>-568</v>
      </c>
      <c r="O187" s="478">
        <f t="shared" si="86"/>
        <v>-568</v>
      </c>
      <c r="P187" s="224">
        <f t="shared" si="87"/>
        <v>-568</v>
      </c>
    </row>
    <row r="188" spans="1:16" ht="16.5" thickBot="1" x14ac:dyDescent="0.3">
      <c r="A188" s="255" t="s">
        <v>115</v>
      </c>
      <c r="B188" s="256" t="s">
        <v>116</v>
      </c>
      <c r="C188" s="257"/>
      <c r="D188" s="258"/>
      <c r="E188" s="258"/>
      <c r="F188" s="259"/>
      <c r="G188" s="259"/>
      <c r="H188" s="260"/>
      <c r="I188" s="257"/>
      <c r="J188" s="257"/>
      <c r="K188" s="259"/>
      <c r="L188" s="260"/>
      <c r="M188" s="261">
        <f>SUM(M156:M187)</f>
        <v>-17335</v>
      </c>
      <c r="N188" s="262">
        <f>SUM(N163:N187)</f>
        <v>2357361</v>
      </c>
      <c r="O188" s="260">
        <f>M188+N188</f>
        <v>2340026</v>
      </c>
      <c r="P188" s="224">
        <f>SUM(O188)</f>
        <v>2340026</v>
      </c>
    </row>
    <row r="189" spans="1:16" ht="17.25" thickTop="1" thickBot="1" x14ac:dyDescent="0.3">
      <c r="A189" s="897" t="s">
        <v>117</v>
      </c>
      <c r="B189" s="898" t="s">
        <v>118</v>
      </c>
      <c r="C189" s="263">
        <f>SUM(C154:C161)</f>
        <v>250672</v>
      </c>
      <c r="D189" s="263">
        <f t="shared" ref="D189:L189" si="89">SUM(D154:D188)</f>
        <v>85946</v>
      </c>
      <c r="E189" s="263">
        <f t="shared" si="89"/>
        <v>3520293</v>
      </c>
      <c r="F189" s="263">
        <f t="shared" si="89"/>
        <v>67681</v>
      </c>
      <c r="G189" s="263">
        <f t="shared" si="89"/>
        <v>7312072</v>
      </c>
      <c r="H189" s="263">
        <f t="shared" si="89"/>
        <v>11236664</v>
      </c>
      <c r="I189" s="263">
        <f t="shared" si="89"/>
        <v>14093436</v>
      </c>
      <c r="J189" s="263">
        <f t="shared" si="89"/>
        <v>1865279</v>
      </c>
      <c r="K189" s="263">
        <f t="shared" si="89"/>
        <v>495543</v>
      </c>
      <c r="L189" s="263">
        <f t="shared" si="89"/>
        <v>16454258</v>
      </c>
      <c r="M189" s="263">
        <f>SUM(M154+M188)</f>
        <v>48432</v>
      </c>
      <c r="N189" s="263">
        <f>SUM(N154+N188)</f>
        <v>7343216</v>
      </c>
      <c r="O189" s="263">
        <f>SUM(O154+O188)</f>
        <v>7391648</v>
      </c>
      <c r="P189" s="263">
        <f>SUM(P154+P188)</f>
        <v>35082570</v>
      </c>
    </row>
    <row r="190" spans="1:16" x14ac:dyDescent="0.25">
      <c r="B190" s="264"/>
    </row>
    <row r="191" spans="1:16" x14ac:dyDescent="0.25">
      <c r="B191" s="264"/>
      <c r="C191" s="209">
        <f t="shared" ref="C191:P191" si="90">SUM(C189-C13)</f>
        <v>-13906</v>
      </c>
      <c r="D191" s="209">
        <f t="shared" si="90"/>
        <v>-3993</v>
      </c>
      <c r="E191" s="209">
        <f t="shared" si="90"/>
        <v>-2380175</v>
      </c>
      <c r="F191" s="209">
        <f t="shared" si="90"/>
        <v>2647</v>
      </c>
      <c r="G191" s="209">
        <f t="shared" si="90"/>
        <v>13071</v>
      </c>
      <c r="H191" s="209">
        <f t="shared" si="90"/>
        <v>-2382356</v>
      </c>
      <c r="I191" s="209">
        <f t="shared" si="90"/>
        <v>-5589304</v>
      </c>
      <c r="J191" s="209">
        <f t="shared" si="90"/>
        <v>-302372</v>
      </c>
      <c r="K191" s="209">
        <f t="shared" si="90"/>
        <v>29247</v>
      </c>
      <c r="L191" s="209">
        <f t="shared" si="90"/>
        <v>-5862429</v>
      </c>
      <c r="M191" s="209">
        <f t="shared" si="90"/>
        <v>-17335</v>
      </c>
      <c r="N191" s="209">
        <f t="shared" si="90"/>
        <v>2357361</v>
      </c>
      <c r="O191" s="209">
        <f t="shared" si="90"/>
        <v>2340026</v>
      </c>
      <c r="P191" s="209">
        <f t="shared" si="90"/>
        <v>-5904759</v>
      </c>
    </row>
    <row r="192" spans="1:16" x14ac:dyDescent="0.25">
      <c r="B192" s="264"/>
    </row>
    <row r="193" spans="2:2" x14ac:dyDescent="0.25">
      <c r="B193" s="264"/>
    </row>
    <row r="194" spans="2:2" x14ac:dyDescent="0.25">
      <c r="B194" s="264"/>
    </row>
    <row r="195" spans="2:2" x14ac:dyDescent="0.25">
      <c r="B195" s="264"/>
    </row>
    <row r="196" spans="2:2" x14ac:dyDescent="0.25">
      <c r="B196" s="264"/>
    </row>
    <row r="197" spans="2:2" x14ac:dyDescent="0.25">
      <c r="B197" s="264"/>
    </row>
    <row r="198" spans="2:2" x14ac:dyDescent="0.25">
      <c r="B198" s="264"/>
    </row>
    <row r="199" spans="2:2" x14ac:dyDescent="0.25">
      <c r="B199" s="264"/>
    </row>
    <row r="200" spans="2:2" x14ac:dyDescent="0.25">
      <c r="B200" s="264"/>
    </row>
    <row r="201" spans="2:2" x14ac:dyDescent="0.25">
      <c r="B201" s="264"/>
    </row>
    <row r="202" spans="2:2" x14ac:dyDescent="0.25">
      <c r="B202" s="264"/>
    </row>
    <row r="203" spans="2:2" x14ac:dyDescent="0.25">
      <c r="B203" s="264"/>
    </row>
    <row r="204" spans="2:2" x14ac:dyDescent="0.25">
      <c r="B204" s="264"/>
    </row>
    <row r="205" spans="2:2" x14ac:dyDescent="0.25">
      <c r="B205" s="264"/>
    </row>
    <row r="206" spans="2:2" x14ac:dyDescent="0.25">
      <c r="B206" s="264"/>
    </row>
    <row r="207" spans="2:2" x14ac:dyDescent="0.25">
      <c r="B207" s="264"/>
    </row>
  </sheetData>
  <mergeCells count="1">
    <mergeCell ref="A1:P1"/>
  </mergeCells>
  <printOptions horizontalCentered="1"/>
  <pageMargins left="0.19685039370078741" right="0.15748031496062992" top="0.59055118110236227" bottom="0.39370078740157483" header="0.43307086614173229" footer="0.19685039370078741"/>
  <pageSetup paperSize="9" scale="65" orientation="landscape" r:id="rId1"/>
  <headerFooter alignWithMargins="0">
    <oddHeader>&amp;R&amp;"Times New Roman CE,Félkövér"&amp;11 &amp;12
&amp;"Times New Roman CE,Dőlt"&amp;10 11. melléklet
  a 3/2016.(II.12.) önkormányzati rendelethez&amp;X10</oddHeader>
    <oddFooter>&amp;L&amp;X10&amp;XMódosította a 6/2017.(II.24.) önkormányzati rendelet 4.§ (9) bekezdése, hatályos 2017. február 24. 12 órától&amp;C&amp;P</oddFooter>
  </headerFooter>
  <rowBreaks count="1" manualBreakCount="1">
    <brk id="108" max="1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0"/>
  <sheetViews>
    <sheetView zoomScaleNormal="100" zoomScaleSheetLayoutView="100" workbookViewId="0">
      <pane xSplit="2" ySplit="4" topLeftCell="C80" activePane="bottomRight" state="frozen"/>
      <selection activeCell="AH33" sqref="AH33"/>
      <selection pane="topRight" activeCell="AH33" sqref="AH33"/>
      <selection pane="bottomLeft" activeCell="AH33" sqref="AH33"/>
      <selection pane="bottomRight" activeCell="AH33" sqref="AH33"/>
    </sheetView>
  </sheetViews>
  <sheetFormatPr defaultRowHeight="15.75" x14ac:dyDescent="0.25"/>
  <cols>
    <col min="1" max="1" width="4.875" style="1" bestFit="1" customWidth="1"/>
    <col min="2" max="2" width="65.75" style="1" customWidth="1"/>
    <col min="3" max="8" width="13.25" style="992" customWidth="1"/>
    <col min="9" max="9" width="8.5" style="432" customWidth="1"/>
    <col min="10" max="10" width="11.25" style="432" customWidth="1"/>
    <col min="11" max="11" width="13.25" style="432" customWidth="1"/>
    <col min="12" max="16384" width="9" style="1"/>
  </cols>
  <sheetData>
    <row r="1" spans="1:11" ht="15.75" customHeight="1" x14ac:dyDescent="0.25">
      <c r="A1" s="1273" t="s">
        <v>1187</v>
      </c>
      <c r="B1" s="1273"/>
      <c r="C1" s="1273"/>
      <c r="D1" s="1273"/>
      <c r="E1" s="1273"/>
      <c r="F1" s="1273"/>
      <c r="G1" s="1273"/>
      <c r="H1" s="1273"/>
      <c r="I1" s="1273"/>
      <c r="J1" s="1273"/>
      <c r="K1" s="1273"/>
    </row>
    <row r="2" spans="1:11" ht="15.75" customHeight="1" x14ac:dyDescent="0.25">
      <c r="A2" s="1273" t="s">
        <v>378</v>
      </c>
      <c r="B2" s="1273"/>
      <c r="C2" s="1273"/>
      <c r="D2" s="1273"/>
      <c r="E2" s="1273"/>
      <c r="F2" s="1273"/>
      <c r="G2" s="1273"/>
      <c r="H2" s="1273"/>
      <c r="I2" s="1273"/>
      <c r="J2" s="1273"/>
      <c r="K2" s="1273"/>
    </row>
    <row r="3" spans="1:11" ht="16.5" thickBot="1" x14ac:dyDescent="0.3"/>
    <row r="4" spans="1:11" ht="48" thickBot="1" x14ac:dyDescent="0.3">
      <c r="A4" s="993"/>
      <c r="B4" s="994" t="s">
        <v>249</v>
      </c>
      <c r="C4" s="995" t="s">
        <v>1239</v>
      </c>
      <c r="D4" s="996" t="s">
        <v>1188</v>
      </c>
      <c r="E4" s="996" t="s">
        <v>1240</v>
      </c>
      <c r="F4" s="995" t="s">
        <v>1189</v>
      </c>
      <c r="G4" s="996" t="s">
        <v>1190</v>
      </c>
      <c r="H4" s="996" t="s">
        <v>1191</v>
      </c>
      <c r="I4" s="996" t="s">
        <v>243</v>
      </c>
      <c r="J4" s="996" t="s">
        <v>244</v>
      </c>
      <c r="K4" s="996" t="s">
        <v>963</v>
      </c>
    </row>
    <row r="5" spans="1:11" x14ac:dyDescent="0.25">
      <c r="A5" s="997" t="s">
        <v>175</v>
      </c>
      <c r="B5" s="998" t="s">
        <v>209</v>
      </c>
      <c r="C5" s="999">
        <f>SUM(C6+C9+C62+C63+C65)</f>
        <v>2036356</v>
      </c>
      <c r="D5" s="999">
        <f>SUM(D6+D9+D62+D63+D65)</f>
        <v>-27051</v>
      </c>
      <c r="E5" s="999">
        <f>SUM(C5:D5)</f>
        <v>2009305</v>
      </c>
      <c r="F5" s="999">
        <f>SUM(F6+F9+F62+F63+F65)</f>
        <v>90403</v>
      </c>
      <c r="G5" s="999">
        <f>SUM(G6+G9+G62+G63+G65)</f>
        <v>1919384</v>
      </c>
      <c r="H5" s="999">
        <f>SUM(H6+H9+H62+H63+H65)</f>
        <v>-482</v>
      </c>
      <c r="I5" s="1000" t="s">
        <v>245</v>
      </c>
      <c r="J5" s="1000" t="s">
        <v>245</v>
      </c>
      <c r="K5" s="999"/>
    </row>
    <row r="6" spans="1:11" x14ac:dyDescent="0.25">
      <c r="A6" s="1001"/>
      <c r="B6" s="1002" t="s">
        <v>176</v>
      </c>
      <c r="C6" s="1003">
        <f t="shared" ref="C6:E6" si="0">SUM(C7:C8)</f>
        <v>1116149</v>
      </c>
      <c r="D6" s="1003">
        <f t="shared" si="0"/>
        <v>4940</v>
      </c>
      <c r="E6" s="1003">
        <f t="shared" si="0"/>
        <v>1121089</v>
      </c>
      <c r="F6" s="1003">
        <f>SUM(F7:F8)</f>
        <v>5865</v>
      </c>
      <c r="G6" s="1003">
        <f t="shared" ref="G6" si="1">SUM(G7:G8)</f>
        <v>1115224</v>
      </c>
      <c r="H6" s="1003"/>
      <c r="I6" s="1004" t="s">
        <v>245</v>
      </c>
      <c r="J6" s="1004" t="s">
        <v>245</v>
      </c>
      <c r="K6" s="1003"/>
    </row>
    <row r="7" spans="1:11" x14ac:dyDescent="0.25">
      <c r="A7" s="1001"/>
      <c r="B7" s="1005" t="s">
        <v>177</v>
      </c>
      <c r="C7" s="1006">
        <v>1104482</v>
      </c>
      <c r="D7" s="1006">
        <v>4940</v>
      </c>
      <c r="E7" s="1006">
        <f t="shared" ref="E7:E76" si="2">SUM(C7:D7)</f>
        <v>1109422</v>
      </c>
      <c r="F7" s="1006">
        <f>4101+97</f>
        <v>4198</v>
      </c>
      <c r="G7" s="1006">
        <f>308508+688528+99078+5470-1300-2000+2000+4940</f>
        <v>1105224</v>
      </c>
      <c r="H7" s="1006"/>
      <c r="I7" s="1007" t="s">
        <v>245</v>
      </c>
      <c r="J7" s="1007" t="s">
        <v>245</v>
      </c>
      <c r="K7" s="1006"/>
    </row>
    <row r="8" spans="1:11" x14ac:dyDescent="0.25">
      <c r="A8" s="1001"/>
      <c r="B8" s="1005" t="s">
        <v>976</v>
      </c>
      <c r="C8" s="1006">
        <v>11667</v>
      </c>
      <c r="D8" s="1006"/>
      <c r="E8" s="1006">
        <f t="shared" si="2"/>
        <v>11667</v>
      </c>
      <c r="F8" s="1006">
        <v>1667</v>
      </c>
      <c r="G8" s="1006">
        <v>10000</v>
      </c>
      <c r="H8" s="1006"/>
      <c r="I8" s="1007"/>
      <c r="J8" s="1007" t="s">
        <v>245</v>
      </c>
      <c r="K8" s="1006"/>
    </row>
    <row r="9" spans="1:11" x14ac:dyDescent="0.25">
      <c r="A9" s="1001"/>
      <c r="B9" s="1008" t="s">
        <v>178</v>
      </c>
      <c r="C9" s="1009">
        <f>SUM(C10+C57+C61)</f>
        <v>348746</v>
      </c>
      <c r="D9" s="1009">
        <f>SUM(D10+D57+D61)</f>
        <v>-31991</v>
      </c>
      <c r="E9" s="1009">
        <f t="shared" si="2"/>
        <v>316755</v>
      </c>
      <c r="F9" s="1009">
        <f>SUM(F10+F57+F61)</f>
        <v>42974</v>
      </c>
      <c r="G9" s="1009">
        <f>SUM(G10+G57+G61)</f>
        <v>274263</v>
      </c>
      <c r="H9" s="1009">
        <f>SUM(H10+H57+H61)</f>
        <v>-482</v>
      </c>
      <c r="I9" s="1004" t="s">
        <v>245</v>
      </c>
      <c r="J9" s="1004" t="s">
        <v>245</v>
      </c>
      <c r="K9" s="1009"/>
    </row>
    <row r="10" spans="1:11" x14ac:dyDescent="0.25">
      <c r="A10" s="1001"/>
      <c r="B10" s="1005" t="s">
        <v>179</v>
      </c>
      <c r="C10" s="1010">
        <v>315152</v>
      </c>
      <c r="D10" s="1010">
        <v>-31991</v>
      </c>
      <c r="E10" s="1010">
        <f t="shared" si="2"/>
        <v>283161</v>
      </c>
      <c r="F10" s="1010">
        <f>32884+6</f>
        <v>32890</v>
      </c>
      <c r="G10" s="1010">
        <f>174506+320+3631+1000+100+5000+2500+4000+1880+58991+13620+714+5000+3500+1200+3300+3000-31991</f>
        <v>250271</v>
      </c>
      <c r="H10" s="1010"/>
      <c r="I10" s="1011" t="s">
        <v>245</v>
      </c>
      <c r="J10" s="1011" t="s">
        <v>245</v>
      </c>
      <c r="K10" s="1010"/>
    </row>
    <row r="11" spans="1:11" s="431" customFormat="1" x14ac:dyDescent="0.25">
      <c r="A11" s="1012"/>
      <c r="B11" s="1013" t="s">
        <v>513</v>
      </c>
      <c r="C11" s="1014">
        <v>2000</v>
      </c>
      <c r="D11" s="1014"/>
      <c r="E11" s="1014">
        <f t="shared" si="2"/>
        <v>2000</v>
      </c>
      <c r="F11" s="1014"/>
      <c r="G11" s="1014">
        <v>2000</v>
      </c>
      <c r="H11" s="1014"/>
      <c r="I11" s="1015"/>
      <c r="J11" s="1015" t="s">
        <v>245</v>
      </c>
      <c r="K11" s="1014"/>
    </row>
    <row r="12" spans="1:11" s="431" customFormat="1" x14ac:dyDescent="0.25">
      <c r="A12" s="1012"/>
      <c r="B12" s="1013" t="s">
        <v>201</v>
      </c>
      <c r="C12" s="1014">
        <v>2000</v>
      </c>
      <c r="D12" s="1014"/>
      <c r="E12" s="1014">
        <f t="shared" si="2"/>
        <v>2000</v>
      </c>
      <c r="F12" s="1014"/>
      <c r="G12" s="1014">
        <v>2000</v>
      </c>
      <c r="H12" s="1014"/>
      <c r="I12" s="1015"/>
      <c r="J12" s="1015" t="s">
        <v>245</v>
      </c>
      <c r="K12" s="1014"/>
    </row>
    <row r="13" spans="1:11" s="431" customFormat="1" x14ac:dyDescent="0.25">
      <c r="A13" s="1012"/>
      <c r="B13" s="1013" t="s">
        <v>202</v>
      </c>
      <c r="C13" s="1014">
        <v>4202</v>
      </c>
      <c r="D13" s="1014"/>
      <c r="E13" s="1014">
        <f t="shared" si="2"/>
        <v>4202</v>
      </c>
      <c r="F13" s="1014">
        <v>202</v>
      </c>
      <c r="G13" s="1014">
        <v>4000</v>
      </c>
      <c r="H13" s="1014"/>
      <c r="I13" s="1015"/>
      <c r="J13" s="1015" t="s">
        <v>245</v>
      </c>
      <c r="K13" s="1014"/>
    </row>
    <row r="14" spans="1:11" s="431" customFormat="1" x14ac:dyDescent="0.25">
      <c r="A14" s="1012"/>
      <c r="B14" s="1013" t="s">
        <v>514</v>
      </c>
      <c r="C14" s="1014">
        <v>9598</v>
      </c>
      <c r="D14" s="1014"/>
      <c r="E14" s="1014">
        <f t="shared" si="2"/>
        <v>9598</v>
      </c>
      <c r="F14" s="1014">
        <v>305</v>
      </c>
      <c r="G14" s="1014">
        <v>9293</v>
      </c>
      <c r="H14" s="1014"/>
      <c r="I14" s="1015"/>
      <c r="J14" s="1015" t="s">
        <v>245</v>
      </c>
      <c r="K14" s="1014"/>
    </row>
    <row r="15" spans="1:11" s="431" customFormat="1" x14ac:dyDescent="0.25">
      <c r="A15" s="1012"/>
      <c r="B15" s="1013" t="s">
        <v>237</v>
      </c>
      <c r="C15" s="1014">
        <v>400</v>
      </c>
      <c r="D15" s="1014"/>
      <c r="E15" s="1014">
        <f t="shared" si="2"/>
        <v>400</v>
      </c>
      <c r="F15" s="1014"/>
      <c r="G15" s="1014">
        <v>400</v>
      </c>
      <c r="H15" s="1014"/>
      <c r="I15" s="1015"/>
      <c r="J15" s="1015" t="s">
        <v>245</v>
      </c>
      <c r="K15" s="1014"/>
    </row>
    <row r="16" spans="1:11" s="431" customFormat="1" x14ac:dyDescent="0.25">
      <c r="A16" s="1012"/>
      <c r="B16" s="1013" t="s">
        <v>515</v>
      </c>
      <c r="C16" s="1014">
        <v>400</v>
      </c>
      <c r="D16" s="1014"/>
      <c r="E16" s="1014">
        <f t="shared" si="2"/>
        <v>400</v>
      </c>
      <c r="F16" s="1014"/>
      <c r="G16" s="1014">
        <v>400</v>
      </c>
      <c r="H16" s="1014"/>
      <c r="I16" s="1015"/>
      <c r="J16" s="1015" t="s">
        <v>245</v>
      </c>
      <c r="K16" s="1014"/>
    </row>
    <row r="17" spans="1:11" s="431" customFormat="1" x14ac:dyDescent="0.25">
      <c r="A17" s="1012"/>
      <c r="B17" s="1013" t="s">
        <v>516</v>
      </c>
      <c r="C17" s="1014">
        <v>13500</v>
      </c>
      <c r="D17" s="1014"/>
      <c r="E17" s="1014">
        <f t="shared" si="2"/>
        <v>13500</v>
      </c>
      <c r="F17" s="1014"/>
      <c r="G17" s="1014">
        <v>13500</v>
      </c>
      <c r="H17" s="1014"/>
      <c r="I17" s="1015"/>
      <c r="J17" s="1015" t="s">
        <v>245</v>
      </c>
      <c r="K17" s="1014"/>
    </row>
    <row r="18" spans="1:11" s="431" customFormat="1" x14ac:dyDescent="0.25">
      <c r="A18" s="1012"/>
      <c r="B18" s="1013" t="s">
        <v>517</v>
      </c>
      <c r="C18" s="1014">
        <v>1500</v>
      </c>
      <c r="D18" s="1014"/>
      <c r="E18" s="1014">
        <f t="shared" si="2"/>
        <v>1500</v>
      </c>
      <c r="F18" s="1014"/>
      <c r="G18" s="1014">
        <v>1500</v>
      </c>
      <c r="H18" s="1014"/>
      <c r="I18" s="1015"/>
      <c r="J18" s="1015" t="s">
        <v>245</v>
      </c>
      <c r="K18" s="1014"/>
    </row>
    <row r="19" spans="1:11" s="431" customFormat="1" x14ac:dyDescent="0.25">
      <c r="A19" s="1012"/>
      <c r="B19" s="1013" t="s">
        <v>518</v>
      </c>
      <c r="C19" s="1014">
        <v>3000</v>
      </c>
      <c r="D19" s="1014"/>
      <c r="E19" s="1014">
        <f t="shared" si="2"/>
        <v>3000</v>
      </c>
      <c r="F19" s="1014"/>
      <c r="G19" s="1014">
        <v>3000</v>
      </c>
      <c r="H19" s="1014"/>
      <c r="I19" s="1015"/>
      <c r="J19" s="1015" t="s">
        <v>245</v>
      </c>
      <c r="K19" s="1014"/>
    </row>
    <row r="20" spans="1:11" s="431" customFormat="1" x14ac:dyDescent="0.25">
      <c r="A20" s="1012"/>
      <c r="B20" s="1013" t="s">
        <v>519</v>
      </c>
      <c r="C20" s="1014">
        <v>2000</v>
      </c>
      <c r="D20" s="1014"/>
      <c r="E20" s="1014">
        <f t="shared" si="2"/>
        <v>2000</v>
      </c>
      <c r="F20" s="1014"/>
      <c r="G20" s="1014">
        <v>2000</v>
      </c>
      <c r="H20" s="1014"/>
      <c r="I20" s="1015"/>
      <c r="J20" s="1015" t="s">
        <v>245</v>
      </c>
      <c r="K20" s="1014"/>
    </row>
    <row r="21" spans="1:11" s="431" customFormat="1" x14ac:dyDescent="0.25">
      <c r="A21" s="1012"/>
      <c r="B21" s="1013" t="s">
        <v>520</v>
      </c>
      <c r="C21" s="1014">
        <v>7500</v>
      </c>
      <c r="D21" s="1014"/>
      <c r="E21" s="1014">
        <f t="shared" si="2"/>
        <v>7500</v>
      </c>
      <c r="F21" s="1014">
        <v>2500</v>
      </c>
      <c r="G21" s="1014">
        <v>5000</v>
      </c>
      <c r="H21" s="1014"/>
      <c r="I21" s="1015"/>
      <c r="J21" s="1015" t="s">
        <v>245</v>
      </c>
      <c r="K21" s="1014"/>
    </row>
    <row r="22" spans="1:11" s="431" customFormat="1" ht="31.5" x14ac:dyDescent="0.25">
      <c r="A22" s="1012"/>
      <c r="B22" s="1013" t="s">
        <v>521</v>
      </c>
      <c r="C22" s="1016">
        <v>3000</v>
      </c>
      <c r="D22" s="1014"/>
      <c r="E22" s="1014">
        <f t="shared" si="2"/>
        <v>3000</v>
      </c>
      <c r="F22" s="1016"/>
      <c r="G22" s="1014">
        <v>3000</v>
      </c>
      <c r="H22" s="1014"/>
      <c r="I22" s="1015"/>
      <c r="J22" s="1015" t="s">
        <v>245</v>
      </c>
      <c r="K22" s="1014"/>
    </row>
    <row r="23" spans="1:11" s="431" customFormat="1" ht="47.25" x14ac:dyDescent="0.25">
      <c r="A23" s="1012"/>
      <c r="B23" s="1013" t="s">
        <v>1282</v>
      </c>
      <c r="C23" s="1016">
        <v>5000</v>
      </c>
      <c r="D23" s="1014"/>
      <c r="E23" s="1014">
        <f t="shared" si="2"/>
        <v>5000</v>
      </c>
      <c r="F23" s="1016"/>
      <c r="G23" s="1014">
        <v>5000</v>
      </c>
      <c r="H23" s="1014"/>
      <c r="I23" s="1015"/>
      <c r="J23" s="1015" t="s">
        <v>245</v>
      </c>
      <c r="K23" s="1014"/>
    </row>
    <row r="24" spans="1:11" s="431" customFormat="1" ht="31.5" x14ac:dyDescent="0.25">
      <c r="A24" s="1012"/>
      <c r="B24" s="1013" t="s">
        <v>815</v>
      </c>
      <c r="C24" s="1016">
        <v>10000</v>
      </c>
      <c r="D24" s="1014"/>
      <c r="E24" s="1014">
        <f t="shared" si="2"/>
        <v>10000</v>
      </c>
      <c r="F24" s="1016">
        <v>10000</v>
      </c>
      <c r="G24" s="1014">
        <v>0</v>
      </c>
      <c r="H24" s="1014"/>
      <c r="I24" s="1015"/>
      <c r="J24" s="1015" t="s">
        <v>245</v>
      </c>
      <c r="K24" s="1014"/>
    </row>
    <row r="25" spans="1:11" s="1066" customFormat="1" ht="47.25" x14ac:dyDescent="0.25">
      <c r="A25" s="1065"/>
      <c r="B25" s="1017" t="s">
        <v>1283</v>
      </c>
      <c r="C25" s="1020">
        <v>4000</v>
      </c>
      <c r="D25" s="1014"/>
      <c r="E25" s="1014">
        <f t="shared" si="2"/>
        <v>4000</v>
      </c>
      <c r="F25" s="1020"/>
      <c r="G25" s="1014">
        <v>4000</v>
      </c>
      <c r="H25" s="1014"/>
      <c r="I25" s="1015"/>
      <c r="J25" s="1015" t="s">
        <v>245</v>
      </c>
      <c r="K25" s="1014"/>
    </row>
    <row r="26" spans="1:11" s="1066" customFormat="1" ht="47.25" x14ac:dyDescent="0.25">
      <c r="A26" s="1065"/>
      <c r="B26" s="1017" t="s">
        <v>1337</v>
      </c>
      <c r="C26" s="1020">
        <v>3500</v>
      </c>
      <c r="D26" s="1014"/>
      <c r="E26" s="1014">
        <f t="shared" si="2"/>
        <v>3500</v>
      </c>
      <c r="F26" s="1020"/>
      <c r="G26" s="1014">
        <v>3500</v>
      </c>
      <c r="H26" s="1014"/>
      <c r="I26" s="1015"/>
      <c r="J26" s="1015" t="s">
        <v>245</v>
      </c>
      <c r="K26" s="1014"/>
    </row>
    <row r="27" spans="1:11" s="1066" customFormat="1" ht="47.25" x14ac:dyDescent="0.25">
      <c r="A27" s="1065"/>
      <c r="B27" s="1017" t="s">
        <v>1338</v>
      </c>
      <c r="C27" s="1020">
        <v>5000</v>
      </c>
      <c r="D27" s="1014"/>
      <c r="E27" s="1014">
        <f t="shared" si="2"/>
        <v>5000</v>
      </c>
      <c r="F27" s="1020"/>
      <c r="G27" s="1014">
        <v>5000</v>
      </c>
      <c r="H27" s="1014"/>
      <c r="I27" s="1015"/>
      <c r="J27" s="1015" t="s">
        <v>245</v>
      </c>
      <c r="K27" s="1014"/>
    </row>
    <row r="28" spans="1:11" s="431" customFormat="1" ht="31.5" x14ac:dyDescent="0.25">
      <c r="A28" s="1012"/>
      <c r="B28" s="1013" t="s">
        <v>1241</v>
      </c>
      <c r="C28" s="1016">
        <v>1000</v>
      </c>
      <c r="D28" s="1014"/>
      <c r="E28" s="1014">
        <f t="shared" si="2"/>
        <v>1000</v>
      </c>
      <c r="F28" s="1016"/>
      <c r="G28" s="1014">
        <v>1000</v>
      </c>
      <c r="H28" s="1014"/>
      <c r="I28" s="1015"/>
      <c r="J28" s="1015" t="s">
        <v>245</v>
      </c>
      <c r="K28" s="1014"/>
    </row>
    <row r="29" spans="1:11" s="431" customFormat="1" x14ac:dyDescent="0.25">
      <c r="A29" s="1012"/>
      <c r="B29" s="1013" t="s">
        <v>522</v>
      </c>
      <c r="C29" s="1016">
        <v>450</v>
      </c>
      <c r="D29" s="1014"/>
      <c r="E29" s="1014">
        <f t="shared" si="2"/>
        <v>450</v>
      </c>
      <c r="F29" s="1016"/>
      <c r="G29" s="1014">
        <v>450</v>
      </c>
      <c r="H29" s="1014"/>
      <c r="I29" s="1015"/>
      <c r="J29" s="1015" t="s">
        <v>245</v>
      </c>
      <c r="K29" s="1014"/>
    </row>
    <row r="30" spans="1:11" s="431" customFormat="1" x14ac:dyDescent="0.25">
      <c r="A30" s="1012"/>
      <c r="B30" s="1017" t="s">
        <v>523</v>
      </c>
      <c r="C30" s="1016">
        <v>125</v>
      </c>
      <c r="D30" s="1014"/>
      <c r="E30" s="1014">
        <f t="shared" si="2"/>
        <v>125</v>
      </c>
      <c r="F30" s="1016"/>
      <c r="G30" s="1014">
        <f>250-125</f>
        <v>125</v>
      </c>
      <c r="H30" s="1014"/>
      <c r="I30" s="1015"/>
      <c r="J30" s="1015" t="s">
        <v>245</v>
      </c>
      <c r="K30" s="1014"/>
    </row>
    <row r="31" spans="1:11" s="431" customFormat="1" x14ac:dyDescent="0.25">
      <c r="A31" s="1012"/>
      <c r="B31" s="1017" t="s">
        <v>1339</v>
      </c>
      <c r="C31" s="1016">
        <v>125</v>
      </c>
      <c r="D31" s="1014"/>
      <c r="E31" s="1014">
        <f t="shared" si="2"/>
        <v>125</v>
      </c>
      <c r="F31" s="1016"/>
      <c r="G31" s="1014">
        <v>125</v>
      </c>
      <c r="H31" s="1014"/>
      <c r="I31" s="1015"/>
      <c r="J31" s="1015" t="s">
        <v>245</v>
      </c>
      <c r="K31" s="1014"/>
    </row>
    <row r="32" spans="1:11" s="431" customFormat="1" ht="31.5" x14ac:dyDescent="0.25">
      <c r="A32" s="1012"/>
      <c r="B32" s="1017" t="s">
        <v>1382</v>
      </c>
      <c r="C32" s="1016">
        <v>714</v>
      </c>
      <c r="D32" s="1014"/>
      <c r="E32" s="1014">
        <f t="shared" si="2"/>
        <v>714</v>
      </c>
      <c r="F32" s="1016"/>
      <c r="G32" s="1014">
        <v>714</v>
      </c>
      <c r="H32" s="1014"/>
      <c r="I32" s="1015"/>
      <c r="J32" s="1015" t="s">
        <v>245</v>
      </c>
      <c r="K32" s="1014"/>
    </row>
    <row r="33" spans="1:11" s="431" customFormat="1" x14ac:dyDescent="0.25">
      <c r="A33" s="1012"/>
      <c r="B33" s="1013" t="s">
        <v>238</v>
      </c>
      <c r="C33" s="1016">
        <v>400</v>
      </c>
      <c r="D33" s="1014"/>
      <c r="E33" s="1014">
        <f t="shared" si="2"/>
        <v>400</v>
      </c>
      <c r="F33" s="1016"/>
      <c r="G33" s="1014">
        <v>400</v>
      </c>
      <c r="H33" s="1014"/>
      <c r="I33" s="1015"/>
      <c r="J33" s="1015" t="s">
        <v>245</v>
      </c>
      <c r="K33" s="1014"/>
    </row>
    <row r="34" spans="1:11" s="431" customFormat="1" x14ac:dyDescent="0.25">
      <c r="A34" s="1012"/>
      <c r="B34" s="1013" t="s">
        <v>524</v>
      </c>
      <c r="C34" s="1016">
        <v>500</v>
      </c>
      <c r="D34" s="1014"/>
      <c r="E34" s="1014">
        <f t="shared" si="2"/>
        <v>500</v>
      </c>
      <c r="F34" s="1016"/>
      <c r="G34" s="1014">
        <v>500</v>
      </c>
      <c r="H34" s="1014"/>
      <c r="I34" s="1015"/>
      <c r="J34" s="1015" t="s">
        <v>245</v>
      </c>
      <c r="K34" s="1014"/>
    </row>
    <row r="35" spans="1:11" s="431" customFormat="1" x14ac:dyDescent="0.25">
      <c r="A35" s="1012"/>
      <c r="B35" s="1013" t="s">
        <v>525</v>
      </c>
      <c r="C35" s="1016">
        <v>200</v>
      </c>
      <c r="D35" s="1014"/>
      <c r="E35" s="1014">
        <f t="shared" si="2"/>
        <v>200</v>
      </c>
      <c r="F35" s="1016"/>
      <c r="G35" s="1014">
        <v>200</v>
      </c>
      <c r="H35" s="1014"/>
      <c r="I35" s="1015"/>
      <c r="J35" s="1015" t="s">
        <v>245</v>
      </c>
      <c r="K35" s="1014"/>
    </row>
    <row r="36" spans="1:11" s="431" customFormat="1" ht="31.5" x14ac:dyDescent="0.25">
      <c r="A36" s="1012"/>
      <c r="B36" s="1013" t="s">
        <v>1093</v>
      </c>
      <c r="C36" s="1016">
        <v>2000</v>
      </c>
      <c r="D36" s="1014"/>
      <c r="E36" s="1014">
        <f t="shared" si="2"/>
        <v>2000</v>
      </c>
      <c r="F36" s="1016"/>
      <c r="G36" s="1014">
        <v>2000</v>
      </c>
      <c r="H36" s="1014"/>
      <c r="I36" s="1015"/>
      <c r="J36" s="1015" t="s">
        <v>245</v>
      </c>
      <c r="K36" s="1014"/>
    </row>
    <row r="37" spans="1:11" x14ac:dyDescent="0.25">
      <c r="A37" s="1012"/>
      <c r="B37" s="1017" t="s">
        <v>1094</v>
      </c>
      <c r="C37" s="1016">
        <v>1000</v>
      </c>
      <c r="D37" s="1014"/>
      <c r="E37" s="1014">
        <f t="shared" si="2"/>
        <v>1000</v>
      </c>
      <c r="F37" s="1016">
        <v>500</v>
      </c>
      <c r="G37" s="1014">
        <v>500</v>
      </c>
      <c r="H37" s="1014"/>
      <c r="I37" s="1015"/>
      <c r="J37" s="1015" t="s">
        <v>245</v>
      </c>
      <c r="K37" s="1014"/>
    </row>
    <row r="38" spans="1:11" x14ac:dyDescent="0.25">
      <c r="A38" s="1012"/>
      <c r="B38" s="1017" t="s">
        <v>1095</v>
      </c>
      <c r="C38" s="1016">
        <v>2000</v>
      </c>
      <c r="D38" s="1014"/>
      <c r="E38" s="1014">
        <f t="shared" si="2"/>
        <v>2000</v>
      </c>
      <c r="F38" s="1016"/>
      <c r="G38" s="1014">
        <v>2000</v>
      </c>
      <c r="H38" s="1014"/>
      <c r="I38" s="1015"/>
      <c r="J38" s="1015" t="s">
        <v>245</v>
      </c>
      <c r="K38" s="1014"/>
    </row>
    <row r="39" spans="1:11" ht="31.5" x14ac:dyDescent="0.25">
      <c r="A39" s="1012"/>
      <c r="B39" s="1017" t="s">
        <v>1096</v>
      </c>
      <c r="C39" s="1016">
        <v>1000</v>
      </c>
      <c r="D39" s="1014"/>
      <c r="E39" s="1014">
        <f t="shared" si="2"/>
        <v>1000</v>
      </c>
      <c r="F39" s="1016"/>
      <c r="G39" s="1014">
        <v>1000</v>
      </c>
      <c r="H39" s="1014"/>
      <c r="I39" s="1015"/>
      <c r="J39" s="1015" t="s">
        <v>245</v>
      </c>
      <c r="K39" s="1014"/>
    </row>
    <row r="40" spans="1:11" ht="31.5" x14ac:dyDescent="0.25">
      <c r="A40" s="1012"/>
      <c r="B40" s="1017" t="s">
        <v>1097</v>
      </c>
      <c r="C40" s="1016">
        <v>1500</v>
      </c>
      <c r="D40" s="1014"/>
      <c r="E40" s="1014">
        <f t="shared" si="2"/>
        <v>1500</v>
      </c>
      <c r="F40" s="1016"/>
      <c r="G40" s="1014">
        <v>1500</v>
      </c>
      <c r="H40" s="1014"/>
      <c r="I40" s="1015"/>
      <c r="J40" s="1015" t="s">
        <v>245</v>
      </c>
      <c r="K40" s="1014"/>
    </row>
    <row r="41" spans="1:11" ht="31.5" x14ac:dyDescent="0.25">
      <c r="A41" s="1012"/>
      <c r="B41" s="1017" t="s">
        <v>1099</v>
      </c>
      <c r="C41" s="1016">
        <v>5000</v>
      </c>
      <c r="D41" s="1014"/>
      <c r="E41" s="1014">
        <f t="shared" si="2"/>
        <v>5000</v>
      </c>
      <c r="F41" s="1016"/>
      <c r="G41" s="1014">
        <v>5000</v>
      </c>
      <c r="H41" s="1014"/>
      <c r="I41" s="1015"/>
      <c r="J41" s="1015" t="s">
        <v>245</v>
      </c>
      <c r="K41" s="1014"/>
    </row>
    <row r="42" spans="1:11" ht="31.5" x14ac:dyDescent="0.25">
      <c r="A42" s="1012"/>
      <c r="B42" s="1017" t="s">
        <v>1098</v>
      </c>
      <c r="C42" s="1016">
        <v>1000</v>
      </c>
      <c r="D42" s="1014"/>
      <c r="E42" s="1014">
        <f t="shared" si="2"/>
        <v>1000</v>
      </c>
      <c r="F42" s="1016"/>
      <c r="G42" s="1014">
        <v>1000</v>
      </c>
      <c r="H42" s="1014"/>
      <c r="I42" s="1015"/>
      <c r="J42" s="1015" t="s">
        <v>245</v>
      </c>
      <c r="K42" s="1014"/>
    </row>
    <row r="43" spans="1:11" ht="31.5" x14ac:dyDescent="0.25">
      <c r="A43" s="1012"/>
      <c r="B43" s="1017" t="s">
        <v>1284</v>
      </c>
      <c r="C43" s="1016">
        <v>2500</v>
      </c>
      <c r="D43" s="1014"/>
      <c r="E43" s="1014">
        <f t="shared" si="2"/>
        <v>2500</v>
      </c>
      <c r="F43" s="1016"/>
      <c r="G43" s="1014">
        <v>2500</v>
      </c>
      <c r="H43" s="1014"/>
      <c r="I43" s="1015"/>
      <c r="J43" s="1015" t="s">
        <v>245</v>
      </c>
      <c r="K43" s="1014"/>
    </row>
    <row r="44" spans="1:11" x14ac:dyDescent="0.25">
      <c r="A44" s="1012"/>
      <c r="B44" s="1017" t="s">
        <v>1100</v>
      </c>
      <c r="C44" s="1016">
        <v>5000</v>
      </c>
      <c r="D44" s="1014"/>
      <c r="E44" s="1014">
        <f t="shared" si="2"/>
        <v>5000</v>
      </c>
      <c r="F44" s="1016"/>
      <c r="G44" s="1014">
        <v>5000</v>
      </c>
      <c r="H44" s="1014"/>
      <c r="I44" s="1015"/>
      <c r="J44" s="1015" t="s">
        <v>245</v>
      </c>
      <c r="K44" s="1014"/>
    </row>
    <row r="45" spans="1:11" x14ac:dyDescent="0.25">
      <c r="A45" s="1012"/>
      <c r="B45" s="1017" t="s">
        <v>1101</v>
      </c>
      <c r="C45" s="1016">
        <v>2000</v>
      </c>
      <c r="D45" s="1014"/>
      <c r="E45" s="1014">
        <f t="shared" si="2"/>
        <v>2000</v>
      </c>
      <c r="F45" s="1016"/>
      <c r="G45" s="1014">
        <v>2000</v>
      </c>
      <c r="H45" s="1014"/>
      <c r="I45" s="1015"/>
      <c r="J45" s="1015" t="s">
        <v>245</v>
      </c>
      <c r="K45" s="1014"/>
    </row>
    <row r="46" spans="1:11" x14ac:dyDescent="0.25">
      <c r="A46" s="1012"/>
      <c r="B46" s="1017" t="s">
        <v>1102</v>
      </c>
      <c r="C46" s="1016">
        <v>5000</v>
      </c>
      <c r="D46" s="1014"/>
      <c r="E46" s="1014">
        <f t="shared" si="2"/>
        <v>5000</v>
      </c>
      <c r="F46" s="1016"/>
      <c r="G46" s="1014">
        <v>5000</v>
      </c>
      <c r="H46" s="1014"/>
      <c r="I46" s="1015"/>
      <c r="J46" s="1015" t="s">
        <v>245</v>
      </c>
      <c r="K46" s="1014"/>
    </row>
    <row r="47" spans="1:11" x14ac:dyDescent="0.25">
      <c r="A47" s="1012"/>
      <c r="B47" s="1017" t="s">
        <v>1103</v>
      </c>
      <c r="C47" s="1016">
        <v>442</v>
      </c>
      <c r="D47" s="1014"/>
      <c r="E47" s="1014">
        <f t="shared" si="2"/>
        <v>442</v>
      </c>
      <c r="F47" s="1016"/>
      <c r="G47" s="1014">
        <v>442</v>
      </c>
      <c r="H47" s="1014"/>
      <c r="I47" s="1015"/>
      <c r="J47" s="1015" t="s">
        <v>245</v>
      </c>
      <c r="K47" s="1014"/>
    </row>
    <row r="48" spans="1:11" x14ac:dyDescent="0.25">
      <c r="A48" s="1012"/>
      <c r="B48" s="1017" t="s">
        <v>1104</v>
      </c>
      <c r="C48" s="1016">
        <v>9511</v>
      </c>
      <c r="D48" s="1014"/>
      <c r="E48" s="1014">
        <f t="shared" si="2"/>
        <v>9511</v>
      </c>
      <c r="F48" s="1016">
        <v>511</v>
      </c>
      <c r="G48" s="1014">
        <f>5000+1000+3000</f>
        <v>9000</v>
      </c>
      <c r="H48" s="1014"/>
      <c r="I48" s="1015"/>
      <c r="J48" s="1015" t="s">
        <v>245</v>
      </c>
      <c r="K48" s="1014"/>
    </row>
    <row r="49" spans="1:11" ht="31.5" x14ac:dyDescent="0.25">
      <c r="A49" s="1012"/>
      <c r="B49" s="1017" t="s">
        <v>1340</v>
      </c>
      <c r="C49" s="1016">
        <v>400</v>
      </c>
      <c r="D49" s="1014"/>
      <c r="E49" s="1014">
        <f t="shared" si="2"/>
        <v>400</v>
      </c>
      <c r="F49" s="1016"/>
      <c r="G49" s="1014">
        <v>400</v>
      </c>
      <c r="H49" s="1014"/>
      <c r="I49" s="1015"/>
      <c r="J49" s="1015" t="s">
        <v>245</v>
      </c>
      <c r="K49" s="1014"/>
    </row>
    <row r="50" spans="1:11" ht="31.5" x14ac:dyDescent="0.25">
      <c r="A50" s="1012"/>
      <c r="B50" s="1017" t="s">
        <v>1341</v>
      </c>
      <c r="C50" s="1016">
        <v>720</v>
      </c>
      <c r="D50" s="1014"/>
      <c r="E50" s="1014">
        <f t="shared" si="2"/>
        <v>720</v>
      </c>
      <c r="F50" s="1016"/>
      <c r="G50" s="1014">
        <v>720</v>
      </c>
      <c r="H50" s="1014"/>
      <c r="I50" s="1015"/>
      <c r="J50" s="1015" t="s">
        <v>245</v>
      </c>
      <c r="K50" s="1014"/>
    </row>
    <row r="51" spans="1:11" ht="47.25" x14ac:dyDescent="0.25">
      <c r="A51" s="1012"/>
      <c r="B51" s="1017" t="s">
        <v>1285</v>
      </c>
      <c r="C51" s="1016">
        <v>1880</v>
      </c>
      <c r="D51" s="1014"/>
      <c r="E51" s="1014">
        <f t="shared" si="2"/>
        <v>1880</v>
      </c>
      <c r="F51" s="1016"/>
      <c r="G51" s="1014">
        <v>1880</v>
      </c>
      <c r="H51" s="1014"/>
      <c r="I51" s="1015"/>
      <c r="J51" s="1015" t="s">
        <v>245</v>
      </c>
      <c r="K51" s="1014"/>
    </row>
    <row r="52" spans="1:11" ht="31.5" x14ac:dyDescent="0.25">
      <c r="A52" s="1012"/>
      <c r="B52" s="1017" t="s">
        <v>1383</v>
      </c>
      <c r="C52" s="1016">
        <v>3500</v>
      </c>
      <c r="D52" s="1014"/>
      <c r="E52" s="1014">
        <f t="shared" si="2"/>
        <v>3500</v>
      </c>
      <c r="F52" s="1016"/>
      <c r="G52" s="1014">
        <v>3500</v>
      </c>
      <c r="H52" s="1014"/>
      <c r="I52" s="1015"/>
      <c r="J52" s="1015" t="s">
        <v>245</v>
      </c>
      <c r="K52" s="1014"/>
    </row>
    <row r="53" spans="1:11" x14ac:dyDescent="0.25">
      <c r="A53" s="1012"/>
      <c r="B53" s="1017" t="s">
        <v>1384</v>
      </c>
      <c r="C53" s="1016">
        <v>1200</v>
      </c>
      <c r="D53" s="1014"/>
      <c r="E53" s="1014">
        <f t="shared" si="2"/>
        <v>1200</v>
      </c>
      <c r="F53" s="1016"/>
      <c r="G53" s="1014">
        <v>1200</v>
      </c>
      <c r="H53" s="1014"/>
      <c r="I53" s="1015"/>
      <c r="J53" s="1015" t="s">
        <v>245</v>
      </c>
      <c r="K53" s="1014"/>
    </row>
    <row r="54" spans="1:11" ht="31.5" x14ac:dyDescent="0.25">
      <c r="A54" s="1012"/>
      <c r="B54" s="1017" t="s">
        <v>1286</v>
      </c>
      <c r="C54" s="1016">
        <v>58991</v>
      </c>
      <c r="D54" s="1014">
        <v>-31991</v>
      </c>
      <c r="E54" s="1014">
        <f t="shared" si="2"/>
        <v>27000</v>
      </c>
      <c r="F54" s="1016"/>
      <c r="G54" s="1014">
        <f>58991-31991</f>
        <v>27000</v>
      </c>
      <c r="H54" s="1014"/>
      <c r="I54" s="1015"/>
      <c r="J54" s="1015" t="s">
        <v>245</v>
      </c>
      <c r="K54" s="1014"/>
    </row>
    <row r="55" spans="1:11" x14ac:dyDescent="0.25">
      <c r="A55" s="1012"/>
      <c r="B55" s="1017" t="s">
        <v>1105</v>
      </c>
      <c r="C55" s="1016">
        <v>24000</v>
      </c>
      <c r="D55" s="1014"/>
      <c r="E55" s="1014">
        <f t="shared" si="2"/>
        <v>24000</v>
      </c>
      <c r="F55" s="1016"/>
      <c r="G55" s="1014">
        <v>24000</v>
      </c>
      <c r="H55" s="1014"/>
      <c r="I55" s="1015"/>
      <c r="J55" s="1015" t="s">
        <v>245</v>
      </c>
      <c r="K55" s="1014"/>
    </row>
    <row r="56" spans="1:11" x14ac:dyDescent="0.25">
      <c r="A56" s="1012"/>
      <c r="B56" s="1017" t="s">
        <v>1106</v>
      </c>
      <c r="C56" s="1016">
        <v>11315</v>
      </c>
      <c r="D56" s="1014"/>
      <c r="E56" s="1014">
        <f t="shared" si="2"/>
        <v>11315</v>
      </c>
      <c r="F56" s="1016">
        <v>4965</v>
      </c>
      <c r="G56" s="1014">
        <v>6350</v>
      </c>
      <c r="H56" s="1014"/>
      <c r="I56" s="1015"/>
      <c r="J56" s="1015" t="s">
        <v>245</v>
      </c>
      <c r="K56" s="1014"/>
    </row>
    <row r="57" spans="1:11" x14ac:dyDescent="0.25">
      <c r="A57" s="1001"/>
      <c r="B57" s="1018" t="s">
        <v>203</v>
      </c>
      <c r="C57" s="1010">
        <v>26602</v>
      </c>
      <c r="D57" s="1010"/>
      <c r="E57" s="1010">
        <f t="shared" si="2"/>
        <v>26602</v>
      </c>
      <c r="F57" s="1010">
        <v>10084</v>
      </c>
      <c r="G57" s="1010">
        <f>16000+1000</f>
        <v>17000</v>
      </c>
      <c r="H57" s="1010">
        <v>-482</v>
      </c>
      <c r="I57" s="1019"/>
      <c r="J57" s="1011" t="s">
        <v>245</v>
      </c>
      <c r="K57" s="1010"/>
    </row>
    <row r="58" spans="1:11" x14ac:dyDescent="0.25">
      <c r="A58" s="1001"/>
      <c r="B58" s="1013" t="s">
        <v>216</v>
      </c>
      <c r="C58" s="1016">
        <v>22102</v>
      </c>
      <c r="D58" s="1014"/>
      <c r="E58" s="1014">
        <f t="shared" si="2"/>
        <v>22102</v>
      </c>
      <c r="F58" s="1016">
        <v>9084</v>
      </c>
      <c r="G58" s="1014">
        <v>13500</v>
      </c>
      <c r="H58" s="1014">
        <v>-482</v>
      </c>
      <c r="I58" s="1015"/>
      <c r="J58" s="1015" t="s">
        <v>245</v>
      </c>
      <c r="K58" s="1014"/>
    </row>
    <row r="59" spans="1:11" x14ac:dyDescent="0.25">
      <c r="A59" s="1001"/>
      <c r="B59" s="1013" t="s">
        <v>217</v>
      </c>
      <c r="C59" s="1016">
        <v>1000</v>
      </c>
      <c r="D59" s="1014"/>
      <c r="E59" s="1014">
        <f t="shared" si="2"/>
        <v>1000</v>
      </c>
      <c r="F59" s="1016"/>
      <c r="G59" s="1014">
        <v>1000</v>
      </c>
      <c r="H59" s="1014"/>
      <c r="I59" s="1015"/>
      <c r="J59" s="1015" t="s">
        <v>245</v>
      </c>
      <c r="K59" s="1014"/>
    </row>
    <row r="60" spans="1:11" x14ac:dyDescent="0.25">
      <c r="A60" s="1001"/>
      <c r="B60" s="1013" t="s">
        <v>218</v>
      </c>
      <c r="C60" s="1016">
        <v>3500</v>
      </c>
      <c r="D60" s="1014"/>
      <c r="E60" s="1014">
        <f t="shared" si="2"/>
        <v>3500</v>
      </c>
      <c r="F60" s="1016">
        <v>1000</v>
      </c>
      <c r="G60" s="1014">
        <v>2500</v>
      </c>
      <c r="H60" s="1014"/>
      <c r="I60" s="1015"/>
      <c r="J60" s="1015" t="s">
        <v>245</v>
      </c>
      <c r="K60" s="1014"/>
    </row>
    <row r="61" spans="1:11" x14ac:dyDescent="0.25">
      <c r="A61" s="1001"/>
      <c r="B61" s="1018" t="s">
        <v>232</v>
      </c>
      <c r="C61" s="1010">
        <v>6992</v>
      </c>
      <c r="D61" s="1010"/>
      <c r="E61" s="1010">
        <f t="shared" si="2"/>
        <v>6992</v>
      </c>
      <c r="F61" s="1010"/>
      <c r="G61" s="1010">
        <v>6992</v>
      </c>
      <c r="H61" s="1010"/>
      <c r="I61" s="1011" t="s">
        <v>245</v>
      </c>
      <c r="J61" s="1011" t="s">
        <v>245</v>
      </c>
      <c r="K61" s="1010"/>
    </row>
    <row r="62" spans="1:11" x14ac:dyDescent="0.25">
      <c r="A62" s="1001"/>
      <c r="B62" s="1008" t="s">
        <v>180</v>
      </c>
      <c r="C62" s="1003">
        <v>285641</v>
      </c>
      <c r="D62" s="1003"/>
      <c r="E62" s="1003">
        <f t="shared" si="2"/>
        <v>285641</v>
      </c>
      <c r="F62" s="1003">
        <v>36413</v>
      </c>
      <c r="G62" s="1003">
        <f>218400+20000+10828</f>
        <v>249228</v>
      </c>
      <c r="H62" s="1003"/>
      <c r="I62" s="1004" t="s">
        <v>245</v>
      </c>
      <c r="J62" s="1004" t="s">
        <v>245</v>
      </c>
      <c r="K62" s="1003"/>
    </row>
    <row r="63" spans="1:11" x14ac:dyDescent="0.25">
      <c r="A63" s="1001"/>
      <c r="B63" s="1008" t="s">
        <v>181</v>
      </c>
      <c r="C63" s="1003">
        <v>207820</v>
      </c>
      <c r="D63" s="1003"/>
      <c r="E63" s="1003">
        <f t="shared" si="2"/>
        <v>207820</v>
      </c>
      <c r="F63" s="1003"/>
      <c r="G63" s="1003">
        <f>197673+10147</f>
        <v>207820</v>
      </c>
      <c r="H63" s="1003"/>
      <c r="I63" s="1004" t="s">
        <v>245</v>
      </c>
      <c r="J63" s="1004"/>
      <c r="K63" s="1003"/>
    </row>
    <row r="64" spans="1:11" x14ac:dyDescent="0.25">
      <c r="A64" s="1001"/>
      <c r="B64" s="496" t="s">
        <v>204</v>
      </c>
      <c r="C64" s="1016">
        <v>207637</v>
      </c>
      <c r="D64" s="1014"/>
      <c r="E64" s="1014">
        <f t="shared" si="2"/>
        <v>207637</v>
      </c>
      <c r="F64" s="1016"/>
      <c r="G64" s="1014">
        <f>197490+10147</f>
        <v>207637</v>
      </c>
      <c r="H64" s="1014"/>
      <c r="I64" s="1015" t="s">
        <v>245</v>
      </c>
      <c r="J64" s="1015"/>
      <c r="K64" s="1014"/>
    </row>
    <row r="65" spans="1:11" x14ac:dyDescent="0.25">
      <c r="A65" s="1001"/>
      <c r="B65" s="1008" t="s">
        <v>205</v>
      </c>
      <c r="C65" s="1003">
        <v>78000</v>
      </c>
      <c r="D65" s="1003"/>
      <c r="E65" s="1003">
        <f t="shared" si="2"/>
        <v>78000</v>
      </c>
      <c r="F65" s="1003">
        <v>5151</v>
      </c>
      <c r="G65" s="1003">
        <f>79121+3875-10147</f>
        <v>72849</v>
      </c>
      <c r="H65" s="1003"/>
      <c r="I65" s="1004"/>
      <c r="J65" s="1004" t="s">
        <v>245</v>
      </c>
      <c r="K65" s="1003"/>
    </row>
    <row r="66" spans="1:11" x14ac:dyDescent="0.25">
      <c r="A66" s="1001"/>
      <c r="B66" s="1013" t="s">
        <v>816</v>
      </c>
      <c r="C66" s="1020">
        <v>10000</v>
      </c>
      <c r="D66" s="1014"/>
      <c r="E66" s="1014">
        <f t="shared" si="2"/>
        <v>10000</v>
      </c>
      <c r="F66" s="1020"/>
      <c r="G66" s="1014">
        <v>10000</v>
      </c>
      <c r="H66" s="1014"/>
      <c r="I66" s="1015"/>
      <c r="J66" s="1015" t="s">
        <v>245</v>
      </c>
      <c r="K66" s="1014"/>
    </row>
    <row r="67" spans="1:11" x14ac:dyDescent="0.25">
      <c r="A67" s="1001"/>
      <c r="B67" s="1013" t="s">
        <v>172</v>
      </c>
      <c r="C67" s="1020">
        <v>23875</v>
      </c>
      <c r="D67" s="1014"/>
      <c r="E67" s="1014">
        <f t="shared" si="2"/>
        <v>23875</v>
      </c>
      <c r="F67" s="1020"/>
      <c r="G67" s="1014">
        <f>20000+3875</f>
        <v>23875</v>
      </c>
      <c r="H67" s="1014"/>
      <c r="I67" s="1015"/>
      <c r="J67" s="1015" t="s">
        <v>245</v>
      </c>
      <c r="K67" s="1014"/>
    </row>
    <row r="68" spans="1:11" ht="31.5" x14ac:dyDescent="0.25">
      <c r="A68" s="1001"/>
      <c r="B68" s="1017" t="s">
        <v>992</v>
      </c>
      <c r="C68" s="1020">
        <v>2500</v>
      </c>
      <c r="D68" s="1014"/>
      <c r="E68" s="1014">
        <f t="shared" si="2"/>
        <v>2500</v>
      </c>
      <c r="F68" s="1020"/>
      <c r="G68" s="1014">
        <v>2500</v>
      </c>
      <c r="H68" s="1014"/>
      <c r="I68" s="1015"/>
      <c r="J68" s="1015" t="s">
        <v>245</v>
      </c>
      <c r="K68" s="1014"/>
    </row>
    <row r="69" spans="1:11" ht="31.5" x14ac:dyDescent="0.25">
      <c r="A69" s="1001"/>
      <c r="B69" s="1017" t="s">
        <v>840</v>
      </c>
      <c r="C69" s="1020">
        <v>25004</v>
      </c>
      <c r="D69" s="1014"/>
      <c r="E69" s="1014">
        <f t="shared" si="2"/>
        <v>25004</v>
      </c>
      <c r="F69" s="1020">
        <v>5151</v>
      </c>
      <c r="G69" s="1014">
        <f>30000-10147</f>
        <v>19853</v>
      </c>
      <c r="H69" s="1014"/>
      <c r="I69" s="1015"/>
      <c r="J69" s="1015" t="s">
        <v>245</v>
      </c>
      <c r="K69" s="1014"/>
    </row>
    <row r="70" spans="1:11" ht="31.5" x14ac:dyDescent="0.25">
      <c r="A70" s="1001"/>
      <c r="B70" s="1017" t="s">
        <v>993</v>
      </c>
      <c r="C70" s="1020">
        <v>13621</v>
      </c>
      <c r="D70" s="1014"/>
      <c r="E70" s="1014">
        <f t="shared" si="2"/>
        <v>13621</v>
      </c>
      <c r="F70" s="1020"/>
      <c r="G70" s="1014">
        <v>13621</v>
      </c>
      <c r="H70" s="1014"/>
      <c r="I70" s="1015"/>
      <c r="J70" s="1015" t="s">
        <v>245</v>
      </c>
      <c r="K70" s="1014"/>
    </row>
    <row r="71" spans="1:11" x14ac:dyDescent="0.25">
      <c r="A71" s="1001"/>
      <c r="B71" s="1017" t="s">
        <v>495</v>
      </c>
      <c r="C71" s="1020">
        <v>3000</v>
      </c>
      <c r="D71" s="1014"/>
      <c r="E71" s="1014">
        <f t="shared" si="2"/>
        <v>3000</v>
      </c>
      <c r="F71" s="1020"/>
      <c r="G71" s="1014">
        <v>3000</v>
      </c>
      <c r="H71" s="1014"/>
      <c r="I71" s="1015"/>
      <c r="J71" s="1015" t="s">
        <v>245</v>
      </c>
      <c r="K71" s="1014"/>
    </row>
    <row r="72" spans="1:11" x14ac:dyDescent="0.25">
      <c r="A72" s="1001" t="s">
        <v>206</v>
      </c>
      <c r="B72" s="1002" t="s">
        <v>207</v>
      </c>
      <c r="C72" s="1021">
        <v>60908</v>
      </c>
      <c r="D72" s="1021">
        <f>SUM(D73:D74)</f>
        <v>0</v>
      </c>
      <c r="E72" s="1021">
        <f t="shared" si="2"/>
        <v>60908</v>
      </c>
      <c r="F72" s="1021">
        <f>SUM(F73:F74)</f>
        <v>908</v>
      </c>
      <c r="G72" s="1021">
        <f>SUM(G73:G74)</f>
        <v>60000</v>
      </c>
      <c r="H72" s="1021"/>
      <c r="I72" s="1022" t="s">
        <v>245</v>
      </c>
      <c r="J72" s="1022" t="s">
        <v>245</v>
      </c>
      <c r="K72" s="1021"/>
    </row>
    <row r="73" spans="1:11" x14ac:dyDescent="0.25">
      <c r="A73" s="1001"/>
      <c r="B73" s="1018" t="s">
        <v>496</v>
      </c>
      <c r="C73" s="1006">
        <v>15083</v>
      </c>
      <c r="D73" s="1006"/>
      <c r="E73" s="1006">
        <f t="shared" si="2"/>
        <v>15083</v>
      </c>
      <c r="F73" s="1006">
        <v>83</v>
      </c>
      <c r="G73" s="1006">
        <v>15000</v>
      </c>
      <c r="H73" s="1006"/>
      <c r="I73" s="1007" t="s">
        <v>245</v>
      </c>
      <c r="J73" s="1023"/>
      <c r="K73" s="1006"/>
    </row>
    <row r="74" spans="1:11" x14ac:dyDescent="0.25">
      <c r="A74" s="1001"/>
      <c r="B74" s="1018" t="s">
        <v>182</v>
      </c>
      <c r="C74" s="1010">
        <v>45825</v>
      </c>
      <c r="D74" s="1010"/>
      <c r="E74" s="1010">
        <f t="shared" si="2"/>
        <v>45825</v>
      </c>
      <c r="F74" s="1010">
        <v>825</v>
      </c>
      <c r="G74" s="1010">
        <v>45000</v>
      </c>
      <c r="H74" s="1010"/>
      <c r="I74" s="1011" t="s">
        <v>245</v>
      </c>
      <c r="J74" s="1011" t="s">
        <v>245</v>
      </c>
      <c r="K74" s="1010"/>
    </row>
    <row r="75" spans="1:11" x14ac:dyDescent="0.25">
      <c r="A75" s="1001" t="s">
        <v>208</v>
      </c>
      <c r="B75" s="1008" t="s">
        <v>817</v>
      </c>
      <c r="C75" s="1021">
        <f>SUM(C76+C77+C78+C79)</f>
        <v>25365928</v>
      </c>
      <c r="D75" s="1021">
        <f>SUM(D76+D77+D78+D79)</f>
        <v>-8249707</v>
      </c>
      <c r="E75" s="1021">
        <f t="shared" si="2"/>
        <v>17116221</v>
      </c>
      <c r="F75" s="1021">
        <f>SUM(F76+F77+F78+F79)</f>
        <v>2032903</v>
      </c>
      <c r="G75" s="1021">
        <f>SUM(G76+G77+G78+G79)</f>
        <v>15089144</v>
      </c>
      <c r="H75" s="1021">
        <f>SUM(H76+H77+H78+H79)</f>
        <v>-5826</v>
      </c>
      <c r="I75" s="1022" t="s">
        <v>245</v>
      </c>
      <c r="J75" s="1022"/>
      <c r="K75" s="1021"/>
    </row>
    <row r="76" spans="1:11" x14ac:dyDescent="0.25">
      <c r="A76" s="1001"/>
      <c r="B76" s="1024" t="s">
        <v>614</v>
      </c>
      <c r="C76" s="1010">
        <v>1649605</v>
      </c>
      <c r="D76" s="1010">
        <v>-301733</v>
      </c>
      <c r="E76" s="1010">
        <f t="shared" si="2"/>
        <v>1347872</v>
      </c>
      <c r="F76" s="1010">
        <v>273844</v>
      </c>
      <c r="G76" s="1010">
        <f>1197000+46000+130567+8020-301733</f>
        <v>1079854</v>
      </c>
      <c r="H76" s="1010">
        <f>-4420-1406</f>
        <v>-5826</v>
      </c>
      <c r="I76" s="1011" t="s">
        <v>245</v>
      </c>
      <c r="J76" s="1019"/>
      <c r="K76" s="1010"/>
    </row>
    <row r="77" spans="1:11" x14ac:dyDescent="0.25">
      <c r="A77" s="1001"/>
      <c r="B77" s="1005" t="s">
        <v>183</v>
      </c>
      <c r="C77" s="1006">
        <v>22505188</v>
      </c>
      <c r="D77" s="1006">
        <v>-7960484</v>
      </c>
      <c r="E77" s="1006">
        <f>SUM(C77:D77)</f>
        <v>14544704</v>
      </c>
      <c r="F77" s="1006">
        <f>1616018-110</f>
        <v>1615908</v>
      </c>
      <c r="G77" s="1006">
        <f>19376932+110000+18288+19000+671259+692785+1016-7960484</f>
        <v>12928796</v>
      </c>
      <c r="H77" s="1006"/>
      <c r="I77" s="1007" t="s">
        <v>245</v>
      </c>
      <c r="J77" s="1007" t="s">
        <v>245</v>
      </c>
      <c r="K77" s="1006"/>
    </row>
    <row r="78" spans="1:11" x14ac:dyDescent="0.25">
      <c r="A78" s="1001"/>
      <c r="B78" s="899" t="s">
        <v>114</v>
      </c>
      <c r="C78" s="1010">
        <v>1174511</v>
      </c>
      <c r="D78" s="1010">
        <v>12510</v>
      </c>
      <c r="E78" s="1010">
        <f>SUM(C78:D78)</f>
        <v>1187021</v>
      </c>
      <c r="F78" s="1010">
        <v>143151</v>
      </c>
      <c r="G78" s="1010">
        <f>985712+12830+1586+16406+14826+12510</f>
        <v>1043870</v>
      </c>
      <c r="H78" s="1010"/>
      <c r="I78" s="1011" t="s">
        <v>245</v>
      </c>
      <c r="J78" s="1019"/>
      <c r="K78" s="1010"/>
    </row>
    <row r="79" spans="1:11" x14ac:dyDescent="0.25">
      <c r="A79" s="1001"/>
      <c r="B79" s="899" t="s">
        <v>210</v>
      </c>
      <c r="C79" s="1006">
        <v>36624</v>
      </c>
      <c r="D79" s="1006"/>
      <c r="E79" s="1006">
        <f t="shared" ref="E79:E136" si="3">SUM(C79:D79)</f>
        <v>36624</v>
      </c>
      <c r="F79" s="1006"/>
      <c r="G79" s="1006">
        <f>10000+1012+18450+7162</f>
        <v>36624</v>
      </c>
      <c r="H79" s="1006"/>
      <c r="I79" s="1007" t="s">
        <v>245</v>
      </c>
      <c r="J79" s="1023"/>
      <c r="K79" s="1006"/>
    </row>
    <row r="80" spans="1:11" x14ac:dyDescent="0.25">
      <c r="A80" s="1001" t="s">
        <v>184</v>
      </c>
      <c r="B80" s="1008" t="s">
        <v>156</v>
      </c>
      <c r="C80" s="1025">
        <f t="shared" ref="C80:E80" si="4">SUM(C81+C86)</f>
        <v>1215478</v>
      </c>
      <c r="D80" s="1025">
        <f t="shared" si="4"/>
        <v>2649</v>
      </c>
      <c r="E80" s="1025">
        <f t="shared" si="4"/>
        <v>1218127</v>
      </c>
      <c r="F80" s="1025">
        <f>SUM(F81+F86)</f>
        <v>69520</v>
      </c>
      <c r="G80" s="1025">
        <f t="shared" ref="G80" si="5">SUM(G81+G86)</f>
        <v>1148607</v>
      </c>
      <c r="H80" s="1025"/>
      <c r="I80" s="1026" t="s">
        <v>245</v>
      </c>
      <c r="J80" s="1026" t="s">
        <v>245</v>
      </c>
      <c r="K80" s="1025"/>
    </row>
    <row r="81" spans="1:11" x14ac:dyDescent="0.25">
      <c r="A81" s="1001"/>
      <c r="B81" s="899" t="s">
        <v>185</v>
      </c>
      <c r="C81" s="1006">
        <v>1206691</v>
      </c>
      <c r="D81" s="1006">
        <v>2649</v>
      </c>
      <c r="E81" s="1006">
        <f t="shared" si="3"/>
        <v>1209340</v>
      </c>
      <c r="F81" s="1006">
        <v>68733</v>
      </c>
      <c r="G81" s="1006">
        <f>940568+29973+5000+187000-63500+561+13537+24819+2649</f>
        <v>1140607</v>
      </c>
      <c r="H81" s="1006"/>
      <c r="I81" s="1007" t="s">
        <v>245</v>
      </c>
      <c r="J81" s="1007" t="s">
        <v>245</v>
      </c>
      <c r="K81" s="1006"/>
    </row>
    <row r="82" spans="1:11" ht="47.25" x14ac:dyDescent="0.25">
      <c r="A82" s="1001"/>
      <c r="B82" s="496" t="s">
        <v>629</v>
      </c>
      <c r="C82" s="1016">
        <v>671392</v>
      </c>
      <c r="D82" s="1027"/>
      <c r="E82" s="1027">
        <f t="shared" si="3"/>
        <v>671392</v>
      </c>
      <c r="F82" s="1016">
        <v>42752</v>
      </c>
      <c r="G82" s="1027">
        <f>668798-63500+23342</f>
        <v>628640</v>
      </c>
      <c r="H82" s="1027"/>
      <c r="I82" s="1028" t="s">
        <v>245</v>
      </c>
      <c r="J82" s="1028"/>
      <c r="K82" s="1027"/>
    </row>
    <row r="83" spans="1:11" s="431" customFormat="1" x14ac:dyDescent="0.25">
      <c r="A83" s="1029"/>
      <c r="B83" s="496" t="s">
        <v>1242</v>
      </c>
      <c r="C83" s="1016">
        <v>18000</v>
      </c>
      <c r="D83" s="1027"/>
      <c r="E83" s="1027">
        <f t="shared" si="3"/>
        <v>18000</v>
      </c>
      <c r="F83" s="1016"/>
      <c r="G83" s="1027">
        <v>18000</v>
      </c>
      <c r="H83" s="1027"/>
      <c r="I83" s="1028" t="s">
        <v>245</v>
      </c>
      <c r="J83" s="1028"/>
      <c r="K83" s="1027"/>
    </row>
    <row r="84" spans="1:11" s="431" customFormat="1" ht="31.5" x14ac:dyDescent="0.25">
      <c r="A84" s="1029"/>
      <c r="B84" s="496" t="s">
        <v>1287</v>
      </c>
      <c r="C84" s="1016">
        <v>187000</v>
      </c>
      <c r="D84" s="1027"/>
      <c r="E84" s="1027">
        <f t="shared" si="3"/>
        <v>187000</v>
      </c>
      <c r="F84" s="1016"/>
      <c r="G84" s="1027">
        <v>187000</v>
      </c>
      <c r="H84" s="1027"/>
      <c r="I84" s="1028"/>
      <c r="J84" s="1015" t="s">
        <v>245</v>
      </c>
      <c r="K84" s="1027"/>
    </row>
    <row r="85" spans="1:11" x14ac:dyDescent="0.25">
      <c r="A85" s="1001"/>
      <c r="B85" s="496" t="s">
        <v>627</v>
      </c>
      <c r="C85" s="1016">
        <v>22797</v>
      </c>
      <c r="D85" s="1027"/>
      <c r="E85" s="1027">
        <f t="shared" si="3"/>
        <v>22797</v>
      </c>
      <c r="F85" s="1016">
        <v>7797</v>
      </c>
      <c r="G85" s="1027">
        <v>15000</v>
      </c>
      <c r="H85" s="1027"/>
      <c r="I85" s="1028"/>
      <c r="J85" s="1028" t="s">
        <v>245</v>
      </c>
      <c r="K85" s="1027"/>
    </row>
    <row r="86" spans="1:11" x14ac:dyDescent="0.25">
      <c r="A86" s="1001"/>
      <c r="B86" s="899" t="s">
        <v>526</v>
      </c>
      <c r="C86" s="1006">
        <v>8787</v>
      </c>
      <c r="D86" s="1006"/>
      <c r="E86" s="1006">
        <f t="shared" si="3"/>
        <v>8787</v>
      </c>
      <c r="F86" s="1006">
        <v>787</v>
      </c>
      <c r="G86" s="1006">
        <v>8000</v>
      </c>
      <c r="H86" s="1006"/>
      <c r="I86" s="1023"/>
      <c r="J86" s="1007" t="s">
        <v>245</v>
      </c>
      <c r="K86" s="1006"/>
    </row>
    <row r="87" spans="1:11" x14ac:dyDescent="0.25">
      <c r="A87" s="1001" t="s">
        <v>186</v>
      </c>
      <c r="B87" s="1008" t="s">
        <v>157</v>
      </c>
      <c r="C87" s="1030">
        <f>SUM(C88+C89+C97+C100+C102)</f>
        <v>4702677</v>
      </c>
      <c r="D87" s="1030">
        <f>SUM(D88+D89+D97+D100+D102)</f>
        <v>0</v>
      </c>
      <c r="E87" s="1030">
        <f t="shared" si="3"/>
        <v>4702677</v>
      </c>
      <c r="F87" s="1030">
        <f>SUM(F88+F89+F97+F100+F102)</f>
        <v>16865</v>
      </c>
      <c r="G87" s="1030">
        <f>SUM(G88+G89+G97+G100+G102)</f>
        <v>4685812</v>
      </c>
      <c r="H87" s="1030"/>
      <c r="I87" s="1031"/>
      <c r="J87" s="1031"/>
      <c r="K87" s="1030"/>
    </row>
    <row r="88" spans="1:11" x14ac:dyDescent="0.25">
      <c r="A88" s="1001"/>
      <c r="B88" s="1032" t="s">
        <v>187</v>
      </c>
      <c r="C88" s="1010">
        <v>4079816</v>
      </c>
      <c r="D88" s="1010"/>
      <c r="E88" s="1010">
        <f t="shared" si="3"/>
        <v>4079816</v>
      </c>
      <c r="F88" s="1010">
        <v>0</v>
      </c>
      <c r="G88" s="1010">
        <f>3773824+53991+70000+182001</f>
        <v>4079816</v>
      </c>
      <c r="H88" s="1010"/>
      <c r="I88" s="1011" t="s">
        <v>245</v>
      </c>
      <c r="J88" s="1019"/>
      <c r="K88" s="1010"/>
    </row>
    <row r="89" spans="1:11" x14ac:dyDescent="0.25">
      <c r="A89" s="1001"/>
      <c r="B89" s="1032" t="s">
        <v>188</v>
      </c>
      <c r="C89" s="1006">
        <v>61074</v>
      </c>
      <c r="D89" s="1006"/>
      <c r="E89" s="1006">
        <f t="shared" si="3"/>
        <v>61074</v>
      </c>
      <c r="F89" s="1006">
        <v>12911</v>
      </c>
      <c r="G89" s="1006">
        <v>48163</v>
      </c>
      <c r="H89" s="1006"/>
      <c r="I89" s="1007" t="s">
        <v>245</v>
      </c>
      <c r="J89" s="1007" t="s">
        <v>245</v>
      </c>
      <c r="K89" s="1006"/>
    </row>
    <row r="90" spans="1:11" ht="31.5" x14ac:dyDescent="0.25">
      <c r="A90" s="1001"/>
      <c r="B90" s="496" t="s">
        <v>236</v>
      </c>
      <c r="C90" s="1016">
        <v>15810</v>
      </c>
      <c r="D90" s="1027"/>
      <c r="E90" s="1027">
        <f t="shared" si="3"/>
        <v>15810</v>
      </c>
      <c r="F90" s="1016">
        <v>3810</v>
      </c>
      <c r="G90" s="1027">
        <v>12000</v>
      </c>
      <c r="H90" s="1027"/>
      <c r="I90" s="1028" t="s">
        <v>245</v>
      </c>
      <c r="J90" s="1028"/>
      <c r="K90" s="1027"/>
    </row>
    <row r="91" spans="1:11" x14ac:dyDescent="0.25">
      <c r="A91" s="1001"/>
      <c r="B91" s="496" t="s">
        <v>818</v>
      </c>
      <c r="C91" s="1016">
        <v>1000</v>
      </c>
      <c r="D91" s="1027"/>
      <c r="E91" s="1027">
        <f t="shared" si="3"/>
        <v>1000</v>
      </c>
      <c r="F91" s="1016"/>
      <c r="G91" s="1027">
        <v>1000</v>
      </c>
      <c r="H91" s="1027"/>
      <c r="I91" s="1028"/>
      <c r="J91" s="1028" t="s">
        <v>245</v>
      </c>
      <c r="K91" s="1027"/>
    </row>
    <row r="92" spans="1:11" x14ac:dyDescent="0.25">
      <c r="A92" s="1001"/>
      <c r="B92" s="496" t="s">
        <v>234</v>
      </c>
      <c r="C92" s="1016">
        <v>1961</v>
      </c>
      <c r="D92" s="1027"/>
      <c r="E92" s="1027">
        <f t="shared" si="3"/>
        <v>1961</v>
      </c>
      <c r="F92" s="1016"/>
      <c r="G92" s="1027">
        <v>1961</v>
      </c>
      <c r="H92" s="1027"/>
      <c r="I92" s="1028" t="s">
        <v>245</v>
      </c>
      <c r="J92" s="1028"/>
      <c r="K92" s="1027"/>
    </row>
    <row r="93" spans="1:11" ht="63" x14ac:dyDescent="0.25">
      <c r="A93" s="1001"/>
      <c r="B93" s="496" t="s">
        <v>497</v>
      </c>
      <c r="C93" s="1016">
        <v>20250</v>
      </c>
      <c r="D93" s="1027"/>
      <c r="E93" s="1027">
        <f t="shared" si="3"/>
        <v>20250</v>
      </c>
      <c r="F93" s="1016">
        <v>8250</v>
      </c>
      <c r="G93" s="1027">
        <v>12000</v>
      </c>
      <c r="H93" s="1027"/>
      <c r="I93" s="1028" t="s">
        <v>245</v>
      </c>
      <c r="J93" s="1028"/>
      <c r="K93" s="1027"/>
    </row>
    <row r="94" spans="1:11" ht="31.5" x14ac:dyDescent="0.25">
      <c r="A94" s="1001"/>
      <c r="B94" s="496" t="s">
        <v>530</v>
      </c>
      <c r="C94" s="1016">
        <v>21000</v>
      </c>
      <c r="D94" s="1027"/>
      <c r="E94" s="1027">
        <f t="shared" si="3"/>
        <v>21000</v>
      </c>
      <c r="F94" s="1016"/>
      <c r="G94" s="1027">
        <v>21000</v>
      </c>
      <c r="H94" s="1027"/>
      <c r="I94" s="1028" t="s">
        <v>245</v>
      </c>
      <c r="J94" s="1028"/>
      <c r="K94" s="1027"/>
    </row>
    <row r="95" spans="1:11" x14ac:dyDescent="0.25">
      <c r="A95" s="1001"/>
      <c r="B95" s="496" t="s">
        <v>235</v>
      </c>
      <c r="C95" s="1016">
        <v>202</v>
      </c>
      <c r="D95" s="1027"/>
      <c r="E95" s="1027">
        <f t="shared" si="3"/>
        <v>202</v>
      </c>
      <c r="F95" s="1016"/>
      <c r="G95" s="1027">
        <v>202</v>
      </c>
      <c r="H95" s="1027"/>
      <c r="I95" s="1028"/>
      <c r="J95" s="1028" t="s">
        <v>245</v>
      </c>
      <c r="K95" s="1027"/>
    </row>
    <row r="96" spans="1:11" x14ac:dyDescent="0.25">
      <c r="A96" s="1001"/>
      <c r="B96" s="496" t="s">
        <v>819</v>
      </c>
      <c r="C96" s="1016">
        <v>851</v>
      </c>
      <c r="D96" s="1027"/>
      <c r="E96" s="1027">
        <f t="shared" si="3"/>
        <v>851</v>
      </c>
      <c r="F96" s="1016">
        <v>851</v>
      </c>
      <c r="G96" s="1027"/>
      <c r="H96" s="1027"/>
      <c r="I96" s="1028" t="s">
        <v>245</v>
      </c>
      <c r="J96" s="1028"/>
      <c r="K96" s="1027"/>
    </row>
    <row r="97" spans="1:11" x14ac:dyDescent="0.25">
      <c r="A97" s="1001"/>
      <c r="B97" s="899" t="s">
        <v>616</v>
      </c>
      <c r="C97" s="1006">
        <v>504505</v>
      </c>
      <c r="D97" s="1006"/>
      <c r="E97" s="1006">
        <f t="shared" si="3"/>
        <v>504505</v>
      </c>
      <c r="F97" s="1006">
        <v>0</v>
      </c>
      <c r="G97" s="1006">
        <f>447740+56765</f>
        <v>504505</v>
      </c>
      <c r="H97" s="1006"/>
      <c r="I97" s="1007"/>
      <c r="J97" s="1007" t="s">
        <v>245</v>
      </c>
      <c r="K97" s="1006"/>
    </row>
    <row r="98" spans="1:11" x14ac:dyDescent="0.25">
      <c r="A98" s="1001"/>
      <c r="B98" s="496" t="s">
        <v>995</v>
      </c>
      <c r="C98" s="1016">
        <v>438005</v>
      </c>
      <c r="D98" s="1027"/>
      <c r="E98" s="1027">
        <f t="shared" si="3"/>
        <v>438005</v>
      </c>
      <c r="F98" s="1016"/>
      <c r="G98" s="1027">
        <f>381240+56765</f>
        <v>438005</v>
      </c>
      <c r="H98" s="1027"/>
      <c r="I98" s="1028"/>
      <c r="J98" s="1028" t="s">
        <v>245</v>
      </c>
      <c r="K98" s="1027"/>
    </row>
    <row r="99" spans="1:11" ht="31.5" x14ac:dyDescent="0.25">
      <c r="A99" s="1001"/>
      <c r="B99" s="496" t="s">
        <v>498</v>
      </c>
      <c r="C99" s="1016">
        <v>63000</v>
      </c>
      <c r="D99" s="1027"/>
      <c r="E99" s="1027">
        <f t="shared" si="3"/>
        <v>63000</v>
      </c>
      <c r="F99" s="1016"/>
      <c r="G99" s="1027">
        <v>63000</v>
      </c>
      <c r="H99" s="1027"/>
      <c r="I99" s="1028"/>
      <c r="J99" s="1028" t="s">
        <v>245</v>
      </c>
      <c r="K99" s="1027"/>
    </row>
    <row r="100" spans="1:11" x14ac:dyDescent="0.25">
      <c r="A100" s="1001"/>
      <c r="B100" s="670" t="s">
        <v>977</v>
      </c>
      <c r="C100" s="1006">
        <v>45529</v>
      </c>
      <c r="D100" s="1006"/>
      <c r="E100" s="1006">
        <f t="shared" si="3"/>
        <v>45529</v>
      </c>
      <c r="F100" s="1006">
        <v>3954</v>
      </c>
      <c r="G100" s="1006">
        <f>39575+2000</f>
        <v>41575</v>
      </c>
      <c r="H100" s="1006"/>
      <c r="I100" s="1007" t="s">
        <v>245</v>
      </c>
      <c r="J100" s="1007" t="s">
        <v>245</v>
      </c>
      <c r="K100" s="1006"/>
    </row>
    <row r="101" spans="1:11" x14ac:dyDescent="0.25">
      <c r="A101" s="1001"/>
      <c r="B101" s="496" t="s">
        <v>617</v>
      </c>
      <c r="C101" s="1016">
        <v>8000</v>
      </c>
      <c r="D101" s="1027"/>
      <c r="E101" s="1027">
        <f t="shared" si="3"/>
        <v>8000</v>
      </c>
      <c r="F101" s="1016"/>
      <c r="G101" s="1027">
        <f>6000+2000</f>
        <v>8000</v>
      </c>
      <c r="H101" s="1027"/>
      <c r="I101" s="1028"/>
      <c r="J101" s="1028" t="s">
        <v>245</v>
      </c>
      <c r="K101" s="1027"/>
    </row>
    <row r="102" spans="1:11" x14ac:dyDescent="0.25">
      <c r="A102" s="1001"/>
      <c r="B102" s="1018" t="s">
        <v>189</v>
      </c>
      <c r="C102" s="1006">
        <v>11753</v>
      </c>
      <c r="D102" s="1006"/>
      <c r="E102" s="1006">
        <f t="shared" si="3"/>
        <v>11753</v>
      </c>
      <c r="F102" s="1006"/>
      <c r="G102" s="1006">
        <f>9040+2713</f>
        <v>11753</v>
      </c>
      <c r="H102" s="1006"/>
      <c r="I102" s="1007" t="s">
        <v>245</v>
      </c>
      <c r="J102" s="1023"/>
      <c r="K102" s="1007" t="s">
        <v>245</v>
      </c>
    </row>
    <row r="103" spans="1:11" s="431" customFormat="1" x14ac:dyDescent="0.25">
      <c r="A103" s="1029"/>
      <c r="B103" s="1013" t="s">
        <v>996</v>
      </c>
      <c r="C103" s="1027">
        <v>8255</v>
      </c>
      <c r="D103" s="1027"/>
      <c r="E103" s="1027">
        <f t="shared" si="3"/>
        <v>8255</v>
      </c>
      <c r="F103" s="1027"/>
      <c r="G103" s="1027">
        <v>8255</v>
      </c>
      <c r="H103" s="1027"/>
      <c r="I103" s="1028"/>
      <c r="J103" s="1028" t="s">
        <v>245</v>
      </c>
      <c r="K103" s="1028"/>
    </row>
    <row r="104" spans="1:11" x14ac:dyDescent="0.25">
      <c r="A104" s="1001" t="s">
        <v>190</v>
      </c>
      <c r="B104" s="1008" t="s">
        <v>158</v>
      </c>
      <c r="C104" s="1030">
        <f>SUM(C105+C124+C136+C200+C203+C217+C221)</f>
        <v>2333701</v>
      </c>
      <c r="D104" s="1030">
        <f>SUM(D105+D124+D136+D200+D203+D217+D221)</f>
        <v>26543</v>
      </c>
      <c r="E104" s="1030">
        <f t="shared" si="3"/>
        <v>2360244</v>
      </c>
      <c r="F104" s="1030">
        <f>SUM(F105+F124+F136+F200+F203+F217+F221)</f>
        <v>32939</v>
      </c>
      <c r="G104" s="1030">
        <f>SUM(G105+G124+G136+G200+G203+G217+G221)</f>
        <v>2364260</v>
      </c>
      <c r="H104" s="1030">
        <f>SUM(H105+H124+H136+H200+H203+H217+H221)</f>
        <v>-36955</v>
      </c>
      <c r="I104" s="1031"/>
      <c r="J104" s="1031"/>
      <c r="K104" s="1030"/>
    </row>
    <row r="105" spans="1:11" x14ac:dyDescent="0.25">
      <c r="A105" s="1001"/>
      <c r="B105" s="1018" t="s">
        <v>191</v>
      </c>
      <c r="C105" s="1006">
        <v>241438</v>
      </c>
      <c r="D105" s="1006"/>
      <c r="E105" s="1006">
        <f t="shared" si="3"/>
        <v>241438</v>
      </c>
      <c r="F105" s="1006">
        <v>524</v>
      </c>
      <c r="G105" s="1006">
        <f>213914+30000-3000</f>
        <v>240914</v>
      </c>
      <c r="H105" s="1006"/>
      <c r="I105" s="1007" t="s">
        <v>245</v>
      </c>
      <c r="J105" s="1007" t="s">
        <v>245</v>
      </c>
      <c r="K105" s="1006"/>
    </row>
    <row r="106" spans="1:11" ht="31.5" x14ac:dyDescent="0.25">
      <c r="A106" s="1001"/>
      <c r="B106" s="496" t="s">
        <v>230</v>
      </c>
      <c r="C106" s="1016">
        <v>4005</v>
      </c>
      <c r="D106" s="1027"/>
      <c r="E106" s="1027">
        <f t="shared" si="3"/>
        <v>4005</v>
      </c>
      <c r="F106" s="1016"/>
      <c r="G106" s="1027">
        <v>4005</v>
      </c>
      <c r="H106" s="1027"/>
      <c r="I106" s="1028" t="s">
        <v>245</v>
      </c>
      <c r="J106" s="1028"/>
      <c r="K106" s="1027"/>
    </row>
    <row r="107" spans="1:11" ht="31.5" x14ac:dyDescent="0.25">
      <c r="A107" s="1001"/>
      <c r="B107" s="496" t="s">
        <v>231</v>
      </c>
      <c r="C107" s="1016">
        <v>2174</v>
      </c>
      <c r="D107" s="1027"/>
      <c r="E107" s="1027">
        <f t="shared" si="3"/>
        <v>2174</v>
      </c>
      <c r="F107" s="1016"/>
      <c r="G107" s="1027">
        <v>2174</v>
      </c>
      <c r="H107" s="1027"/>
      <c r="I107" s="1028" t="s">
        <v>245</v>
      </c>
      <c r="J107" s="1028"/>
      <c r="K107" s="1027"/>
    </row>
    <row r="108" spans="1:11" ht="31.5" x14ac:dyDescent="0.25">
      <c r="A108" s="1001"/>
      <c r="B108" s="496" t="s">
        <v>159</v>
      </c>
      <c r="C108" s="1016">
        <v>5000</v>
      </c>
      <c r="D108" s="1027"/>
      <c r="E108" s="1027">
        <f t="shared" si="3"/>
        <v>5000</v>
      </c>
      <c r="F108" s="1016"/>
      <c r="G108" s="1027">
        <v>5000</v>
      </c>
      <c r="H108" s="1027"/>
      <c r="I108" s="1028"/>
      <c r="J108" s="1028" t="s">
        <v>245</v>
      </c>
      <c r="K108" s="1027"/>
    </row>
    <row r="109" spans="1:11" ht="31.5" x14ac:dyDescent="0.25">
      <c r="A109" s="1001"/>
      <c r="B109" s="496" t="s">
        <v>160</v>
      </c>
      <c r="C109" s="1016">
        <v>5000</v>
      </c>
      <c r="D109" s="1027"/>
      <c r="E109" s="1027">
        <f t="shared" si="3"/>
        <v>5000</v>
      </c>
      <c r="F109" s="1016"/>
      <c r="G109" s="1027">
        <v>5000</v>
      </c>
      <c r="H109" s="1027"/>
      <c r="I109" s="1028"/>
      <c r="J109" s="1028" t="s">
        <v>245</v>
      </c>
      <c r="K109" s="1027"/>
    </row>
    <row r="110" spans="1:11" ht="31.5" x14ac:dyDescent="0.25">
      <c r="A110" s="1001"/>
      <c r="B110" s="496" t="s">
        <v>834</v>
      </c>
      <c r="C110" s="1016">
        <v>450</v>
      </c>
      <c r="D110" s="1027"/>
      <c r="E110" s="1027">
        <f t="shared" si="3"/>
        <v>450</v>
      </c>
      <c r="F110" s="1016"/>
      <c r="G110" s="1027">
        <v>450</v>
      </c>
      <c r="H110" s="1027"/>
      <c r="I110" s="1028"/>
      <c r="J110" s="1028" t="s">
        <v>245</v>
      </c>
      <c r="K110" s="1027"/>
    </row>
    <row r="111" spans="1:11" ht="31.5" x14ac:dyDescent="0.25">
      <c r="A111" s="1001"/>
      <c r="B111" s="496" t="s">
        <v>233</v>
      </c>
      <c r="C111" s="1016">
        <v>2000</v>
      </c>
      <c r="D111" s="1027"/>
      <c r="E111" s="1027">
        <f t="shared" si="3"/>
        <v>2000</v>
      </c>
      <c r="F111" s="1016"/>
      <c r="G111" s="1027">
        <v>5000</v>
      </c>
      <c r="H111" s="1027"/>
      <c r="I111" s="1028"/>
      <c r="J111" s="1028" t="s">
        <v>245</v>
      </c>
      <c r="K111" s="1027"/>
    </row>
    <row r="112" spans="1:11" x14ac:dyDescent="0.25">
      <c r="A112" s="1001"/>
      <c r="B112" s="496" t="s">
        <v>499</v>
      </c>
      <c r="C112" s="1016">
        <v>500</v>
      </c>
      <c r="D112" s="1027"/>
      <c r="E112" s="1027">
        <f t="shared" si="3"/>
        <v>500</v>
      </c>
      <c r="F112" s="1016"/>
      <c r="G112" s="1027">
        <v>500</v>
      </c>
      <c r="H112" s="1027"/>
      <c r="I112" s="1028"/>
      <c r="J112" s="1028" t="s">
        <v>245</v>
      </c>
      <c r="K112" s="1027"/>
    </row>
    <row r="113" spans="1:11" x14ac:dyDescent="0.25">
      <c r="A113" s="1001"/>
      <c r="B113" s="496" t="s">
        <v>1107</v>
      </c>
      <c r="C113" s="1016">
        <v>150</v>
      </c>
      <c r="D113" s="1027"/>
      <c r="E113" s="1027">
        <f t="shared" si="3"/>
        <v>150</v>
      </c>
      <c r="F113" s="1016"/>
      <c r="G113" s="1027">
        <v>150</v>
      </c>
      <c r="H113" s="1027"/>
      <c r="I113" s="1028"/>
      <c r="J113" s="1028" t="s">
        <v>245</v>
      </c>
      <c r="K113" s="1027"/>
    </row>
    <row r="114" spans="1:11" x14ac:dyDescent="0.25">
      <c r="A114" s="1001"/>
      <c r="B114" s="496" t="s">
        <v>1108</v>
      </c>
      <c r="C114" s="1016">
        <v>120000</v>
      </c>
      <c r="D114" s="1027"/>
      <c r="E114" s="1027">
        <f t="shared" si="3"/>
        <v>120000</v>
      </c>
      <c r="F114" s="1016"/>
      <c r="G114" s="1027">
        <f>150000-30000</f>
        <v>120000</v>
      </c>
      <c r="H114" s="1027"/>
      <c r="I114" s="1028"/>
      <c r="J114" s="1028" t="s">
        <v>245</v>
      </c>
      <c r="K114" s="1027"/>
    </row>
    <row r="115" spans="1:11" ht="31.5" x14ac:dyDescent="0.25">
      <c r="A115" s="1001"/>
      <c r="B115" s="496" t="s">
        <v>1385</v>
      </c>
      <c r="C115" s="1016">
        <v>30000</v>
      </c>
      <c r="D115" s="1027"/>
      <c r="E115" s="1027">
        <f t="shared" si="3"/>
        <v>30000</v>
      </c>
      <c r="F115" s="1016"/>
      <c r="G115" s="1027">
        <v>30000</v>
      </c>
      <c r="H115" s="1027"/>
      <c r="I115" s="1028"/>
      <c r="J115" s="1028" t="s">
        <v>245</v>
      </c>
      <c r="K115" s="1027"/>
    </row>
    <row r="116" spans="1:11" x14ac:dyDescent="0.25">
      <c r="A116" s="1001"/>
      <c r="B116" s="428" t="s">
        <v>1109</v>
      </c>
      <c r="C116" s="1016">
        <v>0</v>
      </c>
      <c r="D116" s="1027"/>
      <c r="E116" s="1027">
        <f t="shared" si="3"/>
        <v>0</v>
      </c>
      <c r="F116" s="1016"/>
      <c r="G116" s="1027">
        <v>0</v>
      </c>
      <c r="H116" s="1027"/>
      <c r="I116" s="1028"/>
      <c r="J116" s="1028" t="s">
        <v>245</v>
      </c>
      <c r="K116" s="1027"/>
    </row>
    <row r="117" spans="1:11" x14ac:dyDescent="0.25">
      <c r="A117" s="1001"/>
      <c r="B117" s="428" t="s">
        <v>1386</v>
      </c>
      <c r="C117" s="1016">
        <v>2360</v>
      </c>
      <c r="D117" s="1027"/>
      <c r="E117" s="1027">
        <f t="shared" si="3"/>
        <v>2360</v>
      </c>
      <c r="F117" s="1016"/>
      <c r="G117" s="1027">
        <v>2360</v>
      </c>
      <c r="H117" s="1027"/>
      <c r="I117" s="1028"/>
      <c r="J117" s="1028" t="s">
        <v>245</v>
      </c>
      <c r="K117" s="1027"/>
    </row>
    <row r="118" spans="1:11" x14ac:dyDescent="0.25">
      <c r="A118" s="1001"/>
      <c r="B118" s="496" t="s">
        <v>1110</v>
      </c>
      <c r="C118" s="1016">
        <v>2000</v>
      </c>
      <c r="D118" s="1027"/>
      <c r="E118" s="1027">
        <f t="shared" si="3"/>
        <v>2000</v>
      </c>
      <c r="F118" s="1016"/>
      <c r="G118" s="1027">
        <v>2000</v>
      </c>
      <c r="H118" s="1027"/>
      <c r="I118" s="1028"/>
      <c r="J118" s="1028" t="s">
        <v>245</v>
      </c>
      <c r="K118" s="1027"/>
    </row>
    <row r="119" spans="1:11" ht="31.5" x14ac:dyDescent="0.25">
      <c r="A119" s="1001"/>
      <c r="B119" s="496" t="s">
        <v>1111</v>
      </c>
      <c r="C119" s="1016">
        <v>8500</v>
      </c>
      <c r="D119" s="1027"/>
      <c r="E119" s="1027">
        <f t="shared" si="3"/>
        <v>8500</v>
      </c>
      <c r="F119" s="1016"/>
      <c r="G119" s="1027">
        <v>8500</v>
      </c>
      <c r="H119" s="1027"/>
      <c r="I119" s="1028"/>
      <c r="J119" s="1028" t="s">
        <v>245</v>
      </c>
      <c r="K119" s="1027"/>
    </row>
    <row r="120" spans="1:11" ht="31.5" x14ac:dyDescent="0.25">
      <c r="A120" s="1001"/>
      <c r="B120" s="496" t="s">
        <v>1112</v>
      </c>
      <c r="C120" s="1016">
        <v>1500</v>
      </c>
      <c r="D120" s="1027"/>
      <c r="E120" s="1027">
        <f t="shared" si="3"/>
        <v>1500</v>
      </c>
      <c r="F120" s="1016"/>
      <c r="G120" s="1027">
        <v>1500</v>
      </c>
      <c r="H120" s="1027"/>
      <c r="I120" s="1028"/>
      <c r="J120" s="1028" t="s">
        <v>245</v>
      </c>
      <c r="K120" s="1027"/>
    </row>
    <row r="121" spans="1:11" x14ac:dyDescent="0.25">
      <c r="A121" s="1001"/>
      <c r="B121" s="496" t="s">
        <v>1113</v>
      </c>
      <c r="C121" s="1016">
        <v>26000</v>
      </c>
      <c r="D121" s="1027"/>
      <c r="E121" s="1027">
        <f t="shared" si="3"/>
        <v>26000</v>
      </c>
      <c r="F121" s="1016"/>
      <c r="G121" s="1027">
        <v>26000</v>
      </c>
      <c r="H121" s="1027"/>
      <c r="I121" s="1028"/>
      <c r="J121" s="1028" t="s">
        <v>245</v>
      </c>
      <c r="K121" s="1027"/>
    </row>
    <row r="122" spans="1:11" ht="31.5" x14ac:dyDescent="0.25">
      <c r="A122" s="1001"/>
      <c r="B122" s="428" t="s">
        <v>1342</v>
      </c>
      <c r="C122" s="1016">
        <v>30000</v>
      </c>
      <c r="D122" s="1027"/>
      <c r="E122" s="1027">
        <f t="shared" si="3"/>
        <v>30000</v>
      </c>
      <c r="F122" s="1016"/>
      <c r="G122" s="1027">
        <v>30000</v>
      </c>
      <c r="H122" s="1027"/>
      <c r="I122" s="1028"/>
      <c r="J122" s="1028" t="s">
        <v>245</v>
      </c>
      <c r="K122" s="1027"/>
    </row>
    <row r="123" spans="1:11" x14ac:dyDescent="0.25">
      <c r="A123" s="1001"/>
      <c r="B123" s="428" t="s">
        <v>1114</v>
      </c>
      <c r="C123" s="1016">
        <v>1000</v>
      </c>
      <c r="D123" s="1027"/>
      <c r="E123" s="1027">
        <f t="shared" si="3"/>
        <v>1000</v>
      </c>
      <c r="F123" s="1016"/>
      <c r="G123" s="1027">
        <v>1000</v>
      </c>
      <c r="H123" s="1027"/>
      <c r="I123" s="1028"/>
      <c r="J123" s="1028" t="s">
        <v>245</v>
      </c>
      <c r="K123" s="1027"/>
    </row>
    <row r="124" spans="1:11" x14ac:dyDescent="0.25">
      <c r="A124" s="1001"/>
      <c r="B124" s="1018" t="s">
        <v>192</v>
      </c>
      <c r="C124" s="1010">
        <v>186240</v>
      </c>
      <c r="D124" s="1010"/>
      <c r="E124" s="1010">
        <f t="shared" si="3"/>
        <v>186240</v>
      </c>
      <c r="F124" s="1010">
        <f>9305+1885</f>
        <v>11190</v>
      </c>
      <c r="G124" s="1010">
        <f>114871+4198+5000+643+49500+1288</f>
        <v>175500</v>
      </c>
      <c r="H124" s="1010">
        <v>-450</v>
      </c>
      <c r="I124" s="1011" t="s">
        <v>245</v>
      </c>
      <c r="J124" s="1011" t="s">
        <v>245</v>
      </c>
      <c r="K124" s="1010"/>
    </row>
    <row r="125" spans="1:11" ht="31.5" x14ac:dyDescent="0.25">
      <c r="A125" s="1001"/>
      <c r="B125" s="496" t="s">
        <v>845</v>
      </c>
      <c r="C125" s="1020">
        <v>31288</v>
      </c>
      <c r="D125" s="1014"/>
      <c r="E125" s="1014">
        <f t="shared" si="3"/>
        <v>31288</v>
      </c>
      <c r="F125" s="1020"/>
      <c r="G125" s="1014">
        <f>30000+1288</f>
        <v>31288</v>
      </c>
      <c r="H125" s="1014"/>
      <c r="I125" s="1015"/>
      <c r="J125" s="1015" t="s">
        <v>245</v>
      </c>
      <c r="K125" s="1014"/>
    </row>
    <row r="126" spans="1:11" x14ac:dyDescent="0.25">
      <c r="A126" s="1001"/>
      <c r="B126" s="496" t="s">
        <v>219</v>
      </c>
      <c r="C126" s="1016">
        <v>29400</v>
      </c>
      <c r="D126" s="1027"/>
      <c r="E126" s="1027">
        <f t="shared" si="3"/>
        <v>29400</v>
      </c>
      <c r="F126" s="1016"/>
      <c r="G126" s="1027">
        <v>29400</v>
      </c>
      <c r="H126" s="1027"/>
      <c r="I126" s="1028" t="s">
        <v>245</v>
      </c>
      <c r="J126" s="1028"/>
      <c r="K126" s="1027"/>
    </row>
    <row r="127" spans="1:11" ht="47.25" x14ac:dyDescent="0.25">
      <c r="A127" s="1001"/>
      <c r="B127" s="496" t="s">
        <v>997</v>
      </c>
      <c r="C127" s="1016">
        <v>12000</v>
      </c>
      <c r="D127" s="1027"/>
      <c r="E127" s="1027">
        <f t="shared" si="3"/>
        <v>12000</v>
      </c>
      <c r="F127" s="1016"/>
      <c r="G127" s="1027">
        <v>12000</v>
      </c>
      <c r="H127" s="1027"/>
      <c r="I127" s="1028"/>
      <c r="J127" s="1028" t="s">
        <v>245</v>
      </c>
      <c r="K127" s="1027"/>
    </row>
    <row r="128" spans="1:11" x14ac:dyDescent="0.25">
      <c r="A128" s="1001"/>
      <c r="B128" s="496" t="s">
        <v>998</v>
      </c>
      <c r="C128" s="1016">
        <v>12000</v>
      </c>
      <c r="D128" s="1027"/>
      <c r="E128" s="1027">
        <f t="shared" si="3"/>
        <v>12000</v>
      </c>
      <c r="F128" s="1016"/>
      <c r="G128" s="1027">
        <v>12000</v>
      </c>
      <c r="H128" s="1027"/>
      <c r="I128" s="1028"/>
      <c r="J128" s="1028" t="s">
        <v>245</v>
      </c>
      <c r="K128" s="1027"/>
    </row>
    <row r="129" spans="1:11" ht="78.75" x14ac:dyDescent="0.25">
      <c r="A129" s="1001"/>
      <c r="B129" s="496" t="s">
        <v>844</v>
      </c>
      <c r="C129" s="1016">
        <v>4000</v>
      </c>
      <c r="D129" s="1027"/>
      <c r="E129" s="1027">
        <f t="shared" si="3"/>
        <v>4000</v>
      </c>
      <c r="F129" s="1016"/>
      <c r="G129" s="1027">
        <v>4000</v>
      </c>
      <c r="H129" s="1027"/>
      <c r="I129" s="1028"/>
      <c r="J129" s="1028" t="s">
        <v>245</v>
      </c>
      <c r="K129" s="1027"/>
    </row>
    <row r="130" spans="1:11" ht="31.5" x14ac:dyDescent="0.25">
      <c r="A130" s="1001"/>
      <c r="B130" s="496" t="s">
        <v>820</v>
      </c>
      <c r="C130" s="1016">
        <v>180</v>
      </c>
      <c r="D130" s="1027"/>
      <c r="E130" s="1027">
        <f t="shared" si="3"/>
        <v>180</v>
      </c>
      <c r="F130" s="1016"/>
      <c r="G130" s="1027">
        <v>180</v>
      </c>
      <c r="H130" s="1027"/>
      <c r="I130" s="1028"/>
      <c r="J130" s="1028" t="s">
        <v>245</v>
      </c>
      <c r="K130" s="1027"/>
    </row>
    <row r="131" spans="1:11" x14ac:dyDescent="0.25">
      <c r="A131" s="1001"/>
      <c r="B131" s="496" t="s">
        <v>837</v>
      </c>
      <c r="C131" s="1016">
        <v>500</v>
      </c>
      <c r="D131" s="1027"/>
      <c r="E131" s="1027">
        <f t="shared" si="3"/>
        <v>500</v>
      </c>
      <c r="F131" s="1016"/>
      <c r="G131" s="1027">
        <v>500</v>
      </c>
      <c r="H131" s="1027"/>
      <c r="I131" s="1028"/>
      <c r="J131" s="1028" t="s">
        <v>245</v>
      </c>
      <c r="K131" s="1027"/>
    </row>
    <row r="132" spans="1:11" ht="31.5" x14ac:dyDescent="0.25">
      <c r="A132" s="1001"/>
      <c r="B132" s="496" t="s">
        <v>1243</v>
      </c>
      <c r="C132" s="1016">
        <v>2000</v>
      </c>
      <c r="D132" s="1027"/>
      <c r="E132" s="1027">
        <f t="shared" si="3"/>
        <v>2000</v>
      </c>
      <c r="F132" s="1016"/>
      <c r="G132" s="1027">
        <v>2000</v>
      </c>
      <c r="H132" s="1027"/>
      <c r="I132" s="1028"/>
      <c r="J132" s="1028" t="s">
        <v>245</v>
      </c>
      <c r="K132" s="1027"/>
    </row>
    <row r="133" spans="1:11" ht="31.5" x14ac:dyDescent="0.25">
      <c r="A133" s="1001"/>
      <c r="B133" s="496" t="s">
        <v>821</v>
      </c>
      <c r="C133" s="1016">
        <v>74050</v>
      </c>
      <c r="D133" s="1027"/>
      <c r="E133" s="1027">
        <f t="shared" si="3"/>
        <v>74050</v>
      </c>
      <c r="F133" s="1016"/>
      <c r="G133" s="1027">
        <f>20000+5000+49500</f>
        <v>74500</v>
      </c>
      <c r="H133" s="1027">
        <v>-450</v>
      </c>
      <c r="I133" s="1028"/>
      <c r="J133" s="1028" t="s">
        <v>245</v>
      </c>
      <c r="K133" s="1027"/>
    </row>
    <row r="134" spans="1:11" ht="31.5" x14ac:dyDescent="0.25">
      <c r="A134" s="1001"/>
      <c r="B134" s="496" t="s">
        <v>999</v>
      </c>
      <c r="C134" s="1016">
        <v>3500</v>
      </c>
      <c r="D134" s="1027"/>
      <c r="E134" s="1027">
        <f t="shared" si="3"/>
        <v>3500</v>
      </c>
      <c r="F134" s="1016"/>
      <c r="G134" s="1027">
        <v>3500</v>
      </c>
      <c r="H134" s="1027"/>
      <c r="I134" s="1028"/>
      <c r="J134" s="1028" t="s">
        <v>245</v>
      </c>
      <c r="K134" s="1027"/>
    </row>
    <row r="135" spans="1:11" ht="31.5" x14ac:dyDescent="0.25">
      <c r="A135" s="1001"/>
      <c r="B135" s="496" t="s">
        <v>822</v>
      </c>
      <c r="C135" s="1016">
        <v>2000</v>
      </c>
      <c r="D135" s="1027"/>
      <c r="E135" s="1027">
        <f t="shared" si="3"/>
        <v>2000</v>
      </c>
      <c r="F135" s="1016"/>
      <c r="G135" s="1027">
        <v>2000</v>
      </c>
      <c r="H135" s="1027"/>
      <c r="I135" s="1028"/>
      <c r="J135" s="1028" t="s">
        <v>245</v>
      </c>
      <c r="K135" s="1027"/>
    </row>
    <row r="136" spans="1:11" x14ac:dyDescent="0.25">
      <c r="A136" s="1001"/>
      <c r="B136" s="1005" t="s">
        <v>193</v>
      </c>
      <c r="C136" s="1006">
        <v>758997</v>
      </c>
      <c r="D136" s="1006">
        <v>-2299</v>
      </c>
      <c r="E136" s="1006">
        <f t="shared" si="3"/>
        <v>756698</v>
      </c>
      <c r="F136" s="1006">
        <f>42189-24500</f>
        <v>17689</v>
      </c>
      <c r="G136" s="1006">
        <f>638245+500+490+1000+1900+2387-5000+21100+7620+20000+2882+2500+2000+12000+4500+20000+500-1500-1000-1500+800+2300+2500+700+12000</f>
        <v>746924</v>
      </c>
      <c r="H136" s="1006">
        <f>-275-800-244-394-531-400-400-1106-1466-2299</f>
        <v>-7915</v>
      </c>
      <c r="I136" s="1007" t="s">
        <v>245</v>
      </c>
      <c r="J136" s="1007" t="s">
        <v>245</v>
      </c>
      <c r="K136" s="1006"/>
    </row>
    <row r="137" spans="1:11" x14ac:dyDescent="0.25">
      <c r="A137" s="1001"/>
      <c r="B137" s="1033" t="s">
        <v>223</v>
      </c>
      <c r="C137" s="1016"/>
      <c r="D137" s="1027"/>
      <c r="E137" s="1027"/>
      <c r="F137" s="1016"/>
      <c r="G137" s="1027"/>
      <c r="H137" s="1027"/>
      <c r="I137" s="1028"/>
      <c r="J137" s="1028"/>
      <c r="K137" s="1027"/>
    </row>
    <row r="138" spans="1:11" x14ac:dyDescent="0.25">
      <c r="A138" s="1001"/>
      <c r="B138" s="496" t="s">
        <v>1115</v>
      </c>
      <c r="C138" s="1016">
        <v>5331</v>
      </c>
      <c r="D138" s="1027"/>
      <c r="E138" s="1027">
        <f t="shared" ref="E138:E223" si="6">SUM(C138:D138)</f>
        <v>5331</v>
      </c>
      <c r="F138" s="1016">
        <v>131</v>
      </c>
      <c r="G138" s="1027">
        <v>5200</v>
      </c>
      <c r="H138" s="1027"/>
      <c r="I138" s="1028" t="s">
        <v>245</v>
      </c>
      <c r="J138" s="1028"/>
      <c r="K138" s="1027"/>
    </row>
    <row r="139" spans="1:11" x14ac:dyDescent="0.25">
      <c r="A139" s="1001"/>
      <c r="B139" s="428" t="s">
        <v>1118</v>
      </c>
      <c r="C139" s="1016">
        <v>22000</v>
      </c>
      <c r="D139" s="1027"/>
      <c r="E139" s="1027">
        <f t="shared" si="6"/>
        <v>22000</v>
      </c>
      <c r="F139" s="1016"/>
      <c r="G139" s="1027">
        <v>22000</v>
      </c>
      <c r="H139" s="1027"/>
      <c r="I139" s="1028"/>
      <c r="J139" s="1028" t="s">
        <v>245</v>
      </c>
      <c r="K139" s="1027"/>
    </row>
    <row r="140" spans="1:11" x14ac:dyDescent="0.25">
      <c r="A140" s="1001"/>
      <c r="B140" s="428" t="s">
        <v>1117</v>
      </c>
      <c r="C140" s="1016">
        <v>6870</v>
      </c>
      <c r="D140" s="1014"/>
      <c r="E140" s="1014">
        <f t="shared" si="6"/>
        <v>6870</v>
      </c>
      <c r="F140" s="1016"/>
      <c r="G140" s="1014">
        <f>4570+2300</f>
        <v>6870</v>
      </c>
      <c r="H140" s="1014"/>
      <c r="I140" s="1015"/>
      <c r="J140" s="1028" t="s">
        <v>245</v>
      </c>
      <c r="K140" s="1014"/>
    </row>
    <row r="141" spans="1:11" ht="31.5" x14ac:dyDescent="0.25">
      <c r="A141" s="1001"/>
      <c r="B141" s="428" t="s">
        <v>1116</v>
      </c>
      <c r="C141" s="1016">
        <v>1256</v>
      </c>
      <c r="D141" s="1014"/>
      <c r="E141" s="1014">
        <f t="shared" si="6"/>
        <v>1256</v>
      </c>
      <c r="F141" s="1016"/>
      <c r="G141" s="1014">
        <v>1256</v>
      </c>
      <c r="H141" s="1014"/>
      <c r="I141" s="1015"/>
      <c r="J141" s="1028" t="s">
        <v>245</v>
      </c>
      <c r="K141" s="1014"/>
    </row>
    <row r="142" spans="1:11" x14ac:dyDescent="0.25">
      <c r="A142" s="1001"/>
      <c r="B142" s="1033" t="s">
        <v>224</v>
      </c>
      <c r="C142" s="1016"/>
      <c r="D142" s="1027"/>
      <c r="E142" s="1027"/>
      <c r="F142" s="1016"/>
      <c r="G142" s="1027"/>
      <c r="H142" s="1027"/>
      <c r="I142" s="1028"/>
      <c r="J142" s="1028"/>
      <c r="K142" s="1027"/>
    </row>
    <row r="143" spans="1:11" x14ac:dyDescent="0.25">
      <c r="A143" s="1001"/>
      <c r="B143" s="1017" t="s">
        <v>500</v>
      </c>
      <c r="C143" s="1016">
        <v>1000</v>
      </c>
      <c r="D143" s="1027"/>
      <c r="E143" s="1027">
        <f t="shared" si="6"/>
        <v>1000</v>
      </c>
      <c r="F143" s="1016"/>
      <c r="G143" s="1027">
        <v>1000</v>
      </c>
      <c r="H143" s="1027"/>
      <c r="I143" s="1028"/>
      <c r="J143" s="1028" t="s">
        <v>245</v>
      </c>
      <c r="K143" s="1027"/>
    </row>
    <row r="144" spans="1:11" ht="47.25" x14ac:dyDescent="0.25">
      <c r="A144" s="1001"/>
      <c r="B144" s="1017" t="s">
        <v>1343</v>
      </c>
      <c r="C144" s="1016">
        <v>2000</v>
      </c>
      <c r="D144" s="1027"/>
      <c r="E144" s="1027">
        <f t="shared" si="6"/>
        <v>2000</v>
      </c>
      <c r="F144" s="1016"/>
      <c r="G144" s="1027">
        <v>2000</v>
      </c>
      <c r="H144" s="1027"/>
      <c r="I144" s="1028"/>
      <c r="J144" s="1028" t="s">
        <v>245</v>
      </c>
      <c r="K144" s="1027"/>
    </row>
    <row r="145" spans="1:11" x14ac:dyDescent="0.25">
      <c r="A145" s="1001"/>
      <c r="B145" s="1017" t="s">
        <v>220</v>
      </c>
      <c r="C145" s="1016">
        <v>3000</v>
      </c>
      <c r="D145" s="1027"/>
      <c r="E145" s="1027">
        <f t="shared" si="6"/>
        <v>3000</v>
      </c>
      <c r="F145" s="1016"/>
      <c r="G145" s="1027">
        <v>3000</v>
      </c>
      <c r="H145" s="1027"/>
      <c r="I145" s="1028"/>
      <c r="J145" s="1028" t="s">
        <v>245</v>
      </c>
      <c r="K145" s="1027"/>
    </row>
    <row r="146" spans="1:11" x14ac:dyDescent="0.25">
      <c r="A146" s="1001"/>
      <c r="B146" s="1017" t="s">
        <v>823</v>
      </c>
      <c r="C146" s="1016">
        <v>18000</v>
      </c>
      <c r="D146" s="1027"/>
      <c r="E146" s="1027">
        <f t="shared" si="6"/>
        <v>18000</v>
      </c>
      <c r="F146" s="1016"/>
      <c r="G146" s="1027">
        <v>18000</v>
      </c>
      <c r="H146" s="1027"/>
      <c r="I146" s="1028"/>
      <c r="J146" s="1028" t="s">
        <v>245</v>
      </c>
      <c r="K146" s="1027"/>
    </row>
    <row r="147" spans="1:11" x14ac:dyDescent="0.25">
      <c r="A147" s="1001"/>
      <c r="B147" s="1017" t="s">
        <v>824</v>
      </c>
      <c r="C147" s="1016">
        <v>10000</v>
      </c>
      <c r="D147" s="1027"/>
      <c r="E147" s="1027">
        <f t="shared" si="6"/>
        <v>10000</v>
      </c>
      <c r="F147" s="1016"/>
      <c r="G147" s="1027">
        <v>10000</v>
      </c>
      <c r="H147" s="1027"/>
      <c r="I147" s="1028"/>
      <c r="J147" s="1028" t="s">
        <v>245</v>
      </c>
      <c r="K147" s="1027"/>
    </row>
    <row r="148" spans="1:11" x14ac:dyDescent="0.25">
      <c r="A148" s="1001"/>
      <c r="B148" s="1017" t="s">
        <v>239</v>
      </c>
      <c r="C148" s="1016">
        <v>1600</v>
      </c>
      <c r="D148" s="1027"/>
      <c r="E148" s="1027">
        <f t="shared" si="6"/>
        <v>1600</v>
      </c>
      <c r="F148" s="1016"/>
      <c r="G148" s="1027">
        <v>1600</v>
      </c>
      <c r="H148" s="1027"/>
      <c r="I148" s="1028"/>
      <c r="J148" s="1028" t="s">
        <v>245</v>
      </c>
      <c r="K148" s="1027"/>
    </row>
    <row r="149" spans="1:11" x14ac:dyDescent="0.25">
      <c r="A149" s="1001"/>
      <c r="B149" s="1017" t="s">
        <v>240</v>
      </c>
      <c r="C149" s="1016">
        <v>1000</v>
      </c>
      <c r="D149" s="1027"/>
      <c r="E149" s="1027">
        <f t="shared" si="6"/>
        <v>1000</v>
      </c>
      <c r="F149" s="1016"/>
      <c r="G149" s="1027">
        <v>1000</v>
      </c>
      <c r="H149" s="1027"/>
      <c r="I149" s="1028"/>
      <c r="J149" s="1028" t="s">
        <v>245</v>
      </c>
      <c r="K149" s="1027"/>
    </row>
    <row r="150" spans="1:11" x14ac:dyDescent="0.25">
      <c r="A150" s="1001"/>
      <c r="B150" s="1017" t="s">
        <v>169</v>
      </c>
      <c r="C150" s="1016">
        <v>2650</v>
      </c>
      <c r="D150" s="1027"/>
      <c r="E150" s="1027">
        <f t="shared" si="6"/>
        <v>2650</v>
      </c>
      <c r="F150" s="1016"/>
      <c r="G150" s="1027">
        <v>2650</v>
      </c>
      <c r="H150" s="1027"/>
      <c r="I150" s="1028"/>
      <c r="J150" s="1028" t="s">
        <v>245</v>
      </c>
      <c r="K150" s="1027"/>
    </row>
    <row r="151" spans="1:11" x14ac:dyDescent="0.25">
      <c r="A151" s="1001"/>
      <c r="B151" s="1017" t="s">
        <v>171</v>
      </c>
      <c r="C151" s="1016">
        <v>1200</v>
      </c>
      <c r="D151" s="1027"/>
      <c r="E151" s="1027">
        <f t="shared" si="6"/>
        <v>1200</v>
      </c>
      <c r="F151" s="1016"/>
      <c r="G151" s="1027">
        <v>1200</v>
      </c>
      <c r="H151" s="1027"/>
      <c r="I151" s="1028"/>
      <c r="J151" s="1028" t="s">
        <v>245</v>
      </c>
      <c r="K151" s="1027"/>
    </row>
    <row r="152" spans="1:11" x14ac:dyDescent="0.25">
      <c r="A152" s="1001"/>
      <c r="B152" s="1017" t="s">
        <v>241</v>
      </c>
      <c r="C152" s="1016">
        <v>1000</v>
      </c>
      <c r="D152" s="1027"/>
      <c r="E152" s="1027">
        <f t="shared" si="6"/>
        <v>1000</v>
      </c>
      <c r="F152" s="1016"/>
      <c r="G152" s="1027">
        <v>1000</v>
      </c>
      <c r="H152" s="1027"/>
      <c r="I152" s="1028"/>
      <c r="J152" s="1028" t="s">
        <v>245</v>
      </c>
      <c r="K152" s="1027"/>
    </row>
    <row r="153" spans="1:11" x14ac:dyDescent="0.25">
      <c r="A153" s="1001"/>
      <c r="B153" s="1017" t="s">
        <v>170</v>
      </c>
      <c r="C153" s="1016">
        <v>1000</v>
      </c>
      <c r="D153" s="1027"/>
      <c r="E153" s="1027">
        <f t="shared" si="6"/>
        <v>1000</v>
      </c>
      <c r="F153" s="1016"/>
      <c r="G153" s="1027">
        <v>1000</v>
      </c>
      <c r="H153" s="1027"/>
      <c r="I153" s="1028"/>
      <c r="J153" s="1028" t="s">
        <v>245</v>
      </c>
      <c r="K153" s="1027"/>
    </row>
    <row r="154" spans="1:11" x14ac:dyDescent="0.25">
      <c r="A154" s="1001"/>
      <c r="B154" s="1017" t="s">
        <v>214</v>
      </c>
      <c r="C154" s="1016">
        <v>11000</v>
      </c>
      <c r="D154" s="1027"/>
      <c r="E154" s="1027">
        <f t="shared" si="6"/>
        <v>11000</v>
      </c>
      <c r="F154" s="1016">
        <v>3000</v>
      </c>
      <c r="G154" s="1027">
        <v>8000</v>
      </c>
      <c r="H154" s="1027"/>
      <c r="I154" s="1028"/>
      <c r="J154" s="1028" t="s">
        <v>245</v>
      </c>
      <c r="K154" s="1027"/>
    </row>
    <row r="155" spans="1:11" ht="31.5" x14ac:dyDescent="0.25">
      <c r="A155" s="1001"/>
      <c r="B155" s="1017" t="s">
        <v>229</v>
      </c>
      <c r="C155" s="1016">
        <v>1100</v>
      </c>
      <c r="D155" s="1027"/>
      <c r="E155" s="1027">
        <f t="shared" si="6"/>
        <v>1100</v>
      </c>
      <c r="F155" s="1016"/>
      <c r="G155" s="1027">
        <v>1100</v>
      </c>
      <c r="H155" s="1027"/>
      <c r="I155" s="1028"/>
      <c r="J155" s="1028" t="s">
        <v>245</v>
      </c>
      <c r="K155" s="1027"/>
    </row>
    <row r="156" spans="1:11" x14ac:dyDescent="0.25">
      <c r="A156" s="1001"/>
      <c r="B156" s="1017" t="s">
        <v>225</v>
      </c>
      <c r="C156" s="1016">
        <v>4100</v>
      </c>
      <c r="D156" s="1027"/>
      <c r="E156" s="1027">
        <f t="shared" si="6"/>
        <v>4100</v>
      </c>
      <c r="F156" s="1016"/>
      <c r="G156" s="1027">
        <v>4100</v>
      </c>
      <c r="H156" s="1027"/>
      <c r="I156" s="1028"/>
      <c r="J156" s="1028" t="s">
        <v>245</v>
      </c>
      <c r="K156" s="1027"/>
    </row>
    <row r="157" spans="1:11" x14ac:dyDescent="0.25">
      <c r="A157" s="1001"/>
      <c r="B157" s="1017" t="s">
        <v>1387</v>
      </c>
      <c r="C157" s="1016">
        <v>700</v>
      </c>
      <c r="D157" s="1027"/>
      <c r="E157" s="1027">
        <f t="shared" si="6"/>
        <v>700</v>
      </c>
      <c r="F157" s="1016"/>
      <c r="G157" s="1027">
        <v>700</v>
      </c>
      <c r="H157" s="1027"/>
      <c r="I157" s="1028"/>
      <c r="J157" s="1028" t="s">
        <v>245</v>
      </c>
      <c r="K157" s="1027"/>
    </row>
    <row r="158" spans="1:11" x14ac:dyDescent="0.25">
      <c r="A158" s="1001"/>
      <c r="B158" s="1017" t="s">
        <v>242</v>
      </c>
      <c r="C158" s="1016">
        <v>3882</v>
      </c>
      <c r="D158" s="1027"/>
      <c r="E158" s="1027">
        <f t="shared" si="6"/>
        <v>3882</v>
      </c>
      <c r="F158" s="1016"/>
      <c r="G158" s="1027">
        <f>3000+882</f>
        <v>3882</v>
      </c>
      <c r="H158" s="1027"/>
      <c r="I158" s="1028"/>
      <c r="J158" s="1028" t="s">
        <v>245</v>
      </c>
      <c r="K158" s="1027"/>
    </row>
    <row r="159" spans="1:11" x14ac:dyDescent="0.25">
      <c r="A159" s="1001"/>
      <c r="B159" s="1017" t="s">
        <v>1388</v>
      </c>
      <c r="C159" s="1016">
        <v>2500</v>
      </c>
      <c r="D159" s="1027"/>
      <c r="E159" s="1027">
        <f t="shared" si="6"/>
        <v>2500</v>
      </c>
      <c r="F159" s="1016"/>
      <c r="G159" s="1027">
        <v>2500</v>
      </c>
      <c r="H159" s="1027"/>
      <c r="I159" s="1028"/>
      <c r="J159" s="1028" t="s">
        <v>245</v>
      </c>
      <c r="K159" s="1027"/>
    </row>
    <row r="160" spans="1:11" x14ac:dyDescent="0.25">
      <c r="A160" s="1001"/>
      <c r="B160" s="1017" t="s">
        <v>825</v>
      </c>
      <c r="C160" s="1020">
        <v>21000</v>
      </c>
      <c r="D160" s="1014"/>
      <c r="E160" s="1014">
        <f t="shared" si="6"/>
        <v>21000</v>
      </c>
      <c r="F160" s="1020"/>
      <c r="G160" s="1014">
        <v>21000</v>
      </c>
      <c r="H160" s="1014"/>
      <c r="I160" s="1015"/>
      <c r="J160" s="1028" t="s">
        <v>245</v>
      </c>
      <c r="K160" s="1014"/>
    </row>
    <row r="161" spans="1:11" ht="31.5" x14ac:dyDescent="0.25">
      <c r="A161" s="1001"/>
      <c r="B161" s="1017" t="s">
        <v>528</v>
      </c>
      <c r="C161" s="1016">
        <v>100</v>
      </c>
      <c r="D161" s="1027"/>
      <c r="E161" s="1027">
        <f t="shared" si="6"/>
        <v>100</v>
      </c>
      <c r="F161" s="1016"/>
      <c r="G161" s="1027">
        <v>100</v>
      </c>
      <c r="H161" s="1027"/>
      <c r="I161" s="1028"/>
      <c r="J161" s="1028" t="s">
        <v>245</v>
      </c>
      <c r="K161" s="1027"/>
    </row>
    <row r="162" spans="1:11" x14ac:dyDescent="0.25">
      <c r="A162" s="1001"/>
      <c r="B162" s="1017" t="s">
        <v>501</v>
      </c>
      <c r="C162" s="1016">
        <v>63743</v>
      </c>
      <c r="D162" s="1027"/>
      <c r="E162" s="1027">
        <f t="shared" si="6"/>
        <v>63743</v>
      </c>
      <c r="F162" s="1016"/>
      <c r="G162" s="1027">
        <f>61243+2500</f>
        <v>63743</v>
      </c>
      <c r="H162" s="1027"/>
      <c r="I162" s="1028"/>
      <c r="J162" s="1028" t="s">
        <v>245</v>
      </c>
      <c r="K162" s="1027"/>
    </row>
    <row r="163" spans="1:11" ht="47.25" x14ac:dyDescent="0.25">
      <c r="A163" s="1001"/>
      <c r="B163" s="1017" t="s">
        <v>1192</v>
      </c>
      <c r="C163" s="1016">
        <v>490</v>
      </c>
      <c r="D163" s="1027"/>
      <c r="E163" s="1027">
        <f t="shared" si="6"/>
        <v>490</v>
      </c>
      <c r="F163" s="1016"/>
      <c r="G163" s="1027">
        <v>490</v>
      </c>
      <c r="H163" s="1027"/>
      <c r="I163" s="1028"/>
      <c r="J163" s="1028" t="s">
        <v>245</v>
      </c>
      <c r="K163" s="1027"/>
    </row>
    <row r="164" spans="1:11" x14ac:dyDescent="0.25">
      <c r="A164" s="1001"/>
      <c r="B164" s="1017" t="s">
        <v>835</v>
      </c>
      <c r="C164" s="1016">
        <v>344004</v>
      </c>
      <c r="D164" s="1027"/>
      <c r="E164" s="1027">
        <f t="shared" si="6"/>
        <v>344004</v>
      </c>
      <c r="F164" s="1016">
        <f>36040-27500</f>
        <v>8540</v>
      </c>
      <c r="G164" s="1027">
        <f>333564+1900</f>
        <v>335464</v>
      </c>
      <c r="H164" s="1027"/>
      <c r="I164" s="1028"/>
      <c r="J164" s="1028" t="s">
        <v>245</v>
      </c>
      <c r="K164" s="1027"/>
    </row>
    <row r="165" spans="1:11" x14ac:dyDescent="0.25">
      <c r="A165" s="1001"/>
      <c r="B165" s="1017" t="s">
        <v>502</v>
      </c>
      <c r="C165" s="1020">
        <v>20000</v>
      </c>
      <c r="D165" s="1014"/>
      <c r="E165" s="1014">
        <f t="shared" si="6"/>
        <v>20000</v>
      </c>
      <c r="F165" s="1020"/>
      <c r="G165" s="1014">
        <v>20000</v>
      </c>
      <c r="H165" s="1014"/>
      <c r="I165" s="1015"/>
      <c r="J165" s="1028" t="s">
        <v>245</v>
      </c>
      <c r="K165" s="1014"/>
    </row>
    <row r="166" spans="1:11" ht="31.5" x14ac:dyDescent="0.25">
      <c r="A166" s="1001"/>
      <c r="B166" s="1017" t="s">
        <v>1244</v>
      </c>
      <c r="C166" s="1020">
        <v>52000</v>
      </c>
      <c r="D166" s="1014"/>
      <c r="E166" s="1014">
        <f t="shared" si="6"/>
        <v>52000</v>
      </c>
      <c r="F166" s="1020"/>
      <c r="G166" s="1014">
        <f>20000+20000+12000</f>
        <v>52000</v>
      </c>
      <c r="H166" s="1014"/>
      <c r="I166" s="1015"/>
      <c r="J166" s="1028" t="s">
        <v>245</v>
      </c>
      <c r="K166" s="1014"/>
    </row>
    <row r="167" spans="1:11" x14ac:dyDescent="0.25">
      <c r="A167" s="1001"/>
      <c r="B167" s="1017" t="s">
        <v>503</v>
      </c>
      <c r="C167" s="1016">
        <v>2000</v>
      </c>
      <c r="D167" s="1027"/>
      <c r="E167" s="1027">
        <f t="shared" si="6"/>
        <v>2000</v>
      </c>
      <c r="F167" s="1016"/>
      <c r="G167" s="1027">
        <v>2000</v>
      </c>
      <c r="H167" s="1027"/>
      <c r="I167" s="1028"/>
      <c r="J167" s="1028" t="s">
        <v>245</v>
      </c>
      <c r="K167" s="1027"/>
    </row>
    <row r="168" spans="1:11" x14ac:dyDescent="0.25">
      <c r="A168" s="1001"/>
      <c r="B168" s="1017" t="s">
        <v>221</v>
      </c>
      <c r="C168" s="1016">
        <v>2500</v>
      </c>
      <c r="D168" s="1027"/>
      <c r="E168" s="1027">
        <f t="shared" si="6"/>
        <v>2500</v>
      </c>
      <c r="F168" s="1016"/>
      <c r="G168" s="1027">
        <v>2500</v>
      </c>
      <c r="H168" s="1027"/>
      <c r="I168" s="1028"/>
      <c r="J168" s="1028" t="s">
        <v>245</v>
      </c>
      <c r="K168" s="1027"/>
    </row>
    <row r="169" spans="1:11" x14ac:dyDescent="0.25">
      <c r="A169" s="1001"/>
      <c r="B169" s="1017" t="s">
        <v>603</v>
      </c>
      <c r="C169" s="1016">
        <v>1000</v>
      </c>
      <c r="D169" s="1027"/>
      <c r="E169" s="1027">
        <f t="shared" si="6"/>
        <v>1000</v>
      </c>
      <c r="F169" s="1016"/>
      <c r="G169" s="1027">
        <v>1000</v>
      </c>
      <c r="H169" s="1027"/>
      <c r="I169" s="1028"/>
      <c r="J169" s="1028" t="s">
        <v>245</v>
      </c>
      <c r="K169" s="1027"/>
    </row>
    <row r="170" spans="1:11" x14ac:dyDescent="0.25">
      <c r="A170" s="1001"/>
      <c r="B170" s="1017" t="s">
        <v>527</v>
      </c>
      <c r="C170" s="1016">
        <v>1200</v>
      </c>
      <c r="D170" s="1027"/>
      <c r="E170" s="1027">
        <f t="shared" si="6"/>
        <v>1200</v>
      </c>
      <c r="F170" s="1016"/>
      <c r="G170" s="1027">
        <v>1200</v>
      </c>
      <c r="H170" s="1027"/>
      <c r="I170" s="1028"/>
      <c r="J170" s="1028" t="s">
        <v>245</v>
      </c>
      <c r="K170" s="1027"/>
    </row>
    <row r="171" spans="1:11" x14ac:dyDescent="0.25">
      <c r="A171" s="1001"/>
      <c r="B171" s="1017" t="s">
        <v>529</v>
      </c>
      <c r="C171" s="1016">
        <v>500</v>
      </c>
      <c r="D171" s="1027"/>
      <c r="E171" s="1027">
        <f t="shared" si="6"/>
        <v>500</v>
      </c>
      <c r="F171" s="1016"/>
      <c r="G171" s="1027">
        <v>500</v>
      </c>
      <c r="H171" s="1027"/>
      <c r="I171" s="1028"/>
      <c r="J171" s="1028" t="s">
        <v>245</v>
      </c>
      <c r="K171" s="1027"/>
    </row>
    <row r="172" spans="1:11" x14ac:dyDescent="0.25">
      <c r="A172" s="1001"/>
      <c r="B172" s="1017" t="s">
        <v>1000</v>
      </c>
      <c r="C172" s="1016">
        <v>1330</v>
      </c>
      <c r="D172" s="1027"/>
      <c r="E172" s="1027">
        <f t="shared" si="6"/>
        <v>1330</v>
      </c>
      <c r="F172" s="1016"/>
      <c r="G172" s="1027">
        <v>1330</v>
      </c>
      <c r="H172" s="1027"/>
      <c r="I172" s="1028"/>
      <c r="J172" s="1028" t="s">
        <v>245</v>
      </c>
      <c r="K172" s="1027"/>
    </row>
    <row r="173" spans="1:11" ht="31.5" x14ac:dyDescent="0.25">
      <c r="A173" s="1001"/>
      <c r="B173" s="1017" t="s">
        <v>1001</v>
      </c>
      <c r="C173" s="1016">
        <v>5000</v>
      </c>
      <c r="D173" s="1027"/>
      <c r="E173" s="1027">
        <f t="shared" si="6"/>
        <v>5000</v>
      </c>
      <c r="F173" s="1016"/>
      <c r="G173" s="1027">
        <v>5000</v>
      </c>
      <c r="H173" s="1027"/>
      <c r="I173" s="1028"/>
      <c r="J173" s="1028" t="s">
        <v>245</v>
      </c>
      <c r="K173" s="1027"/>
    </row>
    <row r="174" spans="1:11" x14ac:dyDescent="0.25">
      <c r="A174" s="1001"/>
      <c r="B174" s="1017" t="s">
        <v>1344</v>
      </c>
      <c r="C174" s="1016">
        <v>500</v>
      </c>
      <c r="D174" s="1027"/>
      <c r="E174" s="1027">
        <f t="shared" si="6"/>
        <v>500</v>
      </c>
      <c r="F174" s="1016"/>
      <c r="G174" s="1027">
        <v>500</v>
      </c>
      <c r="H174" s="1027"/>
      <c r="I174" s="1028"/>
      <c r="J174" s="1028" t="s">
        <v>245</v>
      </c>
      <c r="K174" s="1027"/>
    </row>
    <row r="175" spans="1:11" x14ac:dyDescent="0.25">
      <c r="A175" s="1001"/>
      <c r="B175" s="1017" t="s">
        <v>1002</v>
      </c>
      <c r="C175" s="1016">
        <v>1000</v>
      </c>
      <c r="D175" s="1027"/>
      <c r="E175" s="1027">
        <f t="shared" si="6"/>
        <v>1000</v>
      </c>
      <c r="F175" s="1016"/>
      <c r="G175" s="1027">
        <v>1000</v>
      </c>
      <c r="H175" s="1027"/>
      <c r="I175" s="1028"/>
      <c r="J175" s="1028" t="s">
        <v>245</v>
      </c>
      <c r="K175" s="1027"/>
    </row>
    <row r="176" spans="1:11" ht="31.5" x14ac:dyDescent="0.25">
      <c r="A176" s="1001"/>
      <c r="B176" s="1017" t="s">
        <v>1003</v>
      </c>
      <c r="C176" s="1016">
        <v>638</v>
      </c>
      <c r="D176" s="1027"/>
      <c r="E176" s="1027">
        <f t="shared" si="6"/>
        <v>638</v>
      </c>
      <c r="F176" s="1016"/>
      <c r="G176" s="1027">
        <v>638</v>
      </c>
      <c r="H176" s="1027"/>
      <c r="I176" s="1028"/>
      <c r="J176" s="1028" t="s">
        <v>245</v>
      </c>
      <c r="K176" s="1027"/>
    </row>
    <row r="177" spans="1:11" x14ac:dyDescent="0.25">
      <c r="A177" s="1001"/>
      <c r="B177" s="1017" t="s">
        <v>1004</v>
      </c>
      <c r="C177" s="1016">
        <v>500</v>
      </c>
      <c r="D177" s="1027"/>
      <c r="E177" s="1027">
        <f t="shared" si="6"/>
        <v>500</v>
      </c>
      <c r="F177" s="1016"/>
      <c r="G177" s="1027">
        <v>500</v>
      </c>
      <c r="H177" s="1027"/>
      <c r="I177" s="1028"/>
      <c r="J177" s="1028" t="s">
        <v>245</v>
      </c>
      <c r="K177" s="1027"/>
    </row>
    <row r="178" spans="1:11" x14ac:dyDescent="0.25">
      <c r="A178" s="1001"/>
      <c r="B178" s="1017" t="s">
        <v>1005</v>
      </c>
      <c r="C178" s="1016">
        <v>1000</v>
      </c>
      <c r="D178" s="1027"/>
      <c r="E178" s="1027">
        <f t="shared" si="6"/>
        <v>1000</v>
      </c>
      <c r="F178" s="1016"/>
      <c r="G178" s="1027">
        <v>1000</v>
      </c>
      <c r="H178" s="1027"/>
      <c r="I178" s="1028"/>
      <c r="J178" s="1028" t="s">
        <v>245</v>
      </c>
      <c r="K178" s="1027"/>
    </row>
    <row r="179" spans="1:11" x14ac:dyDescent="0.25">
      <c r="A179" s="1001"/>
      <c r="B179" s="1033" t="s">
        <v>504</v>
      </c>
      <c r="C179" s="1016"/>
      <c r="D179" s="1027"/>
      <c r="E179" s="1027"/>
      <c r="F179" s="1016"/>
      <c r="G179" s="1027"/>
      <c r="H179" s="1027"/>
      <c r="I179" s="1028"/>
      <c r="J179" s="1028"/>
      <c r="K179" s="1027"/>
    </row>
    <row r="180" spans="1:11" x14ac:dyDescent="0.25">
      <c r="A180" s="1001"/>
      <c r="B180" s="671" t="s">
        <v>222</v>
      </c>
      <c r="C180" s="1016">
        <v>15597</v>
      </c>
      <c r="D180" s="1027">
        <v>-1899</v>
      </c>
      <c r="E180" s="1027">
        <f t="shared" si="6"/>
        <v>13698</v>
      </c>
      <c r="F180" s="1016">
        <v>549</v>
      </c>
      <c r="G180" s="1027">
        <f>10000+7620</f>
        <v>17620</v>
      </c>
      <c r="H180" s="1027">
        <f>-1106-1466-1899</f>
        <v>-4471</v>
      </c>
      <c r="I180" s="1028"/>
      <c r="J180" s="1028" t="s">
        <v>245</v>
      </c>
      <c r="K180" s="1027"/>
    </row>
    <row r="181" spans="1:11" x14ac:dyDescent="0.25">
      <c r="A181" s="1001"/>
      <c r="B181" s="671" t="s">
        <v>505</v>
      </c>
      <c r="C181" s="1016">
        <v>2000</v>
      </c>
      <c r="D181" s="1027"/>
      <c r="E181" s="1027">
        <f t="shared" si="6"/>
        <v>2000</v>
      </c>
      <c r="F181" s="1016">
        <v>1000</v>
      </c>
      <c r="G181" s="1027">
        <v>1000</v>
      </c>
      <c r="H181" s="1027"/>
      <c r="I181" s="1028"/>
      <c r="J181" s="1028" t="s">
        <v>245</v>
      </c>
      <c r="K181" s="1027"/>
    </row>
    <row r="182" spans="1:11" x14ac:dyDescent="0.25">
      <c r="A182" s="1001"/>
      <c r="B182" s="671" t="s">
        <v>1006</v>
      </c>
      <c r="C182" s="1016">
        <v>18742</v>
      </c>
      <c r="D182" s="1027"/>
      <c r="E182" s="1027">
        <f t="shared" si="6"/>
        <v>18742</v>
      </c>
      <c r="F182" s="1016">
        <v>1099</v>
      </c>
      <c r="G182" s="1027">
        <f>10000+2387+1000+4500</f>
        <v>17887</v>
      </c>
      <c r="H182" s="1027">
        <v>-244</v>
      </c>
      <c r="I182" s="1028"/>
      <c r="J182" s="1028" t="s">
        <v>245</v>
      </c>
      <c r="K182" s="1027"/>
    </row>
    <row r="183" spans="1:11" x14ac:dyDescent="0.25">
      <c r="A183" s="1001"/>
      <c r="B183" s="671" t="s">
        <v>506</v>
      </c>
      <c r="C183" s="1016">
        <v>3500</v>
      </c>
      <c r="D183" s="1027"/>
      <c r="E183" s="1027">
        <f t="shared" si="6"/>
        <v>3500</v>
      </c>
      <c r="F183" s="1016"/>
      <c r="G183" s="1027">
        <f>5000-1500</f>
        <v>3500</v>
      </c>
      <c r="H183" s="1027"/>
      <c r="I183" s="1028"/>
      <c r="J183" s="1028" t="s">
        <v>245</v>
      </c>
      <c r="K183" s="1027"/>
    </row>
    <row r="184" spans="1:11" x14ac:dyDescent="0.25">
      <c r="A184" s="1001"/>
      <c r="B184" s="671" t="s">
        <v>1007</v>
      </c>
      <c r="C184" s="1016">
        <v>1500</v>
      </c>
      <c r="D184" s="1027"/>
      <c r="E184" s="1027">
        <f t="shared" si="6"/>
        <v>1500</v>
      </c>
      <c r="F184" s="1016"/>
      <c r="G184" s="1027">
        <v>1500</v>
      </c>
      <c r="H184" s="1027"/>
      <c r="I184" s="1028"/>
      <c r="J184" s="1028" t="s">
        <v>245</v>
      </c>
      <c r="K184" s="1027"/>
    </row>
    <row r="185" spans="1:11" x14ac:dyDescent="0.25">
      <c r="A185" s="1001"/>
      <c r="B185" s="671" t="s">
        <v>1008</v>
      </c>
      <c r="C185" s="1016">
        <v>1469</v>
      </c>
      <c r="D185" s="1027"/>
      <c r="E185" s="1027">
        <f t="shared" si="6"/>
        <v>1469</v>
      </c>
      <c r="F185" s="1016"/>
      <c r="G185" s="1027">
        <v>2000</v>
      </c>
      <c r="H185" s="1027">
        <v>-531</v>
      </c>
      <c r="I185" s="1028"/>
      <c r="J185" s="1028" t="s">
        <v>245</v>
      </c>
      <c r="K185" s="1027"/>
    </row>
    <row r="186" spans="1:11" x14ac:dyDescent="0.25">
      <c r="A186" s="1001"/>
      <c r="B186" s="671" t="s">
        <v>1009</v>
      </c>
      <c r="C186" s="1016">
        <v>500</v>
      </c>
      <c r="D186" s="1027"/>
      <c r="E186" s="1027">
        <f t="shared" si="6"/>
        <v>500</v>
      </c>
      <c r="F186" s="1016"/>
      <c r="G186" s="1027">
        <v>500</v>
      </c>
      <c r="H186" s="1027"/>
      <c r="I186" s="1028"/>
      <c r="J186" s="1028" t="s">
        <v>245</v>
      </c>
      <c r="K186" s="1027"/>
    </row>
    <row r="187" spans="1:11" ht="31.5" x14ac:dyDescent="0.25">
      <c r="A187" s="1001"/>
      <c r="B187" s="671" t="s">
        <v>1010</v>
      </c>
      <c r="C187" s="1016">
        <v>20000</v>
      </c>
      <c r="D187" s="1027"/>
      <c r="E187" s="1027">
        <f t="shared" si="6"/>
        <v>20000</v>
      </c>
      <c r="F187" s="1016"/>
      <c r="G187" s="1027">
        <v>20000</v>
      </c>
      <c r="H187" s="1027"/>
      <c r="I187" s="1028"/>
      <c r="J187" s="1028" t="s">
        <v>245</v>
      </c>
      <c r="K187" s="1027"/>
    </row>
    <row r="188" spans="1:11" x14ac:dyDescent="0.25">
      <c r="A188" s="1001"/>
      <c r="B188" s="671" t="s">
        <v>1245</v>
      </c>
      <c r="C188" s="1016">
        <v>21100</v>
      </c>
      <c r="D188" s="1027"/>
      <c r="E188" s="1027">
        <f t="shared" si="6"/>
        <v>21100</v>
      </c>
      <c r="F188" s="1016"/>
      <c r="G188" s="1027">
        <v>21100</v>
      </c>
      <c r="H188" s="1027"/>
      <c r="I188" s="1028"/>
      <c r="J188" s="1028" t="s">
        <v>245</v>
      </c>
      <c r="K188" s="1027"/>
    </row>
    <row r="189" spans="1:11" x14ac:dyDescent="0.25">
      <c r="A189" s="1001"/>
      <c r="B189" s="671" t="s">
        <v>1011</v>
      </c>
      <c r="C189" s="1016">
        <v>1000</v>
      </c>
      <c r="D189" s="1027"/>
      <c r="E189" s="1027">
        <f t="shared" si="6"/>
        <v>1000</v>
      </c>
      <c r="F189" s="1016"/>
      <c r="G189" s="1027">
        <v>1000</v>
      </c>
      <c r="H189" s="1027"/>
      <c r="I189" s="1028"/>
      <c r="J189" s="1028" t="s">
        <v>245</v>
      </c>
      <c r="K189" s="1027"/>
    </row>
    <row r="190" spans="1:11" x14ac:dyDescent="0.25">
      <c r="A190" s="1001"/>
      <c r="B190" s="671" t="s">
        <v>1193</v>
      </c>
      <c r="C190" s="1016">
        <v>1000</v>
      </c>
      <c r="D190" s="1027"/>
      <c r="E190" s="1027">
        <f t="shared" si="6"/>
        <v>1000</v>
      </c>
      <c r="F190" s="1016"/>
      <c r="G190" s="1027">
        <v>1000</v>
      </c>
      <c r="H190" s="1027"/>
      <c r="I190" s="1028"/>
      <c r="J190" s="1028" t="s">
        <v>245</v>
      </c>
      <c r="K190" s="1027"/>
    </row>
    <row r="191" spans="1:11" ht="31.5" x14ac:dyDescent="0.25">
      <c r="A191" s="1001"/>
      <c r="B191" s="671" t="s">
        <v>1012</v>
      </c>
      <c r="C191" s="1016">
        <v>100</v>
      </c>
      <c r="D191" s="1027"/>
      <c r="E191" s="1027">
        <f t="shared" si="6"/>
        <v>100</v>
      </c>
      <c r="F191" s="1016"/>
      <c r="G191" s="1027">
        <v>100</v>
      </c>
      <c r="H191" s="1027"/>
      <c r="I191" s="1028"/>
      <c r="J191" s="1028" t="s">
        <v>245</v>
      </c>
      <c r="K191" s="1027"/>
    </row>
    <row r="192" spans="1:11" x14ac:dyDescent="0.25">
      <c r="A192" s="1001"/>
      <c r="B192" s="672" t="s">
        <v>1013</v>
      </c>
      <c r="C192" s="1016">
        <v>1000</v>
      </c>
      <c r="D192" s="1014"/>
      <c r="E192" s="1014">
        <f t="shared" si="6"/>
        <v>1000</v>
      </c>
      <c r="F192" s="1016"/>
      <c r="G192" s="1014">
        <v>1000</v>
      </c>
      <c r="H192" s="1014"/>
      <c r="I192" s="1015"/>
      <c r="J192" s="1028" t="s">
        <v>245</v>
      </c>
      <c r="K192" s="1014"/>
    </row>
    <row r="193" spans="1:11" x14ac:dyDescent="0.25">
      <c r="A193" s="1001"/>
      <c r="B193" s="672" t="s">
        <v>1014</v>
      </c>
      <c r="C193" s="1016">
        <v>12000</v>
      </c>
      <c r="D193" s="1014"/>
      <c r="E193" s="1014">
        <f t="shared" si="6"/>
        <v>12000</v>
      </c>
      <c r="F193" s="1016"/>
      <c r="G193" s="1014">
        <v>12000</v>
      </c>
      <c r="H193" s="1014"/>
      <c r="I193" s="1015"/>
      <c r="J193" s="1028" t="s">
        <v>245</v>
      </c>
      <c r="K193" s="1014"/>
    </row>
    <row r="194" spans="1:11" x14ac:dyDescent="0.25">
      <c r="A194" s="1001"/>
      <c r="B194" s="672" t="s">
        <v>1015</v>
      </c>
      <c r="C194" s="1016">
        <v>1500</v>
      </c>
      <c r="D194" s="1014"/>
      <c r="E194" s="1014">
        <f t="shared" si="6"/>
        <v>1500</v>
      </c>
      <c r="F194" s="1016"/>
      <c r="G194" s="1014">
        <f>1000+500</f>
        <v>1500</v>
      </c>
      <c r="H194" s="1014"/>
      <c r="I194" s="1015"/>
      <c r="J194" s="1028" t="s">
        <v>245</v>
      </c>
      <c r="K194" s="1014"/>
    </row>
    <row r="195" spans="1:11" x14ac:dyDescent="0.25">
      <c r="A195" s="1001"/>
      <c r="B195" s="672" t="s">
        <v>1016</v>
      </c>
      <c r="C195" s="1016">
        <v>3731</v>
      </c>
      <c r="D195" s="1014">
        <v>-400</v>
      </c>
      <c r="E195" s="1014">
        <f t="shared" si="6"/>
        <v>3331</v>
      </c>
      <c r="F195" s="1016">
        <v>400</v>
      </c>
      <c r="G195" s="1014">
        <v>5600</v>
      </c>
      <c r="H195" s="1014">
        <f>-275-800-394-400-400-400</f>
        <v>-2669</v>
      </c>
      <c r="I195" s="1015"/>
      <c r="J195" s="1028" t="s">
        <v>245</v>
      </c>
      <c r="K195" s="1014"/>
    </row>
    <row r="196" spans="1:11" x14ac:dyDescent="0.25">
      <c r="A196" s="1001"/>
      <c r="B196" s="672" t="s">
        <v>1345</v>
      </c>
      <c r="C196" s="1016">
        <v>12000</v>
      </c>
      <c r="D196" s="1014"/>
      <c r="E196" s="1014">
        <f t="shared" si="6"/>
        <v>12000</v>
      </c>
      <c r="F196" s="1016"/>
      <c r="G196" s="1014">
        <v>12000</v>
      </c>
      <c r="H196" s="1014"/>
      <c r="I196" s="1015"/>
      <c r="J196" s="1028" t="s">
        <v>245</v>
      </c>
      <c r="K196" s="1014"/>
    </row>
    <row r="197" spans="1:11" x14ac:dyDescent="0.25">
      <c r="A197" s="1001"/>
      <c r="B197" s="672" t="s">
        <v>1017</v>
      </c>
      <c r="C197" s="1016">
        <v>2000</v>
      </c>
      <c r="D197" s="1014"/>
      <c r="E197" s="1014">
        <f t="shared" si="6"/>
        <v>2000</v>
      </c>
      <c r="F197" s="1016"/>
      <c r="G197" s="1014">
        <v>2000</v>
      </c>
      <c r="H197" s="1014"/>
      <c r="I197" s="1015"/>
      <c r="J197" s="1028" t="s">
        <v>245</v>
      </c>
      <c r="K197" s="1014"/>
    </row>
    <row r="198" spans="1:11" x14ac:dyDescent="0.25">
      <c r="A198" s="1001"/>
      <c r="B198" s="672" t="s">
        <v>1288</v>
      </c>
      <c r="C198" s="1016">
        <v>1000</v>
      </c>
      <c r="D198" s="1014"/>
      <c r="E198" s="1014">
        <f t="shared" si="6"/>
        <v>1000</v>
      </c>
      <c r="F198" s="1016"/>
      <c r="G198" s="1014">
        <v>1000</v>
      </c>
      <c r="H198" s="1014"/>
      <c r="I198" s="1015"/>
      <c r="J198" s="1028" t="s">
        <v>245</v>
      </c>
      <c r="K198" s="1014"/>
    </row>
    <row r="199" spans="1:11" x14ac:dyDescent="0.25">
      <c r="A199" s="1001"/>
      <c r="B199" s="672" t="s">
        <v>1018</v>
      </c>
      <c r="C199" s="1016">
        <v>1000</v>
      </c>
      <c r="D199" s="1014"/>
      <c r="E199" s="1014">
        <f t="shared" si="6"/>
        <v>1000</v>
      </c>
      <c r="F199" s="1016"/>
      <c r="G199" s="1014">
        <v>1000</v>
      </c>
      <c r="H199" s="1014"/>
      <c r="I199" s="1015"/>
      <c r="J199" s="1028" t="s">
        <v>245</v>
      </c>
      <c r="K199" s="1014"/>
    </row>
    <row r="200" spans="1:11" x14ac:dyDescent="0.25">
      <c r="A200" s="1001"/>
      <c r="B200" s="1018" t="s">
        <v>194</v>
      </c>
      <c r="C200" s="1006">
        <v>11034</v>
      </c>
      <c r="D200" s="1006"/>
      <c r="E200" s="1006">
        <f t="shared" si="6"/>
        <v>11034</v>
      </c>
      <c r="F200" s="1006"/>
      <c r="G200" s="1006">
        <v>39624</v>
      </c>
      <c r="H200" s="1006">
        <f>-746-12430-4304-11110</f>
        <v>-28590</v>
      </c>
      <c r="I200" s="1007" t="s">
        <v>245</v>
      </c>
      <c r="J200" s="1023"/>
      <c r="K200" s="1006"/>
    </row>
    <row r="201" spans="1:11" x14ac:dyDescent="0.25">
      <c r="A201" s="1001"/>
      <c r="B201" s="1017" t="s">
        <v>226</v>
      </c>
      <c r="C201" s="1034">
        <v>4499</v>
      </c>
      <c r="D201" s="1014"/>
      <c r="E201" s="1014">
        <f t="shared" si="6"/>
        <v>4499</v>
      </c>
      <c r="F201" s="1034"/>
      <c r="G201" s="1014">
        <v>6439</v>
      </c>
      <c r="H201" s="1014">
        <f>-746-1194</f>
        <v>-1940</v>
      </c>
      <c r="I201" s="1011" t="s">
        <v>245</v>
      </c>
      <c r="J201" s="1019"/>
      <c r="K201" s="1010"/>
    </row>
    <row r="202" spans="1:11" x14ac:dyDescent="0.25">
      <c r="A202" s="1001"/>
      <c r="B202" s="1017" t="s">
        <v>227</v>
      </c>
      <c r="C202" s="1034">
        <v>6535</v>
      </c>
      <c r="D202" s="1014"/>
      <c r="E202" s="1014">
        <f t="shared" si="6"/>
        <v>6535</v>
      </c>
      <c r="F202" s="1034"/>
      <c r="G202" s="1014">
        <v>33185</v>
      </c>
      <c r="H202" s="1014">
        <f>-12430-4304-9916</f>
        <v>-26650</v>
      </c>
      <c r="I202" s="1011" t="s">
        <v>245</v>
      </c>
      <c r="J202" s="1019"/>
      <c r="K202" s="1010"/>
    </row>
    <row r="203" spans="1:11" x14ac:dyDescent="0.25">
      <c r="A203" s="1001"/>
      <c r="B203" s="1018" t="s">
        <v>507</v>
      </c>
      <c r="C203" s="1010">
        <v>683696</v>
      </c>
      <c r="D203" s="1010"/>
      <c r="E203" s="1010">
        <f t="shared" si="6"/>
        <v>683696</v>
      </c>
      <c r="F203" s="1010">
        <v>0</v>
      </c>
      <c r="G203" s="1010">
        <f>349200+1300+5000+20000+2000+1600+25000+5000+60000+20000+21596+3000+150000+20000</f>
        <v>683696</v>
      </c>
      <c r="H203" s="1010"/>
      <c r="I203" s="1019"/>
      <c r="J203" s="1011" t="s">
        <v>245</v>
      </c>
      <c r="K203" s="1010"/>
    </row>
    <row r="204" spans="1:11" x14ac:dyDescent="0.25">
      <c r="A204" s="1001"/>
      <c r="B204" s="496" t="s">
        <v>1019</v>
      </c>
      <c r="C204" s="1016">
        <v>60000</v>
      </c>
      <c r="D204" s="1027"/>
      <c r="E204" s="1027">
        <f t="shared" si="6"/>
        <v>60000</v>
      </c>
      <c r="F204" s="1016"/>
      <c r="G204" s="1027">
        <v>60000</v>
      </c>
      <c r="H204" s="1027"/>
      <c r="I204" s="1028"/>
      <c r="J204" s="1028" t="s">
        <v>245</v>
      </c>
      <c r="K204" s="1027"/>
    </row>
    <row r="205" spans="1:11" x14ac:dyDescent="0.25">
      <c r="A205" s="1001"/>
      <c r="B205" s="496" t="s">
        <v>1346</v>
      </c>
      <c r="C205" s="1016">
        <v>60000</v>
      </c>
      <c r="D205" s="1027"/>
      <c r="E205" s="1027">
        <f t="shared" si="6"/>
        <v>60000</v>
      </c>
      <c r="F205" s="1016"/>
      <c r="G205" s="1027">
        <v>60000</v>
      </c>
      <c r="H205" s="1027"/>
      <c r="I205" s="1028"/>
      <c r="J205" s="1028" t="s">
        <v>245</v>
      </c>
      <c r="K205" s="1027"/>
    </row>
    <row r="206" spans="1:11" x14ac:dyDescent="0.25">
      <c r="A206" s="1001"/>
      <c r="B206" s="496" t="s">
        <v>212</v>
      </c>
      <c r="C206" s="1016">
        <v>255000</v>
      </c>
      <c r="D206" s="1014"/>
      <c r="E206" s="1027">
        <f t="shared" si="6"/>
        <v>255000</v>
      </c>
      <c r="F206" s="1016"/>
      <c r="G206" s="1027">
        <f>80000+25000+150000</f>
        <v>255000</v>
      </c>
      <c r="H206" s="1027"/>
      <c r="I206" s="1028"/>
      <c r="J206" s="1028" t="s">
        <v>245</v>
      </c>
      <c r="K206" s="1027"/>
    </row>
    <row r="207" spans="1:11" ht="31.5" x14ac:dyDescent="0.25">
      <c r="A207" s="1001"/>
      <c r="B207" s="496" t="s">
        <v>1347</v>
      </c>
      <c r="C207" s="1016">
        <v>21596</v>
      </c>
      <c r="D207" s="1014"/>
      <c r="E207" s="1027">
        <f t="shared" si="6"/>
        <v>21596</v>
      </c>
      <c r="F207" s="1016"/>
      <c r="G207" s="1027">
        <v>21596</v>
      </c>
      <c r="H207" s="1027"/>
      <c r="I207" s="1028"/>
      <c r="J207" s="1028" t="s">
        <v>245</v>
      </c>
      <c r="K207" s="1027"/>
    </row>
    <row r="208" spans="1:11" x14ac:dyDescent="0.25">
      <c r="A208" s="1001"/>
      <c r="B208" s="496" t="s">
        <v>211</v>
      </c>
      <c r="C208" s="1016">
        <v>60000</v>
      </c>
      <c r="D208" s="1027"/>
      <c r="E208" s="1027">
        <f t="shared" si="6"/>
        <v>60000</v>
      </c>
      <c r="F208" s="1016"/>
      <c r="G208" s="1027">
        <v>60000</v>
      </c>
      <c r="H208" s="1027"/>
      <c r="I208" s="1028"/>
      <c r="J208" s="1028" t="s">
        <v>245</v>
      </c>
      <c r="K208" s="1027"/>
    </row>
    <row r="209" spans="1:11" ht="31.5" x14ac:dyDescent="0.25">
      <c r="A209" s="1001"/>
      <c r="B209" s="496" t="s">
        <v>1020</v>
      </c>
      <c r="C209" s="1016">
        <v>22500</v>
      </c>
      <c r="D209" s="1027"/>
      <c r="E209" s="1027">
        <f t="shared" si="6"/>
        <v>22500</v>
      </c>
      <c r="F209" s="1016"/>
      <c r="G209" s="1027">
        <f>20000+500+2000</f>
        <v>22500</v>
      </c>
      <c r="H209" s="1027"/>
      <c r="I209" s="1028"/>
      <c r="J209" s="1028" t="s">
        <v>245</v>
      </c>
      <c r="K209" s="1027"/>
    </row>
    <row r="210" spans="1:11" ht="31.5" x14ac:dyDescent="0.25">
      <c r="A210" s="1001"/>
      <c r="B210" s="496" t="s">
        <v>1289</v>
      </c>
      <c r="C210" s="1016">
        <v>1600</v>
      </c>
      <c r="D210" s="1027"/>
      <c r="E210" s="1027">
        <f t="shared" si="6"/>
        <v>1600</v>
      </c>
      <c r="F210" s="1016"/>
      <c r="G210" s="1027">
        <v>1600</v>
      </c>
      <c r="H210" s="1027"/>
      <c r="I210" s="1028"/>
      <c r="J210" s="1028" t="s">
        <v>245</v>
      </c>
      <c r="K210" s="1027"/>
    </row>
    <row r="211" spans="1:11" x14ac:dyDescent="0.25">
      <c r="A211" s="1001"/>
      <c r="B211" s="496" t="s">
        <v>161</v>
      </c>
      <c r="C211" s="1016">
        <v>30000</v>
      </c>
      <c r="D211" s="1027"/>
      <c r="E211" s="1027">
        <f t="shared" si="6"/>
        <v>30000</v>
      </c>
      <c r="F211" s="1016"/>
      <c r="G211" s="1027">
        <f>27000+3000</f>
        <v>30000</v>
      </c>
      <c r="H211" s="1027"/>
      <c r="I211" s="1028"/>
      <c r="J211" s="1028" t="s">
        <v>245</v>
      </c>
      <c r="K211" s="1027"/>
    </row>
    <row r="212" spans="1:11" x14ac:dyDescent="0.25">
      <c r="A212" s="1001"/>
      <c r="B212" s="496" t="s">
        <v>826</v>
      </c>
      <c r="C212" s="1016">
        <v>116000</v>
      </c>
      <c r="D212" s="1027"/>
      <c r="E212" s="1027">
        <f t="shared" si="6"/>
        <v>116000</v>
      </c>
      <c r="F212" s="1016"/>
      <c r="G212" s="1027">
        <f>96000+20000</f>
        <v>116000</v>
      </c>
      <c r="H212" s="1027"/>
      <c r="I212" s="1028"/>
      <c r="J212" s="1028" t="s">
        <v>245</v>
      </c>
      <c r="K212" s="1027"/>
    </row>
    <row r="213" spans="1:11" ht="31.5" x14ac:dyDescent="0.25">
      <c r="A213" s="1001"/>
      <c r="B213" s="496" t="s">
        <v>1348</v>
      </c>
      <c r="C213" s="1016">
        <v>20000</v>
      </c>
      <c r="D213" s="1027"/>
      <c r="E213" s="1027">
        <f t="shared" si="6"/>
        <v>20000</v>
      </c>
      <c r="F213" s="1016"/>
      <c r="G213" s="1027">
        <v>20000</v>
      </c>
      <c r="H213" s="1027"/>
      <c r="I213" s="1028"/>
      <c r="J213" s="1028" t="s">
        <v>245</v>
      </c>
      <c r="K213" s="1027"/>
    </row>
    <row r="214" spans="1:11" x14ac:dyDescent="0.25">
      <c r="A214" s="1001"/>
      <c r="B214" s="496" t="s">
        <v>1290</v>
      </c>
      <c r="C214" s="1016">
        <v>10000</v>
      </c>
      <c r="D214" s="1027"/>
      <c r="E214" s="1027">
        <f t="shared" si="6"/>
        <v>10000</v>
      </c>
      <c r="F214" s="1016"/>
      <c r="G214" s="1027">
        <f>5000+5000</f>
        <v>10000</v>
      </c>
      <c r="H214" s="1027"/>
      <c r="I214" s="1028"/>
      <c r="J214" s="1028" t="s">
        <v>245</v>
      </c>
      <c r="K214" s="1027"/>
    </row>
    <row r="215" spans="1:11" x14ac:dyDescent="0.25">
      <c r="A215" s="1001"/>
      <c r="B215" s="496" t="s">
        <v>200</v>
      </c>
      <c r="C215" s="1016">
        <v>25000</v>
      </c>
      <c r="D215" s="1027"/>
      <c r="E215" s="1027">
        <f t="shared" si="6"/>
        <v>25000</v>
      </c>
      <c r="F215" s="1016"/>
      <c r="G215" s="1027">
        <f>5000+20000</f>
        <v>25000</v>
      </c>
      <c r="H215" s="1027"/>
      <c r="I215" s="1028"/>
      <c r="J215" s="1028" t="s">
        <v>245</v>
      </c>
      <c r="K215" s="1027"/>
    </row>
    <row r="216" spans="1:11" ht="31.5" x14ac:dyDescent="0.25">
      <c r="A216" s="1001"/>
      <c r="B216" s="496" t="s">
        <v>1021</v>
      </c>
      <c r="C216" s="1016">
        <v>2000</v>
      </c>
      <c r="D216" s="1027"/>
      <c r="E216" s="1027">
        <f t="shared" si="6"/>
        <v>2000</v>
      </c>
      <c r="F216" s="1016"/>
      <c r="G216" s="1027">
        <f>1200+800</f>
        <v>2000</v>
      </c>
      <c r="H216" s="1027"/>
      <c r="I216" s="1028"/>
      <c r="J216" s="1028" t="s">
        <v>245</v>
      </c>
      <c r="K216" s="1027"/>
    </row>
    <row r="217" spans="1:11" x14ac:dyDescent="0.25">
      <c r="A217" s="1001"/>
      <c r="B217" s="1018" t="s">
        <v>247</v>
      </c>
      <c r="C217" s="1006">
        <v>180000</v>
      </c>
      <c r="D217" s="1006"/>
      <c r="E217" s="1006">
        <f t="shared" si="6"/>
        <v>180000</v>
      </c>
      <c r="F217" s="1006">
        <v>0</v>
      </c>
      <c r="G217" s="1006">
        <v>180000</v>
      </c>
      <c r="H217" s="1006"/>
      <c r="I217" s="1007" t="s">
        <v>245</v>
      </c>
      <c r="J217" s="1023"/>
      <c r="K217" s="1006"/>
    </row>
    <row r="218" spans="1:11" ht="31.5" x14ac:dyDescent="0.25">
      <c r="A218" s="1001"/>
      <c r="B218" s="496" t="s">
        <v>140</v>
      </c>
      <c r="C218" s="1016">
        <v>105000</v>
      </c>
      <c r="D218" s="1027"/>
      <c r="E218" s="1027">
        <f t="shared" si="6"/>
        <v>105000</v>
      </c>
      <c r="F218" s="1016"/>
      <c r="G218" s="1027">
        <v>105000</v>
      </c>
      <c r="H218" s="1027"/>
      <c r="I218" s="1028" t="s">
        <v>245</v>
      </c>
      <c r="J218" s="1028"/>
      <c r="K218" s="1027"/>
    </row>
    <row r="219" spans="1:11" ht="31.5" x14ac:dyDescent="0.25">
      <c r="A219" s="1001"/>
      <c r="B219" s="496" t="s">
        <v>248</v>
      </c>
      <c r="C219" s="1016">
        <v>40000</v>
      </c>
      <c r="D219" s="1027"/>
      <c r="E219" s="1027">
        <f t="shared" si="6"/>
        <v>40000</v>
      </c>
      <c r="F219" s="1016"/>
      <c r="G219" s="1027">
        <v>40000</v>
      </c>
      <c r="H219" s="1027"/>
      <c r="I219" s="1028" t="s">
        <v>245</v>
      </c>
      <c r="J219" s="1028"/>
      <c r="K219" s="1027"/>
    </row>
    <row r="220" spans="1:11" ht="31.5" x14ac:dyDescent="0.25">
      <c r="A220" s="1001"/>
      <c r="B220" s="496" t="s">
        <v>141</v>
      </c>
      <c r="C220" s="1016">
        <v>35000</v>
      </c>
      <c r="D220" s="1027"/>
      <c r="E220" s="1027">
        <f t="shared" si="6"/>
        <v>35000</v>
      </c>
      <c r="F220" s="1016"/>
      <c r="G220" s="1027">
        <v>35000</v>
      </c>
      <c r="H220" s="1027"/>
      <c r="I220" s="1028" t="s">
        <v>245</v>
      </c>
      <c r="J220" s="1028"/>
      <c r="K220" s="1027"/>
    </row>
    <row r="221" spans="1:11" x14ac:dyDescent="0.25">
      <c r="A221" s="1001"/>
      <c r="B221" s="1018" t="s">
        <v>508</v>
      </c>
      <c r="C221" s="1006">
        <v>272296</v>
      </c>
      <c r="D221" s="1006">
        <v>28842</v>
      </c>
      <c r="E221" s="1006">
        <f t="shared" si="6"/>
        <v>301138</v>
      </c>
      <c r="F221" s="1006">
        <v>3536</v>
      </c>
      <c r="G221" s="1006">
        <f>206720+3000+2500+1000+1500+20000+3000+23000+3000+500+2000+2540+28842</f>
        <v>297602</v>
      </c>
      <c r="H221" s="1006"/>
      <c r="I221" s="1023"/>
      <c r="J221" s="1007" t="s">
        <v>245</v>
      </c>
      <c r="K221" s="1006"/>
    </row>
    <row r="222" spans="1:11" ht="31.5" x14ac:dyDescent="0.25">
      <c r="A222" s="1001"/>
      <c r="B222" s="496" t="s">
        <v>509</v>
      </c>
      <c r="C222" s="1016">
        <v>1000</v>
      </c>
      <c r="D222" s="1027"/>
      <c r="E222" s="1027">
        <f t="shared" si="6"/>
        <v>1000</v>
      </c>
      <c r="F222" s="1016"/>
      <c r="G222" s="1027">
        <v>1000</v>
      </c>
      <c r="H222" s="1027"/>
      <c r="I222" s="1028"/>
      <c r="J222" s="1028" t="s">
        <v>245</v>
      </c>
      <c r="K222" s="1027"/>
    </row>
    <row r="223" spans="1:11" x14ac:dyDescent="0.25">
      <c r="A223" s="1001"/>
      <c r="B223" s="428" t="s">
        <v>827</v>
      </c>
      <c r="C223" s="1016">
        <v>500</v>
      </c>
      <c r="D223" s="1014"/>
      <c r="E223" s="1014">
        <f t="shared" si="6"/>
        <v>500</v>
      </c>
      <c r="F223" s="1016"/>
      <c r="G223" s="1014">
        <v>500</v>
      </c>
      <c r="H223" s="1014"/>
      <c r="I223" s="1015"/>
      <c r="J223" s="1015" t="s">
        <v>245</v>
      </c>
      <c r="K223" s="1014"/>
    </row>
    <row r="224" spans="1:11" x14ac:dyDescent="0.25">
      <c r="A224" s="1001"/>
      <c r="B224" s="428" t="s">
        <v>828</v>
      </c>
      <c r="C224" s="1016">
        <v>12000</v>
      </c>
      <c r="D224" s="1014"/>
      <c r="E224" s="1014">
        <f t="shared" ref="E224:E276" si="7">SUM(C224:D224)</f>
        <v>12000</v>
      </c>
      <c r="F224" s="1016"/>
      <c r="G224" s="1014">
        <f>9500+2500</f>
        <v>12000</v>
      </c>
      <c r="H224" s="1014"/>
      <c r="I224" s="1015"/>
      <c r="J224" s="1015" t="s">
        <v>245</v>
      </c>
      <c r="K224" s="1014"/>
    </row>
    <row r="225" spans="1:11" ht="31.5" x14ac:dyDescent="0.25">
      <c r="A225" s="1001"/>
      <c r="B225" s="428" t="s">
        <v>1022</v>
      </c>
      <c r="C225" s="1016">
        <v>34020</v>
      </c>
      <c r="D225" s="1014"/>
      <c r="E225" s="1014">
        <f t="shared" si="7"/>
        <v>34020</v>
      </c>
      <c r="F225" s="1016"/>
      <c r="G225" s="1014">
        <v>34020</v>
      </c>
      <c r="H225" s="1014"/>
      <c r="I225" s="1015"/>
      <c r="J225" s="1015" t="s">
        <v>245</v>
      </c>
      <c r="K225" s="1014"/>
    </row>
    <row r="226" spans="1:11" x14ac:dyDescent="0.25">
      <c r="A226" s="1001"/>
      <c r="B226" s="428" t="s">
        <v>1023</v>
      </c>
      <c r="C226" s="1016">
        <v>7000</v>
      </c>
      <c r="D226" s="1014"/>
      <c r="E226" s="1014">
        <f t="shared" si="7"/>
        <v>7000</v>
      </c>
      <c r="F226" s="1016"/>
      <c r="G226" s="1014">
        <v>7000</v>
      </c>
      <c r="H226" s="1014"/>
      <c r="I226" s="1015"/>
      <c r="J226" s="1015" t="s">
        <v>245</v>
      </c>
      <c r="K226" s="1014"/>
    </row>
    <row r="227" spans="1:11" ht="31.5" x14ac:dyDescent="0.25">
      <c r="A227" s="1001"/>
      <c r="B227" s="428" t="s">
        <v>1024</v>
      </c>
      <c r="C227" s="1016">
        <v>2000</v>
      </c>
      <c r="D227" s="1014"/>
      <c r="E227" s="1014">
        <f t="shared" si="7"/>
        <v>2000</v>
      </c>
      <c r="F227" s="1016"/>
      <c r="G227" s="1014">
        <v>2000</v>
      </c>
      <c r="H227" s="1014"/>
      <c r="I227" s="1015"/>
      <c r="J227" s="1015" t="s">
        <v>245</v>
      </c>
      <c r="K227" s="1014"/>
    </row>
    <row r="228" spans="1:11" ht="31.5" x14ac:dyDescent="0.25">
      <c r="A228" s="1001"/>
      <c r="B228" s="428" t="s">
        <v>829</v>
      </c>
      <c r="C228" s="1016">
        <v>1000</v>
      </c>
      <c r="D228" s="1014"/>
      <c r="E228" s="1014">
        <f t="shared" si="7"/>
        <v>1000</v>
      </c>
      <c r="F228" s="1016"/>
      <c r="G228" s="1014">
        <v>1000</v>
      </c>
      <c r="H228" s="1014"/>
      <c r="I228" s="1015"/>
      <c r="J228" s="1015" t="s">
        <v>245</v>
      </c>
      <c r="K228" s="1014"/>
    </row>
    <row r="229" spans="1:11" ht="31.5" x14ac:dyDescent="0.25">
      <c r="A229" s="1001"/>
      <c r="B229" s="428" t="s">
        <v>1025</v>
      </c>
      <c r="C229" s="1016">
        <v>1500</v>
      </c>
      <c r="D229" s="1014"/>
      <c r="E229" s="1014">
        <f t="shared" si="7"/>
        <v>1500</v>
      </c>
      <c r="F229" s="1016"/>
      <c r="G229" s="1014">
        <v>1500</v>
      </c>
      <c r="H229" s="1014"/>
      <c r="I229" s="1015"/>
      <c r="J229" s="1015" t="s">
        <v>245</v>
      </c>
      <c r="K229" s="1014"/>
    </row>
    <row r="230" spans="1:11" ht="31.5" x14ac:dyDescent="0.25">
      <c r="A230" s="1001"/>
      <c r="B230" s="428" t="s">
        <v>1119</v>
      </c>
      <c r="C230" s="1016">
        <v>5000</v>
      </c>
      <c r="D230" s="1014"/>
      <c r="E230" s="1014">
        <f t="shared" si="7"/>
        <v>5000</v>
      </c>
      <c r="F230" s="1016"/>
      <c r="G230" s="1014">
        <v>5000</v>
      </c>
      <c r="H230" s="1014"/>
      <c r="I230" s="1015"/>
      <c r="J230" s="1015" t="s">
        <v>245</v>
      </c>
      <c r="K230" s="1014"/>
    </row>
    <row r="231" spans="1:11" ht="47.25" x14ac:dyDescent="0.25">
      <c r="A231" s="1001"/>
      <c r="B231" s="428" t="s">
        <v>1120</v>
      </c>
      <c r="C231" s="1016">
        <v>1200</v>
      </c>
      <c r="D231" s="1014"/>
      <c r="E231" s="1014">
        <f t="shared" si="7"/>
        <v>1200</v>
      </c>
      <c r="F231" s="1016"/>
      <c r="G231" s="1014">
        <v>1200</v>
      </c>
      <c r="H231" s="1014"/>
      <c r="I231" s="1015"/>
      <c r="J231" s="1015" t="s">
        <v>245</v>
      </c>
      <c r="K231" s="1014"/>
    </row>
    <row r="232" spans="1:11" ht="31.5" x14ac:dyDescent="0.25">
      <c r="A232" s="1001"/>
      <c r="B232" s="428" t="s">
        <v>1026</v>
      </c>
      <c r="C232" s="1016">
        <v>30000</v>
      </c>
      <c r="D232" s="1014"/>
      <c r="E232" s="1014">
        <f t="shared" si="7"/>
        <v>30000</v>
      </c>
      <c r="F232" s="1016"/>
      <c r="G232" s="1014">
        <v>30000</v>
      </c>
      <c r="H232" s="1014"/>
      <c r="I232" s="1015"/>
      <c r="J232" s="1015" t="s">
        <v>245</v>
      </c>
      <c r="K232" s="1014"/>
    </row>
    <row r="233" spans="1:11" ht="31.5" x14ac:dyDescent="0.25">
      <c r="A233" s="1001"/>
      <c r="B233" s="428" t="s">
        <v>1246</v>
      </c>
      <c r="C233" s="1016">
        <v>1000</v>
      </c>
      <c r="D233" s="1014"/>
      <c r="E233" s="1014">
        <f t="shared" si="7"/>
        <v>1000</v>
      </c>
      <c r="F233" s="1016"/>
      <c r="G233" s="1014">
        <v>1000</v>
      </c>
      <c r="H233" s="1014"/>
      <c r="I233" s="1015"/>
      <c r="J233" s="1015" t="s">
        <v>245</v>
      </c>
      <c r="K233" s="1014"/>
    </row>
    <row r="234" spans="1:11" ht="31.5" x14ac:dyDescent="0.25">
      <c r="A234" s="1001"/>
      <c r="B234" s="428" t="s">
        <v>1247</v>
      </c>
      <c r="C234" s="1016">
        <v>1500</v>
      </c>
      <c r="D234" s="1014"/>
      <c r="E234" s="1014">
        <f t="shared" si="7"/>
        <v>1500</v>
      </c>
      <c r="F234" s="1016"/>
      <c r="G234" s="1014">
        <v>1500</v>
      </c>
      <c r="H234" s="1014"/>
      <c r="I234" s="1015"/>
      <c r="J234" s="1015" t="s">
        <v>245</v>
      </c>
      <c r="K234" s="1014"/>
    </row>
    <row r="235" spans="1:11" ht="31.5" x14ac:dyDescent="0.25">
      <c r="A235" s="1001"/>
      <c r="B235" s="428" t="s">
        <v>1389</v>
      </c>
      <c r="C235" s="1016">
        <v>2540</v>
      </c>
      <c r="D235" s="1014"/>
      <c r="E235" s="1014">
        <f t="shared" si="7"/>
        <v>2540</v>
      </c>
      <c r="F235" s="1016"/>
      <c r="G235" s="1014">
        <v>2540</v>
      </c>
      <c r="H235" s="1014"/>
      <c r="I235" s="1015"/>
      <c r="J235" s="1015" t="s">
        <v>245</v>
      </c>
      <c r="K235" s="1014"/>
    </row>
    <row r="236" spans="1:11" x14ac:dyDescent="0.25">
      <c r="A236" s="1001"/>
      <c r="B236" s="428" t="s">
        <v>1248</v>
      </c>
      <c r="C236" s="1016">
        <v>20000</v>
      </c>
      <c r="D236" s="1014"/>
      <c r="E236" s="1014">
        <f t="shared" si="7"/>
        <v>20000</v>
      </c>
      <c r="F236" s="1016"/>
      <c r="G236" s="1014">
        <v>20000</v>
      </c>
      <c r="H236" s="1014"/>
      <c r="I236" s="1015"/>
      <c r="J236" s="1015" t="s">
        <v>245</v>
      </c>
      <c r="K236" s="1014"/>
    </row>
    <row r="237" spans="1:11" x14ac:dyDescent="0.25">
      <c r="A237" s="1001"/>
      <c r="B237" s="428" t="s">
        <v>1027</v>
      </c>
      <c r="C237" s="1016">
        <v>10000</v>
      </c>
      <c r="D237" s="1014"/>
      <c r="E237" s="1014">
        <f t="shared" si="7"/>
        <v>10000</v>
      </c>
      <c r="F237" s="1016"/>
      <c r="G237" s="1014">
        <v>10000</v>
      </c>
      <c r="H237" s="1014"/>
      <c r="I237" s="1015"/>
      <c r="J237" s="1015" t="s">
        <v>245</v>
      </c>
      <c r="K237" s="1014"/>
    </row>
    <row r="238" spans="1:11" x14ac:dyDescent="0.25">
      <c r="A238" s="1001"/>
      <c r="B238" s="428" t="s">
        <v>1028</v>
      </c>
      <c r="C238" s="1016">
        <v>4000</v>
      </c>
      <c r="D238" s="1014"/>
      <c r="E238" s="1014">
        <f t="shared" si="7"/>
        <v>4000</v>
      </c>
      <c r="F238" s="1016"/>
      <c r="G238" s="1014">
        <v>4000</v>
      </c>
      <c r="H238" s="1014"/>
      <c r="I238" s="1015"/>
      <c r="J238" s="1015" t="s">
        <v>245</v>
      </c>
      <c r="K238" s="1014"/>
    </row>
    <row r="239" spans="1:11" x14ac:dyDescent="0.25">
      <c r="A239" s="1001"/>
      <c r="B239" s="428" t="s">
        <v>1291</v>
      </c>
      <c r="C239" s="1016">
        <v>23000</v>
      </c>
      <c r="D239" s="1014"/>
      <c r="E239" s="1014">
        <f t="shared" si="7"/>
        <v>23000</v>
      </c>
      <c r="F239" s="1016"/>
      <c r="G239" s="1014">
        <v>23000</v>
      </c>
      <c r="H239" s="1014"/>
      <c r="I239" s="1015"/>
      <c r="J239" s="1015" t="s">
        <v>245</v>
      </c>
      <c r="K239" s="1014"/>
    </row>
    <row r="240" spans="1:11" x14ac:dyDescent="0.25">
      <c r="A240" s="1001"/>
      <c r="B240" s="428" t="s">
        <v>1292</v>
      </c>
      <c r="C240" s="1016">
        <v>5000</v>
      </c>
      <c r="D240" s="1014"/>
      <c r="E240" s="1014">
        <f t="shared" si="7"/>
        <v>5000</v>
      </c>
      <c r="F240" s="1016"/>
      <c r="G240" s="1014">
        <f>3000+2000</f>
        <v>5000</v>
      </c>
      <c r="H240" s="1014"/>
      <c r="I240" s="1015"/>
      <c r="J240" s="1015" t="s">
        <v>245</v>
      </c>
      <c r="K240" s="1014"/>
    </row>
    <row r="241" spans="1:11" x14ac:dyDescent="0.25">
      <c r="A241" s="1001"/>
      <c r="B241" s="428" t="s">
        <v>1293</v>
      </c>
      <c r="C241" s="1016">
        <v>500</v>
      </c>
      <c r="D241" s="1014"/>
      <c r="E241" s="1014">
        <f>SUM(C241:D241)</f>
        <v>500</v>
      </c>
      <c r="F241" s="1016"/>
      <c r="G241" s="1014">
        <v>500</v>
      </c>
      <c r="H241" s="1014"/>
      <c r="I241" s="1015"/>
      <c r="J241" s="1015" t="s">
        <v>245</v>
      </c>
      <c r="K241" s="1014"/>
    </row>
    <row r="242" spans="1:11" x14ac:dyDescent="0.25">
      <c r="A242" s="1001"/>
      <c r="B242" s="428" t="s">
        <v>1249</v>
      </c>
      <c r="C242" s="1016">
        <v>6000</v>
      </c>
      <c r="D242" s="1014"/>
      <c r="E242" s="1014">
        <f t="shared" si="7"/>
        <v>6000</v>
      </c>
      <c r="F242" s="1016"/>
      <c r="G242" s="1014">
        <v>6000</v>
      </c>
      <c r="H242" s="1014"/>
      <c r="I242" s="1015"/>
      <c r="J242" s="1015" t="s">
        <v>245</v>
      </c>
      <c r="K242" s="1014"/>
    </row>
    <row r="243" spans="1:11" ht="31.5" x14ac:dyDescent="0.25">
      <c r="A243" s="1001"/>
      <c r="B243" s="428" t="s">
        <v>1490</v>
      </c>
      <c r="C243" s="1016">
        <v>0</v>
      </c>
      <c r="D243" s="1014">
        <v>21611</v>
      </c>
      <c r="E243" s="1014">
        <f t="shared" si="7"/>
        <v>21611</v>
      </c>
      <c r="F243" s="1016"/>
      <c r="G243" s="1014">
        <v>21611</v>
      </c>
      <c r="H243" s="1014"/>
      <c r="I243" s="1015"/>
      <c r="J243" s="1015" t="s">
        <v>245</v>
      </c>
      <c r="K243" s="1014"/>
    </row>
    <row r="244" spans="1:11" ht="47.25" x14ac:dyDescent="0.25">
      <c r="A244" s="1001"/>
      <c r="B244" s="428" t="s">
        <v>1491</v>
      </c>
      <c r="C244" s="1016">
        <v>0</v>
      </c>
      <c r="D244" s="1014">
        <v>7231</v>
      </c>
      <c r="E244" s="1014">
        <f t="shared" si="7"/>
        <v>7231</v>
      </c>
      <c r="F244" s="1016"/>
      <c r="G244" s="1014">
        <v>7231</v>
      </c>
      <c r="H244" s="1014"/>
      <c r="I244" s="1015"/>
      <c r="J244" s="1015" t="s">
        <v>245</v>
      </c>
      <c r="K244" s="1014"/>
    </row>
    <row r="245" spans="1:11" x14ac:dyDescent="0.25">
      <c r="A245" s="1001" t="s">
        <v>195</v>
      </c>
      <c r="B245" s="1008" t="s">
        <v>162</v>
      </c>
      <c r="C245" s="1025">
        <v>6498</v>
      </c>
      <c r="D245" s="1025"/>
      <c r="E245" s="1025">
        <f t="shared" si="7"/>
        <v>6498</v>
      </c>
      <c r="F245" s="1025">
        <v>498</v>
      </c>
      <c r="G245" s="1025">
        <v>6000</v>
      </c>
      <c r="H245" s="1025"/>
      <c r="I245" s="1026" t="s">
        <v>245</v>
      </c>
      <c r="J245" s="1026"/>
      <c r="K245" s="1025"/>
    </row>
    <row r="246" spans="1:11" x14ac:dyDescent="0.25">
      <c r="A246" s="1001" t="s">
        <v>196</v>
      </c>
      <c r="B246" s="1033" t="s">
        <v>1033</v>
      </c>
      <c r="C246" s="1009">
        <f t="shared" ref="C246" si="8">SUM(C247+C253+C254+C255+C256)</f>
        <v>214161</v>
      </c>
      <c r="D246" s="1009">
        <f>SUM(D247+D253+D254+D255+D256)</f>
        <v>2781</v>
      </c>
      <c r="E246" s="1009">
        <f>SUM(E247+E253+E254+E255+E256)</f>
        <v>216942</v>
      </c>
      <c r="F246" s="1009">
        <f t="shared" ref="F246:H246" si="9">SUM(F247+F253+F254+F255+F256)</f>
        <v>57973</v>
      </c>
      <c r="G246" s="1009">
        <f t="shared" si="9"/>
        <v>166423</v>
      </c>
      <c r="H246" s="1009">
        <f t="shared" si="9"/>
        <v>-7454</v>
      </c>
      <c r="I246" s="1004" t="s">
        <v>245</v>
      </c>
      <c r="J246" s="1004" t="s">
        <v>245</v>
      </c>
      <c r="K246" s="1009"/>
    </row>
    <row r="247" spans="1:11" x14ac:dyDescent="0.25">
      <c r="A247" s="1001"/>
      <c r="B247" s="1008" t="s">
        <v>197</v>
      </c>
      <c r="C247" s="1009">
        <f>SUM(C248:C252)</f>
        <v>66732</v>
      </c>
      <c r="D247" s="1009">
        <f>SUM(D248:D252)</f>
        <v>0</v>
      </c>
      <c r="E247" s="1009">
        <f t="shared" si="7"/>
        <v>66732</v>
      </c>
      <c r="F247" s="1009">
        <v>370</v>
      </c>
      <c r="G247" s="1009">
        <v>66362</v>
      </c>
      <c r="H247" s="1009"/>
      <c r="I247" s="1004"/>
      <c r="J247" s="1004" t="s">
        <v>245</v>
      </c>
      <c r="K247" s="1009"/>
    </row>
    <row r="248" spans="1:11" x14ac:dyDescent="0.25">
      <c r="A248" s="1001"/>
      <c r="B248" s="1017" t="s">
        <v>163</v>
      </c>
      <c r="C248" s="1027">
        <v>4947</v>
      </c>
      <c r="D248" s="1027"/>
      <c r="E248" s="1027">
        <f t="shared" si="7"/>
        <v>4947</v>
      </c>
      <c r="F248" s="1027">
        <v>70</v>
      </c>
      <c r="G248" s="1027">
        <v>4877</v>
      </c>
      <c r="H248" s="1027"/>
      <c r="I248" s="1028"/>
      <c r="J248" s="1028" t="s">
        <v>245</v>
      </c>
      <c r="K248" s="1027"/>
    </row>
    <row r="249" spans="1:11" x14ac:dyDescent="0.25">
      <c r="A249" s="1001"/>
      <c r="B249" s="1013" t="s">
        <v>164</v>
      </c>
      <c r="C249" s="1027">
        <v>1485</v>
      </c>
      <c r="D249" s="1027"/>
      <c r="E249" s="1027">
        <f t="shared" si="7"/>
        <v>1485</v>
      </c>
      <c r="F249" s="1027">
        <v>0</v>
      </c>
      <c r="G249" s="1027">
        <v>1485</v>
      </c>
      <c r="H249" s="1027"/>
      <c r="I249" s="1028"/>
      <c r="J249" s="1028" t="s">
        <v>245</v>
      </c>
      <c r="K249" s="1027"/>
    </row>
    <row r="250" spans="1:11" x14ac:dyDescent="0.25">
      <c r="A250" s="1001"/>
      <c r="B250" s="1013" t="s">
        <v>165</v>
      </c>
      <c r="C250" s="1027">
        <v>55300</v>
      </c>
      <c r="D250" s="1027"/>
      <c r="E250" s="1027">
        <f t="shared" si="7"/>
        <v>55300</v>
      </c>
      <c r="F250" s="1027">
        <v>300</v>
      </c>
      <c r="G250" s="1027">
        <v>55000</v>
      </c>
      <c r="H250" s="1027"/>
      <c r="I250" s="1028" t="s">
        <v>245</v>
      </c>
      <c r="J250" s="1028" t="s">
        <v>245</v>
      </c>
      <c r="K250" s="1027"/>
    </row>
    <row r="251" spans="1:11" x14ac:dyDescent="0.25">
      <c r="A251" s="1001"/>
      <c r="B251" s="1013" t="s">
        <v>1029</v>
      </c>
      <c r="C251" s="1027">
        <v>1000</v>
      </c>
      <c r="D251" s="1027"/>
      <c r="E251" s="1027">
        <f t="shared" si="7"/>
        <v>1000</v>
      </c>
      <c r="F251" s="1027"/>
      <c r="G251" s="1027">
        <v>1000</v>
      </c>
      <c r="H251" s="1027"/>
      <c r="I251" s="1028"/>
      <c r="J251" s="1028" t="s">
        <v>245</v>
      </c>
      <c r="K251" s="1027"/>
    </row>
    <row r="252" spans="1:11" x14ac:dyDescent="0.25">
      <c r="A252" s="1001"/>
      <c r="B252" s="1013" t="s">
        <v>830</v>
      </c>
      <c r="C252" s="1027">
        <v>4000</v>
      </c>
      <c r="D252" s="1027"/>
      <c r="E252" s="1027">
        <f t="shared" si="7"/>
        <v>4000</v>
      </c>
      <c r="F252" s="1027">
        <v>0</v>
      </c>
      <c r="G252" s="1027">
        <v>4000</v>
      </c>
      <c r="H252" s="1027"/>
      <c r="I252" s="1028"/>
      <c r="J252" s="1028" t="s">
        <v>245</v>
      </c>
      <c r="K252" s="1027"/>
    </row>
    <row r="253" spans="1:11" x14ac:dyDescent="0.25">
      <c r="A253" s="1001"/>
      <c r="B253" s="1008" t="s">
        <v>215</v>
      </c>
      <c r="C253" s="1025">
        <v>38792</v>
      </c>
      <c r="D253" s="1025">
        <v>3481</v>
      </c>
      <c r="E253" s="1025">
        <f t="shared" si="7"/>
        <v>42273</v>
      </c>
      <c r="F253" s="1025">
        <v>38792</v>
      </c>
      <c r="G253" s="1025">
        <v>3481</v>
      </c>
      <c r="H253" s="1025"/>
      <c r="I253" s="1026" t="s">
        <v>245</v>
      </c>
      <c r="J253" s="1026"/>
      <c r="K253" s="1025"/>
    </row>
    <row r="254" spans="1:11" x14ac:dyDescent="0.25">
      <c r="A254" s="1001"/>
      <c r="B254" s="1008" t="s">
        <v>198</v>
      </c>
      <c r="C254" s="1025">
        <v>33007</v>
      </c>
      <c r="D254" s="1025">
        <v>-500</v>
      </c>
      <c r="E254" s="1025">
        <f t="shared" si="7"/>
        <v>32507</v>
      </c>
      <c r="F254" s="1025">
        <v>3901</v>
      </c>
      <c r="G254" s="1025">
        <f>30000-320-100</f>
        <v>29580</v>
      </c>
      <c r="H254" s="1025">
        <f>-60-94-220-100-500</f>
        <v>-974</v>
      </c>
      <c r="I254" s="1026"/>
      <c r="J254" s="1026" t="s">
        <v>245</v>
      </c>
      <c r="K254" s="1025"/>
    </row>
    <row r="255" spans="1:11" x14ac:dyDescent="0.25">
      <c r="A255" s="1001"/>
      <c r="B255" s="1008" t="s">
        <v>199</v>
      </c>
      <c r="C255" s="1025">
        <v>42605</v>
      </c>
      <c r="D255" s="1025">
        <v>-200</v>
      </c>
      <c r="E255" s="1025">
        <f t="shared" si="7"/>
        <v>42405</v>
      </c>
      <c r="F255" s="1025">
        <v>6885</v>
      </c>
      <c r="G255" s="1025">
        <v>42000</v>
      </c>
      <c r="H255" s="1025">
        <f>-2960-608-1460-1252-200</f>
        <v>-6480</v>
      </c>
      <c r="I255" s="1026"/>
      <c r="J255" s="1026" t="s">
        <v>245</v>
      </c>
      <c r="K255" s="1025"/>
    </row>
    <row r="256" spans="1:11" ht="16.5" thickBot="1" x14ac:dyDescent="0.3">
      <c r="A256" s="1001"/>
      <c r="B256" s="1008" t="s">
        <v>166</v>
      </c>
      <c r="C256" s="1003">
        <v>33025</v>
      </c>
      <c r="D256" s="1003"/>
      <c r="E256" s="1003">
        <f t="shared" si="7"/>
        <v>33025</v>
      </c>
      <c r="F256" s="1003">
        <v>8025</v>
      </c>
      <c r="G256" s="1003">
        <v>25000</v>
      </c>
      <c r="H256" s="1003"/>
      <c r="I256" s="1004" t="s">
        <v>245</v>
      </c>
      <c r="J256" s="1004"/>
      <c r="K256" s="1003"/>
    </row>
    <row r="257" spans="1:11" ht="16.5" thickBot="1" x14ac:dyDescent="0.3">
      <c r="A257" s="1035"/>
      <c r="B257" s="1036" t="s">
        <v>174</v>
      </c>
      <c r="C257" s="1037">
        <f>SUM(C246+C245+C104+C87+C80+C75+C72+C5)</f>
        <v>35935707</v>
      </c>
      <c r="D257" s="1037">
        <f>SUM(D246+D245+D104+D87+D80+D75+D72+D5)</f>
        <v>-8244785</v>
      </c>
      <c r="E257" s="1037">
        <f t="shared" si="7"/>
        <v>27690922</v>
      </c>
      <c r="F257" s="1037">
        <f>SUM(F246+F245+F104+F87+F80+F75+F72+F5)</f>
        <v>2302009</v>
      </c>
      <c r="G257" s="1037">
        <f>SUM(G246+G245+G104+G87+G80+G75+G72+G5)</f>
        <v>25439630</v>
      </c>
      <c r="H257" s="1037">
        <f>SUM(H246+H245+H104+H87+H80+H75+H72+H5)</f>
        <v>-50717</v>
      </c>
      <c r="I257" s="1038" t="s">
        <v>246</v>
      </c>
      <c r="J257" s="1038" t="s">
        <v>246</v>
      </c>
      <c r="K257" s="1038" t="s">
        <v>246</v>
      </c>
    </row>
    <row r="258" spans="1:11" x14ac:dyDescent="0.25">
      <c r="A258" s="1035"/>
      <c r="B258" s="1039" t="s">
        <v>173</v>
      </c>
      <c r="C258" s="1040">
        <v>65767</v>
      </c>
      <c r="D258" s="1040">
        <v>-17335</v>
      </c>
      <c r="E258" s="1040">
        <f t="shared" si="7"/>
        <v>48432</v>
      </c>
      <c r="F258" s="1040"/>
      <c r="G258" s="1040">
        <f>250000-25178-1000-2000-662-2000+2287-46000-10500-3800-63607-20000-19000+151108+63500-2500-4000-23000-3000-5000-20000-2000-18450-1880-500-1600-2500-25000-1942-52613+49296-1016-2300-5000-2540-3000-3500-2500-700-1200-2000-12000-17335</f>
        <v>105368</v>
      </c>
      <c r="H258" s="1040">
        <f>-36223-20713</f>
        <v>-56936</v>
      </c>
      <c r="I258" s="1041"/>
      <c r="J258" s="1042" t="s">
        <v>245</v>
      </c>
      <c r="K258" s="1040"/>
    </row>
    <row r="259" spans="1:11" x14ac:dyDescent="0.25">
      <c r="A259" s="1035"/>
      <c r="B259" s="1043" t="s">
        <v>167</v>
      </c>
      <c r="C259" s="1044">
        <f>SUM(C260:C275)</f>
        <v>4985855</v>
      </c>
      <c r="D259" s="1044">
        <f>SUM(D260:D275)</f>
        <v>2357361</v>
      </c>
      <c r="E259" s="1044">
        <f t="shared" si="7"/>
        <v>7343216</v>
      </c>
      <c r="F259" s="1044">
        <f>SUM(F260:F275)</f>
        <v>0</v>
      </c>
      <c r="G259" s="1044">
        <f>SUM(G260:G275)</f>
        <v>8175411</v>
      </c>
      <c r="H259" s="1044">
        <f>SUM(H260:H275)</f>
        <v>-832195</v>
      </c>
      <c r="I259" s="1011" t="s">
        <v>245</v>
      </c>
      <c r="J259" s="1011" t="s">
        <v>245</v>
      </c>
      <c r="K259" s="1044"/>
    </row>
    <row r="260" spans="1:11" x14ac:dyDescent="0.25">
      <c r="A260" s="1045"/>
      <c r="B260" s="496" t="s">
        <v>228</v>
      </c>
      <c r="C260" s="1046">
        <v>38494</v>
      </c>
      <c r="D260" s="1047">
        <v>-3951</v>
      </c>
      <c r="E260" s="1047">
        <f t="shared" si="7"/>
        <v>34543</v>
      </c>
      <c r="F260" s="1046"/>
      <c r="G260" s="1047">
        <f>40000-3951</f>
        <v>36049</v>
      </c>
      <c r="H260" s="1047">
        <f>-404-656-446</f>
        <v>-1506</v>
      </c>
      <c r="I260" s="1048" t="s">
        <v>245</v>
      </c>
      <c r="J260" s="1048"/>
      <c r="K260" s="1047"/>
    </row>
    <row r="261" spans="1:11" ht="31.5" x14ac:dyDescent="0.25">
      <c r="A261" s="1045"/>
      <c r="B261" s="496" t="s">
        <v>213</v>
      </c>
      <c r="C261" s="1049">
        <v>37617</v>
      </c>
      <c r="D261" s="1047">
        <v>-3207</v>
      </c>
      <c r="E261" s="1047">
        <f t="shared" si="7"/>
        <v>34410</v>
      </c>
      <c r="F261" s="1049"/>
      <c r="G261" s="1047">
        <f>70000+48345</f>
        <v>118345</v>
      </c>
      <c r="H261" s="1047">
        <f>-13871-12367-27240-27250-3207</f>
        <v>-83935</v>
      </c>
      <c r="I261" s="1048" t="s">
        <v>245</v>
      </c>
      <c r="J261" s="1048"/>
      <c r="K261" s="1047"/>
    </row>
    <row r="262" spans="1:11" x14ac:dyDescent="0.25">
      <c r="A262" s="1045"/>
      <c r="B262" s="496" t="s">
        <v>510</v>
      </c>
      <c r="C262" s="1049">
        <v>31563</v>
      </c>
      <c r="D262" s="1047">
        <v>-31563</v>
      </c>
      <c r="E262" s="1047">
        <f t="shared" si="7"/>
        <v>0</v>
      </c>
      <c r="F262" s="1049"/>
      <c r="G262" s="1047">
        <f>200000+2951</f>
        <v>202951</v>
      </c>
      <c r="H262" s="1047">
        <f>-49377-34942-50182-33936-34514</f>
        <v>-202951</v>
      </c>
      <c r="I262" s="1048"/>
      <c r="J262" s="1048" t="s">
        <v>245</v>
      </c>
      <c r="K262" s="1047"/>
    </row>
    <row r="263" spans="1:11" ht="47.25" x14ac:dyDescent="0.25">
      <c r="A263" s="1045"/>
      <c r="B263" s="496" t="s">
        <v>833</v>
      </c>
      <c r="C263" s="1049">
        <v>61983</v>
      </c>
      <c r="D263" s="1047">
        <v>-59137</v>
      </c>
      <c r="E263" s="1047">
        <f t="shared" si="7"/>
        <v>2846</v>
      </c>
      <c r="F263" s="1049"/>
      <c r="G263" s="1047">
        <f>100000+245+7000-20382+18080</f>
        <v>104943</v>
      </c>
      <c r="H263" s="1047">
        <f>-15000-5152-4728-77217</f>
        <v>-102097</v>
      </c>
      <c r="I263" s="1048" t="s">
        <v>245</v>
      </c>
      <c r="J263" s="1048"/>
      <c r="K263" s="1047"/>
    </row>
    <row r="264" spans="1:11" ht="31.5" x14ac:dyDescent="0.25">
      <c r="A264" s="1045"/>
      <c r="B264" s="496" t="s">
        <v>831</v>
      </c>
      <c r="C264" s="1049">
        <v>22286</v>
      </c>
      <c r="D264" s="1047">
        <v>-22286</v>
      </c>
      <c r="E264" s="1047">
        <f t="shared" si="7"/>
        <v>0</v>
      </c>
      <c r="F264" s="1049"/>
      <c r="G264" s="1047">
        <v>63361</v>
      </c>
      <c r="H264" s="1047">
        <f>-14140-7348-11726-7861-22286</f>
        <v>-63361</v>
      </c>
      <c r="I264" s="1048" t="s">
        <v>245</v>
      </c>
      <c r="J264" s="1048"/>
      <c r="K264" s="1047"/>
    </row>
    <row r="265" spans="1:11" ht="31.5" x14ac:dyDescent="0.25">
      <c r="A265" s="1045"/>
      <c r="B265" s="496" t="s">
        <v>1030</v>
      </c>
      <c r="C265" s="1049">
        <v>17550</v>
      </c>
      <c r="D265" s="1047">
        <v>-6250</v>
      </c>
      <c r="E265" s="1047">
        <f t="shared" si="7"/>
        <v>11300</v>
      </c>
      <c r="F265" s="1049"/>
      <c r="G265" s="1047">
        <f>17550-6250</f>
        <v>11300</v>
      </c>
      <c r="H265" s="1047"/>
      <c r="I265" s="1048" t="s">
        <v>245</v>
      </c>
      <c r="J265" s="1048"/>
      <c r="K265" s="1047"/>
    </row>
    <row r="266" spans="1:11" ht="31.5" x14ac:dyDescent="0.25">
      <c r="A266" s="1045"/>
      <c r="B266" s="496" t="s">
        <v>832</v>
      </c>
      <c r="C266" s="1049">
        <v>0</v>
      </c>
      <c r="D266" s="1047">
        <v>0</v>
      </c>
      <c r="E266" s="1047">
        <f t="shared" si="7"/>
        <v>0</v>
      </c>
      <c r="F266" s="1049"/>
      <c r="G266" s="1047">
        <f>10126+684</f>
        <v>10810</v>
      </c>
      <c r="H266" s="1047">
        <v>-10810</v>
      </c>
      <c r="I266" s="1048" t="s">
        <v>245</v>
      </c>
      <c r="J266" s="1048"/>
      <c r="K266" s="1047"/>
    </row>
    <row r="267" spans="1:11" ht="31.5" x14ac:dyDescent="0.25">
      <c r="A267" s="1045"/>
      <c r="B267" s="496" t="s">
        <v>1031</v>
      </c>
      <c r="C267" s="1049">
        <v>0</v>
      </c>
      <c r="D267" s="1047">
        <v>0</v>
      </c>
      <c r="E267" s="1047">
        <f t="shared" si="7"/>
        <v>0</v>
      </c>
      <c r="F267" s="1049"/>
      <c r="G267" s="1047">
        <v>0</v>
      </c>
      <c r="H267" s="1047"/>
      <c r="I267" s="1048"/>
      <c r="J267" s="1048" t="s">
        <v>245</v>
      </c>
      <c r="K267" s="1047"/>
    </row>
    <row r="268" spans="1:11" x14ac:dyDescent="0.25">
      <c r="A268" s="1045"/>
      <c r="B268" s="496" t="s">
        <v>1250</v>
      </c>
      <c r="C268" s="1049">
        <v>1677</v>
      </c>
      <c r="D268" s="1047">
        <v>-291</v>
      </c>
      <c r="E268" s="1047">
        <f t="shared" si="7"/>
        <v>1386</v>
      </c>
      <c r="F268" s="1049"/>
      <c r="G268" s="1047">
        <v>20000</v>
      </c>
      <c r="H268" s="1047">
        <f>-18323-291</f>
        <v>-18614</v>
      </c>
      <c r="I268" s="1048"/>
      <c r="J268" s="1048" t="s">
        <v>245</v>
      </c>
      <c r="K268" s="1047"/>
    </row>
    <row r="269" spans="1:11" x14ac:dyDescent="0.25">
      <c r="A269" s="1045"/>
      <c r="B269" s="496" t="s">
        <v>1194</v>
      </c>
      <c r="C269" s="1049">
        <v>3737</v>
      </c>
      <c r="D269" s="1047">
        <v>-3737</v>
      </c>
      <c r="E269" s="1047">
        <f t="shared" si="7"/>
        <v>0</v>
      </c>
      <c r="F269" s="1049"/>
      <c r="G269" s="1047">
        <f>7217+15689-179+19167+22575+21968+3441</f>
        <v>89878</v>
      </c>
      <c r="H269" s="1047">
        <f>-22727-15430-22575-21968-7178</f>
        <v>-89878</v>
      </c>
      <c r="I269" s="1048" t="s">
        <v>245</v>
      </c>
      <c r="J269" s="1048"/>
      <c r="K269" s="1047"/>
    </row>
    <row r="270" spans="1:11" s="1051" customFormat="1" x14ac:dyDescent="0.25">
      <c r="A270" s="1050"/>
      <c r="B270" s="428" t="s">
        <v>1251</v>
      </c>
      <c r="C270" s="1046">
        <v>0</v>
      </c>
      <c r="D270" s="1047">
        <v>100</v>
      </c>
      <c r="E270" s="1047">
        <f t="shared" si="7"/>
        <v>100</v>
      </c>
      <c r="F270" s="1046"/>
      <c r="G270" s="1047">
        <f>32041-631+15156+15984</f>
        <v>62550</v>
      </c>
      <c r="H270" s="1047">
        <f>-31410-15156-15984+100</f>
        <v>-62450</v>
      </c>
      <c r="I270" s="1048" t="s">
        <v>245</v>
      </c>
      <c r="J270" s="1048"/>
      <c r="K270" s="1047"/>
    </row>
    <row r="271" spans="1:11" s="1051" customFormat="1" ht="31.5" x14ac:dyDescent="0.25">
      <c r="A271" s="1050"/>
      <c r="B271" s="428" t="s">
        <v>1252</v>
      </c>
      <c r="C271" s="1046">
        <v>0</v>
      </c>
      <c r="D271" s="1047">
        <v>0</v>
      </c>
      <c r="E271" s="1047">
        <f t="shared" si="7"/>
        <v>0</v>
      </c>
      <c r="F271" s="1046"/>
      <c r="G271" s="1047">
        <f>30466-1633+7654+22890+22683+7694</f>
        <v>89754</v>
      </c>
      <c r="H271" s="1047">
        <f>-28833-7654-22890-22683-7694</f>
        <v>-89754</v>
      </c>
      <c r="I271" s="1048" t="s">
        <v>245</v>
      </c>
      <c r="J271" s="1048"/>
      <c r="K271" s="1047"/>
    </row>
    <row r="272" spans="1:11" ht="31.5" x14ac:dyDescent="0.25">
      <c r="A272" s="1045"/>
      <c r="B272" s="496" t="s">
        <v>1195</v>
      </c>
      <c r="C272" s="1049">
        <v>2040</v>
      </c>
      <c r="D272" s="1047">
        <v>-2040</v>
      </c>
      <c r="E272" s="1047">
        <f t="shared" si="7"/>
        <v>0</v>
      </c>
      <c r="F272" s="1049"/>
      <c r="G272" s="1047">
        <f>12070+10052</f>
        <v>22122</v>
      </c>
      <c r="H272" s="1047">
        <f>-10030-12092</f>
        <v>-22122</v>
      </c>
      <c r="I272" s="1048" t="s">
        <v>245</v>
      </c>
      <c r="J272" s="1048"/>
      <c r="K272" s="1047"/>
    </row>
    <row r="273" spans="1:11" x14ac:dyDescent="0.25">
      <c r="A273" s="1045"/>
      <c r="B273" s="496" t="s">
        <v>511</v>
      </c>
      <c r="C273" s="1049">
        <v>150000</v>
      </c>
      <c r="D273" s="1047">
        <v>0</v>
      </c>
      <c r="E273" s="1047">
        <f t="shared" si="7"/>
        <v>150000</v>
      </c>
      <c r="F273" s="1049"/>
      <c r="G273" s="1047">
        <v>150000</v>
      </c>
      <c r="H273" s="1047"/>
      <c r="I273" s="1048" t="s">
        <v>245</v>
      </c>
      <c r="J273" s="1048"/>
      <c r="K273" s="1047"/>
    </row>
    <row r="274" spans="1:11" x14ac:dyDescent="0.25">
      <c r="A274" s="1045"/>
      <c r="B274" s="496" t="s">
        <v>512</v>
      </c>
      <c r="C274" s="1049">
        <v>4518908</v>
      </c>
      <c r="D274" s="1052">
        <v>2489723</v>
      </c>
      <c r="E274" s="1052">
        <f t="shared" si="7"/>
        <v>7008631</v>
      </c>
      <c r="F274" s="1049"/>
      <c r="G274" s="1052">
        <f>3560295-110000+2250956-8148-20000+377750-298480-773405-375343+2489723</f>
        <v>7093348</v>
      </c>
      <c r="H274" s="1052">
        <f>-1846-7214-5000-46783-1716-10914-11244</f>
        <v>-84717</v>
      </c>
      <c r="I274" s="1053" t="s">
        <v>245</v>
      </c>
      <c r="J274" s="1053"/>
      <c r="K274" s="1052"/>
    </row>
    <row r="275" spans="1:11" ht="16.5" thickBot="1" x14ac:dyDescent="0.3">
      <c r="A275" s="1045"/>
      <c r="B275" s="1013" t="s">
        <v>1032</v>
      </c>
      <c r="C275" s="1049">
        <v>100000</v>
      </c>
      <c r="D275" s="1052">
        <v>0</v>
      </c>
      <c r="E275" s="1052">
        <f t="shared" si="7"/>
        <v>100000</v>
      </c>
      <c r="F275" s="1049"/>
      <c r="G275" s="1052">
        <f>300000-200000</f>
        <v>100000</v>
      </c>
      <c r="H275" s="1052"/>
      <c r="I275" s="1053"/>
      <c r="J275" s="1053" t="s">
        <v>245</v>
      </c>
      <c r="K275" s="1052"/>
    </row>
    <row r="276" spans="1:11" ht="16.5" thickBot="1" x14ac:dyDescent="0.3">
      <c r="A276" s="1054"/>
      <c r="B276" s="1036" t="s">
        <v>168</v>
      </c>
      <c r="C276" s="1055">
        <f>SUM(C257+C258+C259)</f>
        <v>40987329</v>
      </c>
      <c r="D276" s="1055">
        <f>SUM(D257+D258+D259)</f>
        <v>-5904759</v>
      </c>
      <c r="E276" s="1055">
        <f t="shared" si="7"/>
        <v>35082570</v>
      </c>
      <c r="F276" s="1055">
        <f>SUM(F257+F258+F259)</f>
        <v>2302009</v>
      </c>
      <c r="G276" s="1055">
        <f>SUM(G257+G258+G259)</f>
        <v>33720409</v>
      </c>
      <c r="H276" s="1055">
        <f>SUM(H257+H258+H259)</f>
        <v>-939848</v>
      </c>
      <c r="I276" s="1056" t="s">
        <v>246</v>
      </c>
      <c r="J276" s="1056" t="s">
        <v>246</v>
      </c>
      <c r="K276" s="1056" t="s">
        <v>246</v>
      </c>
    </row>
    <row r="277" spans="1:11" x14ac:dyDescent="0.25">
      <c r="C277" s="1057"/>
      <c r="D277" s="1057"/>
      <c r="F277" s="1057"/>
      <c r="G277" s="1057"/>
      <c r="H277" s="1057"/>
    </row>
    <row r="278" spans="1:11" x14ac:dyDescent="0.25">
      <c r="B278" s="429"/>
      <c r="C278" s="1057"/>
      <c r="D278" s="1057"/>
      <c r="E278" s="1057"/>
      <c r="F278" s="1057"/>
      <c r="G278" s="1057"/>
      <c r="H278" s="1057"/>
    </row>
    <row r="280" spans="1:11" x14ac:dyDescent="0.25">
      <c r="B280" s="430"/>
      <c r="C280" s="1057"/>
      <c r="D280" s="1057"/>
      <c r="E280" s="1057"/>
      <c r="F280" s="1057"/>
      <c r="G280" s="1057"/>
      <c r="H280" s="1057"/>
    </row>
    <row r="290" ht="16.5" customHeight="1" x14ac:dyDescent="0.25"/>
  </sheetData>
  <mergeCells count="2">
    <mergeCell ref="A1:K1"/>
    <mergeCell ref="A2:K2"/>
  </mergeCells>
  <printOptions horizontalCentered="1"/>
  <pageMargins left="0.19685039370078741" right="0.27559055118110237" top="0.70866141732283472" bottom="0.62992125984251968" header="0.19685039370078741" footer="0.55118110236220474"/>
  <pageSetup paperSize="9" scale="45" orientation="portrait" r:id="rId1"/>
  <headerFooter alignWithMargins="0">
    <oddHeader>&amp;R&amp;"Times New Roman CE,Dőlt"&amp;10
12. melléklet
  a 3/2016.(II.12.) önkormányzati rendelethez&amp;X11</oddHeader>
    <oddFooter>&amp;L&amp;X11&amp;XMódosította a 6/2017.(II.24.) önkormányzati rendelet 4.§ (10) bekezdése,
 hatályos 2017. február 24. 12 órától&amp;C&amp;P.oldal</oddFooter>
  </headerFooter>
  <rowBreaks count="3" manualBreakCount="3">
    <brk id="70" max="10" man="1"/>
    <brk id="133" max="10" man="1"/>
    <brk id="207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9"/>
  <sheetViews>
    <sheetView zoomScaleNormal="100" workbookViewId="0">
      <pane xSplit="1" ySplit="6" topLeftCell="B106" activePane="bottomRight" state="frozen"/>
      <selection activeCell="AH33" sqref="AH33"/>
      <selection pane="topRight" activeCell="AH33" sqref="AH33"/>
      <selection pane="bottomLeft" activeCell="AH33" sqref="AH33"/>
      <selection pane="bottomRight" activeCell="J119" sqref="J119"/>
    </sheetView>
  </sheetViews>
  <sheetFormatPr defaultRowHeight="15.75" x14ac:dyDescent="0.25"/>
  <cols>
    <col min="1" max="1" width="59" style="4" customWidth="1"/>
    <col min="2" max="2" width="12.25" style="332" customWidth="1"/>
    <col min="3" max="3" width="12.625" style="14" customWidth="1"/>
    <col min="4" max="4" width="13.375" style="14" customWidth="1"/>
    <col min="5" max="16384" width="9" style="353"/>
  </cols>
  <sheetData>
    <row r="1" spans="1:5" s="4" customFormat="1" x14ac:dyDescent="0.25">
      <c r="A1" s="14"/>
      <c r="B1" s="332"/>
      <c r="C1" s="14"/>
      <c r="D1" s="14"/>
      <c r="E1" s="14"/>
    </row>
    <row r="2" spans="1:5" s="4" customFormat="1" x14ac:dyDescent="0.25">
      <c r="A2" s="1274" t="s">
        <v>1066</v>
      </c>
      <c r="B2" s="1274"/>
      <c r="C2" s="1274"/>
      <c r="D2" s="1274"/>
      <c r="E2" s="1274"/>
    </row>
    <row r="3" spans="1:5" s="4" customFormat="1" x14ac:dyDescent="0.25">
      <c r="A3" s="1274" t="s">
        <v>378</v>
      </c>
      <c r="B3" s="1274"/>
      <c r="C3" s="1274"/>
      <c r="D3" s="1274"/>
      <c r="E3" s="1274"/>
    </row>
    <row r="4" spans="1:5" x14ac:dyDescent="0.25">
      <c r="A4" s="14"/>
      <c r="E4" s="1113"/>
    </row>
    <row r="5" spans="1:5" ht="16.5" thickBot="1" x14ac:dyDescent="0.3">
      <c r="A5" s="14"/>
      <c r="E5" s="1113"/>
    </row>
    <row r="6" spans="1:5" ht="33" thickTop="1" thickBot="1" x14ac:dyDescent="0.3">
      <c r="A6" s="900" t="s">
        <v>891</v>
      </c>
      <c r="B6" s="901" t="s">
        <v>1125</v>
      </c>
      <c r="C6" s="900" t="s">
        <v>1124</v>
      </c>
      <c r="D6" s="900" t="s">
        <v>1294</v>
      </c>
    </row>
    <row r="7" spans="1:5" ht="16.5" thickTop="1" x14ac:dyDescent="0.25">
      <c r="A7" s="1058"/>
      <c r="B7" s="1059"/>
      <c r="C7" s="681"/>
      <c r="D7" s="681"/>
    </row>
    <row r="8" spans="1:5" x14ac:dyDescent="0.25">
      <c r="A8" s="1058" t="s">
        <v>367</v>
      </c>
      <c r="B8" s="1059"/>
      <c r="C8" s="681"/>
      <c r="D8" s="681"/>
    </row>
    <row r="9" spans="1:5" x14ac:dyDescent="0.25">
      <c r="A9" s="902" t="s">
        <v>368</v>
      </c>
      <c r="B9" s="903">
        <v>10000</v>
      </c>
      <c r="C9" s="904"/>
      <c r="D9" s="904">
        <f>SUM(B9:C9)</f>
        <v>10000</v>
      </c>
    </row>
    <row r="10" spans="1:5" x14ac:dyDescent="0.25">
      <c r="A10" s="905" t="s">
        <v>369</v>
      </c>
      <c r="B10" s="906">
        <v>3315</v>
      </c>
      <c r="C10" s="904"/>
      <c r="D10" s="904">
        <f t="shared" ref="D10:D109" si="0">SUM(B10:C10)</f>
        <v>3315</v>
      </c>
    </row>
    <row r="11" spans="1:5" ht="31.5" x14ac:dyDescent="0.25">
      <c r="A11" s="905" t="s">
        <v>1390</v>
      </c>
      <c r="B11" s="906">
        <v>1016</v>
      </c>
      <c r="C11" s="904"/>
      <c r="D11" s="904">
        <f t="shared" si="0"/>
        <v>1016</v>
      </c>
    </row>
    <row r="12" spans="1:5" x14ac:dyDescent="0.25">
      <c r="A12" s="907" t="s">
        <v>892</v>
      </c>
      <c r="B12" s="908">
        <f>SUM(B9:B11)</f>
        <v>14331</v>
      </c>
      <c r="C12" s="908">
        <f>SUM(C9:C11)</f>
        <v>0</v>
      </c>
      <c r="D12" s="908">
        <f>SUM(D9:D11)</f>
        <v>14331</v>
      </c>
    </row>
    <row r="13" spans="1:5" x14ac:dyDescent="0.25">
      <c r="A13" s="905"/>
      <c r="B13" s="906"/>
      <c r="C13" s="904"/>
      <c r="D13" s="904"/>
    </row>
    <row r="14" spans="1:5" x14ac:dyDescent="0.25">
      <c r="A14" s="909" t="s">
        <v>893</v>
      </c>
      <c r="B14" s="910"/>
      <c r="C14" s="904"/>
      <c r="D14" s="904"/>
    </row>
    <row r="15" spans="1:5" x14ac:dyDescent="0.25">
      <c r="A15" s="911" t="s">
        <v>894</v>
      </c>
      <c r="B15" s="912">
        <v>305</v>
      </c>
      <c r="C15" s="904"/>
      <c r="D15" s="904">
        <f t="shared" si="0"/>
        <v>305</v>
      </c>
    </row>
    <row r="16" spans="1:5" x14ac:dyDescent="0.25">
      <c r="A16" s="909" t="s">
        <v>895</v>
      </c>
      <c r="B16" s="910"/>
      <c r="C16" s="904"/>
      <c r="D16" s="904"/>
    </row>
    <row r="17" spans="1:4" x14ac:dyDescent="0.25">
      <c r="A17" s="911" t="s">
        <v>896</v>
      </c>
      <c r="B17" s="912">
        <v>757</v>
      </c>
      <c r="C17" s="904"/>
      <c r="D17" s="904">
        <f t="shared" si="0"/>
        <v>757</v>
      </c>
    </row>
    <row r="18" spans="1:4" x14ac:dyDescent="0.25">
      <c r="A18" s="913" t="s">
        <v>724</v>
      </c>
      <c r="B18" s="914">
        <v>251210</v>
      </c>
      <c r="C18" s="914">
        <f>SUM(C19:C31)</f>
        <v>0</v>
      </c>
      <c r="D18" s="914">
        <f>SUM(D19:D31)</f>
        <v>251210</v>
      </c>
    </row>
    <row r="19" spans="1:4" x14ac:dyDescent="0.25">
      <c r="A19" s="902" t="s">
        <v>897</v>
      </c>
      <c r="B19" s="903">
        <v>29362</v>
      </c>
      <c r="C19" s="904"/>
      <c r="D19" s="904">
        <f t="shared" si="0"/>
        <v>29362</v>
      </c>
    </row>
    <row r="20" spans="1:4" x14ac:dyDescent="0.25">
      <c r="A20" s="902" t="s">
        <v>898</v>
      </c>
      <c r="B20" s="903">
        <v>13708</v>
      </c>
      <c r="C20" s="904"/>
      <c r="D20" s="904">
        <f t="shared" si="0"/>
        <v>13708</v>
      </c>
    </row>
    <row r="21" spans="1:4" x14ac:dyDescent="0.25">
      <c r="A21" s="902" t="s">
        <v>899</v>
      </c>
      <c r="B21" s="903">
        <v>8363</v>
      </c>
      <c r="C21" s="904"/>
      <c r="D21" s="904">
        <f t="shared" si="0"/>
        <v>8363</v>
      </c>
    </row>
    <row r="22" spans="1:4" x14ac:dyDescent="0.25">
      <c r="A22" s="902" t="s">
        <v>1048</v>
      </c>
      <c r="B22" s="903">
        <v>4991</v>
      </c>
      <c r="C22" s="904"/>
      <c r="D22" s="904">
        <f t="shared" si="0"/>
        <v>4991</v>
      </c>
    </row>
    <row r="23" spans="1:4" x14ac:dyDescent="0.25">
      <c r="A23" s="902" t="s">
        <v>1049</v>
      </c>
      <c r="B23" s="903">
        <v>10000</v>
      </c>
      <c r="C23" s="904"/>
      <c r="D23" s="904">
        <f>SUM(B23:C23)</f>
        <v>10000</v>
      </c>
    </row>
    <row r="24" spans="1:4" x14ac:dyDescent="0.25">
      <c r="A24" s="902" t="s">
        <v>900</v>
      </c>
      <c r="B24" s="903">
        <v>17739</v>
      </c>
      <c r="C24" s="904"/>
      <c r="D24" s="904">
        <f t="shared" si="0"/>
        <v>17739</v>
      </c>
    </row>
    <row r="25" spans="1:4" x14ac:dyDescent="0.25">
      <c r="A25" s="902" t="s">
        <v>901</v>
      </c>
      <c r="B25" s="903">
        <v>5080</v>
      </c>
      <c r="C25" s="904"/>
      <c r="D25" s="904">
        <f t="shared" si="0"/>
        <v>5080</v>
      </c>
    </row>
    <row r="26" spans="1:4" x14ac:dyDescent="0.25">
      <c r="A26" s="902" t="s">
        <v>902</v>
      </c>
      <c r="B26" s="903">
        <v>8967</v>
      </c>
      <c r="C26" s="904"/>
      <c r="D26" s="904">
        <f t="shared" si="0"/>
        <v>8967</v>
      </c>
    </row>
    <row r="27" spans="1:4" x14ac:dyDescent="0.25">
      <c r="A27" s="911" t="s">
        <v>903</v>
      </c>
      <c r="B27" s="912">
        <v>15000</v>
      </c>
      <c r="C27" s="904"/>
      <c r="D27" s="904">
        <f t="shared" si="0"/>
        <v>15000</v>
      </c>
    </row>
    <row r="28" spans="1:4" x14ac:dyDescent="0.25">
      <c r="A28" s="902" t="s">
        <v>904</v>
      </c>
      <c r="B28" s="903">
        <v>18000</v>
      </c>
      <c r="C28" s="904"/>
      <c r="D28" s="904">
        <f t="shared" si="0"/>
        <v>18000</v>
      </c>
    </row>
    <row r="29" spans="1:4" ht="31.5" x14ac:dyDescent="0.25">
      <c r="A29" s="902" t="s">
        <v>905</v>
      </c>
      <c r="B29" s="903">
        <v>60000</v>
      </c>
      <c r="C29" s="904"/>
      <c r="D29" s="904">
        <f t="shared" si="0"/>
        <v>60000</v>
      </c>
    </row>
    <row r="30" spans="1:4" x14ac:dyDescent="0.25">
      <c r="A30" s="902" t="s">
        <v>906</v>
      </c>
      <c r="B30" s="903">
        <v>20000</v>
      </c>
      <c r="C30" s="904"/>
      <c r="D30" s="904">
        <f t="shared" si="0"/>
        <v>20000</v>
      </c>
    </row>
    <row r="31" spans="1:4" x14ac:dyDescent="0.25">
      <c r="A31" s="902" t="s">
        <v>907</v>
      </c>
      <c r="B31" s="903">
        <v>40000</v>
      </c>
      <c r="C31" s="904"/>
      <c r="D31" s="904">
        <f t="shared" si="0"/>
        <v>40000</v>
      </c>
    </row>
    <row r="32" spans="1:4" x14ac:dyDescent="0.25">
      <c r="A32" s="913" t="s">
        <v>908</v>
      </c>
      <c r="B32" s="914">
        <f t="shared" ref="B32:D32" si="1">SUM(B33:B47)</f>
        <v>493927</v>
      </c>
      <c r="C32" s="914">
        <f t="shared" si="1"/>
        <v>0</v>
      </c>
      <c r="D32" s="914">
        <f t="shared" si="1"/>
        <v>493927</v>
      </c>
    </row>
    <row r="33" spans="1:4" x14ac:dyDescent="0.25">
      <c r="A33" s="902" t="s">
        <v>1050</v>
      </c>
      <c r="B33" s="903">
        <v>130000</v>
      </c>
      <c r="C33" s="904"/>
      <c r="D33" s="904">
        <f t="shared" si="0"/>
        <v>130000</v>
      </c>
    </row>
    <row r="34" spans="1:4" x14ac:dyDescent="0.25">
      <c r="A34" s="902" t="s">
        <v>909</v>
      </c>
      <c r="B34" s="903">
        <v>35000</v>
      </c>
      <c r="C34" s="904"/>
      <c r="D34" s="904">
        <f t="shared" si="0"/>
        <v>35000</v>
      </c>
    </row>
    <row r="35" spans="1:4" x14ac:dyDescent="0.25">
      <c r="A35" s="902" t="s">
        <v>1051</v>
      </c>
      <c r="B35" s="903">
        <v>35000</v>
      </c>
      <c r="C35" s="904"/>
      <c r="D35" s="904">
        <f t="shared" si="0"/>
        <v>35000</v>
      </c>
    </row>
    <row r="36" spans="1:4" x14ac:dyDescent="0.25">
      <c r="A36" s="902" t="s">
        <v>910</v>
      </c>
      <c r="B36" s="903">
        <v>10000</v>
      </c>
      <c r="C36" s="904"/>
      <c r="D36" s="904">
        <f t="shared" si="0"/>
        <v>10000</v>
      </c>
    </row>
    <row r="37" spans="1:4" x14ac:dyDescent="0.25">
      <c r="A37" s="902" t="s">
        <v>911</v>
      </c>
      <c r="B37" s="903">
        <v>35000</v>
      </c>
      <c r="C37" s="904"/>
      <c r="D37" s="904">
        <f t="shared" si="0"/>
        <v>35000</v>
      </c>
    </row>
    <row r="38" spans="1:4" x14ac:dyDescent="0.25">
      <c r="A38" s="902" t="s">
        <v>912</v>
      </c>
      <c r="B38" s="903">
        <v>65396</v>
      </c>
      <c r="C38" s="904"/>
      <c r="D38" s="904">
        <f t="shared" si="0"/>
        <v>65396</v>
      </c>
    </row>
    <row r="39" spans="1:4" x14ac:dyDescent="0.25">
      <c r="A39" s="902" t="s">
        <v>913</v>
      </c>
      <c r="B39" s="903">
        <v>28956</v>
      </c>
      <c r="C39" s="904"/>
      <c r="D39" s="904">
        <f t="shared" si="0"/>
        <v>28956</v>
      </c>
    </row>
    <row r="40" spans="1:4" x14ac:dyDescent="0.25">
      <c r="A40" s="902" t="s">
        <v>914</v>
      </c>
      <c r="B40" s="903">
        <v>25000</v>
      </c>
      <c r="C40" s="904"/>
      <c r="D40" s="904">
        <f t="shared" si="0"/>
        <v>25000</v>
      </c>
    </row>
    <row r="41" spans="1:4" ht="31.5" x14ac:dyDescent="0.25">
      <c r="A41" s="902" t="s">
        <v>915</v>
      </c>
      <c r="B41" s="903">
        <v>10000</v>
      </c>
      <c r="C41" s="904"/>
      <c r="D41" s="904">
        <f t="shared" si="0"/>
        <v>10000</v>
      </c>
    </row>
    <row r="42" spans="1:4" x14ac:dyDescent="0.25">
      <c r="A42" s="902" t="s">
        <v>916</v>
      </c>
      <c r="B42" s="903">
        <v>20000</v>
      </c>
      <c r="C42" s="904"/>
      <c r="D42" s="904">
        <f t="shared" si="0"/>
        <v>20000</v>
      </c>
    </row>
    <row r="43" spans="1:4" x14ac:dyDescent="0.25">
      <c r="A43" s="902" t="s">
        <v>917</v>
      </c>
      <c r="B43" s="903">
        <v>30000</v>
      </c>
      <c r="C43" s="904"/>
      <c r="D43" s="904">
        <f t="shared" si="0"/>
        <v>30000</v>
      </c>
    </row>
    <row r="44" spans="1:4" x14ac:dyDescent="0.25">
      <c r="A44" s="902" t="s">
        <v>1052</v>
      </c>
      <c r="B44" s="903">
        <v>3175</v>
      </c>
      <c r="C44" s="915"/>
      <c r="D44" s="904">
        <f t="shared" si="0"/>
        <v>3175</v>
      </c>
    </row>
    <row r="45" spans="1:4" ht="31.5" x14ac:dyDescent="0.25">
      <c r="A45" s="902" t="s">
        <v>1053</v>
      </c>
      <c r="B45" s="903">
        <v>36000</v>
      </c>
      <c r="C45" s="904"/>
      <c r="D45" s="904">
        <f t="shared" si="0"/>
        <v>36000</v>
      </c>
    </row>
    <row r="46" spans="1:4" ht="36" customHeight="1" x14ac:dyDescent="0.25">
      <c r="A46" s="902" t="s">
        <v>952</v>
      </c>
      <c r="B46" s="903">
        <v>15400</v>
      </c>
      <c r="C46" s="904"/>
      <c r="D46" s="904">
        <f>SUM(B46:C46)</f>
        <v>15400</v>
      </c>
    </row>
    <row r="47" spans="1:4" ht="31.5" x14ac:dyDescent="0.25">
      <c r="A47" s="902" t="s">
        <v>1054</v>
      </c>
      <c r="B47" s="903">
        <v>15000</v>
      </c>
      <c r="C47" s="904"/>
      <c r="D47" s="904">
        <f t="shared" si="0"/>
        <v>15000</v>
      </c>
    </row>
    <row r="48" spans="1:4" x14ac:dyDescent="0.25">
      <c r="A48" s="913" t="s">
        <v>918</v>
      </c>
      <c r="B48" s="914"/>
      <c r="C48" s="904"/>
      <c r="D48" s="904"/>
    </row>
    <row r="49" spans="1:4" ht="31.5" x14ac:dyDescent="0.25">
      <c r="A49" s="902" t="s">
        <v>994</v>
      </c>
      <c r="B49" s="903">
        <v>33604</v>
      </c>
      <c r="C49" s="904"/>
      <c r="D49" s="904">
        <f t="shared" si="0"/>
        <v>33604</v>
      </c>
    </row>
    <row r="50" spans="1:4" x14ac:dyDescent="0.25">
      <c r="A50" s="902" t="s">
        <v>953</v>
      </c>
      <c r="B50" s="903">
        <v>15000</v>
      </c>
      <c r="C50" s="904"/>
      <c r="D50" s="904">
        <f t="shared" si="0"/>
        <v>15000</v>
      </c>
    </row>
    <row r="51" spans="1:4" x14ac:dyDescent="0.25">
      <c r="A51" s="902"/>
      <c r="B51" s="903"/>
      <c r="C51" s="904"/>
      <c r="D51" s="904"/>
    </row>
    <row r="52" spans="1:4" x14ac:dyDescent="0.25">
      <c r="A52" s="902" t="s">
        <v>919</v>
      </c>
      <c r="B52" s="903">
        <v>5000</v>
      </c>
      <c r="C52" s="904"/>
      <c r="D52" s="904">
        <f t="shared" si="0"/>
        <v>5000</v>
      </c>
    </row>
    <row r="53" spans="1:4" x14ac:dyDescent="0.25">
      <c r="A53" s="902" t="s">
        <v>920</v>
      </c>
      <c r="B53" s="903">
        <v>14000</v>
      </c>
      <c r="C53" s="904"/>
      <c r="D53" s="904">
        <f t="shared" si="0"/>
        <v>14000</v>
      </c>
    </row>
    <row r="54" spans="1:4" ht="31.5" x14ac:dyDescent="0.25">
      <c r="A54" s="902" t="s">
        <v>1055</v>
      </c>
      <c r="B54" s="903">
        <v>1600</v>
      </c>
      <c r="C54" s="904"/>
      <c r="D54" s="904">
        <f t="shared" si="0"/>
        <v>1600</v>
      </c>
    </row>
    <row r="55" spans="1:4" x14ac:dyDescent="0.25">
      <c r="A55" s="902" t="s">
        <v>1253</v>
      </c>
      <c r="B55" s="903">
        <v>23401</v>
      </c>
      <c r="C55" s="904"/>
      <c r="D55" s="904">
        <f t="shared" si="0"/>
        <v>23401</v>
      </c>
    </row>
    <row r="56" spans="1:4" x14ac:dyDescent="0.25">
      <c r="A56" s="916" t="s">
        <v>921</v>
      </c>
      <c r="B56" s="917">
        <f>SUM(B49:B55,B32,B18,B17,B15)</f>
        <v>838804</v>
      </c>
      <c r="C56" s="917">
        <f>SUM(C49:C55,C32,C18,C17,C15)</f>
        <v>0</v>
      </c>
      <c r="D56" s="917">
        <f>SUM(D49:D55,D32,D18,D17,D15)</f>
        <v>838804</v>
      </c>
    </row>
    <row r="57" spans="1:4" x14ac:dyDescent="0.25">
      <c r="A57" s="916"/>
      <c r="B57" s="910"/>
      <c r="C57" s="917"/>
      <c r="D57" s="904"/>
    </row>
    <row r="58" spans="1:4" x14ac:dyDescent="0.25">
      <c r="A58" s="909" t="s">
        <v>922</v>
      </c>
      <c r="B58" s="918"/>
      <c r="C58" s="917"/>
      <c r="D58" s="904"/>
    </row>
    <row r="59" spans="1:4" x14ac:dyDescent="0.25">
      <c r="A59" s="911" t="s">
        <v>923</v>
      </c>
      <c r="B59" s="912">
        <v>317</v>
      </c>
      <c r="C59" s="919"/>
      <c r="D59" s="904">
        <f t="shared" si="0"/>
        <v>317</v>
      </c>
    </row>
    <row r="60" spans="1:4" x14ac:dyDescent="0.25">
      <c r="A60" s="902" t="s">
        <v>924</v>
      </c>
      <c r="B60" s="903">
        <v>48824</v>
      </c>
      <c r="C60" s="904"/>
      <c r="D60" s="904">
        <f t="shared" si="0"/>
        <v>48824</v>
      </c>
    </row>
    <row r="61" spans="1:4" x14ac:dyDescent="0.25">
      <c r="A61" s="902" t="s">
        <v>925</v>
      </c>
      <c r="B61" s="920">
        <v>8049</v>
      </c>
      <c r="C61" s="921"/>
      <c r="D61" s="904">
        <f t="shared" si="0"/>
        <v>8049</v>
      </c>
    </row>
    <row r="62" spans="1:4" x14ac:dyDescent="0.25">
      <c r="A62" s="902" t="s">
        <v>1056</v>
      </c>
      <c r="B62" s="920">
        <v>11500</v>
      </c>
      <c r="C62" s="921"/>
      <c r="D62" s="904">
        <f t="shared" si="0"/>
        <v>11500</v>
      </c>
    </row>
    <row r="63" spans="1:4" ht="31.5" x14ac:dyDescent="0.25">
      <c r="A63" s="902" t="s">
        <v>1057</v>
      </c>
      <c r="B63" s="920">
        <v>12700</v>
      </c>
      <c r="C63" s="921"/>
      <c r="D63" s="904">
        <f t="shared" si="0"/>
        <v>12700</v>
      </c>
    </row>
    <row r="64" spans="1:4" x14ac:dyDescent="0.25">
      <c r="A64" s="902" t="s">
        <v>926</v>
      </c>
      <c r="B64" s="920">
        <v>13451</v>
      </c>
      <c r="C64" s="921"/>
      <c r="D64" s="904">
        <f t="shared" si="0"/>
        <v>13451</v>
      </c>
    </row>
    <row r="65" spans="1:4" x14ac:dyDescent="0.25">
      <c r="A65" s="902" t="s">
        <v>927</v>
      </c>
      <c r="B65" s="920">
        <v>17785</v>
      </c>
      <c r="C65" s="921"/>
      <c r="D65" s="904">
        <f t="shared" si="0"/>
        <v>17785</v>
      </c>
    </row>
    <row r="66" spans="1:4" x14ac:dyDescent="0.25">
      <c r="A66" s="902" t="s">
        <v>928</v>
      </c>
      <c r="B66" s="920">
        <v>28750</v>
      </c>
      <c r="C66" s="921"/>
      <c r="D66" s="904">
        <f t="shared" si="0"/>
        <v>28750</v>
      </c>
    </row>
    <row r="67" spans="1:4" x14ac:dyDescent="0.25">
      <c r="A67" s="913" t="s">
        <v>929</v>
      </c>
      <c r="B67" s="922">
        <f>SUM(B59:B66)</f>
        <v>141376</v>
      </c>
      <c r="C67" s="922">
        <f>SUM(C59:C66)</f>
        <v>0</v>
      </c>
      <c r="D67" s="922">
        <f>SUM(D59:D66)</f>
        <v>141376</v>
      </c>
    </row>
    <row r="68" spans="1:4" x14ac:dyDescent="0.25">
      <c r="A68" s="902"/>
      <c r="B68" s="920"/>
      <c r="C68" s="921"/>
      <c r="D68" s="904"/>
    </row>
    <row r="69" spans="1:4" x14ac:dyDescent="0.25">
      <c r="A69" s="913" t="s">
        <v>370</v>
      </c>
      <c r="B69" s="923"/>
      <c r="C69" s="921"/>
      <c r="D69" s="904"/>
    </row>
    <row r="70" spans="1:4" x14ac:dyDescent="0.25">
      <c r="A70" s="902" t="s">
        <v>371</v>
      </c>
      <c r="B70" s="903">
        <v>11079</v>
      </c>
      <c r="C70" s="904"/>
      <c r="D70" s="904">
        <f t="shared" si="0"/>
        <v>11079</v>
      </c>
    </row>
    <row r="71" spans="1:4" x14ac:dyDescent="0.25">
      <c r="A71" s="902" t="s">
        <v>372</v>
      </c>
      <c r="B71" s="903">
        <v>16828</v>
      </c>
      <c r="C71" s="904"/>
      <c r="D71" s="904">
        <f t="shared" si="0"/>
        <v>16828</v>
      </c>
    </row>
    <row r="72" spans="1:4" x14ac:dyDescent="0.25">
      <c r="A72" s="902" t="s">
        <v>930</v>
      </c>
      <c r="B72" s="903">
        <v>37052</v>
      </c>
      <c r="C72" s="904"/>
      <c r="D72" s="904">
        <f t="shared" si="0"/>
        <v>37052</v>
      </c>
    </row>
    <row r="73" spans="1:4" x14ac:dyDescent="0.25">
      <c r="A73" s="902" t="s">
        <v>931</v>
      </c>
      <c r="B73" s="903">
        <v>22225</v>
      </c>
      <c r="C73" s="904"/>
      <c r="D73" s="904">
        <f t="shared" si="0"/>
        <v>22225</v>
      </c>
    </row>
    <row r="74" spans="1:4" x14ac:dyDescent="0.25">
      <c r="A74" s="902" t="s">
        <v>373</v>
      </c>
      <c r="B74" s="903">
        <v>25685</v>
      </c>
      <c r="C74" s="904"/>
      <c r="D74" s="904">
        <f t="shared" si="0"/>
        <v>25685</v>
      </c>
    </row>
    <row r="75" spans="1:4" x14ac:dyDescent="0.25">
      <c r="A75" s="902" t="s">
        <v>932</v>
      </c>
      <c r="B75" s="903">
        <v>85000</v>
      </c>
      <c r="C75" s="904"/>
      <c r="D75" s="904">
        <f t="shared" si="0"/>
        <v>85000</v>
      </c>
    </row>
    <row r="76" spans="1:4" x14ac:dyDescent="0.25">
      <c r="A76" s="902" t="s">
        <v>723</v>
      </c>
      <c r="B76" s="903">
        <v>17508</v>
      </c>
      <c r="C76" s="904"/>
      <c r="D76" s="904">
        <f t="shared" si="0"/>
        <v>17508</v>
      </c>
    </row>
    <row r="77" spans="1:4" x14ac:dyDescent="0.25">
      <c r="A77" s="902" t="s">
        <v>1061</v>
      </c>
      <c r="B77" s="903">
        <v>218440</v>
      </c>
      <c r="C77" s="904"/>
      <c r="D77" s="904">
        <f t="shared" si="0"/>
        <v>218440</v>
      </c>
    </row>
    <row r="78" spans="1:4" ht="47.25" x14ac:dyDescent="0.25">
      <c r="A78" s="902" t="s">
        <v>1060</v>
      </c>
      <c r="B78" s="903">
        <v>11363514</v>
      </c>
      <c r="C78" s="904">
        <v>-10161415</v>
      </c>
      <c r="D78" s="904">
        <f t="shared" si="0"/>
        <v>1202099</v>
      </c>
    </row>
    <row r="79" spans="1:4" ht="47.25" x14ac:dyDescent="0.25">
      <c r="A79" s="902" t="s">
        <v>1062</v>
      </c>
      <c r="B79" s="903">
        <v>2833467</v>
      </c>
      <c r="C79" s="904">
        <v>-2534465</v>
      </c>
      <c r="D79" s="904">
        <f t="shared" si="0"/>
        <v>299002</v>
      </c>
    </row>
    <row r="80" spans="1:4" ht="31.5" x14ac:dyDescent="0.25">
      <c r="A80" s="902" t="s">
        <v>1058</v>
      </c>
      <c r="B80" s="903">
        <v>220000</v>
      </c>
      <c r="C80" s="904"/>
      <c r="D80" s="904">
        <f t="shared" si="0"/>
        <v>220000</v>
      </c>
    </row>
    <row r="81" spans="1:4" ht="31.5" x14ac:dyDescent="0.25">
      <c r="A81" s="902" t="s">
        <v>1059</v>
      </c>
      <c r="B81" s="903">
        <v>20100</v>
      </c>
      <c r="C81" s="904"/>
      <c r="D81" s="904">
        <f t="shared" si="0"/>
        <v>20100</v>
      </c>
    </row>
    <row r="82" spans="1:4" ht="31.5" x14ac:dyDescent="0.25">
      <c r="A82" s="902" t="s">
        <v>1295</v>
      </c>
      <c r="B82" s="903">
        <v>7200</v>
      </c>
      <c r="C82" s="904"/>
      <c r="D82" s="904">
        <f t="shared" si="0"/>
        <v>7200</v>
      </c>
    </row>
    <row r="83" spans="1:4" ht="47.25" x14ac:dyDescent="0.25">
      <c r="A83" s="902" t="s">
        <v>838</v>
      </c>
      <c r="B83" s="903">
        <v>7582</v>
      </c>
      <c r="C83" s="904"/>
      <c r="D83" s="904">
        <f t="shared" si="0"/>
        <v>7582</v>
      </c>
    </row>
    <row r="84" spans="1:4" x14ac:dyDescent="0.25">
      <c r="A84" s="902" t="s">
        <v>374</v>
      </c>
      <c r="B84" s="903">
        <v>271169</v>
      </c>
      <c r="C84" s="904">
        <v>-12867</v>
      </c>
      <c r="D84" s="904">
        <f t="shared" si="0"/>
        <v>258302</v>
      </c>
    </row>
    <row r="85" spans="1:4" x14ac:dyDescent="0.25">
      <c r="A85" s="902" t="s">
        <v>485</v>
      </c>
      <c r="B85" s="903">
        <v>10000</v>
      </c>
      <c r="C85" s="904"/>
      <c r="D85" s="904">
        <f t="shared" si="0"/>
        <v>10000</v>
      </c>
    </row>
    <row r="86" spans="1:4" x14ac:dyDescent="0.25">
      <c r="A86" s="902" t="s">
        <v>376</v>
      </c>
      <c r="B86" s="903">
        <v>1372</v>
      </c>
      <c r="C86" s="904"/>
      <c r="D86" s="904">
        <f t="shared" si="0"/>
        <v>1372</v>
      </c>
    </row>
    <row r="87" spans="1:4" ht="31.5" x14ac:dyDescent="0.25">
      <c r="A87" s="902" t="s">
        <v>934</v>
      </c>
      <c r="B87" s="903">
        <v>15000</v>
      </c>
      <c r="C87" s="904"/>
      <c r="D87" s="904">
        <f t="shared" si="0"/>
        <v>15000</v>
      </c>
    </row>
    <row r="88" spans="1:4" ht="31.5" x14ac:dyDescent="0.25">
      <c r="A88" s="902" t="s">
        <v>375</v>
      </c>
      <c r="B88" s="903">
        <v>35000</v>
      </c>
      <c r="C88" s="904"/>
      <c r="D88" s="904">
        <f t="shared" si="0"/>
        <v>35000</v>
      </c>
    </row>
    <row r="89" spans="1:4" x14ac:dyDescent="0.25">
      <c r="A89" s="902" t="s">
        <v>960</v>
      </c>
      <c r="B89" s="903">
        <v>22842</v>
      </c>
      <c r="C89" s="904"/>
      <c r="D89" s="904">
        <f t="shared" si="0"/>
        <v>22842</v>
      </c>
    </row>
    <row r="90" spans="1:4" x14ac:dyDescent="0.25">
      <c r="A90" s="902" t="s">
        <v>1091</v>
      </c>
      <c r="B90" s="903">
        <v>9953</v>
      </c>
      <c r="C90" s="904"/>
      <c r="D90" s="904">
        <f t="shared" si="0"/>
        <v>9953</v>
      </c>
    </row>
    <row r="91" spans="1:4" x14ac:dyDescent="0.25">
      <c r="A91" s="905" t="s">
        <v>946</v>
      </c>
      <c r="B91" s="906">
        <v>16000</v>
      </c>
      <c r="C91" s="904"/>
      <c r="D91" s="904">
        <f t="shared" si="0"/>
        <v>16000</v>
      </c>
    </row>
    <row r="92" spans="1:4" x14ac:dyDescent="0.25">
      <c r="A92" s="905" t="s">
        <v>935</v>
      </c>
      <c r="B92" s="906">
        <v>10000</v>
      </c>
      <c r="C92" s="904"/>
      <c r="D92" s="904">
        <f t="shared" si="0"/>
        <v>10000</v>
      </c>
    </row>
    <row r="93" spans="1:4" ht="31.5" x14ac:dyDescent="0.25">
      <c r="A93" s="905" t="s">
        <v>1196</v>
      </c>
      <c r="B93" s="906">
        <v>10755</v>
      </c>
      <c r="C93" s="904"/>
      <c r="D93" s="904">
        <f t="shared" si="0"/>
        <v>10755</v>
      </c>
    </row>
    <row r="94" spans="1:4" ht="31.5" x14ac:dyDescent="0.25">
      <c r="A94" s="905" t="s">
        <v>1349</v>
      </c>
      <c r="B94" s="906">
        <v>7533</v>
      </c>
      <c r="C94" s="904"/>
      <c r="D94" s="904">
        <f t="shared" si="0"/>
        <v>7533</v>
      </c>
    </row>
    <row r="95" spans="1:4" ht="47.25" x14ac:dyDescent="0.25">
      <c r="A95" s="905" t="s">
        <v>1296</v>
      </c>
      <c r="B95" s="906">
        <v>15000</v>
      </c>
      <c r="C95" s="904"/>
      <c r="D95" s="904">
        <f t="shared" si="0"/>
        <v>15000</v>
      </c>
    </row>
    <row r="96" spans="1:4" ht="31.5" x14ac:dyDescent="0.25">
      <c r="A96" s="905" t="s">
        <v>1297</v>
      </c>
      <c r="B96" s="906">
        <v>12986</v>
      </c>
      <c r="C96" s="904"/>
      <c r="D96" s="904">
        <f t="shared" si="0"/>
        <v>12986</v>
      </c>
    </row>
    <row r="97" spans="1:4" ht="47.25" x14ac:dyDescent="0.25">
      <c r="A97" s="905" t="s">
        <v>1298</v>
      </c>
      <c r="B97" s="906">
        <v>2980</v>
      </c>
      <c r="C97" s="904"/>
      <c r="D97" s="904">
        <f t="shared" si="0"/>
        <v>2980</v>
      </c>
    </row>
    <row r="98" spans="1:4" ht="31.5" x14ac:dyDescent="0.25">
      <c r="A98" s="905" t="s">
        <v>1299</v>
      </c>
      <c r="B98" s="906">
        <v>1942</v>
      </c>
      <c r="C98" s="904"/>
      <c r="D98" s="904">
        <f t="shared" si="0"/>
        <v>1942</v>
      </c>
    </row>
    <row r="99" spans="1:4" ht="31.5" x14ac:dyDescent="0.25">
      <c r="A99" s="905" t="s">
        <v>944</v>
      </c>
      <c r="B99" s="906">
        <v>538990</v>
      </c>
      <c r="C99" s="904">
        <v>-173783</v>
      </c>
      <c r="D99" s="904">
        <f t="shared" si="0"/>
        <v>365207</v>
      </c>
    </row>
    <row r="100" spans="1:4" x14ac:dyDescent="0.25">
      <c r="A100" s="905" t="s">
        <v>945</v>
      </c>
      <c r="B100" s="906">
        <v>400000</v>
      </c>
      <c r="C100" s="904">
        <v>-364845</v>
      </c>
      <c r="D100" s="904">
        <f t="shared" si="0"/>
        <v>35155</v>
      </c>
    </row>
    <row r="101" spans="1:4" ht="47.25" x14ac:dyDescent="0.25">
      <c r="A101" s="905" t="s">
        <v>1350</v>
      </c>
      <c r="B101" s="906">
        <v>200000</v>
      </c>
      <c r="C101" s="904"/>
      <c r="D101" s="904">
        <f t="shared" si="0"/>
        <v>200000</v>
      </c>
    </row>
    <row r="102" spans="1:4" ht="31.5" x14ac:dyDescent="0.25">
      <c r="A102" s="905" t="s">
        <v>1492</v>
      </c>
      <c r="B102" s="906">
        <v>20000</v>
      </c>
      <c r="C102" s="904"/>
      <c r="D102" s="904">
        <f t="shared" si="0"/>
        <v>20000</v>
      </c>
    </row>
    <row r="103" spans="1:4" ht="31.5" x14ac:dyDescent="0.25">
      <c r="A103" s="905" t="s">
        <v>1377</v>
      </c>
      <c r="B103" s="906">
        <v>114013</v>
      </c>
      <c r="C103" s="904"/>
      <c r="D103" s="904">
        <f t="shared" si="0"/>
        <v>114013</v>
      </c>
    </row>
    <row r="104" spans="1:4" ht="31.5" x14ac:dyDescent="0.25">
      <c r="A104" s="905" t="s">
        <v>950</v>
      </c>
      <c r="B104" s="906">
        <v>40000</v>
      </c>
      <c r="C104" s="904"/>
      <c r="D104" s="904">
        <f t="shared" si="0"/>
        <v>40000</v>
      </c>
    </row>
    <row r="105" spans="1:4" x14ac:dyDescent="0.25">
      <c r="A105" s="905" t="s">
        <v>936</v>
      </c>
      <c r="B105" s="906">
        <v>8418</v>
      </c>
      <c r="C105" s="904"/>
      <c r="D105" s="904">
        <f t="shared" si="0"/>
        <v>8418</v>
      </c>
    </row>
    <row r="106" spans="1:4" x14ac:dyDescent="0.25">
      <c r="A106" s="905" t="s">
        <v>951</v>
      </c>
      <c r="B106" s="906">
        <v>150000</v>
      </c>
      <c r="C106" s="904"/>
      <c r="D106" s="904">
        <f t="shared" si="0"/>
        <v>150000</v>
      </c>
    </row>
    <row r="107" spans="1:4" ht="31.5" x14ac:dyDescent="0.25">
      <c r="A107" s="905" t="s">
        <v>937</v>
      </c>
      <c r="B107" s="906">
        <v>546721</v>
      </c>
      <c r="C107" s="904"/>
      <c r="D107" s="904">
        <f t="shared" si="0"/>
        <v>546721</v>
      </c>
    </row>
    <row r="108" spans="1:4" x14ac:dyDescent="0.25">
      <c r="A108" s="905" t="s">
        <v>1493</v>
      </c>
      <c r="B108" s="906">
        <v>0</v>
      </c>
      <c r="C108" s="904">
        <v>7500000</v>
      </c>
      <c r="D108" s="904">
        <f t="shared" si="0"/>
        <v>7500000</v>
      </c>
    </row>
    <row r="109" spans="1:4" x14ac:dyDescent="0.25">
      <c r="A109" s="905" t="s">
        <v>941</v>
      </c>
      <c r="B109" s="906">
        <v>900000</v>
      </c>
      <c r="C109" s="904"/>
      <c r="D109" s="904">
        <f t="shared" si="0"/>
        <v>900000</v>
      </c>
    </row>
    <row r="110" spans="1:4" x14ac:dyDescent="0.25">
      <c r="A110" s="907" t="s">
        <v>938</v>
      </c>
      <c r="B110" s="908">
        <f>SUM(B70:B109)</f>
        <v>18246354</v>
      </c>
      <c r="C110" s="908">
        <f>SUM(C70:C109)</f>
        <v>-5747375</v>
      </c>
      <c r="D110" s="908">
        <f>SUM(D70:D109)</f>
        <v>12498979</v>
      </c>
    </row>
    <row r="111" spans="1:4" x14ac:dyDescent="0.25">
      <c r="A111" s="905"/>
      <c r="B111" s="906"/>
      <c r="C111" s="904"/>
      <c r="D111" s="904"/>
    </row>
    <row r="112" spans="1:4" x14ac:dyDescent="0.25">
      <c r="A112" s="924"/>
      <c r="B112" s="925"/>
      <c r="C112" s="925"/>
      <c r="D112" s="904"/>
    </row>
    <row r="113" spans="1:4" ht="31.5" x14ac:dyDescent="0.25">
      <c r="A113" s="913" t="s">
        <v>954</v>
      </c>
      <c r="B113" s="926"/>
      <c r="C113" s="925"/>
      <c r="D113" s="904"/>
    </row>
    <row r="114" spans="1:4" ht="31.5" x14ac:dyDescent="0.25">
      <c r="A114" s="905" t="s">
        <v>939</v>
      </c>
      <c r="B114" s="906">
        <v>594320</v>
      </c>
      <c r="C114" s="925">
        <v>-564604</v>
      </c>
      <c r="D114" s="904">
        <f t="shared" ref="D114:D125" si="2">SUM(B114:C114)</f>
        <v>29716</v>
      </c>
    </row>
    <row r="115" spans="1:4" x14ac:dyDescent="0.25">
      <c r="A115" s="905" t="s">
        <v>1300</v>
      </c>
      <c r="B115" s="906">
        <v>518000</v>
      </c>
      <c r="C115" s="925">
        <v>-492100</v>
      </c>
      <c r="D115" s="904">
        <f t="shared" si="2"/>
        <v>25900</v>
      </c>
    </row>
    <row r="116" spans="1:4" x14ac:dyDescent="0.25">
      <c r="A116" s="905" t="s">
        <v>1351</v>
      </c>
      <c r="B116" s="906">
        <v>328292</v>
      </c>
      <c r="C116" s="925"/>
      <c r="D116" s="904">
        <f t="shared" si="2"/>
        <v>328292</v>
      </c>
    </row>
    <row r="117" spans="1:4" ht="31.5" x14ac:dyDescent="0.25">
      <c r="A117" s="927" t="s">
        <v>1301</v>
      </c>
      <c r="B117" s="928">
        <v>222662</v>
      </c>
      <c r="C117" s="904">
        <v>-111331</v>
      </c>
      <c r="D117" s="904">
        <f t="shared" si="2"/>
        <v>111331</v>
      </c>
    </row>
    <row r="118" spans="1:4" x14ac:dyDescent="0.25">
      <c r="A118" s="927" t="s">
        <v>1494</v>
      </c>
      <c r="B118" s="928">
        <v>0</v>
      </c>
      <c r="C118" s="904">
        <v>129649</v>
      </c>
      <c r="D118" s="904">
        <f t="shared" si="2"/>
        <v>129649</v>
      </c>
    </row>
    <row r="119" spans="1:4" x14ac:dyDescent="0.25">
      <c r="A119" s="902" t="s">
        <v>1302</v>
      </c>
      <c r="B119" s="903">
        <v>106696</v>
      </c>
      <c r="C119" s="904">
        <v>-100691</v>
      </c>
      <c r="D119" s="904">
        <f t="shared" si="2"/>
        <v>6005</v>
      </c>
    </row>
    <row r="120" spans="1:4" ht="31.5" x14ac:dyDescent="0.25">
      <c r="A120" s="902" t="s">
        <v>940</v>
      </c>
      <c r="B120" s="903">
        <v>94000</v>
      </c>
      <c r="C120" s="904">
        <v>-94000</v>
      </c>
      <c r="D120" s="904">
        <f t="shared" si="2"/>
        <v>0</v>
      </c>
    </row>
    <row r="121" spans="1:4" ht="31.5" x14ac:dyDescent="0.25">
      <c r="A121" s="902" t="s">
        <v>1495</v>
      </c>
      <c r="B121" s="903"/>
      <c r="C121" s="904">
        <v>186423</v>
      </c>
      <c r="D121" s="904">
        <f t="shared" si="2"/>
        <v>186423</v>
      </c>
    </row>
    <row r="122" spans="1:4" ht="31.5" x14ac:dyDescent="0.25">
      <c r="A122" s="902" t="s">
        <v>1303</v>
      </c>
      <c r="B122" s="903">
        <v>302353</v>
      </c>
      <c r="C122" s="904">
        <v>-130920</v>
      </c>
      <c r="D122" s="904">
        <f t="shared" si="2"/>
        <v>171433</v>
      </c>
    </row>
    <row r="123" spans="1:4" ht="31.5" x14ac:dyDescent="0.25">
      <c r="A123" s="902" t="s">
        <v>1496</v>
      </c>
      <c r="B123" s="903">
        <v>0</v>
      </c>
      <c r="C123" s="904">
        <v>21501</v>
      </c>
      <c r="D123" s="904">
        <f>SUM(B123:C123)</f>
        <v>21501</v>
      </c>
    </row>
    <row r="124" spans="1:4" x14ac:dyDescent="0.25">
      <c r="A124" s="902" t="s">
        <v>1497</v>
      </c>
      <c r="B124" s="903">
        <v>0</v>
      </c>
      <c r="C124" s="904">
        <v>37421</v>
      </c>
      <c r="D124" s="904">
        <f>SUM(B124:C124)</f>
        <v>37421</v>
      </c>
    </row>
    <row r="125" spans="1:4" ht="31.5" x14ac:dyDescent="0.25">
      <c r="A125" s="902" t="s">
        <v>1304</v>
      </c>
      <c r="B125" s="903">
        <v>1098000</v>
      </c>
      <c r="C125" s="904">
        <v>-1094457</v>
      </c>
      <c r="D125" s="904">
        <f t="shared" si="2"/>
        <v>3543</v>
      </c>
    </row>
    <row r="126" spans="1:4" x14ac:dyDescent="0.25">
      <c r="A126" s="913" t="s">
        <v>955</v>
      </c>
      <c r="B126" s="908">
        <f>SUM(B114:B125)</f>
        <v>3264323</v>
      </c>
      <c r="C126" s="908">
        <f>SUM(C114:C125)</f>
        <v>-2213109</v>
      </c>
      <c r="D126" s="908">
        <f>SUM(D114:D125)</f>
        <v>1051214</v>
      </c>
    </row>
    <row r="127" spans="1:4" ht="16.5" thickBot="1" x14ac:dyDescent="0.3">
      <c r="A127" s="929"/>
      <c r="B127" s="920"/>
      <c r="C127" s="904"/>
      <c r="D127" s="904"/>
    </row>
    <row r="128" spans="1:4" ht="16.5" thickBot="1" x14ac:dyDescent="0.3">
      <c r="A128" s="11" t="s">
        <v>377</v>
      </c>
      <c r="B128" s="930">
        <f>SUM(B126+B110+B67+B56+B12)</f>
        <v>22505188</v>
      </c>
      <c r="C128" s="930">
        <f>SUM(C126+C110+C67+C56+C12)</f>
        <v>-7960484</v>
      </c>
      <c r="D128" s="930">
        <f>SUM(D126+D110+D67+D56+D12)</f>
        <v>14544704</v>
      </c>
    </row>
    <row r="129" spans="4:4" ht="16.5" thickTop="1" x14ac:dyDescent="0.25">
      <c r="D129" s="333"/>
    </row>
  </sheetData>
  <mergeCells count="2">
    <mergeCell ref="A2:E2"/>
    <mergeCell ref="A3:E3"/>
  </mergeCells>
  <pageMargins left="0.6692913385826772" right="0.6692913385826772" top="0.74803149606299213" bottom="0.74803149606299213" header="0.31496062992125984" footer="0.31496062992125984"/>
  <pageSetup paperSize="9" scale="85" orientation="portrait" r:id="rId1"/>
  <headerFooter>
    <oddHeader>&amp;R&amp;"Times New Roman CE,Félkövér"
&amp;"Times New Roman CE,Dőlt"&amp;10 13. melléklet
a 3/2016.(II.12.) önkormányzati rendelethez&amp;X12</oddHeader>
    <oddFooter>&amp;L&amp;10 &amp;X12&amp;XMódosította a 6/2017.(II.24.) önkormányzati rendelet 4.§ (11) bekezdése,
 hatályos 2017. február 24. 12 órától&amp;C&amp;P.oldal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zoomScaleNormal="100" workbookViewId="0">
      <selection activeCell="AH33" sqref="AH33"/>
    </sheetView>
  </sheetViews>
  <sheetFormatPr defaultRowHeight="15.75" x14ac:dyDescent="0.25"/>
  <cols>
    <col min="1" max="1" width="52.125" style="1166" customWidth="1"/>
    <col min="2" max="4" width="18.25" style="1166" customWidth="1"/>
    <col min="5" max="16384" width="9" style="1164"/>
  </cols>
  <sheetData>
    <row r="1" spans="1:5" ht="52.5" customHeight="1" x14ac:dyDescent="0.3">
      <c r="A1" s="1275" t="s">
        <v>846</v>
      </c>
      <c r="B1" s="1275"/>
      <c r="C1" s="1275"/>
      <c r="D1" s="1275"/>
    </row>
    <row r="2" spans="1:5" ht="16.5" thickBot="1" x14ac:dyDescent="0.3">
      <c r="A2" s="1165"/>
    </row>
    <row r="3" spans="1:5" ht="51" customHeight="1" thickBot="1" x14ac:dyDescent="0.3">
      <c r="A3" s="1167" t="s">
        <v>847</v>
      </c>
      <c r="B3" s="673" t="s">
        <v>942</v>
      </c>
      <c r="C3" s="673" t="s">
        <v>1124</v>
      </c>
      <c r="D3" s="673" t="s">
        <v>1498</v>
      </c>
    </row>
    <row r="4" spans="1:5" ht="31.5" customHeight="1" x14ac:dyDescent="0.25">
      <c r="A4" s="1168" t="s">
        <v>848</v>
      </c>
      <c r="B4" s="1169">
        <v>787</v>
      </c>
      <c r="C4" s="1169"/>
      <c r="D4" s="1169">
        <f>SUM(B4:C4)</f>
        <v>787</v>
      </c>
    </row>
    <row r="5" spans="1:5" s="1172" customFormat="1" x14ac:dyDescent="0.25">
      <c r="A5" s="1170" t="s">
        <v>849</v>
      </c>
      <c r="B5" s="1171">
        <v>50000</v>
      </c>
      <c r="C5" s="1171">
        <v>3658</v>
      </c>
      <c r="D5" s="1171">
        <f>SUM(B5:C5)</f>
        <v>53658</v>
      </c>
    </row>
    <row r="6" spans="1:5" ht="16.5" thickBot="1" x14ac:dyDescent="0.3">
      <c r="A6" s="1173" t="s">
        <v>850</v>
      </c>
      <c r="B6" s="1174">
        <v>19000</v>
      </c>
      <c r="C6" s="1174">
        <v>5722</v>
      </c>
      <c r="D6" s="1174">
        <f>SUM(B6:C6)</f>
        <v>24722</v>
      </c>
    </row>
    <row r="7" spans="1:5" ht="16.5" thickBot="1" x14ac:dyDescent="0.3">
      <c r="A7" s="1175" t="s">
        <v>264</v>
      </c>
      <c r="B7" s="1176">
        <v>69787</v>
      </c>
      <c r="C7" s="1176">
        <f>SUM(C4:C6)</f>
        <v>9380</v>
      </c>
      <c r="D7" s="1176">
        <f>SUM(D4:D6)</f>
        <v>79167</v>
      </c>
    </row>
    <row r="8" spans="1:5" s="1178" customFormat="1" ht="12.75" x14ac:dyDescent="0.2">
      <c r="A8" s="1177"/>
      <c r="B8" s="1177"/>
      <c r="C8" s="1177"/>
      <c r="D8" s="1177"/>
    </row>
    <row r="9" spans="1:5" s="1178" customFormat="1" ht="12.75" x14ac:dyDescent="0.2">
      <c r="A9" s="1179"/>
      <c r="B9" s="1177"/>
      <c r="C9" s="1177"/>
      <c r="D9" s="1177"/>
    </row>
    <row r="10" spans="1:5" ht="16.5" thickBot="1" x14ac:dyDescent="0.3">
      <c r="E10" s="1180"/>
    </row>
    <row r="11" spans="1:5" ht="53.25" customHeight="1" thickBot="1" x14ac:dyDescent="0.3">
      <c r="A11" s="1167" t="s">
        <v>851</v>
      </c>
      <c r="B11" s="673" t="s">
        <v>943</v>
      </c>
      <c r="C11" s="673" t="s">
        <v>1124</v>
      </c>
      <c r="D11" s="673" t="s">
        <v>1498</v>
      </c>
    </row>
    <row r="12" spans="1:5" s="1172" customFormat="1" x14ac:dyDescent="0.25">
      <c r="A12" s="1173" t="s">
        <v>852</v>
      </c>
      <c r="B12" s="1174">
        <v>8787</v>
      </c>
      <c r="C12" s="1174"/>
      <c r="D12" s="1174">
        <f>SUM(B12:C12)</f>
        <v>8787</v>
      </c>
    </row>
    <row r="13" spans="1:5" s="1183" customFormat="1" x14ac:dyDescent="0.25">
      <c r="A13" s="1181" t="s">
        <v>853</v>
      </c>
      <c r="B13" s="1182">
        <v>8787</v>
      </c>
      <c r="C13" s="1182">
        <f>SUM(C12:C12)</f>
        <v>0</v>
      </c>
      <c r="D13" s="1182">
        <f>SUM(D12:D12)</f>
        <v>8787</v>
      </c>
    </row>
    <row r="14" spans="1:5" s="1172" customFormat="1" ht="47.25" x14ac:dyDescent="0.25">
      <c r="A14" s="1184" t="s">
        <v>974</v>
      </c>
      <c r="B14" s="1174">
        <v>26000</v>
      </c>
      <c r="C14" s="1174">
        <v>9380</v>
      </c>
      <c r="D14" s="1174">
        <f>SUM(B14:C14)</f>
        <v>35380</v>
      </c>
    </row>
    <row r="15" spans="1:5" s="1172" customFormat="1" ht="31.5" x14ac:dyDescent="0.25">
      <c r="A15" s="1185" t="s">
        <v>375</v>
      </c>
      <c r="B15" s="1186">
        <v>35000</v>
      </c>
      <c r="C15" s="1186"/>
      <c r="D15" s="1174">
        <f>SUM(B15:C15)</f>
        <v>35000</v>
      </c>
    </row>
    <row r="16" spans="1:5" s="1183" customFormat="1" ht="16.5" thickBot="1" x14ac:dyDescent="0.3">
      <c r="A16" s="1187" t="s">
        <v>854</v>
      </c>
      <c r="B16" s="1188">
        <v>61000</v>
      </c>
      <c r="C16" s="1188">
        <f>SUM(C14:C15)</f>
        <v>9380</v>
      </c>
      <c r="D16" s="1188">
        <f>SUM(D14:D15)</f>
        <v>70380</v>
      </c>
    </row>
    <row r="17" spans="1:4" s="1172" customFormat="1" ht="16.5" thickBot="1" x14ac:dyDescent="0.3">
      <c r="A17" s="1175" t="s">
        <v>264</v>
      </c>
      <c r="B17" s="1176">
        <v>69787</v>
      </c>
      <c r="C17" s="1176">
        <f>SUM(C13+C16)</f>
        <v>9380</v>
      </c>
      <c r="D17" s="1176">
        <f>SUM(D13+D16)</f>
        <v>79167</v>
      </c>
    </row>
  </sheetData>
  <mergeCells count="1">
    <mergeCell ref="A1:D1"/>
  </mergeCells>
  <printOptions horizontalCentered="1"/>
  <pageMargins left="0.51181102362204722" right="0.27559055118110237" top="0.74803149606299213" bottom="0.39370078740157483" header="0.43307086614173229" footer="0.19685039370078741"/>
  <pageSetup paperSize="9" scale="83" orientation="portrait" r:id="rId1"/>
  <headerFooter alignWithMargins="0">
    <oddHeader xml:space="preserve">&amp;R&amp;"Times New Roman CE,Félkövér"
&amp;"Times New Roman CE,Dőlt"14. melléklet
&amp;11a 3/2016.(II.12.) önkormányzati rendelethez&amp;X13&amp;X
</oddHeader>
    <oddFooter>&amp;L&amp;X13&amp;XMódosította a 6/2017.(II.24.) önkormányzati rendelet 4.§ (12) bekezdése,
 hatályos 2017. február 24. 12 órától&amp;C&amp;P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"/>
  <sheetViews>
    <sheetView topLeftCell="A93" zoomScaleNormal="100" workbookViewId="0">
      <selection activeCell="AH33" sqref="AH33"/>
    </sheetView>
  </sheetViews>
  <sheetFormatPr defaultRowHeight="15.75" x14ac:dyDescent="0.25"/>
  <cols>
    <col min="1" max="1" width="26.5" style="334" customWidth="1"/>
    <col min="2" max="2" width="43.375" style="335" customWidth="1"/>
    <col min="3" max="3" width="11.5" style="336" customWidth="1"/>
    <col min="4" max="5" width="12.125" style="337" customWidth="1"/>
  </cols>
  <sheetData>
    <row r="1" spans="1:8" s="338" customFormat="1" ht="31.5" customHeight="1" x14ac:dyDescent="0.25">
      <c r="A1" s="1276" t="s">
        <v>875</v>
      </c>
      <c r="B1" s="1276"/>
      <c r="C1" s="1276"/>
      <c r="D1" s="1276"/>
      <c r="E1" s="1276"/>
      <c r="F1" s="480"/>
      <c r="G1" s="480"/>
      <c r="H1" s="480"/>
    </row>
    <row r="2" spans="1:8" x14ac:dyDescent="0.25">
      <c r="A2" s="1146"/>
      <c r="B2" s="1146"/>
      <c r="C2" s="1146"/>
      <c r="D2" s="1146"/>
      <c r="E2" s="1146"/>
    </row>
    <row r="3" spans="1:8" ht="16.5" thickBot="1" x14ac:dyDescent="0.3"/>
    <row r="4" spans="1:8" ht="48" thickBot="1" x14ac:dyDescent="0.3">
      <c r="A4" s="679" t="s">
        <v>249</v>
      </c>
      <c r="B4" s="680" t="s">
        <v>379</v>
      </c>
      <c r="C4" s="931" t="s">
        <v>1125</v>
      </c>
      <c r="D4" s="931" t="s">
        <v>1124</v>
      </c>
      <c r="E4" s="931" t="s">
        <v>1202</v>
      </c>
    </row>
    <row r="5" spans="1:8" ht="15.75" customHeight="1" x14ac:dyDescent="0.25">
      <c r="A5" s="1277" t="s">
        <v>615</v>
      </c>
      <c r="B5" s="1278"/>
      <c r="C5" s="1278"/>
      <c r="D5" s="1278"/>
      <c r="E5" s="1279"/>
    </row>
    <row r="6" spans="1:8" ht="31.5" x14ac:dyDescent="0.25">
      <c r="A6" s="932" t="s">
        <v>93</v>
      </c>
      <c r="B6" s="933" t="s">
        <v>876</v>
      </c>
      <c r="C6" s="934">
        <v>23000</v>
      </c>
      <c r="D6" s="935"/>
      <c r="E6" s="935">
        <f>SUM(C6:D6)</f>
        <v>23000</v>
      </c>
    </row>
    <row r="7" spans="1:8" ht="31.5" x14ac:dyDescent="0.25">
      <c r="A7" s="933"/>
      <c r="B7" s="933" t="s">
        <v>877</v>
      </c>
      <c r="C7" s="934">
        <v>13000</v>
      </c>
      <c r="D7" s="935"/>
      <c r="E7" s="935">
        <f t="shared" ref="E7:E9" si="0">SUM(C7:D7)</f>
        <v>13000</v>
      </c>
    </row>
    <row r="8" spans="1:8" x14ac:dyDescent="0.25">
      <c r="A8" s="933"/>
      <c r="B8" s="933" t="s">
        <v>878</v>
      </c>
      <c r="C8" s="934">
        <v>3000</v>
      </c>
      <c r="D8" s="935"/>
      <c r="E8" s="935">
        <f t="shared" si="0"/>
        <v>3000</v>
      </c>
    </row>
    <row r="9" spans="1:8" ht="31.5" x14ac:dyDescent="0.25">
      <c r="A9" s="933"/>
      <c r="B9" s="933" t="s">
        <v>879</v>
      </c>
      <c r="C9" s="934">
        <v>6000</v>
      </c>
      <c r="D9" s="935"/>
      <c r="E9" s="935">
        <f t="shared" si="0"/>
        <v>6000</v>
      </c>
    </row>
    <row r="10" spans="1:8" x14ac:dyDescent="0.25">
      <c r="A10" s="932"/>
      <c r="B10" s="932" t="s">
        <v>264</v>
      </c>
      <c r="C10" s="936">
        <v>45000</v>
      </c>
      <c r="D10" s="936">
        <f t="shared" ref="D10:E10" si="1">SUM(D6:D9)</f>
        <v>0</v>
      </c>
      <c r="E10" s="936">
        <f t="shared" si="1"/>
        <v>45000</v>
      </c>
    </row>
    <row r="11" spans="1:8" x14ac:dyDescent="0.25">
      <c r="A11" s="933"/>
      <c r="B11" s="933"/>
      <c r="C11" s="934"/>
      <c r="D11" s="935"/>
      <c r="E11" s="935"/>
    </row>
    <row r="12" spans="1:8" x14ac:dyDescent="0.25">
      <c r="A12" s="932" t="s">
        <v>563</v>
      </c>
      <c r="B12" s="933" t="s">
        <v>1197</v>
      </c>
      <c r="C12" s="934">
        <v>4226</v>
      </c>
      <c r="D12" s="935"/>
      <c r="E12" s="935">
        <f>SUM(C12:D12)</f>
        <v>4226</v>
      </c>
    </row>
    <row r="13" spans="1:8" x14ac:dyDescent="0.25">
      <c r="A13" s="933"/>
      <c r="B13" s="932" t="s">
        <v>264</v>
      </c>
      <c r="C13" s="936">
        <f>SUM(C12)</f>
        <v>4226</v>
      </c>
      <c r="D13" s="936">
        <f t="shared" ref="D13:E13" si="2">SUM(D12)</f>
        <v>0</v>
      </c>
      <c r="E13" s="936">
        <f t="shared" si="2"/>
        <v>4226</v>
      </c>
    </row>
    <row r="14" spans="1:8" x14ac:dyDescent="0.25">
      <c r="A14" s="933"/>
      <c r="B14" s="932"/>
      <c r="C14" s="936"/>
      <c r="D14" s="936"/>
      <c r="E14" s="936"/>
    </row>
    <row r="15" spans="1:8" ht="31.5" x14ac:dyDescent="0.25">
      <c r="A15" s="932" t="s">
        <v>725</v>
      </c>
      <c r="B15" s="933" t="s">
        <v>726</v>
      </c>
      <c r="C15" s="934">
        <v>21593</v>
      </c>
      <c r="D15" s="935"/>
      <c r="E15" s="935">
        <f>SUM(C15:D15)</f>
        <v>21593</v>
      </c>
    </row>
    <row r="16" spans="1:8" x14ac:dyDescent="0.25">
      <c r="A16" s="933"/>
      <c r="B16" s="932" t="s">
        <v>264</v>
      </c>
      <c r="C16" s="936">
        <v>21593</v>
      </c>
      <c r="D16" s="936">
        <f t="shared" ref="D16:E16" si="3">SUM(D15)</f>
        <v>0</v>
      </c>
      <c r="E16" s="936">
        <f t="shared" si="3"/>
        <v>21593</v>
      </c>
    </row>
    <row r="17" spans="1:5" x14ac:dyDescent="0.25">
      <c r="A17" s="933"/>
      <c r="B17" s="932"/>
      <c r="C17" s="936"/>
      <c r="D17" s="936"/>
      <c r="E17" s="936"/>
    </row>
    <row r="18" spans="1:5" ht="47.25" x14ac:dyDescent="0.25">
      <c r="A18" s="932" t="s">
        <v>880</v>
      </c>
      <c r="B18" s="933" t="s">
        <v>1065</v>
      </c>
      <c r="C18" s="934">
        <v>11994</v>
      </c>
      <c r="D18" s="935"/>
      <c r="E18" s="935">
        <f>SUM(C18:D18)</f>
        <v>11994</v>
      </c>
    </row>
    <row r="19" spans="1:5" x14ac:dyDescent="0.25">
      <c r="A19" s="933"/>
      <c r="B19" s="932" t="s">
        <v>264</v>
      </c>
      <c r="C19" s="936">
        <v>11994</v>
      </c>
      <c r="D19" s="936">
        <f t="shared" ref="D19:E19" si="4">SUM(D18)</f>
        <v>0</v>
      </c>
      <c r="E19" s="936">
        <f t="shared" si="4"/>
        <v>11994</v>
      </c>
    </row>
    <row r="20" spans="1:5" x14ac:dyDescent="0.25">
      <c r="A20" s="933"/>
      <c r="B20" s="932"/>
      <c r="C20" s="936"/>
      <c r="D20" s="936"/>
      <c r="E20" s="936"/>
    </row>
    <row r="21" spans="1:5" ht="47.25" x14ac:dyDescent="0.25">
      <c r="A21" s="932" t="s">
        <v>1076</v>
      </c>
      <c r="B21" s="933" t="s">
        <v>959</v>
      </c>
      <c r="C21" s="934">
        <v>40000</v>
      </c>
      <c r="D21" s="935"/>
      <c r="E21" s="935">
        <f>SUM(C21:D21)</f>
        <v>40000</v>
      </c>
    </row>
    <row r="22" spans="1:5" x14ac:dyDescent="0.25">
      <c r="A22" s="932"/>
      <c r="B22" s="932" t="s">
        <v>264</v>
      </c>
      <c r="C22" s="936">
        <v>40000</v>
      </c>
      <c r="D22" s="936">
        <f t="shared" ref="D22:E22" si="5">SUM(D21)</f>
        <v>0</v>
      </c>
      <c r="E22" s="936">
        <f t="shared" si="5"/>
        <v>40000</v>
      </c>
    </row>
    <row r="23" spans="1:5" x14ac:dyDescent="0.25">
      <c r="A23" s="933"/>
      <c r="B23" s="933"/>
      <c r="C23" s="934"/>
      <c r="D23" s="935"/>
      <c r="E23" s="935"/>
    </row>
    <row r="24" spans="1:5" ht="31.5" x14ac:dyDescent="0.25">
      <c r="A24" s="932" t="s">
        <v>547</v>
      </c>
      <c r="B24" s="933" t="s">
        <v>1254</v>
      </c>
      <c r="C24" s="934">
        <v>46000</v>
      </c>
      <c r="D24" s="935"/>
      <c r="E24" s="935">
        <f>SUM(C24:D24)</f>
        <v>46000</v>
      </c>
    </row>
    <row r="25" spans="1:5" x14ac:dyDescent="0.25">
      <c r="A25" s="932"/>
      <c r="B25" s="932" t="s">
        <v>264</v>
      </c>
      <c r="C25" s="936">
        <f>SUM(C24)</f>
        <v>46000</v>
      </c>
      <c r="D25" s="936">
        <f t="shared" ref="D25:E25" si="6">SUM(D24)</f>
        <v>0</v>
      </c>
      <c r="E25" s="936">
        <f t="shared" si="6"/>
        <v>46000</v>
      </c>
    </row>
    <row r="26" spans="1:5" x14ac:dyDescent="0.25">
      <c r="A26" s="933"/>
      <c r="B26" s="933"/>
      <c r="C26" s="934"/>
      <c r="D26" s="935"/>
      <c r="E26" s="935"/>
    </row>
    <row r="27" spans="1:5" ht="47.25" x14ac:dyDescent="0.25">
      <c r="A27" s="932" t="s">
        <v>554</v>
      </c>
      <c r="B27" s="933" t="s">
        <v>730</v>
      </c>
      <c r="C27" s="934">
        <v>58673</v>
      </c>
      <c r="D27" s="935"/>
      <c r="E27" s="935">
        <f>SUM(C27:D27)</f>
        <v>58673</v>
      </c>
    </row>
    <row r="28" spans="1:5" x14ac:dyDescent="0.25">
      <c r="A28" s="933"/>
      <c r="B28" s="932" t="s">
        <v>264</v>
      </c>
      <c r="C28" s="936">
        <v>58673</v>
      </c>
      <c r="D28" s="936">
        <f t="shared" ref="D28:E28" si="7">SUM(D27)</f>
        <v>0</v>
      </c>
      <c r="E28" s="936">
        <f t="shared" si="7"/>
        <v>58673</v>
      </c>
    </row>
    <row r="29" spans="1:5" x14ac:dyDescent="0.25">
      <c r="A29" s="933"/>
      <c r="B29" s="932"/>
      <c r="C29" s="936"/>
      <c r="D29" s="936"/>
      <c r="E29" s="936"/>
    </row>
    <row r="30" spans="1:5" ht="31.5" x14ac:dyDescent="0.25">
      <c r="A30" s="932" t="s">
        <v>1077</v>
      </c>
      <c r="B30" s="933" t="s">
        <v>730</v>
      </c>
      <c r="C30" s="934">
        <v>7444</v>
      </c>
      <c r="D30" s="935"/>
      <c r="E30" s="935">
        <f>SUM(C30:D30)</f>
        <v>7444</v>
      </c>
    </row>
    <row r="31" spans="1:5" x14ac:dyDescent="0.25">
      <c r="A31" s="933"/>
      <c r="B31" s="932" t="s">
        <v>264</v>
      </c>
      <c r="C31" s="936">
        <v>7444</v>
      </c>
      <c r="D31" s="936">
        <f t="shared" ref="D31:E31" si="8">SUM(D30)</f>
        <v>0</v>
      </c>
      <c r="E31" s="936">
        <f t="shared" si="8"/>
        <v>7444</v>
      </c>
    </row>
    <row r="32" spans="1:5" x14ac:dyDescent="0.25">
      <c r="A32" s="933"/>
      <c r="B32" s="932"/>
      <c r="C32" s="936"/>
      <c r="D32" s="936"/>
      <c r="E32" s="936"/>
    </row>
    <row r="33" spans="1:5" ht="31.5" x14ac:dyDescent="0.25">
      <c r="A33" s="932" t="s">
        <v>1078</v>
      </c>
      <c r="B33" s="933" t="s">
        <v>728</v>
      </c>
      <c r="C33" s="934">
        <v>4000</v>
      </c>
      <c r="D33" s="935"/>
      <c r="E33" s="935">
        <f>SUM(C33:D33)</f>
        <v>4000</v>
      </c>
    </row>
    <row r="34" spans="1:5" x14ac:dyDescent="0.25">
      <c r="A34" s="932"/>
      <c r="B34" s="933" t="s">
        <v>729</v>
      </c>
      <c r="C34" s="934">
        <v>18987</v>
      </c>
      <c r="D34" s="935"/>
      <c r="E34" s="935">
        <f>SUM(C34:D34)</f>
        <v>18987</v>
      </c>
    </row>
    <row r="35" spans="1:5" x14ac:dyDescent="0.25">
      <c r="A35" s="933"/>
      <c r="B35" s="932" t="s">
        <v>264</v>
      </c>
      <c r="C35" s="936">
        <v>22987</v>
      </c>
      <c r="D35" s="936">
        <f t="shared" ref="D35:E35" si="9">SUM(D33:D34)</f>
        <v>0</v>
      </c>
      <c r="E35" s="936">
        <f t="shared" si="9"/>
        <v>22987</v>
      </c>
    </row>
    <row r="36" spans="1:5" x14ac:dyDescent="0.25">
      <c r="A36" s="933"/>
      <c r="B36" s="932"/>
      <c r="C36" s="936"/>
      <c r="D36" s="936"/>
      <c r="E36" s="936"/>
    </row>
    <row r="37" spans="1:5" x14ac:dyDescent="0.25">
      <c r="A37" s="932" t="s">
        <v>881</v>
      </c>
      <c r="B37" s="933" t="s">
        <v>882</v>
      </c>
      <c r="C37" s="934">
        <v>15000</v>
      </c>
      <c r="D37" s="935"/>
      <c r="E37" s="935">
        <f>SUM(C37:D37)</f>
        <v>15000</v>
      </c>
    </row>
    <row r="38" spans="1:5" x14ac:dyDescent="0.25">
      <c r="A38" s="933"/>
      <c r="B38" s="932" t="s">
        <v>264</v>
      </c>
      <c r="C38" s="936">
        <v>15000</v>
      </c>
      <c r="D38" s="936">
        <f t="shared" ref="D38:E38" si="10">SUM(D37)</f>
        <v>0</v>
      </c>
      <c r="E38" s="936">
        <f t="shared" si="10"/>
        <v>15000</v>
      </c>
    </row>
    <row r="39" spans="1:5" x14ac:dyDescent="0.25">
      <c r="A39" s="933"/>
      <c r="B39" s="933"/>
      <c r="C39" s="934"/>
      <c r="D39" s="935"/>
      <c r="E39" s="935"/>
    </row>
    <row r="40" spans="1:5" x14ac:dyDescent="0.25">
      <c r="A40" s="932" t="s">
        <v>883</v>
      </c>
      <c r="B40" s="933" t="s">
        <v>882</v>
      </c>
      <c r="C40" s="934">
        <v>15000</v>
      </c>
      <c r="D40" s="935"/>
      <c r="E40" s="935">
        <f>SUM(C40:D40)</f>
        <v>15000</v>
      </c>
    </row>
    <row r="41" spans="1:5" x14ac:dyDescent="0.25">
      <c r="A41" s="932"/>
      <c r="B41" s="932" t="s">
        <v>264</v>
      </c>
      <c r="C41" s="936">
        <v>15000</v>
      </c>
      <c r="D41" s="936">
        <f t="shared" ref="D41:E41" si="11">SUM(D40)</f>
        <v>0</v>
      </c>
      <c r="E41" s="936">
        <f t="shared" si="11"/>
        <v>15000</v>
      </c>
    </row>
    <row r="42" spans="1:5" x14ac:dyDescent="0.25">
      <c r="A42" s="932"/>
      <c r="B42" s="933"/>
      <c r="C42" s="934"/>
      <c r="D42" s="935"/>
      <c r="E42" s="935"/>
    </row>
    <row r="43" spans="1:5" ht="47.25" x14ac:dyDescent="0.25">
      <c r="A43" s="932" t="s">
        <v>884</v>
      </c>
      <c r="B43" s="933" t="s">
        <v>885</v>
      </c>
      <c r="C43" s="934">
        <v>15000</v>
      </c>
      <c r="D43" s="935"/>
      <c r="E43" s="935">
        <f>SUM(C43:D43)</f>
        <v>15000</v>
      </c>
    </row>
    <row r="44" spans="1:5" x14ac:dyDescent="0.25">
      <c r="A44" s="933"/>
      <c r="B44" s="932" t="s">
        <v>264</v>
      </c>
      <c r="C44" s="936">
        <v>15000</v>
      </c>
      <c r="D44" s="936">
        <f t="shared" ref="D44:E44" si="12">SUM(D43)</f>
        <v>0</v>
      </c>
      <c r="E44" s="936">
        <f t="shared" si="12"/>
        <v>15000</v>
      </c>
    </row>
    <row r="45" spans="1:5" x14ac:dyDescent="0.25">
      <c r="A45" s="933"/>
      <c r="B45" s="933"/>
      <c r="C45" s="934"/>
      <c r="D45" s="935"/>
      <c r="E45" s="935"/>
    </row>
    <row r="46" spans="1:5" ht="78.75" x14ac:dyDescent="0.25">
      <c r="A46" s="932" t="s">
        <v>886</v>
      </c>
      <c r="B46" s="933" t="s">
        <v>887</v>
      </c>
      <c r="C46" s="934">
        <v>10000</v>
      </c>
      <c r="D46" s="935"/>
      <c r="E46" s="935">
        <f>SUM(C46:D46)</f>
        <v>10000</v>
      </c>
    </row>
    <row r="47" spans="1:5" x14ac:dyDescent="0.25">
      <c r="A47" s="933"/>
      <c r="B47" s="932" t="s">
        <v>264</v>
      </c>
      <c r="C47" s="936">
        <v>10000</v>
      </c>
      <c r="D47" s="936">
        <f t="shared" ref="D47:E47" si="13">SUM(D46)</f>
        <v>0</v>
      </c>
      <c r="E47" s="936">
        <f t="shared" si="13"/>
        <v>10000</v>
      </c>
    </row>
    <row r="48" spans="1:5" x14ac:dyDescent="0.25">
      <c r="A48" s="933"/>
      <c r="B48" s="933"/>
      <c r="C48" s="934"/>
      <c r="D48" s="935"/>
      <c r="E48" s="935"/>
    </row>
    <row r="49" spans="1:5" ht="31.5" x14ac:dyDescent="0.25">
      <c r="A49" s="932" t="s">
        <v>1079</v>
      </c>
      <c r="B49" s="933" t="s">
        <v>730</v>
      </c>
      <c r="C49" s="934">
        <v>32595</v>
      </c>
      <c r="D49" s="935"/>
      <c r="E49" s="935">
        <f>SUM(C49:D49)</f>
        <v>32595</v>
      </c>
    </row>
    <row r="50" spans="1:5" x14ac:dyDescent="0.25">
      <c r="A50" s="933"/>
      <c r="B50" s="932" t="s">
        <v>264</v>
      </c>
      <c r="C50" s="936">
        <v>32595</v>
      </c>
      <c r="D50" s="936">
        <f t="shared" ref="D50:E50" si="14">SUM(D49)</f>
        <v>0</v>
      </c>
      <c r="E50" s="936">
        <f t="shared" si="14"/>
        <v>32595</v>
      </c>
    </row>
    <row r="51" spans="1:5" x14ac:dyDescent="0.25">
      <c r="A51" s="933"/>
      <c r="B51" s="933"/>
      <c r="C51" s="934"/>
      <c r="D51" s="935"/>
      <c r="E51" s="935"/>
    </row>
    <row r="52" spans="1:5" ht="31.5" x14ac:dyDescent="0.25">
      <c r="A52" s="932" t="s">
        <v>1080</v>
      </c>
      <c r="B52" s="933" t="s">
        <v>885</v>
      </c>
      <c r="C52" s="934">
        <v>33041</v>
      </c>
      <c r="D52" s="935"/>
      <c r="E52" s="935">
        <f>SUM(C52:D52)</f>
        <v>33041</v>
      </c>
    </row>
    <row r="53" spans="1:5" x14ac:dyDescent="0.25">
      <c r="A53" s="932"/>
      <c r="B53" s="933" t="s">
        <v>1305</v>
      </c>
      <c r="C53" s="934">
        <v>4437</v>
      </c>
      <c r="D53" s="935"/>
      <c r="E53" s="935">
        <f>SUM(C53:D53)</f>
        <v>4437</v>
      </c>
    </row>
    <row r="54" spans="1:5" x14ac:dyDescent="0.25">
      <c r="A54" s="933"/>
      <c r="B54" s="932" t="s">
        <v>264</v>
      </c>
      <c r="C54" s="936">
        <f>SUM(C52:C53)</f>
        <v>37478</v>
      </c>
      <c r="D54" s="936">
        <f>SUM(D52:D53)</f>
        <v>0</v>
      </c>
      <c r="E54" s="936">
        <f>SUM(E52:E53)</f>
        <v>37478</v>
      </c>
    </row>
    <row r="55" spans="1:5" x14ac:dyDescent="0.25">
      <c r="A55" s="933"/>
      <c r="B55" s="933"/>
      <c r="C55" s="934"/>
      <c r="D55" s="935"/>
      <c r="E55" s="935"/>
    </row>
    <row r="56" spans="1:5" x14ac:dyDescent="0.25">
      <c r="A56" s="932" t="s">
        <v>888</v>
      </c>
      <c r="B56" s="933" t="s">
        <v>885</v>
      </c>
      <c r="C56" s="934">
        <v>52372</v>
      </c>
      <c r="D56" s="935"/>
      <c r="E56" s="935">
        <f>SUM(C56:D56)</f>
        <v>52372</v>
      </c>
    </row>
    <row r="57" spans="1:5" x14ac:dyDescent="0.25">
      <c r="A57" s="932"/>
      <c r="B57" s="932" t="s">
        <v>264</v>
      </c>
      <c r="C57" s="936">
        <f>SUM(C56)</f>
        <v>52372</v>
      </c>
      <c r="D57" s="936">
        <f t="shared" ref="D57:E57" si="15">SUM(D56)</f>
        <v>0</v>
      </c>
      <c r="E57" s="936">
        <f t="shared" si="15"/>
        <v>52372</v>
      </c>
    </row>
    <row r="58" spans="1:5" x14ac:dyDescent="0.25">
      <c r="A58" s="932"/>
      <c r="B58" s="933"/>
      <c r="C58" s="934"/>
      <c r="D58" s="935"/>
      <c r="E58" s="935"/>
    </row>
    <row r="59" spans="1:5" ht="31.5" x14ac:dyDescent="0.25">
      <c r="A59" s="932" t="s">
        <v>1081</v>
      </c>
      <c r="B59" s="933" t="s">
        <v>885</v>
      </c>
      <c r="C59" s="934">
        <v>3202</v>
      </c>
      <c r="D59" s="935"/>
      <c r="E59" s="935">
        <f>SUM(C59:D59)</f>
        <v>3202</v>
      </c>
    </row>
    <row r="60" spans="1:5" x14ac:dyDescent="0.25">
      <c r="A60" s="932"/>
      <c r="B60" s="932" t="s">
        <v>264</v>
      </c>
      <c r="C60" s="936">
        <v>3202</v>
      </c>
      <c r="D60" s="936">
        <f t="shared" ref="D60:E60" si="16">SUM(D59)</f>
        <v>0</v>
      </c>
      <c r="E60" s="936">
        <f t="shared" si="16"/>
        <v>3202</v>
      </c>
    </row>
    <row r="61" spans="1:5" x14ac:dyDescent="0.25">
      <c r="A61" s="932"/>
      <c r="B61" s="933"/>
      <c r="C61" s="934"/>
      <c r="D61" s="935"/>
      <c r="E61" s="935"/>
    </row>
    <row r="62" spans="1:5" ht="63" x14ac:dyDescent="0.25">
      <c r="A62" s="932" t="s">
        <v>1082</v>
      </c>
      <c r="B62" s="933" t="s">
        <v>885</v>
      </c>
      <c r="C62" s="934">
        <v>17628</v>
      </c>
      <c r="D62" s="935"/>
      <c r="E62" s="935">
        <f>SUM(C62:D62)</f>
        <v>17628</v>
      </c>
    </row>
    <row r="63" spans="1:5" x14ac:dyDescent="0.25">
      <c r="A63" s="933"/>
      <c r="B63" s="932" t="s">
        <v>264</v>
      </c>
      <c r="C63" s="936">
        <f>SUM(C62)</f>
        <v>17628</v>
      </c>
      <c r="D63" s="936">
        <f t="shared" ref="D63:E63" si="17">SUM(D62)</f>
        <v>0</v>
      </c>
      <c r="E63" s="936">
        <f t="shared" si="17"/>
        <v>17628</v>
      </c>
    </row>
    <row r="64" spans="1:5" x14ac:dyDescent="0.25">
      <c r="A64" s="933"/>
      <c r="B64" s="933"/>
      <c r="C64" s="934"/>
      <c r="D64" s="935"/>
      <c r="E64" s="935"/>
    </row>
    <row r="65" spans="1:5" ht="31.5" x14ac:dyDescent="0.25">
      <c r="A65" s="932" t="s">
        <v>1083</v>
      </c>
      <c r="B65" s="933" t="s">
        <v>885</v>
      </c>
      <c r="C65" s="934">
        <v>16358</v>
      </c>
      <c r="D65" s="935"/>
      <c r="E65" s="935">
        <f>SUM(C65:D65)</f>
        <v>16358</v>
      </c>
    </row>
    <row r="66" spans="1:5" x14ac:dyDescent="0.25">
      <c r="A66" s="933"/>
      <c r="B66" s="932" t="s">
        <v>264</v>
      </c>
      <c r="C66" s="936">
        <v>16358</v>
      </c>
      <c r="D66" s="936">
        <f t="shared" ref="D66:E66" si="18">SUM(D65)</f>
        <v>0</v>
      </c>
      <c r="E66" s="936">
        <f t="shared" si="18"/>
        <v>16358</v>
      </c>
    </row>
    <row r="67" spans="1:5" x14ac:dyDescent="0.25">
      <c r="A67" s="933"/>
      <c r="B67" s="933"/>
      <c r="C67" s="934"/>
      <c r="D67" s="935"/>
      <c r="E67" s="935"/>
    </row>
    <row r="68" spans="1:5" ht="63" x14ac:dyDescent="0.25">
      <c r="A68" s="932" t="s">
        <v>1306</v>
      </c>
      <c r="B68" s="933" t="s">
        <v>1307</v>
      </c>
      <c r="C68" s="934">
        <v>1283</v>
      </c>
      <c r="D68" s="935"/>
      <c r="E68" s="935">
        <f>SUM(C68:D68)</f>
        <v>1283</v>
      </c>
    </row>
    <row r="69" spans="1:5" x14ac:dyDescent="0.25">
      <c r="A69" s="933"/>
      <c r="B69" s="932" t="s">
        <v>264</v>
      </c>
      <c r="C69" s="936">
        <f>SUM(C68)</f>
        <v>1283</v>
      </c>
      <c r="D69" s="936">
        <f t="shared" ref="D69:E69" si="19">SUM(D68)</f>
        <v>0</v>
      </c>
      <c r="E69" s="936">
        <f t="shared" si="19"/>
        <v>1283</v>
      </c>
    </row>
    <row r="70" spans="1:5" x14ac:dyDescent="0.25">
      <c r="A70" s="933"/>
      <c r="B70" s="933"/>
      <c r="C70" s="934"/>
      <c r="D70" s="935"/>
      <c r="E70" s="935"/>
    </row>
    <row r="71" spans="1:5" ht="63" x14ac:dyDescent="0.25">
      <c r="A71" s="932" t="s">
        <v>1308</v>
      </c>
      <c r="B71" s="933" t="s">
        <v>1309</v>
      </c>
      <c r="C71" s="934">
        <v>4791</v>
      </c>
      <c r="D71" s="935"/>
      <c r="E71" s="935">
        <f>SUM(C71:D71)</f>
        <v>4791</v>
      </c>
    </row>
    <row r="72" spans="1:5" x14ac:dyDescent="0.25">
      <c r="A72" s="933"/>
      <c r="B72" s="932" t="s">
        <v>264</v>
      </c>
      <c r="C72" s="936">
        <f>SUM(C71)</f>
        <v>4791</v>
      </c>
      <c r="D72" s="936">
        <f t="shared" ref="D72:E72" si="20">SUM(D71)</f>
        <v>0</v>
      </c>
      <c r="E72" s="936">
        <f t="shared" si="20"/>
        <v>4791</v>
      </c>
    </row>
    <row r="73" spans="1:5" x14ac:dyDescent="0.25">
      <c r="A73" s="933"/>
      <c r="B73" s="933"/>
      <c r="C73" s="934"/>
      <c r="D73" s="935"/>
      <c r="E73" s="935"/>
    </row>
    <row r="74" spans="1:5" x14ac:dyDescent="0.25">
      <c r="A74" s="932" t="s">
        <v>1310</v>
      </c>
      <c r="B74" s="933" t="s">
        <v>1311</v>
      </c>
      <c r="C74" s="934">
        <v>5871</v>
      </c>
      <c r="D74" s="935"/>
      <c r="E74" s="935">
        <f>SUM(C74:D74)</f>
        <v>5871</v>
      </c>
    </row>
    <row r="75" spans="1:5" x14ac:dyDescent="0.25">
      <c r="A75" s="933"/>
      <c r="B75" s="932" t="s">
        <v>264</v>
      </c>
      <c r="C75" s="936">
        <f>SUM(C74)</f>
        <v>5871</v>
      </c>
      <c r="D75" s="936">
        <f t="shared" ref="D75:E75" si="21">SUM(D74)</f>
        <v>0</v>
      </c>
      <c r="E75" s="936">
        <f t="shared" si="21"/>
        <v>5871</v>
      </c>
    </row>
    <row r="76" spans="1:5" x14ac:dyDescent="0.25">
      <c r="A76" s="933"/>
      <c r="B76" s="933"/>
      <c r="C76" s="934"/>
      <c r="D76" s="935"/>
      <c r="E76" s="935"/>
    </row>
    <row r="77" spans="1:5" ht="63" x14ac:dyDescent="0.25">
      <c r="A77" s="932" t="s">
        <v>1084</v>
      </c>
      <c r="B77" s="933" t="s">
        <v>380</v>
      </c>
      <c r="C77" s="934">
        <v>3171</v>
      </c>
      <c r="D77" s="935"/>
      <c r="E77" s="935">
        <f>SUM(C77:D77)</f>
        <v>3171</v>
      </c>
    </row>
    <row r="78" spans="1:5" x14ac:dyDescent="0.25">
      <c r="A78" s="932"/>
      <c r="B78" s="933" t="s">
        <v>889</v>
      </c>
      <c r="C78" s="934">
        <v>20000</v>
      </c>
      <c r="D78" s="935"/>
      <c r="E78" s="935">
        <f>SUM(C78:D78)</f>
        <v>20000</v>
      </c>
    </row>
    <row r="79" spans="1:5" x14ac:dyDescent="0.25">
      <c r="A79" s="933"/>
      <c r="B79" s="932" t="s">
        <v>264</v>
      </c>
      <c r="C79" s="936">
        <v>23171</v>
      </c>
      <c r="D79" s="936">
        <f t="shared" ref="D79:E79" si="22">SUM(D77:D78)</f>
        <v>0</v>
      </c>
      <c r="E79" s="936">
        <f t="shared" si="22"/>
        <v>23171</v>
      </c>
    </row>
    <row r="80" spans="1:5" x14ac:dyDescent="0.25">
      <c r="A80" s="933"/>
      <c r="B80" s="933"/>
      <c r="C80" s="934"/>
      <c r="D80" s="935"/>
      <c r="E80" s="935"/>
    </row>
    <row r="81" spans="1:5" ht="47.25" x14ac:dyDescent="0.25">
      <c r="A81" s="932" t="s">
        <v>1085</v>
      </c>
      <c r="B81" s="933" t="s">
        <v>890</v>
      </c>
      <c r="C81" s="934">
        <v>220000</v>
      </c>
      <c r="D81" s="935"/>
      <c r="E81" s="935">
        <f>SUM(C81:D81)</f>
        <v>220000</v>
      </c>
    </row>
    <row r="82" spans="1:5" x14ac:dyDescent="0.25">
      <c r="A82" s="933"/>
      <c r="B82" s="932" t="s">
        <v>264</v>
      </c>
      <c r="C82" s="936">
        <v>220000</v>
      </c>
      <c r="D82" s="936">
        <f t="shared" ref="D82:E82" si="23">SUM(D81)</f>
        <v>0</v>
      </c>
      <c r="E82" s="936">
        <f t="shared" si="23"/>
        <v>220000</v>
      </c>
    </row>
    <row r="83" spans="1:5" x14ac:dyDescent="0.25">
      <c r="A83" s="933"/>
      <c r="B83" s="933"/>
      <c r="C83" s="934"/>
      <c r="D83" s="935"/>
      <c r="E83" s="935"/>
    </row>
    <row r="84" spans="1:5" ht="47.25" x14ac:dyDescent="0.25">
      <c r="A84" s="932" t="s">
        <v>958</v>
      </c>
      <c r="B84" s="933"/>
      <c r="C84" s="936">
        <v>4174</v>
      </c>
      <c r="D84" s="937"/>
      <c r="E84" s="937">
        <f>SUM(C84:D84)</f>
        <v>4174</v>
      </c>
    </row>
    <row r="85" spans="1:5" x14ac:dyDescent="0.25">
      <c r="A85" s="933"/>
      <c r="B85" s="933"/>
      <c r="C85" s="934"/>
      <c r="D85" s="935"/>
      <c r="E85" s="935"/>
    </row>
    <row r="86" spans="1:5" ht="36.75" customHeight="1" x14ac:dyDescent="0.25">
      <c r="A86" s="932" t="s">
        <v>570</v>
      </c>
      <c r="B86" s="933" t="s">
        <v>1352</v>
      </c>
      <c r="C86" s="934">
        <v>8500</v>
      </c>
      <c r="D86" s="935"/>
      <c r="E86" s="935">
        <f>SUM(C86:D86)</f>
        <v>8500</v>
      </c>
    </row>
    <row r="87" spans="1:5" x14ac:dyDescent="0.25">
      <c r="A87" s="933"/>
      <c r="B87" s="932" t="s">
        <v>264</v>
      </c>
      <c r="C87" s="936">
        <f>SUM(C86)</f>
        <v>8500</v>
      </c>
      <c r="D87" s="936">
        <f t="shared" ref="D87:E87" si="24">SUM(D86)</f>
        <v>0</v>
      </c>
      <c r="E87" s="936">
        <f t="shared" si="24"/>
        <v>8500</v>
      </c>
    </row>
    <row r="88" spans="1:5" x14ac:dyDescent="0.25">
      <c r="A88" s="933"/>
      <c r="B88" s="932"/>
      <c r="C88" s="936"/>
      <c r="D88" s="936"/>
      <c r="E88" s="936"/>
    </row>
    <row r="89" spans="1:5" x14ac:dyDescent="0.25">
      <c r="A89" s="932" t="s">
        <v>573</v>
      </c>
      <c r="B89" s="933" t="s">
        <v>382</v>
      </c>
      <c r="C89" s="934">
        <v>110000</v>
      </c>
      <c r="D89" s="935"/>
      <c r="E89" s="935">
        <f>SUM(C89:D89)</f>
        <v>110000</v>
      </c>
    </row>
    <row r="90" spans="1:5" x14ac:dyDescent="0.25">
      <c r="A90" s="933"/>
      <c r="B90" s="932" t="s">
        <v>264</v>
      </c>
      <c r="C90" s="936">
        <v>110000</v>
      </c>
      <c r="D90" s="936">
        <f t="shared" ref="D90:E90" si="25">SUM(D89)</f>
        <v>0</v>
      </c>
      <c r="E90" s="936">
        <f t="shared" si="25"/>
        <v>110000</v>
      </c>
    </row>
    <row r="91" spans="1:5" x14ac:dyDescent="0.25">
      <c r="A91" s="933"/>
      <c r="B91" s="932"/>
      <c r="C91" s="936"/>
      <c r="D91" s="936"/>
      <c r="E91" s="936"/>
    </row>
    <row r="92" spans="1:5" x14ac:dyDescent="0.25">
      <c r="A92" s="932" t="s">
        <v>727</v>
      </c>
      <c r="B92" s="933"/>
      <c r="C92" s="936">
        <v>21806</v>
      </c>
      <c r="D92" s="937"/>
      <c r="E92" s="937">
        <f>SUM(C92:D92)</f>
        <v>21806</v>
      </c>
    </row>
    <row r="93" spans="1:5" x14ac:dyDescent="0.25">
      <c r="A93" s="932"/>
      <c r="B93" s="933"/>
      <c r="C93" s="934"/>
      <c r="D93" s="937"/>
      <c r="E93" s="937"/>
    </row>
    <row r="94" spans="1:5" x14ac:dyDescent="0.25">
      <c r="A94" s="932" t="s">
        <v>383</v>
      </c>
      <c r="B94" s="933"/>
      <c r="C94" s="936">
        <v>118563</v>
      </c>
      <c r="D94" s="938"/>
      <c r="E94" s="938">
        <f>SUM(C94:D94)</f>
        <v>118563</v>
      </c>
    </row>
    <row r="95" spans="1:5" x14ac:dyDescent="0.25">
      <c r="A95" s="939"/>
      <c r="B95" s="939"/>
      <c r="C95" s="940"/>
      <c r="D95" s="941"/>
      <c r="E95" s="941"/>
    </row>
    <row r="96" spans="1:5" ht="47.25" customHeight="1" x14ac:dyDescent="0.25">
      <c r="A96" s="1280" t="s">
        <v>956</v>
      </c>
      <c r="B96" s="1281"/>
      <c r="C96" s="936"/>
      <c r="D96" s="935"/>
      <c r="E96" s="935"/>
    </row>
    <row r="97" spans="1:5" ht="63" x14ac:dyDescent="0.25">
      <c r="A97" s="932" t="s">
        <v>965</v>
      </c>
      <c r="B97" s="933" t="s">
        <v>975</v>
      </c>
      <c r="C97" s="934">
        <v>167294</v>
      </c>
      <c r="D97" s="935">
        <v>-97310</v>
      </c>
      <c r="E97" s="935">
        <f>SUM(C97:D97)</f>
        <v>69984</v>
      </c>
    </row>
    <row r="98" spans="1:5" x14ac:dyDescent="0.25">
      <c r="A98" s="933"/>
      <c r="B98" s="932" t="s">
        <v>264</v>
      </c>
      <c r="C98" s="936">
        <f t="shared" ref="C98:E98" si="26">SUM(C97)</f>
        <v>167294</v>
      </c>
      <c r="D98" s="936">
        <f t="shared" si="26"/>
        <v>-97310</v>
      </c>
      <c r="E98" s="936">
        <f t="shared" si="26"/>
        <v>69984</v>
      </c>
    </row>
    <row r="99" spans="1:5" x14ac:dyDescent="0.25">
      <c r="A99" s="933"/>
      <c r="B99" s="933"/>
      <c r="C99" s="934"/>
      <c r="D99" s="935"/>
      <c r="E99" s="935"/>
    </row>
    <row r="100" spans="1:5" ht="63" x14ac:dyDescent="0.25">
      <c r="A100" s="932" t="s">
        <v>559</v>
      </c>
      <c r="B100" s="933" t="s">
        <v>975</v>
      </c>
      <c r="C100" s="934">
        <v>141602</v>
      </c>
      <c r="D100" s="935">
        <v>-74669</v>
      </c>
      <c r="E100" s="935">
        <f>SUM(C100:D100)</f>
        <v>66933</v>
      </c>
    </row>
    <row r="101" spans="1:5" x14ac:dyDescent="0.25">
      <c r="A101" s="932"/>
      <c r="B101" s="932" t="s">
        <v>264</v>
      </c>
      <c r="C101" s="936">
        <f t="shared" ref="C101:E101" si="27">SUM(C100)</f>
        <v>141602</v>
      </c>
      <c r="D101" s="936">
        <f t="shared" si="27"/>
        <v>-74669</v>
      </c>
      <c r="E101" s="936">
        <f t="shared" si="27"/>
        <v>66933</v>
      </c>
    </row>
    <row r="102" spans="1:5" x14ac:dyDescent="0.25">
      <c r="A102" s="932"/>
      <c r="B102" s="933"/>
      <c r="C102" s="934"/>
      <c r="D102" s="935"/>
      <c r="E102" s="935"/>
    </row>
    <row r="103" spans="1:5" ht="63" x14ac:dyDescent="0.25">
      <c r="A103" s="932" t="s">
        <v>1086</v>
      </c>
      <c r="B103" s="933" t="s">
        <v>975</v>
      </c>
      <c r="C103" s="934">
        <v>350000</v>
      </c>
      <c r="D103" s="935">
        <v>-129754</v>
      </c>
      <c r="E103" s="935">
        <f>SUM(C103:D103)</f>
        <v>220246</v>
      </c>
    </row>
    <row r="104" spans="1:5" x14ac:dyDescent="0.25">
      <c r="A104" s="933"/>
      <c r="B104" s="932" t="s">
        <v>264</v>
      </c>
      <c r="C104" s="936">
        <f t="shared" ref="C104:E104" si="28">SUM(C103)</f>
        <v>350000</v>
      </c>
      <c r="D104" s="936">
        <f t="shared" si="28"/>
        <v>-129754</v>
      </c>
      <c r="E104" s="936">
        <f t="shared" si="28"/>
        <v>220246</v>
      </c>
    </row>
    <row r="105" spans="1:5" x14ac:dyDescent="0.25">
      <c r="A105" s="942"/>
      <c r="B105" s="943"/>
      <c r="C105" s="944"/>
      <c r="D105" s="944"/>
      <c r="E105" s="944"/>
    </row>
    <row r="106" spans="1:5" ht="16.5" thickBot="1" x14ac:dyDescent="0.3">
      <c r="A106" s="945" t="s">
        <v>957</v>
      </c>
      <c r="B106" s="945"/>
      <c r="C106" s="944">
        <f t="shared" ref="C106:E106" si="29">SUM(C104+C101+C98)</f>
        <v>658896</v>
      </c>
      <c r="D106" s="944">
        <f t="shared" si="29"/>
        <v>-301733</v>
      </c>
      <c r="E106" s="944">
        <f t="shared" si="29"/>
        <v>357163</v>
      </c>
    </row>
    <row r="107" spans="1:5" ht="16.5" thickBot="1" x14ac:dyDescent="0.3">
      <c r="A107" s="1282" t="s">
        <v>265</v>
      </c>
      <c r="B107" s="1282"/>
      <c r="C107" s="946">
        <f>SUM(C106+C94+C92+C12+C90+C22+C87+C84+C82+C79+C75+C72+C69+C66+C63+C60+C57+C54+C50+C47+C44+C41+C38+C35+C31+C28+C25+C19+C16+C10)</f>
        <v>1649605</v>
      </c>
      <c r="D107" s="946">
        <f t="shared" ref="D107:E107" si="30">SUM(D106+D94+D92+D12+D90+D22+D87+D84+D82+D79+D75+D72+D69+D66+D63+D60+D57+D54+D50+D47+D44+D41+D38+D35+D31+D28+D25+D19+D16+D10)</f>
        <v>-301733</v>
      </c>
      <c r="E107" s="946">
        <f t="shared" si="30"/>
        <v>1347872</v>
      </c>
    </row>
  </sheetData>
  <mergeCells count="4">
    <mergeCell ref="A1:E1"/>
    <mergeCell ref="A5:E5"/>
    <mergeCell ref="A96:B96"/>
    <mergeCell ref="A107:B107"/>
  </mergeCells>
  <pageMargins left="0.51181102362204722" right="0.51181102362204722" top="0.74803149606299213" bottom="0.74803149606299213" header="0.51181102362204722" footer="0.31496062992125984"/>
  <pageSetup paperSize="9" scale="77" orientation="portrait" r:id="rId1"/>
  <headerFooter>
    <oddHeader>&amp;R&amp;"Times New Roman CE,Dőlt"&amp;10
15. melléklet
a 3/2016.(II.12.) önkormányzati rendelethez&amp;X14</oddHeader>
    <oddFooter>&amp;L&amp;X14&amp;XMódosította a 6/2017.(II.24.) önkormányzati rendelet 4.§ (13) bekezdése,
 hatályos 2017. február 24. 12 órától&amp;C&amp;P.oldal</oddFooter>
  </headerFooter>
  <rowBreaks count="1" manualBreakCount="1">
    <brk id="42" max="4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zoomScaleNormal="100" workbookViewId="0">
      <selection activeCell="AH33" sqref="AH33"/>
    </sheetView>
  </sheetViews>
  <sheetFormatPr defaultColWidth="8.75" defaultRowHeight="15.75" x14ac:dyDescent="0.25"/>
  <cols>
    <col min="1" max="1" width="24.75" style="367" customWidth="1"/>
    <col min="2" max="2" width="34.625" style="367" customWidth="1"/>
    <col min="3" max="5" width="15.5" style="367" customWidth="1"/>
    <col min="6" max="16384" width="8.75" style="367"/>
  </cols>
  <sheetData>
    <row r="1" spans="1:5" ht="79.5" customHeight="1" x14ac:dyDescent="0.3">
      <c r="A1" s="1283" t="s">
        <v>1045</v>
      </c>
      <c r="B1" s="1283"/>
      <c r="C1" s="1283"/>
      <c r="D1" s="1283"/>
      <c r="E1" s="1283"/>
    </row>
    <row r="2" spans="1:5" ht="16.5" thickBot="1" x14ac:dyDescent="0.3"/>
    <row r="3" spans="1:5" ht="47.25" customHeight="1" x14ac:dyDescent="0.25">
      <c r="A3" s="368" t="s">
        <v>454</v>
      </c>
      <c r="B3" s="369"/>
      <c r="C3" s="370" t="s">
        <v>872</v>
      </c>
      <c r="D3" s="370" t="s">
        <v>1124</v>
      </c>
      <c r="E3" s="370" t="s">
        <v>1125</v>
      </c>
    </row>
    <row r="4" spans="1:5" x14ac:dyDescent="0.25">
      <c r="A4" s="1147" t="s">
        <v>455</v>
      </c>
      <c r="B4" s="528"/>
      <c r="C4" s="1189">
        <f>+C5+C6</f>
        <v>360000</v>
      </c>
      <c r="D4" s="1189">
        <f t="shared" ref="D4:E4" si="0">+D5+D6</f>
        <v>12466</v>
      </c>
      <c r="E4" s="1189">
        <f t="shared" si="0"/>
        <v>372466</v>
      </c>
    </row>
    <row r="5" spans="1:5" s="1193" customFormat="1" x14ac:dyDescent="0.25">
      <c r="A5" s="1190" t="s">
        <v>456</v>
      </c>
      <c r="B5" s="1191" t="s">
        <v>457</v>
      </c>
      <c r="C5" s="1192">
        <v>260000</v>
      </c>
      <c r="D5" s="1192">
        <v>21714</v>
      </c>
      <c r="E5" s="1192">
        <f>SUM(C5:D5)</f>
        <v>281714</v>
      </c>
    </row>
    <row r="6" spans="1:5" s="1193" customFormat="1" x14ac:dyDescent="0.25">
      <c r="A6" s="1194"/>
      <c r="B6" s="1191" t="s">
        <v>458</v>
      </c>
      <c r="C6" s="1192">
        <v>100000</v>
      </c>
      <c r="D6" s="1192">
        <v>-9248</v>
      </c>
      <c r="E6" s="1192">
        <f>SUM(C6:D6)</f>
        <v>90752</v>
      </c>
    </row>
    <row r="7" spans="1:5" s="1193" customFormat="1" x14ac:dyDescent="0.25">
      <c r="A7" s="1195" t="s">
        <v>459</v>
      </c>
      <c r="B7" s="1196"/>
      <c r="C7" s="1197">
        <f>+C6*0.27</f>
        <v>27000</v>
      </c>
      <c r="D7" s="1197">
        <v>-2514</v>
      </c>
      <c r="E7" s="1197">
        <f>SUM(C7:D7)</f>
        <v>24486</v>
      </c>
    </row>
    <row r="8" spans="1:5" s="1193" customFormat="1" x14ac:dyDescent="0.25">
      <c r="A8" s="1198" t="s">
        <v>460</v>
      </c>
      <c r="B8" s="1199"/>
      <c r="C8" s="1197">
        <f>C18-C4-C7</f>
        <v>66482</v>
      </c>
      <c r="D8" s="1197">
        <v>-12466</v>
      </c>
      <c r="E8" s="1197">
        <f>E18-E4-E7</f>
        <v>54016</v>
      </c>
    </row>
    <row r="9" spans="1:5" s="1193" customFormat="1" ht="16.5" thickBot="1" x14ac:dyDescent="0.3">
      <c r="A9" s="1200" t="s">
        <v>461</v>
      </c>
      <c r="B9" s="1201"/>
      <c r="C9" s="1202">
        <f>+C4+C7+C8</f>
        <v>453482</v>
      </c>
      <c r="D9" s="1202">
        <f t="shared" ref="D9:E9" si="1">+D4+D7+D8</f>
        <v>-2514</v>
      </c>
      <c r="E9" s="1202">
        <f t="shared" si="1"/>
        <v>450968</v>
      </c>
    </row>
    <row r="10" spans="1:5" s="1193" customFormat="1" x14ac:dyDescent="0.25">
      <c r="A10" s="1203"/>
      <c r="B10" s="1203"/>
      <c r="C10" s="1204"/>
      <c r="D10" s="1204"/>
      <c r="E10" s="1204"/>
    </row>
    <row r="11" spans="1:5" s="1193" customFormat="1" ht="16.5" thickBot="1" x14ac:dyDescent="0.3">
      <c r="A11" s="1203"/>
      <c r="B11" s="1203"/>
      <c r="C11" s="1204"/>
      <c r="D11" s="1204"/>
      <c r="E11" s="1204"/>
    </row>
    <row r="12" spans="1:5" s="1193" customFormat="1" ht="49.5" customHeight="1" x14ac:dyDescent="0.25">
      <c r="A12" s="1205" t="s">
        <v>462</v>
      </c>
      <c r="B12" s="1206"/>
      <c r="C12" s="1207" t="s">
        <v>872</v>
      </c>
      <c r="D12" s="1207" t="s">
        <v>1124</v>
      </c>
      <c r="E12" s="1207" t="s">
        <v>1125</v>
      </c>
    </row>
    <row r="13" spans="1:5" s="1193" customFormat="1" ht="29.25" customHeight="1" x14ac:dyDescent="0.25">
      <c r="A13" s="1284" t="s">
        <v>463</v>
      </c>
      <c r="B13" s="1285"/>
      <c r="C13" s="1208">
        <f>SUM(C14:C15)</f>
        <v>426482</v>
      </c>
      <c r="D13" s="1208">
        <f t="shared" ref="D13:E13" si="2">SUM(D14:D15)</f>
        <v>0</v>
      </c>
      <c r="E13" s="1208">
        <f t="shared" si="2"/>
        <v>426482</v>
      </c>
    </row>
    <row r="14" spans="1:5" s="1193" customFormat="1" x14ac:dyDescent="0.25">
      <c r="A14" s="1209"/>
      <c r="B14" s="1210" t="s">
        <v>464</v>
      </c>
      <c r="C14" s="1192">
        <v>243840</v>
      </c>
      <c r="D14" s="1192"/>
      <c r="E14" s="1192">
        <f>SUM(C14:D14)</f>
        <v>243840</v>
      </c>
    </row>
    <row r="15" spans="1:5" s="1193" customFormat="1" ht="31.5" customHeight="1" x14ac:dyDescent="0.25">
      <c r="A15" s="1211"/>
      <c r="B15" s="1212" t="s">
        <v>465</v>
      </c>
      <c r="C15" s="1192">
        <v>182642</v>
      </c>
      <c r="D15" s="1192"/>
      <c r="E15" s="1192">
        <f>SUM(C15:D15)</f>
        <v>182642</v>
      </c>
    </row>
    <row r="16" spans="1:5" s="1193" customFormat="1" x14ac:dyDescent="0.25">
      <c r="A16" s="1209"/>
      <c r="B16" s="1212" t="s">
        <v>466</v>
      </c>
      <c r="C16" s="1192">
        <v>72000</v>
      </c>
      <c r="D16" s="1192"/>
      <c r="E16" s="1192">
        <f>SUM(C16:D16)</f>
        <v>72000</v>
      </c>
    </row>
    <row r="17" spans="1:5" s="1193" customFormat="1" x14ac:dyDescent="0.25">
      <c r="A17" s="1286" t="s">
        <v>467</v>
      </c>
      <c r="B17" s="1287"/>
      <c r="C17" s="1197">
        <v>27000</v>
      </c>
      <c r="D17" s="1197">
        <v>-2514</v>
      </c>
      <c r="E17" s="1197">
        <f>SUM(C17:D17)</f>
        <v>24486</v>
      </c>
    </row>
    <row r="18" spans="1:5" ht="38.25" customHeight="1" thickBot="1" x14ac:dyDescent="0.3">
      <c r="A18" s="1288" t="s">
        <v>468</v>
      </c>
      <c r="B18" s="1289"/>
      <c r="C18" s="1213">
        <f>+C13+C17</f>
        <v>453482</v>
      </c>
      <c r="D18" s="1213">
        <f t="shared" ref="D18:E18" si="3">+D13+D17</f>
        <v>-2514</v>
      </c>
      <c r="E18" s="1213">
        <f t="shared" si="3"/>
        <v>450968</v>
      </c>
    </row>
    <row r="19" spans="1:5" x14ac:dyDescent="0.25">
      <c r="A19" s="372"/>
      <c r="B19" s="372"/>
    </row>
    <row r="21" spans="1:5" x14ac:dyDescent="0.25">
      <c r="A21" s="1214"/>
      <c r="C21" s="371"/>
      <c r="D21" s="371"/>
      <c r="E21" s="371"/>
    </row>
    <row r="23" spans="1:5" x14ac:dyDescent="0.25">
      <c r="A23" s="1215"/>
      <c r="C23" s="371"/>
      <c r="D23" s="371"/>
      <c r="E23" s="371"/>
    </row>
    <row r="30" spans="1:5" ht="13.5" customHeight="1" x14ac:dyDescent="0.25">
      <c r="B30" s="373"/>
      <c r="C30" s="374"/>
      <c r="D30" s="374"/>
      <c r="E30" s="374"/>
    </row>
    <row r="31" spans="1:5" x14ac:dyDescent="0.25">
      <c r="B31" s="374"/>
      <c r="C31" s="374"/>
      <c r="D31" s="374"/>
      <c r="E31" s="374"/>
    </row>
  </sheetData>
  <mergeCells count="4">
    <mergeCell ref="A1:E1"/>
    <mergeCell ref="A13:B13"/>
    <mergeCell ref="A17:B17"/>
    <mergeCell ref="A18:B18"/>
  </mergeCells>
  <printOptions horizontalCentered="1"/>
  <pageMargins left="0.51181102362204722" right="0.27559055118110237" top="1.0629921259842521" bottom="0.39370078740157483" header="0.43307086614173229" footer="0.19685039370078741"/>
  <pageSetup paperSize="9" scale="80" orientation="portrait" r:id="rId1"/>
  <headerFooter alignWithMargins="0">
    <oddHeader xml:space="preserve">&amp;R&amp;"Times New Roman CE,Félkövér"
&amp;"Times New Roman CE,Dőlt"16. melléklet
&amp;11a 3/2016.(II.12.) önkormányzati rendelethez&amp;X15&amp;X </oddHeader>
    <oddFooter>&amp;L&amp;X15&amp;XMódosította a 6/2017.(II.24.) önkormányzati rendelet 4.§ (14) bekezdése, hatályos 2017. február 24. 12 órától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zoomScale="110" zoomScaleNormal="110" workbookViewId="0">
      <selection activeCell="AH33" sqref="AH33"/>
    </sheetView>
  </sheetViews>
  <sheetFormatPr defaultRowHeight="15.75" x14ac:dyDescent="0.25"/>
  <cols>
    <col min="1" max="1" width="45.625" style="287" customWidth="1"/>
    <col min="2" max="2" width="16" style="288" customWidth="1"/>
    <col min="3" max="3" width="7.5" style="267" customWidth="1"/>
    <col min="4" max="4" width="43.75" style="267" customWidth="1"/>
    <col min="5" max="5" width="16" style="267" customWidth="1"/>
    <col min="6" max="6" width="24.625" style="267" customWidth="1"/>
    <col min="7" max="16384" width="9" style="267"/>
  </cols>
  <sheetData>
    <row r="1" spans="1:6" ht="31.5" customHeight="1" x14ac:dyDescent="0.25">
      <c r="A1" s="1292" t="s">
        <v>1198</v>
      </c>
      <c r="B1" s="1292"/>
      <c r="C1" s="1292"/>
      <c r="D1" s="1292"/>
      <c r="E1" s="1292"/>
      <c r="F1" s="1292"/>
    </row>
    <row r="3" spans="1:6" ht="16.5" thickBot="1" x14ac:dyDescent="0.3"/>
    <row r="4" spans="1:6" ht="33" thickTop="1" thickBot="1" x14ac:dyDescent="0.3">
      <c r="A4" s="265" t="s">
        <v>143</v>
      </c>
      <c r="B4" s="266" t="s">
        <v>1125</v>
      </c>
      <c r="D4" s="265" t="s">
        <v>143</v>
      </c>
      <c r="E4" s="266" t="s">
        <v>1125</v>
      </c>
    </row>
    <row r="5" spans="1:6" s="270" customFormat="1" ht="16.5" thickTop="1" x14ac:dyDescent="0.25">
      <c r="A5" s="268" t="s">
        <v>637</v>
      </c>
      <c r="B5" s="269"/>
      <c r="D5" s="271" t="s">
        <v>638</v>
      </c>
      <c r="E5" s="272"/>
    </row>
    <row r="6" spans="1:6" s="275" customFormat="1" ht="31.5" x14ac:dyDescent="0.25">
      <c r="A6" s="273" t="s">
        <v>145</v>
      </c>
      <c r="B6" s="274">
        <f>5833827+1637+501472+130590+131348+120408+131591</f>
        <v>6850873</v>
      </c>
      <c r="D6" s="273" t="s">
        <v>574</v>
      </c>
      <c r="E6" s="274">
        <f>4678881+19287+453735+110582+203278+148890+292207</f>
        <v>5906860</v>
      </c>
    </row>
    <row r="7" spans="1:6" s="275" customFormat="1" ht="31.5" x14ac:dyDescent="0.25">
      <c r="A7" s="273" t="s">
        <v>96</v>
      </c>
      <c r="B7" s="274">
        <f>1649357+442+140688+36855+43262+33329+35205</f>
        <v>1939138</v>
      </c>
      <c r="D7" s="273" t="s">
        <v>146</v>
      </c>
      <c r="E7" s="274">
        <f>15048049+2493890</f>
        <v>17541939</v>
      </c>
    </row>
    <row r="8" spans="1:6" s="275" customFormat="1" ht="16.5" thickBot="1" x14ac:dyDescent="0.3">
      <c r="A8" s="273" t="s">
        <v>147</v>
      </c>
      <c r="B8" s="274">
        <f>9859044+12241+404138+49703+68068+130586-2033571</f>
        <v>8490209</v>
      </c>
      <c r="D8" s="282" t="s">
        <v>144</v>
      </c>
      <c r="E8" s="283">
        <f>5088796+20312+1586+80086+44052-1590039</f>
        <v>3644793</v>
      </c>
    </row>
    <row r="9" spans="1:6" s="275" customFormat="1" ht="16.5" thickTop="1" x14ac:dyDescent="0.25">
      <c r="A9" s="277" t="s">
        <v>98</v>
      </c>
      <c r="B9" s="274">
        <f>72165-106-116+3882+1480+3347</f>
        <v>80652</v>
      </c>
      <c r="D9" s="282" t="s">
        <v>577</v>
      </c>
      <c r="E9" s="283">
        <f>305264+2090+9027+9387+7616-79747</f>
        <v>253637</v>
      </c>
      <c r="F9" s="1293" t="s">
        <v>642</v>
      </c>
    </row>
    <row r="10" spans="1:6" s="275" customFormat="1" ht="15.75" customHeight="1" x14ac:dyDescent="0.25">
      <c r="A10" s="273" t="s">
        <v>604</v>
      </c>
      <c r="B10" s="278">
        <f>5977896+4580+389206+116142+524789+295009+13071</f>
        <v>7320693</v>
      </c>
      <c r="D10" s="282"/>
      <c r="E10" s="283"/>
      <c r="F10" s="1294"/>
    </row>
    <row r="11" spans="1:6" s="275" customFormat="1" ht="16.5" customHeight="1" thickBot="1" x14ac:dyDescent="0.3">
      <c r="A11" s="277" t="s">
        <v>148</v>
      </c>
      <c r="B11" s="278">
        <f>4773184-130891+1931811+38494-52613-1099314+13540-422589+2340026</f>
        <v>7391648</v>
      </c>
      <c r="D11" s="279"/>
      <c r="E11" s="280"/>
      <c r="F11" s="1295"/>
    </row>
    <row r="12" spans="1:6" s="286" customFormat="1" ht="17.25" thickTop="1" thickBot="1" x14ac:dyDescent="0.3">
      <c r="A12" s="284" t="s">
        <v>635</v>
      </c>
      <c r="B12" s="285">
        <f>SUM(B5:B11)</f>
        <v>32073213</v>
      </c>
      <c r="D12" s="284" t="s">
        <v>636</v>
      </c>
      <c r="E12" s="285">
        <f>SUM(E6:E10)</f>
        <v>27347229</v>
      </c>
      <c r="F12" s="285">
        <f>+E12-B12</f>
        <v>-4725984</v>
      </c>
    </row>
    <row r="13" spans="1:6" s="286" customFormat="1" ht="17.25" thickTop="1" thickBot="1" x14ac:dyDescent="0.3">
      <c r="A13" s="502"/>
      <c r="B13" s="503"/>
      <c r="D13" s="502"/>
      <c r="E13" s="503"/>
      <c r="F13" s="503"/>
    </row>
    <row r="14" spans="1:6" s="270" customFormat="1" ht="17.25" thickTop="1" thickBot="1" x14ac:dyDescent="0.3">
      <c r="A14" s="271" t="s">
        <v>646</v>
      </c>
      <c r="B14" s="289"/>
      <c r="D14" s="271" t="s">
        <v>647</v>
      </c>
      <c r="E14" s="272"/>
    </row>
    <row r="15" spans="1:6" s="275" customFormat="1" ht="16.5" customHeight="1" thickTop="1" x14ac:dyDescent="0.25">
      <c r="A15" s="281" t="s">
        <v>669</v>
      </c>
      <c r="B15" s="274">
        <f>9129432+15746+212262+152679+188971+128807+141398</f>
        <v>9969295</v>
      </c>
      <c r="D15" s="282" t="s">
        <v>670</v>
      </c>
      <c r="E15" s="276">
        <f>9129432+15746+212262+152679+188971+128807+141398</f>
        <v>9969295</v>
      </c>
      <c r="F15" s="1296" t="s">
        <v>648</v>
      </c>
    </row>
    <row r="16" spans="1:6" s="275" customFormat="1" ht="16.5" customHeight="1" x14ac:dyDescent="0.25">
      <c r="A16" s="281" t="s">
        <v>836</v>
      </c>
      <c r="B16" s="274"/>
      <c r="D16" s="1216" t="s">
        <v>1499</v>
      </c>
      <c r="E16" s="276">
        <v>127390</v>
      </c>
      <c r="F16" s="1297"/>
    </row>
    <row r="17" spans="1:6" s="275" customFormat="1" ht="31.5" x14ac:dyDescent="0.25">
      <c r="A17" s="947" t="s">
        <v>1199</v>
      </c>
      <c r="B17" s="278">
        <f>2800000+500000+1500000</f>
        <v>4800000</v>
      </c>
      <c r="D17" s="642" t="s">
        <v>1090</v>
      </c>
      <c r="E17" s="276">
        <f>926430+1674</f>
        <v>928104</v>
      </c>
      <c r="F17" s="1297"/>
    </row>
    <row r="18" spans="1:6" s="275" customFormat="1" ht="31.5" x14ac:dyDescent="0.25">
      <c r="A18" s="281" t="s">
        <v>1255</v>
      </c>
      <c r="B18" s="274">
        <v>129365</v>
      </c>
      <c r="D18" s="281" t="s">
        <v>801</v>
      </c>
      <c r="E18" s="948">
        <f>7400000-600000</f>
        <v>6800000</v>
      </c>
      <c r="F18" s="1297"/>
    </row>
    <row r="19" spans="1:6" s="275" customFormat="1" ht="32.25" thickBot="1" x14ac:dyDescent="0.3">
      <c r="A19" s="507"/>
      <c r="B19" s="508"/>
      <c r="D19" s="641" t="s">
        <v>1200</v>
      </c>
      <c r="E19" s="643">
        <f>2800000+3500000+1500000</f>
        <v>7800000</v>
      </c>
      <c r="F19" s="1298"/>
    </row>
    <row r="20" spans="1:6" s="286" customFormat="1" ht="17.25" thickTop="1" thickBot="1" x14ac:dyDescent="0.3">
      <c r="A20" s="284" t="s">
        <v>649</v>
      </c>
      <c r="B20" s="285">
        <f>SUM(B15:B19)</f>
        <v>14898660</v>
      </c>
      <c r="D20" s="284" t="s">
        <v>650</v>
      </c>
      <c r="E20" s="285">
        <f>SUM(E15:E19)</f>
        <v>25624789</v>
      </c>
      <c r="F20" s="285">
        <f>+E20-B20</f>
        <v>10726129</v>
      </c>
    </row>
    <row r="21" spans="1:6" s="286" customFormat="1" ht="17.25" thickTop="1" thickBot="1" x14ac:dyDescent="0.3">
      <c r="A21" s="502"/>
      <c r="B21" s="503"/>
      <c r="D21" s="502"/>
      <c r="E21" s="503"/>
      <c r="F21" s="503"/>
    </row>
    <row r="22" spans="1:6" s="286" customFormat="1" ht="17.25" thickTop="1" thickBot="1" x14ac:dyDescent="0.3">
      <c r="A22" s="502"/>
      <c r="B22" s="502"/>
      <c r="C22" s="502"/>
      <c r="D22" s="1290" t="s">
        <v>651</v>
      </c>
      <c r="E22" s="1290"/>
      <c r="F22" s="510">
        <f>SUM(F12+F20)</f>
        <v>6000145</v>
      </c>
    </row>
    <row r="23" spans="1:6" s="286" customFormat="1" ht="16.5" thickTop="1" x14ac:dyDescent="0.25">
      <c r="A23" s="502"/>
      <c r="B23" s="503"/>
      <c r="D23" s="502"/>
      <c r="E23" s="503"/>
      <c r="F23" s="503"/>
    </row>
    <row r="24" spans="1:6" s="286" customFormat="1" ht="16.5" thickBot="1" x14ac:dyDescent="0.3">
      <c r="A24" s="502"/>
      <c r="B24" s="503"/>
      <c r="D24" s="502"/>
      <c r="E24" s="503"/>
      <c r="F24" s="503"/>
    </row>
    <row r="25" spans="1:6" ht="33" thickTop="1" thickBot="1" x14ac:dyDescent="0.3">
      <c r="A25" s="265" t="s">
        <v>143</v>
      </c>
      <c r="B25" s="266" t="s">
        <v>1125</v>
      </c>
      <c r="D25" s="265" t="s">
        <v>143</v>
      </c>
      <c r="E25" s="266" t="s">
        <v>1125</v>
      </c>
    </row>
    <row r="26" spans="1:6" ht="16.5" thickTop="1" x14ac:dyDescent="0.25">
      <c r="A26" s="271" t="s">
        <v>639</v>
      </c>
      <c r="B26" s="289"/>
      <c r="D26" s="271" t="s">
        <v>640</v>
      </c>
      <c r="E26" s="289"/>
    </row>
    <row r="27" spans="1:6" ht="32.25" customHeight="1" thickBot="1" x14ac:dyDescent="0.3">
      <c r="A27" s="273" t="s">
        <v>142</v>
      </c>
      <c r="B27" s="274">
        <f>18605952+133198+131218+832163+302519-84400-5520708</f>
        <v>14399942</v>
      </c>
      <c r="D27" s="273" t="s">
        <v>634</v>
      </c>
      <c r="E27" s="274">
        <f>15479240+1267483+4800-6374587</f>
        <v>10376936</v>
      </c>
      <c r="F27" s="669"/>
    </row>
    <row r="28" spans="1:6" ht="16.5" thickTop="1" x14ac:dyDescent="0.25">
      <c r="A28" s="273" t="s">
        <v>151</v>
      </c>
      <c r="B28" s="274">
        <f>1478886-4420+163105+145384+364271+69904-288928</f>
        <v>1928202</v>
      </c>
      <c r="D28" s="273" t="s">
        <v>641</v>
      </c>
      <c r="E28" s="274">
        <f>129000+16010+82002</f>
        <v>227012</v>
      </c>
      <c r="F28" s="1296" t="s">
        <v>643</v>
      </c>
    </row>
    <row r="29" spans="1:6" x14ac:dyDescent="0.25">
      <c r="A29" s="273" t="s">
        <v>532</v>
      </c>
      <c r="B29" s="274">
        <f>331725+2500+27680+39463+10926+54002+29247</f>
        <v>495543</v>
      </c>
      <c r="D29" s="273" t="s">
        <v>578</v>
      </c>
      <c r="E29" s="274">
        <f>452806+2713+5911-241836</f>
        <v>219594</v>
      </c>
      <c r="F29" s="1297"/>
    </row>
    <row r="30" spans="1:6" ht="16.5" thickBot="1" x14ac:dyDescent="0.3">
      <c r="A30" s="273"/>
      <c r="B30" s="274"/>
      <c r="D30" s="667"/>
      <c r="E30" s="668"/>
      <c r="F30" s="1298"/>
    </row>
    <row r="31" spans="1:6" s="286" customFormat="1" ht="17.25" thickTop="1" thickBot="1" x14ac:dyDescent="0.3">
      <c r="A31" s="284" t="s">
        <v>644</v>
      </c>
      <c r="B31" s="285">
        <f>SUM(B27:B30)</f>
        <v>16823687</v>
      </c>
      <c r="D31" s="284" t="s">
        <v>645</v>
      </c>
      <c r="E31" s="285">
        <f>SUM(E27:E29)</f>
        <v>10823542</v>
      </c>
      <c r="F31" s="285">
        <f>+E31-B31</f>
        <v>-6000145</v>
      </c>
    </row>
    <row r="32" spans="1:6" s="286" customFormat="1" ht="17.25" thickTop="1" thickBot="1" x14ac:dyDescent="0.3">
      <c r="A32" s="502"/>
      <c r="B32" s="503"/>
      <c r="D32" s="502"/>
      <c r="E32" s="503"/>
      <c r="F32" s="503"/>
    </row>
    <row r="33" spans="1:6" s="270" customFormat="1" ht="17.25" thickTop="1" thickBot="1" x14ac:dyDescent="0.3">
      <c r="A33" s="271" t="s">
        <v>652</v>
      </c>
      <c r="B33" s="289"/>
      <c r="D33" s="271" t="s">
        <v>654</v>
      </c>
      <c r="E33" s="272"/>
    </row>
    <row r="34" spans="1:6" s="275" customFormat="1" ht="16.5" thickTop="1" x14ac:dyDescent="0.25">
      <c r="A34" s="281" t="s">
        <v>669</v>
      </c>
      <c r="B34" s="274">
        <f>112152+4420+12324+1320+2310+314+10630</f>
        <v>143470</v>
      </c>
      <c r="D34" s="282" t="s">
        <v>670</v>
      </c>
      <c r="E34" s="276">
        <f>112152+4420+12324+1320+2310+314+10630</f>
        <v>143470</v>
      </c>
      <c r="F34" s="1296" t="s">
        <v>661</v>
      </c>
    </row>
    <row r="35" spans="1:6" s="275" customFormat="1" ht="32.25" thickBot="1" x14ac:dyDescent="0.3">
      <c r="A35" s="507"/>
      <c r="B35" s="508"/>
      <c r="D35" s="281" t="s">
        <v>1089</v>
      </c>
      <c r="E35" s="506"/>
      <c r="F35" s="1298"/>
    </row>
    <row r="36" spans="1:6" s="286" customFormat="1" ht="17.25" thickTop="1" thickBot="1" x14ac:dyDescent="0.3">
      <c r="A36" s="284" t="s">
        <v>653</v>
      </c>
      <c r="B36" s="285">
        <f>SUM(B34)</f>
        <v>143470</v>
      </c>
      <c r="D36" s="284" t="s">
        <v>655</v>
      </c>
      <c r="E36" s="285">
        <f>SUM(E34:E35)</f>
        <v>143470</v>
      </c>
      <c r="F36" s="285">
        <f>+E36-B36</f>
        <v>0</v>
      </c>
    </row>
    <row r="37" spans="1:6" s="286" customFormat="1" ht="17.25" thickTop="1" thickBot="1" x14ac:dyDescent="0.3">
      <c r="A37" s="502"/>
      <c r="B37" s="503"/>
      <c r="D37" s="502"/>
      <c r="E37" s="503"/>
      <c r="F37" s="503"/>
    </row>
    <row r="38" spans="1:6" s="286" customFormat="1" ht="17.25" thickTop="1" thickBot="1" x14ac:dyDescent="0.3">
      <c r="A38" s="502"/>
      <c r="B38" s="502"/>
      <c r="C38" s="502"/>
      <c r="D38" s="1290" t="s">
        <v>656</v>
      </c>
      <c r="E38" s="1290"/>
      <c r="F38" s="510">
        <f>SUM(F31+F36)</f>
        <v>-6000145</v>
      </c>
    </row>
    <row r="39" spans="1:6" s="286" customFormat="1" ht="17.25" thickTop="1" thickBot="1" x14ac:dyDescent="0.3">
      <c r="A39" s="502"/>
      <c r="B39" s="503"/>
      <c r="D39" s="502"/>
      <c r="E39" s="503"/>
      <c r="F39" s="503"/>
    </row>
    <row r="40" spans="1:6" s="286" customFormat="1" ht="33" thickTop="1" thickBot="1" x14ac:dyDescent="0.3">
      <c r="A40" s="502"/>
      <c r="B40" s="503"/>
      <c r="D40" s="502"/>
      <c r="E40" s="503"/>
      <c r="F40" s="291" t="s">
        <v>153</v>
      </c>
    </row>
    <row r="41" spans="1:6" s="286" customFormat="1" ht="17.25" thickTop="1" thickBot="1" x14ac:dyDescent="0.3">
      <c r="A41" s="292" t="s">
        <v>154</v>
      </c>
      <c r="B41" s="293">
        <f>SUM(B31+B12)</f>
        <v>48896900</v>
      </c>
      <c r="C41" s="267"/>
      <c r="D41" s="292" t="s">
        <v>155</v>
      </c>
      <c r="E41" s="294">
        <f>SUM(E31+E12)</f>
        <v>38170771</v>
      </c>
      <c r="F41" s="295">
        <f>SUM(E41-B41)</f>
        <v>-10726129</v>
      </c>
    </row>
    <row r="42" spans="1:6" s="286" customFormat="1" ht="17.25" thickTop="1" thickBot="1" x14ac:dyDescent="0.3">
      <c r="A42" s="504"/>
      <c r="B42" s="505"/>
      <c r="C42" s="267"/>
      <c r="D42" s="504"/>
      <c r="E42" s="509"/>
      <c r="F42" s="509"/>
    </row>
    <row r="43" spans="1:6" s="286" customFormat="1" ht="33" thickTop="1" thickBot="1" x14ac:dyDescent="0.3">
      <c r="A43" s="502"/>
      <c r="B43" s="503"/>
      <c r="D43" s="502"/>
      <c r="E43" s="503"/>
      <c r="F43" s="291" t="s">
        <v>660</v>
      </c>
    </row>
    <row r="44" spans="1:6" s="286" customFormat="1" ht="17.25" thickTop="1" thickBot="1" x14ac:dyDescent="0.3">
      <c r="A44" s="292" t="s">
        <v>657</v>
      </c>
      <c r="B44" s="293">
        <f>SUM(B36+B20)</f>
        <v>15042130</v>
      </c>
      <c r="C44" s="267"/>
      <c r="D44" s="292" t="s">
        <v>658</v>
      </c>
      <c r="E44" s="294">
        <f>SUM(E36+E20)</f>
        <v>25768259</v>
      </c>
      <c r="F44" s="295">
        <f>SUM(E44-B44)</f>
        <v>10726129</v>
      </c>
    </row>
    <row r="45" spans="1:6" s="286" customFormat="1" ht="17.25" thickTop="1" thickBot="1" x14ac:dyDescent="0.3">
      <c r="A45" s="502"/>
      <c r="B45" s="503"/>
      <c r="D45" s="502"/>
      <c r="E45" s="503"/>
      <c r="F45" s="503"/>
    </row>
    <row r="46" spans="1:6" s="286" customFormat="1" ht="17.25" thickTop="1" thickBot="1" x14ac:dyDescent="0.3">
      <c r="A46" s="502"/>
      <c r="B46" s="503"/>
      <c r="D46" s="1291" t="s">
        <v>659</v>
      </c>
      <c r="E46" s="1291"/>
      <c r="F46" s="511">
        <f>SUM(F41+F44)</f>
        <v>0</v>
      </c>
    </row>
    <row r="47" spans="1:6" s="286" customFormat="1" ht="16.5" thickTop="1" x14ac:dyDescent="0.25">
      <c r="A47" s="502"/>
      <c r="B47" s="503"/>
      <c r="D47" s="502"/>
      <c r="E47" s="503"/>
      <c r="F47" s="503"/>
    </row>
    <row r="48" spans="1:6" x14ac:dyDescent="0.25">
      <c r="A48" s="296"/>
      <c r="C48" s="290"/>
      <c r="E48" s="288"/>
      <c r="F48" s="290"/>
    </row>
    <row r="49" spans="1:6" x14ac:dyDescent="0.25">
      <c r="E49" s="288"/>
    </row>
    <row r="50" spans="1:6" x14ac:dyDescent="0.25">
      <c r="A50" s="296"/>
      <c r="B50" s="297"/>
      <c r="E50" s="297"/>
      <c r="F50" s="290"/>
    </row>
    <row r="51" spans="1:6" x14ac:dyDescent="0.25">
      <c r="A51" s="296"/>
      <c r="C51" s="290"/>
      <c r="E51" s="288"/>
    </row>
    <row r="52" spans="1:6" x14ac:dyDescent="0.25">
      <c r="C52" s="290"/>
      <c r="E52" s="288"/>
    </row>
    <row r="53" spans="1:6" x14ac:dyDescent="0.25">
      <c r="A53" s="296"/>
      <c r="D53" s="298"/>
      <c r="E53" s="288"/>
    </row>
  </sheetData>
  <mergeCells count="8">
    <mergeCell ref="D38:E38"/>
    <mergeCell ref="D46:E46"/>
    <mergeCell ref="A1:F1"/>
    <mergeCell ref="F9:F11"/>
    <mergeCell ref="F15:F19"/>
    <mergeCell ref="D22:E22"/>
    <mergeCell ref="F28:F30"/>
    <mergeCell ref="F34:F35"/>
  </mergeCells>
  <printOptions horizontalCentered="1"/>
  <pageMargins left="0.31496062992125984" right="0.23622047244094491" top="0.47244094488188981" bottom="0.23622047244094491" header="0.43307086614173229" footer="0.15748031496062992"/>
  <pageSetup paperSize="9" scale="58" orientation="landscape" r:id="rId1"/>
  <headerFooter alignWithMargins="0">
    <oddHeader>&amp;C&amp;"Times New Roman CE,Félkövér"
&amp;R&amp;"Times New Roman CE,Dőlt"&amp;10
17. melléklet
a 3/2016.(II.12.) önkormányzati rendelethez&amp;X16</oddHeader>
    <oddFooter xml:space="preserve">&amp;L&amp;X16&amp;XMódosította a 6/2017.(II.24.) önkormányzati rendelet 4.§ (15) bekezdése, hatályos 2017. február 24. 12 órától&amp;C
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zoomScaleNormal="100" workbookViewId="0">
      <selection activeCell="W31" sqref="W31"/>
    </sheetView>
  </sheetViews>
  <sheetFormatPr defaultColWidth="8" defaultRowHeight="15.75" x14ac:dyDescent="0.25"/>
  <cols>
    <col min="1" max="1" width="27.5" style="302" customWidth="1"/>
    <col min="2" max="2" width="11" style="301" bestFit="1" customWidth="1"/>
    <col min="3" max="3" width="12" style="301" customWidth="1"/>
    <col min="4" max="5" width="11" style="301" bestFit="1" customWidth="1"/>
    <col min="6" max="6" width="10.5" style="301" customWidth="1"/>
    <col min="7" max="7" width="12.5" style="301" customWidth="1"/>
    <col min="8" max="8" width="11.125" style="301" customWidth="1"/>
    <col min="9" max="9" width="10" style="301" bestFit="1" customWidth="1"/>
    <col min="10" max="10" width="11" style="301" bestFit="1" customWidth="1"/>
    <col min="11" max="11" width="11" style="301" customWidth="1"/>
    <col min="12" max="12" width="11.125" style="301" customWidth="1"/>
    <col min="13" max="13" width="11.625" style="301" customWidth="1"/>
    <col min="14" max="14" width="11" style="301" bestFit="1" customWidth="1"/>
    <col min="15" max="15" width="9.875" style="301" bestFit="1" customWidth="1"/>
    <col min="16" max="16" width="9.875" style="302" bestFit="1" customWidth="1"/>
    <col min="17" max="16384" width="8" style="302"/>
  </cols>
  <sheetData>
    <row r="1" spans="1:15" x14ac:dyDescent="0.25">
      <c r="A1" s="1299" t="s">
        <v>1201</v>
      </c>
      <c r="B1" s="1299"/>
      <c r="C1" s="1299"/>
      <c r="D1" s="1299"/>
      <c r="E1" s="1299"/>
      <c r="F1" s="1299"/>
      <c r="G1" s="1299"/>
      <c r="H1" s="1299"/>
      <c r="I1" s="1299"/>
      <c r="J1" s="1299"/>
      <c r="K1" s="1299"/>
      <c r="L1" s="1299"/>
      <c r="M1" s="1299"/>
      <c r="N1" s="1299"/>
    </row>
    <row r="2" spans="1:15" x14ac:dyDescent="0.25">
      <c r="A2" s="1299" t="s">
        <v>378</v>
      </c>
      <c r="B2" s="1299"/>
      <c r="C2" s="1299"/>
      <c r="D2" s="1299"/>
      <c r="E2" s="1299"/>
      <c r="F2" s="1299"/>
      <c r="G2" s="1299"/>
      <c r="H2" s="1299"/>
      <c r="I2" s="1299"/>
      <c r="J2" s="1299"/>
      <c r="K2" s="1299"/>
      <c r="L2" s="1299"/>
      <c r="M2" s="1299"/>
      <c r="N2" s="1299"/>
    </row>
    <row r="4" spans="1:15" ht="16.5" thickBot="1" x14ac:dyDescent="0.3">
      <c r="A4" s="299" t="s">
        <v>119</v>
      </c>
      <c r="B4" s="300"/>
      <c r="C4" s="300"/>
      <c r="D4" s="300"/>
      <c r="E4" s="300"/>
      <c r="F4" s="300"/>
      <c r="G4" s="300"/>
      <c r="H4" s="300"/>
      <c r="I4" s="300"/>
      <c r="J4" s="300"/>
      <c r="K4" s="300"/>
      <c r="L4" s="300"/>
      <c r="M4" s="300"/>
      <c r="N4" s="300"/>
    </row>
    <row r="5" spans="1:15" s="1114" customFormat="1" x14ac:dyDescent="0.25">
      <c r="A5" s="303" t="s">
        <v>249</v>
      </c>
      <c r="B5" s="304" t="s">
        <v>120</v>
      </c>
      <c r="C5" s="304" t="s">
        <v>121</v>
      </c>
      <c r="D5" s="304" t="s">
        <v>122</v>
      </c>
      <c r="E5" s="304" t="s">
        <v>123</v>
      </c>
      <c r="F5" s="304" t="s">
        <v>124</v>
      </c>
      <c r="G5" s="304" t="s">
        <v>125</v>
      </c>
      <c r="H5" s="304" t="s">
        <v>126</v>
      </c>
      <c r="I5" s="304" t="s">
        <v>127</v>
      </c>
      <c r="J5" s="304" t="s">
        <v>128</v>
      </c>
      <c r="K5" s="304" t="s">
        <v>129</v>
      </c>
      <c r="L5" s="304" t="s">
        <v>130</v>
      </c>
      <c r="M5" s="304" t="s">
        <v>131</v>
      </c>
      <c r="N5" s="305" t="s">
        <v>132</v>
      </c>
      <c r="O5" s="301"/>
    </row>
    <row r="6" spans="1:15" ht="31.5" x14ac:dyDescent="0.25">
      <c r="A6" s="306" t="s">
        <v>574</v>
      </c>
      <c r="B6" s="307">
        <v>409857</v>
      </c>
      <c r="C6" s="307">
        <v>335394</v>
      </c>
      <c r="D6" s="307">
        <v>476431</v>
      </c>
      <c r="E6" s="307">
        <v>353414</v>
      </c>
      <c r="F6" s="307">
        <v>322396</v>
      </c>
      <c r="G6" s="307">
        <v>345485</v>
      </c>
      <c r="H6" s="307">
        <v>336522</v>
      </c>
      <c r="I6" s="307">
        <v>458180</v>
      </c>
      <c r="J6" s="307">
        <f>378944+271697</f>
        <v>650641</v>
      </c>
      <c r="K6" s="307">
        <f>364753+874795-59707</f>
        <v>1179841</v>
      </c>
      <c r="L6" s="307">
        <v>373246</v>
      </c>
      <c r="M6" s="307">
        <v>373246</v>
      </c>
      <c r="N6" s="308">
        <f>SUM(B6:M6)</f>
        <v>5614653</v>
      </c>
    </row>
    <row r="7" spans="1:15" ht="31.5" x14ac:dyDescent="0.25">
      <c r="A7" s="306" t="s">
        <v>575</v>
      </c>
      <c r="B7" s="307"/>
      <c r="C7" s="307">
        <v>235578</v>
      </c>
      <c r="D7" s="307"/>
      <c r="E7" s="307">
        <v>1500286</v>
      </c>
      <c r="F7" s="307">
        <v>65573</v>
      </c>
      <c r="G7" s="307">
        <v>111331</v>
      </c>
      <c r="H7" s="307">
        <v>0</v>
      </c>
      <c r="I7" s="307"/>
      <c r="J7" s="307">
        <v>17498</v>
      </c>
      <c r="K7" s="307">
        <v>0</v>
      </c>
      <c r="L7" s="307">
        <v>1801832</v>
      </c>
      <c r="M7" s="307">
        <v>13019425</v>
      </c>
      <c r="N7" s="308">
        <f t="shared" ref="N7:N15" si="0">SUM(B7:M7)</f>
        <v>16751523</v>
      </c>
    </row>
    <row r="8" spans="1:15" x14ac:dyDescent="0.25">
      <c r="A8" s="306" t="s">
        <v>146</v>
      </c>
      <c r="B8" s="307">
        <v>39810</v>
      </c>
      <c r="C8" s="307">
        <v>82590</v>
      </c>
      <c r="D8" s="307">
        <v>6307306</v>
      </c>
      <c r="E8" s="307">
        <v>165137</v>
      </c>
      <c r="F8" s="307">
        <v>132134</v>
      </c>
      <c r="G8" s="307">
        <v>1818581</v>
      </c>
      <c r="H8" s="307">
        <v>51859</v>
      </c>
      <c r="I8" s="307">
        <v>87996</v>
      </c>
      <c r="J8" s="307">
        <v>6438389</v>
      </c>
      <c r="K8" s="307">
        <f>165639-241392</f>
        <v>-75753</v>
      </c>
      <c r="L8" s="307">
        <v>0</v>
      </c>
      <c r="M8" s="307">
        <v>0</v>
      </c>
      <c r="N8" s="308">
        <f t="shared" si="0"/>
        <v>15048049</v>
      </c>
    </row>
    <row r="9" spans="1:15" x14ac:dyDescent="0.25">
      <c r="A9" s="306" t="s">
        <v>144</v>
      </c>
      <c r="B9" s="307">
        <f>22309+147690</f>
        <v>169999</v>
      </c>
      <c r="C9" s="307">
        <f>539528+181010</f>
        <v>720538</v>
      </c>
      <c r="D9" s="307">
        <f>135863+243680</f>
        <v>379543</v>
      </c>
      <c r="E9" s="307">
        <f>19874+179795</f>
        <v>199669</v>
      </c>
      <c r="F9" s="307">
        <f>199262+223060</f>
        <v>422322</v>
      </c>
      <c r="G9" s="307">
        <f>148326-85547+237298</f>
        <v>300077</v>
      </c>
      <c r="H9" s="307">
        <v>80128</v>
      </c>
      <c r="I9" s="307">
        <v>223150</v>
      </c>
      <c r="J9" s="307">
        <v>74388</v>
      </c>
      <c r="K9" s="307">
        <f>51796-25377</f>
        <v>26419</v>
      </c>
      <c r="L9" s="307">
        <v>1319299</v>
      </c>
      <c r="M9" s="307">
        <v>1319300</v>
      </c>
      <c r="N9" s="308">
        <f t="shared" si="0"/>
        <v>5234832</v>
      </c>
    </row>
    <row r="10" spans="1:15" x14ac:dyDescent="0.25">
      <c r="A10" s="306" t="s">
        <v>150</v>
      </c>
      <c r="B10" s="307">
        <v>3361</v>
      </c>
      <c r="C10" s="307">
        <v>56194</v>
      </c>
      <c r="D10" s="307">
        <v>16169</v>
      </c>
      <c r="E10" s="307">
        <v>-1558</v>
      </c>
      <c r="F10" s="307">
        <v>6499</v>
      </c>
      <c r="G10" s="307">
        <v>11876</v>
      </c>
      <c r="H10" s="307">
        <v>31417</v>
      </c>
      <c r="I10" s="307">
        <f>21709-657</f>
        <v>21052</v>
      </c>
      <c r="J10" s="307">
        <f>29473-29473</f>
        <v>0</v>
      </c>
      <c r="K10" s="307">
        <f>8316+22-8338</f>
        <v>0</v>
      </c>
      <c r="L10" s="307">
        <v>0</v>
      </c>
      <c r="M10" s="307">
        <v>0</v>
      </c>
      <c r="N10" s="308">
        <f t="shared" si="0"/>
        <v>145010</v>
      </c>
    </row>
    <row r="11" spans="1:15" x14ac:dyDescent="0.25">
      <c r="A11" s="306" t="s">
        <v>149</v>
      </c>
      <c r="B11" s="307">
        <f>11923+68340</f>
        <v>80263</v>
      </c>
      <c r="C11" s="307">
        <v>826</v>
      </c>
      <c r="D11" s="307">
        <v>41</v>
      </c>
      <c r="E11" s="307">
        <f>357+1304</f>
        <v>1661</v>
      </c>
      <c r="F11" s="307">
        <f>25007+6000</f>
        <v>31007</v>
      </c>
      <c r="G11" s="307">
        <f>18+6000</f>
        <v>6018</v>
      </c>
      <c r="H11" s="307">
        <f>5+8000</f>
        <v>8005</v>
      </c>
      <c r="I11" s="307">
        <f>5+8000</f>
        <v>8005</v>
      </c>
      <c r="J11" s="307">
        <v>8000</v>
      </c>
      <c r="K11" s="307">
        <v>74640</v>
      </c>
      <c r="L11" s="307">
        <v>57459</v>
      </c>
      <c r="M11" s="307">
        <v>57459</v>
      </c>
      <c r="N11" s="308">
        <f t="shared" si="0"/>
        <v>333384</v>
      </c>
    </row>
    <row r="12" spans="1:15" ht="31.5" x14ac:dyDescent="0.25">
      <c r="A12" s="306" t="s">
        <v>152</v>
      </c>
      <c r="B12" s="307">
        <v>6450</v>
      </c>
      <c r="C12" s="307">
        <v>10572</v>
      </c>
      <c r="D12" s="307">
        <v>9303</v>
      </c>
      <c r="E12" s="307">
        <v>15044</v>
      </c>
      <c r="F12" s="307">
        <v>6702</v>
      </c>
      <c r="G12" s="307">
        <v>138483</v>
      </c>
      <c r="H12" s="307">
        <v>7132</v>
      </c>
      <c r="I12" s="307">
        <v>3627</v>
      </c>
      <c r="J12" s="307">
        <v>6034</v>
      </c>
      <c r="K12" s="307">
        <v>4878</v>
      </c>
      <c r="L12" s="307">
        <v>126602</v>
      </c>
      <c r="M12" s="307">
        <v>126603</v>
      </c>
      <c r="N12" s="308">
        <f t="shared" si="0"/>
        <v>461430</v>
      </c>
    </row>
    <row r="13" spans="1:15" x14ac:dyDescent="0.25">
      <c r="A13" s="306" t="s">
        <v>581</v>
      </c>
      <c r="B13" s="307"/>
      <c r="C13" s="307"/>
      <c r="D13" s="307"/>
      <c r="E13" s="307">
        <v>281018</v>
      </c>
      <c r="F13" s="307">
        <f>643386+3700</f>
        <v>647086</v>
      </c>
      <c r="G13" s="307"/>
      <c r="H13" s="307"/>
      <c r="I13" s="307"/>
      <c r="J13" s="307"/>
      <c r="K13" s="307"/>
      <c r="L13" s="307"/>
      <c r="M13" s="307"/>
      <c r="N13" s="308">
        <f t="shared" si="0"/>
        <v>928104</v>
      </c>
    </row>
    <row r="14" spans="1:15" ht="31.5" x14ac:dyDescent="0.25">
      <c r="A14" s="674" t="s">
        <v>801</v>
      </c>
      <c r="B14" s="675">
        <v>2100000</v>
      </c>
      <c r="C14" s="675">
        <v>4700000</v>
      </c>
      <c r="D14" s="675"/>
      <c r="E14" s="675"/>
      <c r="F14" s="675"/>
      <c r="G14" s="675"/>
      <c r="H14" s="675"/>
      <c r="I14" s="675"/>
      <c r="J14" s="675"/>
      <c r="K14" s="675"/>
      <c r="L14" s="675"/>
      <c r="M14" s="675"/>
      <c r="N14" s="308">
        <f t="shared" si="0"/>
        <v>6800000</v>
      </c>
    </row>
    <row r="15" spans="1:15" ht="47.25" x14ac:dyDescent="0.25">
      <c r="A15" s="674" t="s">
        <v>1200</v>
      </c>
      <c r="B15" s="675"/>
      <c r="C15" s="675"/>
      <c r="D15" s="675"/>
      <c r="E15" s="675"/>
      <c r="F15" s="675"/>
      <c r="G15" s="675"/>
      <c r="H15" s="675"/>
      <c r="I15" s="675">
        <v>2000000</v>
      </c>
      <c r="J15" s="675">
        <v>1300000</v>
      </c>
      <c r="K15" s="675"/>
      <c r="L15" s="675"/>
      <c r="M15" s="675">
        <v>4500000</v>
      </c>
      <c r="N15" s="308">
        <f t="shared" si="0"/>
        <v>7800000</v>
      </c>
    </row>
    <row r="16" spans="1:15" s="312" customFormat="1" ht="16.5" thickBot="1" x14ac:dyDescent="0.3">
      <c r="A16" s="309" t="s">
        <v>841</v>
      </c>
      <c r="B16" s="310">
        <f>SUM(B6:B15)</f>
        <v>2809740</v>
      </c>
      <c r="C16" s="310">
        <f t="shared" ref="C16:M16" si="1">SUM(C6:C15)</f>
        <v>6141692</v>
      </c>
      <c r="D16" s="310">
        <f t="shared" si="1"/>
        <v>7188793</v>
      </c>
      <c r="E16" s="310">
        <f t="shared" si="1"/>
        <v>2514671</v>
      </c>
      <c r="F16" s="310">
        <f t="shared" si="1"/>
        <v>1633719</v>
      </c>
      <c r="G16" s="310">
        <f t="shared" si="1"/>
        <v>2731851</v>
      </c>
      <c r="H16" s="310">
        <f t="shared" si="1"/>
        <v>515063</v>
      </c>
      <c r="I16" s="310">
        <f t="shared" si="1"/>
        <v>2802010</v>
      </c>
      <c r="J16" s="310">
        <f t="shared" si="1"/>
        <v>8494950</v>
      </c>
      <c r="K16" s="310">
        <f t="shared" si="1"/>
        <v>1210025</v>
      </c>
      <c r="L16" s="310">
        <f t="shared" si="1"/>
        <v>3678438</v>
      </c>
      <c r="M16" s="310">
        <f t="shared" si="1"/>
        <v>19396033</v>
      </c>
      <c r="N16" s="1060">
        <f>SUM(N6:N15)</f>
        <v>59116985</v>
      </c>
      <c r="O16" s="301"/>
    </row>
    <row r="17" spans="1:14" x14ac:dyDescent="0.25">
      <c r="A17" s="299"/>
      <c r="B17" s="313"/>
      <c r="C17" s="313"/>
      <c r="D17" s="313"/>
      <c r="E17" s="313"/>
      <c r="F17" s="313"/>
      <c r="G17" s="313"/>
      <c r="H17" s="313"/>
      <c r="I17" s="313"/>
      <c r="J17" s="313"/>
      <c r="K17" s="313"/>
      <c r="L17" s="313"/>
      <c r="M17" s="313"/>
      <c r="N17" s="313"/>
    </row>
    <row r="18" spans="1:14" ht="16.5" thickBot="1" x14ac:dyDescent="0.3">
      <c r="A18" s="314" t="s">
        <v>133</v>
      </c>
    </row>
    <row r="19" spans="1:14" x14ac:dyDescent="0.25">
      <c r="A19" s="315" t="s">
        <v>139</v>
      </c>
      <c r="B19" s="316">
        <v>1071183</v>
      </c>
      <c r="C19" s="316">
        <v>905845</v>
      </c>
      <c r="D19" s="316">
        <v>918233</v>
      </c>
      <c r="E19" s="316">
        <v>997951</v>
      </c>
      <c r="F19" s="316">
        <v>1070275</v>
      </c>
      <c r="G19" s="316">
        <v>921791</v>
      </c>
      <c r="H19" s="316">
        <v>974488</v>
      </c>
      <c r="I19" s="316">
        <v>888327</v>
      </c>
      <c r="J19" s="316">
        <v>744007</v>
      </c>
      <c r="K19" s="316">
        <v>1152851</v>
      </c>
      <c r="L19" s="316">
        <v>1777670</v>
      </c>
      <c r="M19" s="316">
        <v>1777670</v>
      </c>
      <c r="N19" s="317">
        <f t="shared" ref="N19:N26" si="2">SUM(B19:M19)</f>
        <v>13200291</v>
      </c>
    </row>
    <row r="20" spans="1:14" ht="31.5" x14ac:dyDescent="0.25">
      <c r="A20" s="306" t="s">
        <v>134</v>
      </c>
      <c r="B20" s="307">
        <v>508199</v>
      </c>
      <c r="C20" s="307">
        <v>592030</v>
      </c>
      <c r="D20" s="307">
        <v>908921</v>
      </c>
      <c r="E20" s="307">
        <v>600131</v>
      </c>
      <c r="F20" s="307">
        <v>1301178</v>
      </c>
      <c r="G20" s="307">
        <v>959854</v>
      </c>
      <c r="H20" s="307">
        <v>783141</v>
      </c>
      <c r="I20" s="307">
        <v>666965</v>
      </c>
      <c r="J20" s="307">
        <v>725701</v>
      </c>
      <c r="K20" s="307">
        <v>687184</v>
      </c>
      <c r="L20" s="307">
        <v>888716</v>
      </c>
      <c r="M20" s="307">
        <v>1770222</v>
      </c>
      <c r="N20" s="308">
        <f t="shared" si="2"/>
        <v>10392242</v>
      </c>
    </row>
    <row r="21" spans="1:14" x14ac:dyDescent="0.25">
      <c r="A21" s="306" t="s">
        <v>666</v>
      </c>
      <c r="B21" s="307">
        <v>14289</v>
      </c>
      <c r="C21" s="307">
        <v>3342</v>
      </c>
      <c r="D21" s="307">
        <v>5427</v>
      </c>
      <c r="E21" s="307">
        <v>29157</v>
      </c>
      <c r="F21" s="307">
        <v>18847</v>
      </c>
      <c r="G21" s="307">
        <v>26708</v>
      </c>
      <c r="H21" s="307">
        <v>10551</v>
      </c>
      <c r="I21" s="307">
        <v>6449</v>
      </c>
      <c r="J21" s="307">
        <v>7950</v>
      </c>
      <c r="K21" s="307">
        <v>8579</v>
      </c>
      <c r="L21" s="307">
        <v>41431</v>
      </c>
      <c r="M21" s="307">
        <v>41431</v>
      </c>
      <c r="N21" s="308">
        <f t="shared" si="2"/>
        <v>214161</v>
      </c>
    </row>
    <row r="22" spans="1:14" s="301" customFormat="1" x14ac:dyDescent="0.25">
      <c r="A22" s="306" t="s">
        <v>135</v>
      </c>
      <c r="B22" s="307">
        <v>71673</v>
      </c>
      <c r="C22" s="307">
        <v>7669</v>
      </c>
      <c r="D22" s="307">
        <v>0</v>
      </c>
      <c r="E22" s="307">
        <v>36705</v>
      </c>
      <c r="F22" s="307">
        <v>21475</v>
      </c>
      <c r="G22" s="307">
        <v>41528</v>
      </c>
      <c r="H22" s="307">
        <v>26355</v>
      </c>
      <c r="I22" s="307">
        <v>36018</v>
      </c>
      <c r="J22" s="307">
        <v>48239</v>
      </c>
      <c r="K22" s="307">
        <v>47796</v>
      </c>
      <c r="L22" s="307">
        <v>250000</v>
      </c>
      <c r="M22" s="307">
        <v>1062147</v>
      </c>
      <c r="N22" s="308">
        <f t="shared" si="2"/>
        <v>1649605</v>
      </c>
    </row>
    <row r="23" spans="1:14" s="301" customFormat="1" ht="31.5" x14ac:dyDescent="0.25">
      <c r="A23" s="306" t="s">
        <v>662</v>
      </c>
      <c r="B23" s="307">
        <v>127796</v>
      </c>
      <c r="C23" s="307">
        <v>22012</v>
      </c>
      <c r="D23" s="307">
        <v>708922</v>
      </c>
      <c r="E23" s="307">
        <v>121530</v>
      </c>
      <c r="F23" s="307">
        <v>78542</v>
      </c>
      <c r="G23" s="307">
        <v>439748</v>
      </c>
      <c r="H23" s="307">
        <v>334841</v>
      </c>
      <c r="I23" s="307">
        <v>63390</v>
      </c>
      <c r="J23" s="307">
        <v>332601</v>
      </c>
      <c r="K23" s="307">
        <v>144089</v>
      </c>
      <c r="L23" s="307">
        <v>5746702</v>
      </c>
      <c r="M23" s="307">
        <v>15559526</v>
      </c>
      <c r="N23" s="308">
        <f t="shared" si="2"/>
        <v>23679699</v>
      </c>
    </row>
    <row r="24" spans="1:14" s="301" customFormat="1" x14ac:dyDescent="0.25">
      <c r="A24" s="306" t="s">
        <v>136</v>
      </c>
      <c r="B24" s="307"/>
      <c r="C24" s="307"/>
      <c r="D24" s="307"/>
      <c r="E24" s="307"/>
      <c r="F24" s="307"/>
      <c r="G24" s="307"/>
      <c r="H24" s="307"/>
      <c r="I24" s="307"/>
      <c r="J24" s="307"/>
      <c r="K24" s="307"/>
      <c r="L24" s="307"/>
      <c r="M24" s="307">
        <v>5051622</v>
      </c>
      <c r="N24" s="308">
        <f t="shared" si="2"/>
        <v>5051622</v>
      </c>
    </row>
    <row r="25" spans="1:14" s="301" customFormat="1" ht="31.5" customHeight="1" x14ac:dyDescent="0.25">
      <c r="A25" s="674" t="s">
        <v>1199</v>
      </c>
      <c r="B25" s="675"/>
      <c r="C25" s="675">
        <v>2000000</v>
      </c>
      <c r="D25" s="675">
        <v>1300000</v>
      </c>
      <c r="E25" s="675"/>
      <c r="F25" s="675"/>
      <c r="G25" s="675">
        <v>1500000</v>
      </c>
      <c r="H25" s="675"/>
      <c r="I25" s="675"/>
      <c r="J25" s="675"/>
      <c r="K25" s="675"/>
      <c r="L25" s="675"/>
      <c r="M25" s="675"/>
      <c r="N25" s="308">
        <f t="shared" si="2"/>
        <v>4800000</v>
      </c>
    </row>
    <row r="26" spans="1:14" s="301" customFormat="1" ht="31.5" x14ac:dyDescent="0.25">
      <c r="A26" s="674" t="s">
        <v>1255</v>
      </c>
      <c r="B26" s="675">
        <v>129365</v>
      </c>
      <c r="C26" s="675"/>
      <c r="D26" s="675"/>
      <c r="E26" s="675"/>
      <c r="F26" s="675"/>
      <c r="G26" s="675"/>
      <c r="H26" s="675"/>
      <c r="I26" s="675"/>
      <c r="J26" s="675"/>
      <c r="K26" s="675"/>
      <c r="L26" s="675"/>
      <c r="M26" s="675"/>
      <c r="N26" s="308">
        <f t="shared" si="2"/>
        <v>129365</v>
      </c>
    </row>
    <row r="27" spans="1:14" s="301" customFormat="1" ht="27.75" customHeight="1" thickBot="1" x14ac:dyDescent="0.3">
      <c r="A27" s="309" t="s">
        <v>842</v>
      </c>
      <c r="B27" s="310">
        <f>SUM(B19:B26)</f>
        <v>1922505</v>
      </c>
      <c r="C27" s="310">
        <f t="shared" ref="C27:M27" si="3">SUM(C19:C26)</f>
        <v>3530898</v>
      </c>
      <c r="D27" s="310">
        <f t="shared" si="3"/>
        <v>3841503</v>
      </c>
      <c r="E27" s="310">
        <f t="shared" si="3"/>
        <v>1785474</v>
      </c>
      <c r="F27" s="310">
        <f t="shared" si="3"/>
        <v>2490317</v>
      </c>
      <c r="G27" s="310">
        <f t="shared" si="3"/>
        <v>3889629</v>
      </c>
      <c r="H27" s="310">
        <f t="shared" si="3"/>
        <v>2129376</v>
      </c>
      <c r="I27" s="310">
        <f t="shared" si="3"/>
        <v>1661149</v>
      </c>
      <c r="J27" s="310">
        <f t="shared" si="3"/>
        <v>1858498</v>
      </c>
      <c r="K27" s="310">
        <f t="shared" si="3"/>
        <v>2040499</v>
      </c>
      <c r="L27" s="310">
        <f t="shared" si="3"/>
        <v>8704519</v>
      </c>
      <c r="M27" s="310">
        <f t="shared" si="3"/>
        <v>25262618</v>
      </c>
      <c r="N27" s="1060">
        <f>SUM(N19:N26)</f>
        <v>59116985</v>
      </c>
    </row>
    <row r="28" spans="1:14" s="301" customFormat="1" x14ac:dyDescent="0.25">
      <c r="A28" s="299"/>
      <c r="B28" s="313"/>
      <c r="C28" s="313"/>
      <c r="D28" s="313"/>
      <c r="E28" s="313"/>
      <c r="F28" s="313"/>
      <c r="G28" s="313"/>
      <c r="H28" s="313"/>
      <c r="I28" s="313"/>
      <c r="J28" s="313"/>
      <c r="K28" s="313"/>
      <c r="L28" s="313"/>
      <c r="M28" s="313"/>
      <c r="N28" s="313"/>
    </row>
    <row r="29" spans="1:14" s="301" customFormat="1" ht="47.25" x14ac:dyDescent="0.25">
      <c r="A29" s="676" t="s">
        <v>855</v>
      </c>
      <c r="B29" s="677">
        <v>788609</v>
      </c>
      <c r="C29" s="677">
        <f>+B31</f>
        <v>1675844</v>
      </c>
      <c r="D29" s="677">
        <f t="shared" ref="D29:M29" si="4">+C31</f>
        <v>4286638</v>
      </c>
      <c r="E29" s="677">
        <f t="shared" si="4"/>
        <v>7633928</v>
      </c>
      <c r="F29" s="677">
        <f>+E31</f>
        <v>8363125</v>
      </c>
      <c r="G29" s="677">
        <f t="shared" si="4"/>
        <v>7506527</v>
      </c>
      <c r="H29" s="677">
        <f t="shared" si="4"/>
        <v>6348749</v>
      </c>
      <c r="I29" s="677">
        <f t="shared" si="4"/>
        <v>4734436</v>
      </c>
      <c r="J29" s="677">
        <f t="shared" si="4"/>
        <v>5875297</v>
      </c>
      <c r="K29" s="677">
        <f t="shared" si="4"/>
        <v>12511749</v>
      </c>
      <c r="L29" s="677">
        <f t="shared" si="4"/>
        <v>11681275</v>
      </c>
      <c r="M29" s="677">
        <f t="shared" si="4"/>
        <v>6655194</v>
      </c>
      <c r="N29" s="677"/>
    </row>
    <row r="30" spans="1:14" s="301" customFormat="1" ht="31.5" x14ac:dyDescent="0.25">
      <c r="A30" s="676" t="s">
        <v>137</v>
      </c>
      <c r="B30" s="677">
        <f t="shared" ref="B30:M30" si="5">+B16-B27</f>
        <v>887235</v>
      </c>
      <c r="C30" s="677">
        <f t="shared" si="5"/>
        <v>2610794</v>
      </c>
      <c r="D30" s="677">
        <f t="shared" si="5"/>
        <v>3347290</v>
      </c>
      <c r="E30" s="677">
        <f t="shared" si="5"/>
        <v>729197</v>
      </c>
      <c r="F30" s="677">
        <f t="shared" si="5"/>
        <v>-856598</v>
      </c>
      <c r="G30" s="677">
        <f t="shared" si="5"/>
        <v>-1157778</v>
      </c>
      <c r="H30" s="677">
        <f t="shared" si="5"/>
        <v>-1614313</v>
      </c>
      <c r="I30" s="677">
        <f t="shared" si="5"/>
        <v>1140861</v>
      </c>
      <c r="J30" s="677">
        <f t="shared" si="5"/>
        <v>6636452</v>
      </c>
      <c r="K30" s="677">
        <f t="shared" si="5"/>
        <v>-830474</v>
      </c>
      <c r="L30" s="677">
        <f t="shared" si="5"/>
        <v>-5026081</v>
      </c>
      <c r="M30" s="677">
        <f t="shared" si="5"/>
        <v>-5866585</v>
      </c>
      <c r="N30" s="677"/>
    </row>
    <row r="31" spans="1:14" s="301" customFormat="1" ht="47.25" x14ac:dyDescent="0.25">
      <c r="A31" s="676" t="s">
        <v>138</v>
      </c>
      <c r="B31" s="677">
        <f>+B29+B30</f>
        <v>1675844</v>
      </c>
      <c r="C31" s="677">
        <f>+C29+C30</f>
        <v>4286638</v>
      </c>
      <c r="D31" s="677">
        <f t="shared" ref="D31:M31" si="6">+D29+D30</f>
        <v>7633928</v>
      </c>
      <c r="E31" s="677">
        <f t="shared" si="6"/>
        <v>8363125</v>
      </c>
      <c r="F31" s="677">
        <f t="shared" si="6"/>
        <v>7506527</v>
      </c>
      <c r="G31" s="677">
        <f t="shared" si="6"/>
        <v>6348749</v>
      </c>
      <c r="H31" s="677">
        <f t="shared" si="6"/>
        <v>4734436</v>
      </c>
      <c r="I31" s="677">
        <f t="shared" si="6"/>
        <v>5875297</v>
      </c>
      <c r="J31" s="677">
        <f t="shared" si="6"/>
        <v>12511749</v>
      </c>
      <c r="K31" s="677">
        <f t="shared" si="6"/>
        <v>11681275</v>
      </c>
      <c r="L31" s="677">
        <f t="shared" si="6"/>
        <v>6655194</v>
      </c>
      <c r="M31" s="677">
        <f t="shared" si="6"/>
        <v>788609</v>
      </c>
      <c r="N31" s="678"/>
    </row>
    <row r="33" spans="1:14" x14ac:dyDescent="0.25">
      <c r="B33" s="311"/>
      <c r="C33" s="311"/>
      <c r="D33" s="311"/>
      <c r="E33" s="311"/>
      <c r="F33" s="311"/>
      <c r="G33" s="311"/>
      <c r="H33" s="311"/>
      <c r="I33" s="311"/>
      <c r="J33" s="311"/>
      <c r="K33" s="311"/>
      <c r="L33" s="311"/>
      <c r="M33" s="311"/>
      <c r="N33" s="311"/>
    </row>
    <row r="34" spans="1:14" x14ac:dyDescent="0.25">
      <c r="A34" s="302" t="s">
        <v>843</v>
      </c>
    </row>
    <row r="37" spans="1:14" x14ac:dyDescent="0.25">
      <c r="A37" s="312"/>
      <c r="B37" s="311"/>
      <c r="C37" s="311"/>
      <c r="D37" s="311"/>
      <c r="E37" s="311"/>
      <c r="F37" s="311"/>
      <c r="G37" s="311"/>
      <c r="H37" s="311"/>
      <c r="I37" s="311"/>
      <c r="J37" s="311"/>
      <c r="K37" s="311"/>
      <c r="L37" s="311"/>
      <c r="M37" s="311"/>
      <c r="N37" s="311"/>
    </row>
    <row r="39" spans="1:14" x14ac:dyDescent="0.25">
      <c r="A39" s="312"/>
      <c r="B39" s="311"/>
      <c r="C39" s="311"/>
      <c r="D39" s="311"/>
      <c r="E39" s="311"/>
      <c r="F39" s="311"/>
      <c r="G39" s="311"/>
      <c r="H39" s="311"/>
      <c r="I39" s="311"/>
      <c r="J39" s="311"/>
      <c r="K39" s="311"/>
      <c r="L39" s="311"/>
      <c r="M39" s="311"/>
      <c r="N39" s="311"/>
    </row>
    <row r="40" spans="1:14" x14ac:dyDescent="0.25">
      <c r="A40" s="512"/>
      <c r="B40" s="513"/>
      <c r="C40" s="513"/>
      <c r="D40" s="513"/>
      <c r="E40" s="513"/>
      <c r="F40" s="513"/>
      <c r="G40" s="513"/>
      <c r="H40" s="513"/>
      <c r="I40" s="513"/>
      <c r="J40" s="513"/>
      <c r="K40" s="513"/>
      <c r="L40" s="513"/>
      <c r="M40" s="513"/>
      <c r="N40" s="513"/>
    </row>
  </sheetData>
  <mergeCells count="2">
    <mergeCell ref="A1:N1"/>
    <mergeCell ref="A2:N2"/>
  </mergeCells>
  <pageMargins left="0.51181102362204722" right="0.51181102362204722" top="0.55118110236220474" bottom="0.35433070866141736" header="0.31496062992125984" footer="0.31496062992125984"/>
  <pageSetup paperSize="9" scale="68" orientation="landscape" r:id="rId1"/>
  <headerFooter>
    <oddHeader>&amp;C&amp;"Times New Roman CE,Félkövér"
&amp;R&amp;"Times New Roman CE,Dőlt"&amp;10 18. melléklet
a 3/2016.(II.12.) önkormányzati rendelethez&amp;X17</oddHeader>
    <oddFooter>&amp;L&amp;X17&amp;XMódosította a 43/2016.(XII.16.) önkormányzati rendelet 2.§ (15) bekezdése, hatályos 2016. december 19-től</oddFooter>
  </headerFooter>
  <colBreaks count="1" manualBreakCount="1">
    <brk id="14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N18" sqref="N18"/>
    </sheetView>
  </sheetViews>
  <sheetFormatPr defaultColWidth="8" defaultRowHeight="15.75" x14ac:dyDescent="0.25"/>
  <cols>
    <col min="1" max="1" width="53.375" style="4" bestFit="1" customWidth="1"/>
    <col min="2" max="6" width="10.75" style="4" customWidth="1"/>
    <col min="7" max="7" width="13.25" style="4" customWidth="1"/>
    <col min="8" max="16384" width="8" style="4"/>
  </cols>
  <sheetData>
    <row r="1" spans="1:7" ht="48.75" thickTop="1" thickBot="1" x14ac:dyDescent="0.3">
      <c r="A1" s="2" t="s">
        <v>249</v>
      </c>
      <c r="B1" s="3" t="s">
        <v>250</v>
      </c>
      <c r="C1" s="3" t="s">
        <v>618</v>
      </c>
      <c r="D1" s="3" t="s">
        <v>812</v>
      </c>
      <c r="E1" s="3" t="s">
        <v>991</v>
      </c>
      <c r="F1" s="3" t="s">
        <v>251</v>
      </c>
      <c r="G1" s="3" t="s">
        <v>252</v>
      </c>
    </row>
    <row r="2" spans="1:7" ht="17.25" thickTop="1" thickBot="1" x14ac:dyDescent="0.3">
      <c r="A2" s="5" t="s">
        <v>253</v>
      </c>
      <c r="B2" s="6" t="s">
        <v>255</v>
      </c>
      <c r="C2" s="6" t="s">
        <v>256</v>
      </c>
      <c r="D2" s="6" t="s">
        <v>257</v>
      </c>
      <c r="E2" s="6"/>
      <c r="F2" s="6" t="s">
        <v>258</v>
      </c>
      <c r="G2" s="6" t="s">
        <v>259</v>
      </c>
    </row>
    <row r="3" spans="1:7" ht="16.5" thickTop="1" x14ac:dyDescent="0.25">
      <c r="A3" s="7"/>
      <c r="B3" s="8"/>
      <c r="C3" s="8"/>
      <c r="D3" s="8"/>
      <c r="E3" s="8"/>
      <c r="F3" s="8"/>
      <c r="G3" s="8"/>
    </row>
    <row r="4" spans="1:7" x14ac:dyDescent="0.25">
      <c r="A4" s="7" t="s">
        <v>260</v>
      </c>
      <c r="B4" s="8"/>
      <c r="C4" s="8"/>
      <c r="D4" s="8"/>
      <c r="E4" s="8"/>
      <c r="F4" s="8"/>
      <c r="G4" s="8"/>
    </row>
    <row r="5" spans="1:7" x14ac:dyDescent="0.25">
      <c r="A5" s="488" t="s">
        <v>261</v>
      </c>
      <c r="B5" s="9">
        <v>22225</v>
      </c>
      <c r="C5" s="9">
        <v>22225</v>
      </c>
      <c r="D5" s="9"/>
      <c r="E5" s="9"/>
      <c r="F5" s="9"/>
      <c r="G5" s="10">
        <f>SUM(B5:F5)</f>
        <v>44450</v>
      </c>
    </row>
    <row r="6" spans="1:7" ht="16.5" thickBot="1" x14ac:dyDescent="0.3">
      <c r="A6" s="489" t="s">
        <v>262</v>
      </c>
      <c r="B6" s="9">
        <v>85000</v>
      </c>
      <c r="C6" s="9">
        <v>77594</v>
      </c>
      <c r="D6" s="9">
        <v>49058</v>
      </c>
      <c r="E6" s="9">
        <v>4611</v>
      </c>
      <c r="F6" s="9"/>
      <c r="G6" s="10">
        <f>SUM(B6:F6)</f>
        <v>216263</v>
      </c>
    </row>
    <row r="7" spans="1:7" ht="17.25" thickTop="1" thickBot="1" x14ac:dyDescent="0.3">
      <c r="A7" s="11" t="s">
        <v>263</v>
      </c>
      <c r="B7" s="12">
        <f t="shared" ref="B7:G7" si="0">SUM(B5:B6)</f>
        <v>107225</v>
      </c>
      <c r="C7" s="12">
        <f t="shared" si="0"/>
        <v>99819</v>
      </c>
      <c r="D7" s="12">
        <f t="shared" si="0"/>
        <v>49058</v>
      </c>
      <c r="E7" s="12">
        <f t="shared" si="0"/>
        <v>4611</v>
      </c>
      <c r="F7" s="12">
        <f t="shared" si="0"/>
        <v>0</v>
      </c>
      <c r="G7" s="12">
        <f t="shared" si="0"/>
        <v>260713</v>
      </c>
    </row>
    <row r="8" spans="1:7" ht="16.5" thickTop="1" x14ac:dyDescent="0.25">
      <c r="A8" s="490"/>
      <c r="B8" s="9"/>
      <c r="C8" s="9"/>
      <c r="D8" s="9"/>
      <c r="E8" s="9"/>
      <c r="F8" s="9"/>
      <c r="G8" s="10"/>
    </row>
    <row r="9" spans="1:7" x14ac:dyDescent="0.25">
      <c r="A9" s="491" t="s">
        <v>619</v>
      </c>
      <c r="B9" s="9"/>
      <c r="C9" s="9"/>
      <c r="D9" s="9"/>
      <c r="E9" s="9"/>
      <c r="F9" s="9"/>
      <c r="G9" s="10"/>
    </row>
    <row r="10" spans="1:7" ht="32.25" thickBot="1" x14ac:dyDescent="0.3">
      <c r="A10" s="492" t="s">
        <v>620</v>
      </c>
      <c r="B10" s="493">
        <v>63000</v>
      </c>
      <c r="C10" s="493">
        <v>63000</v>
      </c>
      <c r="D10" s="493">
        <v>63000</v>
      </c>
      <c r="E10" s="493">
        <v>63000</v>
      </c>
      <c r="F10" s="493">
        <v>189000</v>
      </c>
      <c r="G10" s="10">
        <f>SUM(B10:F10)</f>
        <v>441000</v>
      </c>
    </row>
    <row r="11" spans="1:7" ht="33" thickTop="1" thickBot="1" x14ac:dyDescent="0.3">
      <c r="A11" s="11" t="s">
        <v>621</v>
      </c>
      <c r="B11" s="12">
        <f t="shared" ref="B11:G11" si="1">SUM(B10:B10)</f>
        <v>63000</v>
      </c>
      <c r="C11" s="12">
        <f t="shared" si="1"/>
        <v>63000</v>
      </c>
      <c r="D11" s="12">
        <f t="shared" si="1"/>
        <v>63000</v>
      </c>
      <c r="E11" s="12">
        <f t="shared" si="1"/>
        <v>63000</v>
      </c>
      <c r="F11" s="12">
        <f t="shared" si="1"/>
        <v>189000</v>
      </c>
      <c r="G11" s="12">
        <f t="shared" si="1"/>
        <v>441000</v>
      </c>
    </row>
    <row r="12" spans="1:7" ht="17.25" thickTop="1" thickBot="1" x14ac:dyDescent="0.3">
      <c r="A12" s="494" t="s">
        <v>252</v>
      </c>
      <c r="B12" s="13">
        <f t="shared" ref="B12:G12" si="2">SUM(B7,B11)</f>
        <v>170225</v>
      </c>
      <c r="C12" s="13">
        <f t="shared" si="2"/>
        <v>162819</v>
      </c>
      <c r="D12" s="13">
        <f t="shared" si="2"/>
        <v>112058</v>
      </c>
      <c r="E12" s="13">
        <f t="shared" si="2"/>
        <v>67611</v>
      </c>
      <c r="F12" s="13">
        <f t="shared" si="2"/>
        <v>189000</v>
      </c>
      <c r="G12" s="13">
        <f t="shared" si="2"/>
        <v>701713</v>
      </c>
    </row>
    <row r="13" spans="1:7" ht="16.5" thickTop="1" x14ac:dyDescent="0.25">
      <c r="G13" s="15"/>
    </row>
  </sheetData>
  <pageMargins left="0.31496062992125984" right="0.31496062992125984" top="1.3385826771653544" bottom="0.74803149606299213" header="0.31496062992125984" footer="0.31496062992125984"/>
  <pageSetup paperSize="9" scale="75" orientation="portrait" r:id="rId1"/>
  <headerFooter>
    <oddHeader>&amp;C&amp;"Times New Roman CE,Félkövér"
Több éves kihatással járó jelentősebb szerződések
(eFt-ban)&amp;R&amp;"Times New Roman CE,Félkövér"19. melléklet
&amp;11a 3/2016.(II.12.) önkormányzati rendelethez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9"/>
  <sheetViews>
    <sheetView zoomScaleNormal="100" workbookViewId="0">
      <pane xSplit="2" ySplit="8" topLeftCell="C18" activePane="bottomRight" state="frozen"/>
      <selection activeCell="AH33" sqref="AH33"/>
      <selection pane="topRight" activeCell="AH33" sqref="AH33"/>
      <selection pane="bottomLeft" activeCell="AH33" sqref="AH33"/>
      <selection pane="bottomRight" activeCell="AH33" sqref="AH33"/>
    </sheetView>
  </sheetViews>
  <sheetFormatPr defaultRowHeight="15.75" x14ac:dyDescent="0.25"/>
  <cols>
    <col min="1" max="1" width="35.75" style="186" customWidth="1"/>
    <col min="2" max="2" width="10" style="186" customWidth="1"/>
    <col min="3" max="3" width="12.25" style="208" customWidth="1"/>
    <col min="4" max="4" width="13.125" style="208" customWidth="1"/>
    <col min="5" max="5" width="15" style="208" customWidth="1"/>
    <col min="6" max="15" width="13.75" style="208" customWidth="1"/>
    <col min="16" max="16" width="13" style="208" customWidth="1"/>
    <col min="17" max="17" width="15.25" style="208" customWidth="1"/>
    <col min="18" max="26" width="13.875" style="208" customWidth="1"/>
    <col min="27" max="27" width="12.875" style="208" customWidth="1"/>
    <col min="28" max="28" width="14.875" style="208" customWidth="1"/>
    <col min="29" max="29" width="15.375" style="208" customWidth="1"/>
    <col min="30" max="30" width="13.25" style="208" customWidth="1"/>
    <col min="31" max="31" width="12.625" style="208" customWidth="1"/>
    <col min="32" max="32" width="14.875" style="208" customWidth="1"/>
    <col min="33" max="33" width="15.375" style="208" customWidth="1"/>
    <col min="34" max="34" width="14.125" style="208" customWidth="1"/>
    <col min="35" max="35" width="13.875" style="208" customWidth="1"/>
    <col min="36" max="36" width="14.875" style="208" customWidth="1"/>
    <col min="37" max="37" width="15.375" style="208" customWidth="1"/>
    <col min="38" max="38" width="14.125" style="208" customWidth="1"/>
    <col min="39" max="16384" width="9" style="186"/>
  </cols>
  <sheetData>
    <row r="1" spans="1:38" x14ac:dyDescent="0.25">
      <c r="A1" s="712"/>
      <c r="B1" s="1239" t="s">
        <v>482</v>
      </c>
      <c r="C1" s="1239"/>
      <c r="D1" s="1239"/>
      <c r="E1" s="1239"/>
      <c r="F1" s="1239"/>
      <c r="G1" s="1239"/>
      <c r="H1" s="1239"/>
      <c r="I1" s="1239"/>
      <c r="J1" s="1239"/>
      <c r="K1" s="1239"/>
      <c r="L1" s="1239"/>
      <c r="M1" s="1239"/>
      <c r="N1" s="1239"/>
      <c r="O1" s="1239" t="s">
        <v>482</v>
      </c>
      <c r="P1" s="1239"/>
      <c r="Q1" s="1239"/>
      <c r="R1" s="1239"/>
      <c r="S1" s="1239"/>
      <c r="T1" s="1239"/>
      <c r="U1" s="1239"/>
      <c r="V1" s="1239"/>
      <c r="W1" s="1239"/>
      <c r="X1" s="1239"/>
      <c r="Y1" s="1239"/>
      <c r="Z1" s="1239"/>
      <c r="AA1" s="1239" t="s">
        <v>482</v>
      </c>
      <c r="AB1" s="1239"/>
      <c r="AC1" s="1239"/>
      <c r="AD1" s="1239"/>
      <c r="AE1" s="1239"/>
      <c r="AF1" s="1239"/>
      <c r="AG1" s="1239"/>
      <c r="AH1" s="1239"/>
      <c r="AI1" s="1239"/>
      <c r="AJ1" s="1239"/>
      <c r="AK1" s="1239"/>
      <c r="AL1" s="1239"/>
    </row>
    <row r="2" spans="1:38" x14ac:dyDescent="0.25">
      <c r="A2" s="712"/>
      <c r="B2" s="1239" t="s">
        <v>1137</v>
      </c>
      <c r="C2" s="1239"/>
      <c r="D2" s="1239"/>
      <c r="E2" s="1239"/>
      <c r="F2" s="1239"/>
      <c r="G2" s="1239"/>
      <c r="H2" s="1239"/>
      <c r="I2" s="1239"/>
      <c r="J2" s="1239"/>
      <c r="K2" s="1239"/>
      <c r="L2" s="1239"/>
      <c r="M2" s="1239"/>
      <c r="N2" s="1239"/>
      <c r="O2" s="1239" t="s">
        <v>1137</v>
      </c>
      <c r="P2" s="1239"/>
      <c r="Q2" s="1239"/>
      <c r="R2" s="1239"/>
      <c r="S2" s="1239"/>
      <c r="T2" s="1239"/>
      <c r="U2" s="1239"/>
      <c r="V2" s="1239"/>
      <c r="W2" s="1239"/>
      <c r="X2" s="1239"/>
      <c r="Y2" s="1239"/>
      <c r="Z2" s="1239"/>
      <c r="AA2" s="1239" t="s">
        <v>1137</v>
      </c>
      <c r="AB2" s="1239"/>
      <c r="AC2" s="1239"/>
      <c r="AD2" s="1239"/>
      <c r="AE2" s="1239"/>
      <c r="AF2" s="1239"/>
      <c r="AG2" s="1239"/>
      <c r="AH2" s="1239"/>
      <c r="AI2" s="1239"/>
      <c r="AJ2" s="1239"/>
      <c r="AK2" s="1239"/>
      <c r="AL2" s="1239"/>
    </row>
    <row r="3" spans="1:38" x14ac:dyDescent="0.25">
      <c r="A3" s="712"/>
      <c r="B3" s="1239" t="s">
        <v>1391</v>
      </c>
      <c r="C3" s="1239"/>
      <c r="D3" s="1239"/>
      <c r="E3" s="1239"/>
      <c r="F3" s="1239"/>
      <c r="G3" s="1239"/>
      <c r="H3" s="1239"/>
      <c r="I3" s="1239"/>
      <c r="J3" s="1239"/>
      <c r="K3" s="1239"/>
      <c r="L3" s="1239"/>
      <c r="M3" s="1239"/>
      <c r="N3" s="1239"/>
      <c r="O3" s="1239" t="s">
        <v>1391</v>
      </c>
      <c r="P3" s="1239"/>
      <c r="Q3" s="1239"/>
      <c r="R3" s="1239"/>
      <c r="S3" s="1239"/>
      <c r="T3" s="1239"/>
      <c r="U3" s="1239"/>
      <c r="V3" s="1239"/>
      <c r="W3" s="1239"/>
      <c r="X3" s="1239"/>
      <c r="Y3" s="1239"/>
      <c r="Z3" s="1239"/>
      <c r="AA3" s="1239" t="s">
        <v>1391</v>
      </c>
      <c r="AB3" s="1239"/>
      <c r="AC3" s="1239"/>
      <c r="AD3" s="1239"/>
      <c r="AE3" s="1239"/>
      <c r="AF3" s="1239"/>
      <c r="AG3" s="1239"/>
      <c r="AH3" s="1239"/>
      <c r="AI3" s="1239"/>
      <c r="AJ3" s="1239"/>
      <c r="AK3" s="1239"/>
      <c r="AL3" s="1239"/>
    </row>
    <row r="4" spans="1:38" ht="16.5" thickBot="1" x14ac:dyDescent="0.3"/>
    <row r="5" spans="1:38" s="171" customFormat="1" ht="68.25" customHeight="1" thickTop="1" thickBot="1" x14ac:dyDescent="0.3">
      <c r="A5" s="169"/>
      <c r="B5" s="318"/>
      <c r="C5" s="1228" t="s">
        <v>82</v>
      </c>
      <c r="D5" s="1229"/>
      <c r="E5" s="1229"/>
      <c r="F5" s="1229"/>
      <c r="G5" s="1229"/>
      <c r="H5" s="1229"/>
      <c r="I5" s="1229"/>
      <c r="J5" s="1229"/>
      <c r="K5" s="1229"/>
      <c r="L5" s="1229"/>
      <c r="M5" s="1229"/>
      <c r="N5" s="1230"/>
      <c r="O5" s="170" t="s">
        <v>83</v>
      </c>
      <c r="P5" s="170"/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240" t="s">
        <v>270</v>
      </c>
      <c r="AB5" s="1240"/>
      <c r="AC5" s="1240"/>
      <c r="AD5" s="1240"/>
      <c r="AE5" s="1240"/>
      <c r="AF5" s="1240"/>
      <c r="AG5" s="1240"/>
      <c r="AH5" s="1240"/>
      <c r="AI5" s="1240"/>
      <c r="AJ5" s="1240"/>
      <c r="AK5" s="1240"/>
      <c r="AL5" s="1240"/>
    </row>
    <row r="6" spans="1:38" s="173" customFormat="1" ht="39" customHeight="1" thickTop="1" thickBot="1" x14ac:dyDescent="0.3">
      <c r="A6" s="324" t="s">
        <v>249</v>
      </c>
      <c r="B6" s="319" t="s">
        <v>345</v>
      </c>
      <c r="C6" s="1241" t="s">
        <v>1125</v>
      </c>
      <c r="D6" s="1242"/>
      <c r="E6" s="1242"/>
      <c r="F6" s="1243"/>
      <c r="G6" s="172" t="s">
        <v>1124</v>
      </c>
      <c r="H6" s="172"/>
      <c r="I6" s="172"/>
      <c r="J6" s="172"/>
      <c r="K6" s="713" t="s">
        <v>1202</v>
      </c>
      <c r="L6" s="713"/>
      <c r="M6" s="713"/>
      <c r="N6" s="713"/>
      <c r="O6" s="713" t="s">
        <v>1125</v>
      </c>
      <c r="P6" s="714"/>
      <c r="Q6" s="714"/>
      <c r="R6" s="714"/>
      <c r="S6" s="714" t="s">
        <v>1124</v>
      </c>
      <c r="T6" s="714"/>
      <c r="U6" s="714"/>
      <c r="V6" s="714"/>
      <c r="W6" s="714" t="s">
        <v>1202</v>
      </c>
      <c r="X6" s="714"/>
      <c r="Y6" s="714"/>
      <c r="Z6" s="714"/>
      <c r="AA6" s="1244" t="s">
        <v>1125</v>
      </c>
      <c r="AB6" s="1244"/>
      <c r="AC6" s="1244"/>
      <c r="AD6" s="1244"/>
      <c r="AE6" s="1244" t="s">
        <v>1124</v>
      </c>
      <c r="AF6" s="1244"/>
      <c r="AG6" s="1244"/>
      <c r="AH6" s="1244"/>
      <c r="AI6" s="1244" t="s">
        <v>1202</v>
      </c>
      <c r="AJ6" s="1244"/>
      <c r="AK6" s="1244"/>
      <c r="AL6" s="1244"/>
    </row>
    <row r="7" spans="1:38" s="102" customFormat="1" ht="33" thickTop="1" thickBot="1" x14ac:dyDescent="0.3">
      <c r="A7" s="101"/>
      <c r="B7" s="320"/>
      <c r="C7" s="1136" t="s">
        <v>243</v>
      </c>
      <c r="D7" s="1137" t="s">
        <v>244</v>
      </c>
      <c r="E7" s="1137" t="s">
        <v>962</v>
      </c>
      <c r="F7" s="1137" t="s">
        <v>270</v>
      </c>
      <c r="G7" s="1136" t="s">
        <v>243</v>
      </c>
      <c r="H7" s="1136" t="s">
        <v>244</v>
      </c>
      <c r="I7" s="1136" t="s">
        <v>962</v>
      </c>
      <c r="J7" s="1136" t="s">
        <v>270</v>
      </c>
      <c r="K7" s="1137" t="s">
        <v>243</v>
      </c>
      <c r="L7" s="1137" t="s">
        <v>244</v>
      </c>
      <c r="M7" s="1137" t="s">
        <v>962</v>
      </c>
      <c r="N7" s="1137" t="s">
        <v>270</v>
      </c>
      <c r="O7" s="1137" t="s">
        <v>243</v>
      </c>
      <c r="P7" s="1137" t="s">
        <v>244</v>
      </c>
      <c r="Q7" s="1137" t="s">
        <v>962</v>
      </c>
      <c r="R7" s="1137" t="s">
        <v>270</v>
      </c>
      <c r="S7" s="1137" t="s">
        <v>243</v>
      </c>
      <c r="T7" s="1137" t="s">
        <v>244</v>
      </c>
      <c r="U7" s="1137" t="s">
        <v>962</v>
      </c>
      <c r="V7" s="1137" t="s">
        <v>270</v>
      </c>
      <c r="W7" s="1137" t="s">
        <v>243</v>
      </c>
      <c r="X7" s="1137" t="s">
        <v>244</v>
      </c>
      <c r="Y7" s="1137" t="s">
        <v>962</v>
      </c>
      <c r="Z7" s="1137" t="s">
        <v>270</v>
      </c>
      <c r="AA7" s="1137" t="s">
        <v>243</v>
      </c>
      <c r="AB7" s="1137" t="s">
        <v>244</v>
      </c>
      <c r="AC7" s="1137" t="s">
        <v>962</v>
      </c>
      <c r="AD7" s="1137" t="s">
        <v>270</v>
      </c>
      <c r="AE7" s="1137" t="s">
        <v>243</v>
      </c>
      <c r="AF7" s="1137" t="s">
        <v>244</v>
      </c>
      <c r="AG7" s="1137" t="s">
        <v>962</v>
      </c>
      <c r="AH7" s="1137" t="s">
        <v>270</v>
      </c>
      <c r="AI7" s="1137" t="s">
        <v>243</v>
      </c>
      <c r="AJ7" s="1137" t="s">
        <v>244</v>
      </c>
      <c r="AK7" s="1137" t="s">
        <v>962</v>
      </c>
      <c r="AL7" s="1137" t="s">
        <v>270</v>
      </c>
    </row>
    <row r="8" spans="1:38" s="173" customFormat="1" ht="17.25" thickTop="1" thickBot="1" x14ac:dyDescent="0.3">
      <c r="A8" s="174" t="s">
        <v>253</v>
      </c>
      <c r="B8" s="321"/>
      <c r="C8" s="175" t="s">
        <v>1126</v>
      </c>
      <c r="D8" s="176"/>
      <c r="E8" s="176"/>
      <c r="F8" s="176"/>
      <c r="G8" s="715" t="s">
        <v>1127</v>
      </c>
      <c r="H8" s="716"/>
      <c r="I8" s="716"/>
      <c r="J8" s="172"/>
      <c r="K8" s="714" t="s">
        <v>1128</v>
      </c>
      <c r="L8" s="714"/>
      <c r="M8" s="714"/>
      <c r="N8" s="714"/>
      <c r="O8" s="1237" t="s">
        <v>1129</v>
      </c>
      <c r="P8" s="1237"/>
      <c r="Q8" s="1237"/>
      <c r="R8" s="1237"/>
      <c r="S8" s="1237" t="s">
        <v>1130</v>
      </c>
      <c r="T8" s="1237"/>
      <c r="U8" s="1237"/>
      <c r="V8" s="1237"/>
      <c r="W8" s="1237" t="s">
        <v>1131</v>
      </c>
      <c r="X8" s="1237"/>
      <c r="Y8" s="1237"/>
      <c r="Z8" s="1237"/>
      <c r="AA8" s="1237" t="s">
        <v>1132</v>
      </c>
      <c r="AB8" s="1237"/>
      <c r="AC8" s="1237"/>
      <c r="AD8" s="1237"/>
      <c r="AE8" s="1237" t="s">
        <v>1133</v>
      </c>
      <c r="AF8" s="1237"/>
      <c r="AG8" s="1237"/>
      <c r="AH8" s="1237"/>
      <c r="AI8" s="1237" t="s">
        <v>1134</v>
      </c>
      <c r="AJ8" s="1237"/>
      <c r="AK8" s="1237"/>
      <c r="AL8" s="1237"/>
    </row>
    <row r="9" spans="1:38" ht="16.5" thickTop="1" x14ac:dyDescent="0.25">
      <c r="A9" s="177" t="s">
        <v>88</v>
      </c>
      <c r="B9" s="177" t="s">
        <v>346</v>
      </c>
      <c r="C9" s="178">
        <v>162281</v>
      </c>
      <c r="D9" s="179">
        <v>102297</v>
      </c>
      <c r="E9" s="179">
        <v>0</v>
      </c>
      <c r="F9" s="180">
        <f>SUM(C9:E9)</f>
        <v>264578</v>
      </c>
      <c r="G9" s="180">
        <f>1176+453</f>
        <v>1629</v>
      </c>
      <c r="H9" s="180">
        <f>-16528+666+117+11-1132+1132-1+3+197</f>
        <v>-15535</v>
      </c>
      <c r="I9" s="180">
        <v>0</v>
      </c>
      <c r="J9" s="180">
        <f>SUM(G9:I9)</f>
        <v>-13906</v>
      </c>
      <c r="K9" s="180">
        <f>SUM(C9+G9)</f>
        <v>163910</v>
      </c>
      <c r="L9" s="180">
        <f>SUM(D9+H9)</f>
        <v>86762</v>
      </c>
      <c r="M9" s="180">
        <f>SUM(E9+I9)</f>
        <v>0</v>
      </c>
      <c r="N9" s="717">
        <f>SUM(K9:M9)</f>
        <v>250672</v>
      </c>
      <c r="O9" s="178">
        <v>4713798</v>
      </c>
      <c r="P9" s="181">
        <v>1234497</v>
      </c>
      <c r="Q9" s="181">
        <v>506409</v>
      </c>
      <c r="R9" s="181">
        <f>SUM(O9:Q9)</f>
        <v>6454704</v>
      </c>
      <c r="S9" s="181">
        <v>100524</v>
      </c>
      <c r="T9" s="181">
        <v>45464</v>
      </c>
      <c r="U9" s="181">
        <v>-491</v>
      </c>
      <c r="V9" s="181">
        <f>SUM(S9:U9)</f>
        <v>145497</v>
      </c>
      <c r="W9" s="181">
        <f>SUM(O9+S9)</f>
        <v>4814322</v>
      </c>
      <c r="X9" s="181">
        <f t="shared" ref="W9:Y10" si="0">SUM(P9+T9)</f>
        <v>1279961</v>
      </c>
      <c r="Y9" s="181">
        <f t="shared" si="0"/>
        <v>505918</v>
      </c>
      <c r="Z9" s="718">
        <f>SUM(W9:Y9)</f>
        <v>6600201</v>
      </c>
      <c r="AA9" s="182">
        <f t="shared" ref="AA9:AB13" si="1">+C9+O9</f>
        <v>4876079</v>
      </c>
      <c r="AB9" s="183">
        <f t="shared" si="1"/>
        <v>1336794</v>
      </c>
      <c r="AC9" s="184">
        <f t="shared" ref="AC9:AC20" si="2">SUM(Q9+E9)</f>
        <v>506409</v>
      </c>
      <c r="AD9" s="185">
        <f>SUM(AA9:AC9)</f>
        <v>6719282</v>
      </c>
      <c r="AE9" s="182">
        <f>+G9+S9</f>
        <v>102153</v>
      </c>
      <c r="AF9" s="183">
        <f t="shared" ref="AE9:AF13" si="3">+H9+T9</f>
        <v>29929</v>
      </c>
      <c r="AG9" s="184">
        <f t="shared" ref="AG9:AG13" si="4">SUM(U9+I9)</f>
        <v>-491</v>
      </c>
      <c r="AH9" s="185">
        <f t="shared" ref="AH9:AH13" si="5">SUM(AE9:AG9)</f>
        <v>131591</v>
      </c>
      <c r="AI9" s="182">
        <f>+K9+W9</f>
        <v>4978232</v>
      </c>
      <c r="AJ9" s="183">
        <f t="shared" ref="AI9:AJ13" si="6">+L9+X9</f>
        <v>1366723</v>
      </c>
      <c r="AK9" s="184">
        <f t="shared" ref="AK9:AK13" si="7">SUM(Y9+M9)</f>
        <v>505918</v>
      </c>
      <c r="AL9" s="185">
        <f t="shared" ref="AL9:AL13" si="8">SUM(AI9:AK9)</f>
        <v>6850873</v>
      </c>
    </row>
    <row r="10" spans="1:38" ht="31.5" x14ac:dyDescent="0.25">
      <c r="A10" s="187" t="s">
        <v>89</v>
      </c>
      <c r="B10" s="187" t="s">
        <v>347</v>
      </c>
      <c r="C10" s="188">
        <v>47329</v>
      </c>
      <c r="D10" s="189">
        <v>42610</v>
      </c>
      <c r="E10" s="189">
        <v>0</v>
      </c>
      <c r="F10" s="188">
        <f>SUM(C10:E10)</f>
        <v>89939</v>
      </c>
      <c r="G10" s="189">
        <v>187</v>
      </c>
      <c r="H10" s="189">
        <f>-4462+177+51-275+275+1+53</f>
        <v>-4180</v>
      </c>
      <c r="I10" s="189">
        <v>0</v>
      </c>
      <c r="J10" s="189">
        <f>SUM(G10:I10)</f>
        <v>-3993</v>
      </c>
      <c r="K10" s="189">
        <f>SUM(C10+G10)</f>
        <v>47516</v>
      </c>
      <c r="L10" s="189">
        <f t="shared" ref="L10:M10" si="9">SUM(D10+H10)</f>
        <v>38430</v>
      </c>
      <c r="M10" s="189">
        <f t="shared" si="9"/>
        <v>0</v>
      </c>
      <c r="N10" s="188">
        <f>SUM(K10:M10)</f>
        <v>85946</v>
      </c>
      <c r="O10" s="188">
        <v>1333303</v>
      </c>
      <c r="P10" s="189">
        <v>338373</v>
      </c>
      <c r="Q10" s="189">
        <v>142318</v>
      </c>
      <c r="R10" s="188">
        <f>SUM(O10:Q10)</f>
        <v>1813994</v>
      </c>
      <c r="S10" s="189">
        <v>36715</v>
      </c>
      <c r="T10" s="189">
        <v>2481</v>
      </c>
      <c r="U10" s="189">
        <v>2</v>
      </c>
      <c r="V10" s="189">
        <f>SUM(S10:U10)</f>
        <v>39198</v>
      </c>
      <c r="W10" s="189">
        <f t="shared" si="0"/>
        <v>1370018</v>
      </c>
      <c r="X10" s="189">
        <f t="shared" si="0"/>
        <v>340854</v>
      </c>
      <c r="Y10" s="189">
        <f t="shared" si="0"/>
        <v>142320</v>
      </c>
      <c r="Z10" s="188">
        <f>SUM(W10:Y10)</f>
        <v>1853192</v>
      </c>
      <c r="AA10" s="190">
        <f t="shared" si="1"/>
        <v>1380632</v>
      </c>
      <c r="AB10" s="191">
        <f t="shared" si="1"/>
        <v>380983</v>
      </c>
      <c r="AC10" s="192">
        <f t="shared" si="2"/>
        <v>142318</v>
      </c>
      <c r="AD10" s="193">
        <f>SUM(AA10:AC10)</f>
        <v>1903933</v>
      </c>
      <c r="AE10" s="190">
        <f t="shared" si="3"/>
        <v>36902</v>
      </c>
      <c r="AF10" s="191">
        <f t="shared" si="3"/>
        <v>-1699</v>
      </c>
      <c r="AG10" s="192">
        <f t="shared" si="4"/>
        <v>2</v>
      </c>
      <c r="AH10" s="193">
        <f t="shared" si="5"/>
        <v>35205</v>
      </c>
      <c r="AI10" s="190">
        <f t="shared" si="6"/>
        <v>1417534</v>
      </c>
      <c r="AJ10" s="191">
        <f t="shared" si="6"/>
        <v>379284</v>
      </c>
      <c r="AK10" s="192">
        <f t="shared" si="7"/>
        <v>142320</v>
      </c>
      <c r="AL10" s="193">
        <f t="shared" si="8"/>
        <v>1939138</v>
      </c>
    </row>
    <row r="11" spans="1:38" x14ac:dyDescent="0.25">
      <c r="A11" s="194" t="s">
        <v>90</v>
      </c>
      <c r="B11" s="194" t="s">
        <v>348</v>
      </c>
      <c r="C11" s="188">
        <v>1605751</v>
      </c>
      <c r="D11" s="189">
        <v>4294474</v>
      </c>
      <c r="E11" s="189">
        <v>243</v>
      </c>
      <c r="F11" s="188">
        <f>SUM(C11:E11)</f>
        <v>5900468</v>
      </c>
      <c r="G11" s="189">
        <f>3008+1932+12-2-1407-1282+353-40-307+329+12510+2+449-640+63+411</f>
        <v>15391</v>
      </c>
      <c r="H11" s="189">
        <f>-8425-633-8772-843-1000-3468-11-1188-9081-2347796-98730+6033+32224+73933-29970+1524+1000+1539-1000-899-3</f>
        <v>-2395566</v>
      </c>
      <c r="I11" s="189">
        <v>0</v>
      </c>
      <c r="J11" s="188">
        <f t="shared" ref="J11:J20" si="10">SUM(G11:I11)</f>
        <v>-2380175</v>
      </c>
      <c r="K11" s="189">
        <f t="shared" ref="K11:K13" si="11">SUM(C11+G11)</f>
        <v>1621142</v>
      </c>
      <c r="L11" s="189">
        <f t="shared" ref="L11:M13" si="12">SUM(D11+H11)</f>
        <v>1898908</v>
      </c>
      <c r="M11" s="189">
        <f t="shared" si="12"/>
        <v>243</v>
      </c>
      <c r="N11" s="188">
        <f t="shared" ref="N11:N13" si="13">SUM(K11:M11)</f>
        <v>3520293</v>
      </c>
      <c r="O11" s="188">
        <v>3690170</v>
      </c>
      <c r="P11" s="189">
        <v>798293</v>
      </c>
      <c r="Q11" s="189">
        <v>134849</v>
      </c>
      <c r="R11" s="188">
        <f>SUM(O11:Q11)</f>
        <v>4623312</v>
      </c>
      <c r="S11" s="189">
        <v>288808</v>
      </c>
      <c r="T11" s="189">
        <v>58410</v>
      </c>
      <c r="U11" s="189">
        <v>-614</v>
      </c>
      <c r="V11" s="189">
        <f t="shared" ref="V11:V20" si="14">SUM(S11:U11)</f>
        <v>346604</v>
      </c>
      <c r="W11" s="189">
        <f t="shared" ref="W11:Y13" si="15">SUM(O11+S11)</f>
        <v>3978978</v>
      </c>
      <c r="X11" s="189">
        <f t="shared" si="15"/>
        <v>856703</v>
      </c>
      <c r="Y11" s="189">
        <f t="shared" si="15"/>
        <v>134235</v>
      </c>
      <c r="Z11" s="188">
        <f t="shared" ref="Z11:Z13" si="16">SUM(W11:Y11)</f>
        <v>4969916</v>
      </c>
      <c r="AA11" s="190">
        <f t="shared" si="1"/>
        <v>5295921</v>
      </c>
      <c r="AB11" s="191">
        <f t="shared" si="1"/>
        <v>5092767</v>
      </c>
      <c r="AC11" s="192">
        <f t="shared" si="2"/>
        <v>135092</v>
      </c>
      <c r="AD11" s="193">
        <f>SUM(AA11:AC11)</f>
        <v>10523780</v>
      </c>
      <c r="AE11" s="190">
        <f t="shared" si="3"/>
        <v>304199</v>
      </c>
      <c r="AF11" s="191">
        <f t="shared" si="3"/>
        <v>-2337156</v>
      </c>
      <c r="AG11" s="192">
        <f t="shared" si="4"/>
        <v>-614</v>
      </c>
      <c r="AH11" s="193">
        <f t="shared" si="5"/>
        <v>-2033571</v>
      </c>
      <c r="AI11" s="190">
        <f t="shared" si="6"/>
        <v>5600120</v>
      </c>
      <c r="AJ11" s="191">
        <f t="shared" si="6"/>
        <v>2755611</v>
      </c>
      <c r="AK11" s="192">
        <f t="shared" si="7"/>
        <v>134478</v>
      </c>
      <c r="AL11" s="193">
        <f t="shared" si="8"/>
        <v>8490209</v>
      </c>
    </row>
    <row r="12" spans="1:38" x14ac:dyDescent="0.25">
      <c r="A12" s="194" t="s">
        <v>384</v>
      </c>
      <c r="B12" s="194" t="s">
        <v>349</v>
      </c>
      <c r="C12" s="188">
        <v>65034</v>
      </c>
      <c r="D12" s="189">
        <v>0</v>
      </c>
      <c r="E12" s="189">
        <v>0</v>
      </c>
      <c r="F12" s="188">
        <f>SUM(C12:E12)</f>
        <v>65034</v>
      </c>
      <c r="G12" s="188">
        <v>2647</v>
      </c>
      <c r="H12" s="188">
        <v>0</v>
      </c>
      <c r="I12" s="188">
        <v>0</v>
      </c>
      <c r="J12" s="188">
        <f t="shared" si="10"/>
        <v>2647</v>
      </c>
      <c r="K12" s="189">
        <f t="shared" si="11"/>
        <v>67681</v>
      </c>
      <c r="L12" s="189">
        <f t="shared" si="12"/>
        <v>0</v>
      </c>
      <c r="M12" s="189">
        <f t="shared" si="12"/>
        <v>0</v>
      </c>
      <c r="N12" s="188">
        <f t="shared" si="13"/>
        <v>67681</v>
      </c>
      <c r="O12" s="188">
        <v>12271</v>
      </c>
      <c r="P12" s="195">
        <v>0</v>
      </c>
      <c r="Q12" s="195">
        <v>0</v>
      </c>
      <c r="R12" s="181">
        <f>SUM(O12:Q12)</f>
        <v>12271</v>
      </c>
      <c r="S12" s="181">
        <v>700</v>
      </c>
      <c r="T12" s="181">
        <v>0</v>
      </c>
      <c r="U12" s="181">
        <v>0</v>
      </c>
      <c r="V12" s="189">
        <f t="shared" si="14"/>
        <v>700</v>
      </c>
      <c r="W12" s="189">
        <f t="shared" si="15"/>
        <v>12971</v>
      </c>
      <c r="X12" s="189">
        <f t="shared" si="15"/>
        <v>0</v>
      </c>
      <c r="Y12" s="189">
        <f t="shared" si="15"/>
        <v>0</v>
      </c>
      <c r="Z12" s="188">
        <f t="shared" si="16"/>
        <v>12971</v>
      </c>
      <c r="AA12" s="196">
        <f t="shared" si="1"/>
        <v>77305</v>
      </c>
      <c r="AB12" s="197">
        <f t="shared" si="1"/>
        <v>0</v>
      </c>
      <c r="AC12" s="192">
        <f>SUM(Q12+E12)</f>
        <v>0</v>
      </c>
      <c r="AD12" s="198">
        <f>SUM(AA12:AC12)</f>
        <v>77305</v>
      </c>
      <c r="AE12" s="196">
        <f t="shared" si="3"/>
        <v>3347</v>
      </c>
      <c r="AF12" s="197">
        <f t="shared" si="3"/>
        <v>0</v>
      </c>
      <c r="AG12" s="192">
        <f t="shared" si="4"/>
        <v>0</v>
      </c>
      <c r="AH12" s="198">
        <f t="shared" si="5"/>
        <v>3347</v>
      </c>
      <c r="AI12" s="196">
        <f t="shared" si="6"/>
        <v>80652</v>
      </c>
      <c r="AJ12" s="197">
        <f t="shared" si="6"/>
        <v>0</v>
      </c>
      <c r="AK12" s="192">
        <f t="shared" si="7"/>
        <v>0</v>
      </c>
      <c r="AL12" s="198">
        <f t="shared" si="8"/>
        <v>80652</v>
      </c>
    </row>
    <row r="13" spans="1:38" ht="31.5" x14ac:dyDescent="0.25">
      <c r="A13" s="187" t="s">
        <v>385</v>
      </c>
      <c r="B13" s="187" t="s">
        <v>731</v>
      </c>
      <c r="C13" s="188">
        <v>5247054</v>
      </c>
      <c r="D13" s="189">
        <v>2051947</v>
      </c>
      <c r="E13" s="189">
        <v>0</v>
      </c>
      <c r="F13" s="188">
        <f>SUM(C13:E13)</f>
        <v>7299001</v>
      </c>
      <c r="G13" s="189">
        <f>3481-63-411</f>
        <v>3007</v>
      </c>
      <c r="H13" s="189">
        <f>8425+633+1000+3300-1539-400-500-200-446-209</f>
        <v>10064</v>
      </c>
      <c r="I13" s="189">
        <v>0</v>
      </c>
      <c r="J13" s="188">
        <f t="shared" si="10"/>
        <v>13071</v>
      </c>
      <c r="K13" s="189">
        <f t="shared" si="11"/>
        <v>5250061</v>
      </c>
      <c r="L13" s="189">
        <f t="shared" si="12"/>
        <v>2062011</v>
      </c>
      <c r="M13" s="189">
        <f t="shared" si="12"/>
        <v>0</v>
      </c>
      <c r="N13" s="188">
        <f t="shared" si="13"/>
        <v>7312072</v>
      </c>
      <c r="O13" s="188">
        <v>6240</v>
      </c>
      <c r="P13" s="189">
        <v>2381</v>
      </c>
      <c r="Q13" s="189">
        <v>0</v>
      </c>
      <c r="R13" s="188">
        <f>SUM(O13:Q13)</f>
        <v>8621</v>
      </c>
      <c r="S13" s="189">
        <v>0</v>
      </c>
      <c r="T13" s="189">
        <v>0</v>
      </c>
      <c r="U13" s="189">
        <v>0</v>
      </c>
      <c r="V13" s="189">
        <f t="shared" si="14"/>
        <v>0</v>
      </c>
      <c r="W13" s="189">
        <f t="shared" si="15"/>
        <v>6240</v>
      </c>
      <c r="X13" s="189">
        <f t="shared" si="15"/>
        <v>2381</v>
      </c>
      <c r="Y13" s="189">
        <f t="shared" si="15"/>
        <v>0</v>
      </c>
      <c r="Z13" s="188">
        <f t="shared" si="16"/>
        <v>8621</v>
      </c>
      <c r="AA13" s="190">
        <f t="shared" si="1"/>
        <v>5253294</v>
      </c>
      <c r="AB13" s="191">
        <f t="shared" si="1"/>
        <v>2054328</v>
      </c>
      <c r="AC13" s="192">
        <f t="shared" si="2"/>
        <v>0</v>
      </c>
      <c r="AD13" s="193">
        <f>SUM(AA13:AC13)</f>
        <v>7307622</v>
      </c>
      <c r="AE13" s="190">
        <f t="shared" si="3"/>
        <v>3007</v>
      </c>
      <c r="AF13" s="191">
        <f t="shared" si="3"/>
        <v>10064</v>
      </c>
      <c r="AG13" s="192">
        <f t="shared" si="4"/>
        <v>0</v>
      </c>
      <c r="AH13" s="193">
        <f t="shared" si="5"/>
        <v>13071</v>
      </c>
      <c r="AI13" s="190">
        <f t="shared" si="6"/>
        <v>5256301</v>
      </c>
      <c r="AJ13" s="191">
        <f t="shared" si="6"/>
        <v>2064392</v>
      </c>
      <c r="AK13" s="192">
        <f t="shared" si="7"/>
        <v>0</v>
      </c>
      <c r="AL13" s="193">
        <f t="shared" si="8"/>
        <v>7320693</v>
      </c>
    </row>
    <row r="14" spans="1:38" ht="31.5" x14ac:dyDescent="0.25">
      <c r="A14" s="686" t="s">
        <v>1070</v>
      </c>
      <c r="B14" s="199"/>
      <c r="C14" s="200">
        <f>SUM(C9:C13)</f>
        <v>7127449</v>
      </c>
      <c r="D14" s="200">
        <f t="shared" ref="D14:AL14" si="17">SUM(D9:D13)</f>
        <v>6491328</v>
      </c>
      <c r="E14" s="200">
        <f t="shared" si="17"/>
        <v>243</v>
      </c>
      <c r="F14" s="200">
        <f t="shared" si="17"/>
        <v>13619020</v>
      </c>
      <c r="G14" s="200">
        <f t="shared" si="17"/>
        <v>22861</v>
      </c>
      <c r="H14" s="200">
        <f t="shared" si="17"/>
        <v>-2405217</v>
      </c>
      <c r="I14" s="200">
        <f t="shared" si="17"/>
        <v>0</v>
      </c>
      <c r="J14" s="200">
        <f t="shared" si="17"/>
        <v>-2382356</v>
      </c>
      <c r="K14" s="200">
        <f t="shared" si="17"/>
        <v>7150310</v>
      </c>
      <c r="L14" s="200">
        <f t="shared" si="17"/>
        <v>4086111</v>
      </c>
      <c r="M14" s="200">
        <f t="shared" si="17"/>
        <v>243</v>
      </c>
      <c r="N14" s="200">
        <f t="shared" si="17"/>
        <v>11236664</v>
      </c>
      <c r="O14" s="200">
        <f t="shared" si="17"/>
        <v>9755782</v>
      </c>
      <c r="P14" s="200">
        <f t="shared" si="17"/>
        <v>2373544</v>
      </c>
      <c r="Q14" s="200">
        <f t="shared" si="17"/>
        <v>783576</v>
      </c>
      <c r="R14" s="200">
        <f t="shared" si="17"/>
        <v>12912902</v>
      </c>
      <c r="S14" s="200">
        <f t="shared" si="17"/>
        <v>426747</v>
      </c>
      <c r="T14" s="200">
        <f t="shared" si="17"/>
        <v>106355</v>
      </c>
      <c r="U14" s="200">
        <f t="shared" si="17"/>
        <v>-1103</v>
      </c>
      <c r="V14" s="200">
        <f t="shared" si="17"/>
        <v>531999</v>
      </c>
      <c r="W14" s="200">
        <f t="shared" si="17"/>
        <v>10182529</v>
      </c>
      <c r="X14" s="200">
        <f t="shared" si="17"/>
        <v>2479899</v>
      </c>
      <c r="Y14" s="200">
        <f t="shared" si="17"/>
        <v>782473</v>
      </c>
      <c r="Z14" s="200">
        <f t="shared" si="17"/>
        <v>13444901</v>
      </c>
      <c r="AA14" s="200">
        <f t="shared" si="17"/>
        <v>16883231</v>
      </c>
      <c r="AB14" s="200">
        <f t="shared" si="17"/>
        <v>8864872</v>
      </c>
      <c r="AC14" s="200">
        <f t="shared" si="17"/>
        <v>783819</v>
      </c>
      <c r="AD14" s="200">
        <f t="shared" si="17"/>
        <v>26531922</v>
      </c>
      <c r="AE14" s="200">
        <f t="shared" si="17"/>
        <v>449608</v>
      </c>
      <c r="AF14" s="200">
        <f t="shared" si="17"/>
        <v>-2298862</v>
      </c>
      <c r="AG14" s="200">
        <f t="shared" si="17"/>
        <v>-1103</v>
      </c>
      <c r="AH14" s="200">
        <f t="shared" si="17"/>
        <v>-1850357</v>
      </c>
      <c r="AI14" s="200">
        <f t="shared" si="17"/>
        <v>17332839</v>
      </c>
      <c r="AJ14" s="200">
        <f t="shared" si="17"/>
        <v>6566010</v>
      </c>
      <c r="AK14" s="200">
        <f t="shared" si="17"/>
        <v>782716</v>
      </c>
      <c r="AL14" s="200">
        <f t="shared" si="17"/>
        <v>24681565</v>
      </c>
    </row>
    <row r="15" spans="1:38" x14ac:dyDescent="0.25">
      <c r="A15" s="194" t="s">
        <v>353</v>
      </c>
      <c r="B15" s="194" t="s">
        <v>350</v>
      </c>
      <c r="C15" s="188">
        <v>4315428</v>
      </c>
      <c r="D15" s="189">
        <v>15367312</v>
      </c>
      <c r="E15" s="189">
        <v>0</v>
      </c>
      <c r="F15" s="189">
        <f>SUM(C15:E15)</f>
        <v>19682740</v>
      </c>
      <c r="G15" s="189">
        <f>2801+2965+2-2438-564604-492453-111331-106494+92423+21501+129649+5843-93693+94000-329-449</f>
        <v>-1022607</v>
      </c>
      <c r="H15" s="189">
        <f>-2229-389512-286740-7813619-2734737-1098000-130920+37421+7493967+1524+100090+225069+3543-12867+42837-1524-1000</f>
        <v>-4566697</v>
      </c>
      <c r="I15" s="189">
        <v>0</v>
      </c>
      <c r="J15" s="188">
        <f t="shared" si="10"/>
        <v>-5589304</v>
      </c>
      <c r="K15" s="189">
        <f t="shared" ref="K15:K17" si="18">SUM(C15+G15)</f>
        <v>3292821</v>
      </c>
      <c r="L15" s="189">
        <f t="shared" ref="L15:M17" si="19">SUM(D15+H15)</f>
        <v>10800615</v>
      </c>
      <c r="M15" s="189">
        <f t="shared" si="19"/>
        <v>0</v>
      </c>
      <c r="N15" s="188">
        <f t="shared" ref="N15:N17" si="20">SUM(K15:M15)</f>
        <v>14093436</v>
      </c>
      <c r="O15" s="188">
        <v>142001</v>
      </c>
      <c r="P15" s="189">
        <v>67138</v>
      </c>
      <c r="Q15" s="189">
        <v>28771</v>
      </c>
      <c r="R15" s="189">
        <f>SUM(O15:Q15)</f>
        <v>237910</v>
      </c>
      <c r="S15" s="189">
        <v>51356</v>
      </c>
      <c r="T15" s="189">
        <v>16587</v>
      </c>
      <c r="U15" s="189">
        <v>653</v>
      </c>
      <c r="V15" s="189">
        <f t="shared" si="14"/>
        <v>68596</v>
      </c>
      <c r="W15" s="189">
        <f t="shared" ref="W15:Y17" si="21">SUM(O15+S15)</f>
        <v>193357</v>
      </c>
      <c r="X15" s="189">
        <f t="shared" si="21"/>
        <v>83725</v>
      </c>
      <c r="Y15" s="189">
        <f t="shared" si="21"/>
        <v>29424</v>
      </c>
      <c r="Z15" s="188">
        <f t="shared" ref="Z15:Z17" si="22">SUM(W15:Y15)</f>
        <v>306506</v>
      </c>
      <c r="AA15" s="190">
        <f t="shared" ref="AA15:AB17" si="23">+C15+O15</f>
        <v>4457429</v>
      </c>
      <c r="AB15" s="191">
        <f t="shared" si="23"/>
        <v>15434450</v>
      </c>
      <c r="AC15" s="192">
        <f t="shared" si="2"/>
        <v>28771</v>
      </c>
      <c r="AD15" s="193">
        <f>SUM(AA15:AC15)</f>
        <v>19920650</v>
      </c>
      <c r="AE15" s="190">
        <f t="shared" ref="AE15:AF17" si="24">+G15+S15</f>
        <v>-971251</v>
      </c>
      <c r="AF15" s="191">
        <f t="shared" si="24"/>
        <v>-4550110</v>
      </c>
      <c r="AG15" s="192">
        <f t="shared" ref="AG15:AG20" si="25">SUM(U15+I15)</f>
        <v>653</v>
      </c>
      <c r="AH15" s="193">
        <f t="shared" ref="AH15:AH17" si="26">SUM(AE15:AG15)</f>
        <v>-5520708</v>
      </c>
      <c r="AI15" s="190">
        <f t="shared" ref="AI15:AJ17" si="27">+K15+W15</f>
        <v>3486178</v>
      </c>
      <c r="AJ15" s="191">
        <f t="shared" si="27"/>
        <v>10884340</v>
      </c>
      <c r="AK15" s="192">
        <f t="shared" ref="AK15:AK20" si="28">SUM(Y15+M15)</f>
        <v>29424</v>
      </c>
      <c r="AL15" s="193">
        <f t="shared" ref="AL15:AL17" si="29">SUM(AI15:AK15)</f>
        <v>14399942</v>
      </c>
    </row>
    <row r="16" spans="1:38" x14ac:dyDescent="0.25">
      <c r="A16" s="194" t="s">
        <v>354</v>
      </c>
      <c r="B16" s="194" t="s">
        <v>351</v>
      </c>
      <c r="C16" s="188">
        <v>1637555</v>
      </c>
      <c r="D16" s="189">
        <v>530096</v>
      </c>
      <c r="E16" s="189">
        <v>0</v>
      </c>
      <c r="F16" s="189">
        <f>SUM(C16:E16)</f>
        <v>2167651</v>
      </c>
      <c r="G16" s="189">
        <f>-2801-2965-95903-73387-127316</f>
        <v>-302372</v>
      </c>
      <c r="H16" s="189">
        <v>0</v>
      </c>
      <c r="I16" s="189">
        <v>0</v>
      </c>
      <c r="J16" s="189">
        <f t="shared" si="10"/>
        <v>-302372</v>
      </c>
      <c r="K16" s="189">
        <f t="shared" si="18"/>
        <v>1335183</v>
      </c>
      <c r="L16" s="189">
        <f t="shared" si="19"/>
        <v>530096</v>
      </c>
      <c r="M16" s="189">
        <f>SUM(E16+I16)</f>
        <v>0</v>
      </c>
      <c r="N16" s="188">
        <f t="shared" si="20"/>
        <v>1865279</v>
      </c>
      <c r="O16" s="188">
        <v>35225</v>
      </c>
      <c r="P16" s="189">
        <v>0</v>
      </c>
      <c r="Q16" s="189">
        <v>14254</v>
      </c>
      <c r="R16" s="189">
        <f>SUM(O16:Q16)</f>
        <v>49479</v>
      </c>
      <c r="S16" s="189">
        <v>13444</v>
      </c>
      <c r="T16" s="189">
        <v>0</v>
      </c>
      <c r="U16" s="189">
        <v>0</v>
      </c>
      <c r="V16" s="189">
        <f t="shared" si="14"/>
        <v>13444</v>
      </c>
      <c r="W16" s="189">
        <f t="shared" si="21"/>
        <v>48669</v>
      </c>
      <c r="X16" s="189">
        <f t="shared" si="21"/>
        <v>0</v>
      </c>
      <c r="Y16" s="189">
        <f t="shared" si="21"/>
        <v>14254</v>
      </c>
      <c r="Z16" s="188">
        <f t="shared" si="22"/>
        <v>62923</v>
      </c>
      <c r="AA16" s="190">
        <f t="shared" si="23"/>
        <v>1672780</v>
      </c>
      <c r="AB16" s="191">
        <f t="shared" si="23"/>
        <v>530096</v>
      </c>
      <c r="AC16" s="192">
        <f t="shared" si="2"/>
        <v>14254</v>
      </c>
      <c r="AD16" s="193">
        <f>SUM(AA16:AC16)</f>
        <v>2217130</v>
      </c>
      <c r="AE16" s="190">
        <f t="shared" si="24"/>
        <v>-288928</v>
      </c>
      <c r="AF16" s="191">
        <f t="shared" si="24"/>
        <v>0</v>
      </c>
      <c r="AG16" s="192">
        <f t="shared" si="25"/>
        <v>0</v>
      </c>
      <c r="AH16" s="193">
        <f t="shared" si="26"/>
        <v>-288928</v>
      </c>
      <c r="AI16" s="190">
        <f t="shared" si="27"/>
        <v>1383852</v>
      </c>
      <c r="AJ16" s="191">
        <f t="shared" si="27"/>
        <v>530096</v>
      </c>
      <c r="AK16" s="192">
        <f t="shared" si="28"/>
        <v>14254</v>
      </c>
      <c r="AL16" s="193">
        <f t="shared" si="29"/>
        <v>1928202</v>
      </c>
    </row>
    <row r="17" spans="1:38" x14ac:dyDescent="0.25">
      <c r="A17" s="194" t="s">
        <v>606</v>
      </c>
      <c r="B17" s="194" t="s">
        <v>352</v>
      </c>
      <c r="C17" s="188">
        <v>330</v>
      </c>
      <c r="D17" s="189">
        <v>465966</v>
      </c>
      <c r="E17" s="189">
        <v>0</v>
      </c>
      <c r="F17" s="189">
        <f>SUM(C17:E17)</f>
        <v>466296</v>
      </c>
      <c r="G17" s="189">
        <v>0</v>
      </c>
      <c r="H17" s="189">
        <f>21611+7231+196+209</f>
        <v>29247</v>
      </c>
      <c r="I17" s="189">
        <v>0</v>
      </c>
      <c r="J17" s="189">
        <f t="shared" si="10"/>
        <v>29247</v>
      </c>
      <c r="K17" s="189">
        <f t="shared" si="18"/>
        <v>330</v>
      </c>
      <c r="L17" s="189">
        <f t="shared" si="19"/>
        <v>495213</v>
      </c>
      <c r="M17" s="189">
        <f t="shared" si="19"/>
        <v>0</v>
      </c>
      <c r="N17" s="188">
        <f t="shared" si="20"/>
        <v>495543</v>
      </c>
      <c r="O17" s="188">
        <v>0</v>
      </c>
      <c r="P17" s="189">
        <v>0</v>
      </c>
      <c r="Q17" s="189">
        <v>0</v>
      </c>
      <c r="R17" s="189">
        <f>SUM(O17:Q17)</f>
        <v>0</v>
      </c>
      <c r="S17" s="189">
        <v>0</v>
      </c>
      <c r="T17" s="189">
        <v>0</v>
      </c>
      <c r="U17" s="189">
        <v>0</v>
      </c>
      <c r="V17" s="189">
        <f t="shared" si="14"/>
        <v>0</v>
      </c>
      <c r="W17" s="189">
        <f t="shared" si="21"/>
        <v>0</v>
      </c>
      <c r="X17" s="189">
        <f t="shared" si="21"/>
        <v>0</v>
      </c>
      <c r="Y17" s="189">
        <f t="shared" si="21"/>
        <v>0</v>
      </c>
      <c r="Z17" s="188">
        <f t="shared" si="22"/>
        <v>0</v>
      </c>
      <c r="AA17" s="190">
        <f t="shared" si="23"/>
        <v>330</v>
      </c>
      <c r="AB17" s="191">
        <f t="shared" si="23"/>
        <v>465966</v>
      </c>
      <c r="AC17" s="192">
        <f t="shared" si="2"/>
        <v>0</v>
      </c>
      <c r="AD17" s="193">
        <f>SUM(AA17:AC17)</f>
        <v>466296</v>
      </c>
      <c r="AE17" s="190">
        <f t="shared" si="24"/>
        <v>0</v>
      </c>
      <c r="AF17" s="191">
        <f t="shared" si="24"/>
        <v>29247</v>
      </c>
      <c r="AG17" s="192">
        <f t="shared" si="25"/>
        <v>0</v>
      </c>
      <c r="AH17" s="193">
        <f t="shared" si="26"/>
        <v>29247</v>
      </c>
      <c r="AI17" s="190">
        <f t="shared" si="27"/>
        <v>330</v>
      </c>
      <c r="AJ17" s="191">
        <f t="shared" si="27"/>
        <v>495213</v>
      </c>
      <c r="AK17" s="192">
        <f t="shared" si="28"/>
        <v>0</v>
      </c>
      <c r="AL17" s="193">
        <f t="shared" si="29"/>
        <v>495543</v>
      </c>
    </row>
    <row r="18" spans="1:38" ht="31.5" x14ac:dyDescent="0.25">
      <c r="A18" s="686" t="s">
        <v>1071</v>
      </c>
      <c r="B18" s="322"/>
      <c r="C18" s="201">
        <f t="shared" ref="C18:AB18" si="30">SUM(C15:C17)</f>
        <v>5953313</v>
      </c>
      <c r="D18" s="201">
        <f t="shared" si="30"/>
        <v>16363374</v>
      </c>
      <c r="E18" s="201">
        <f t="shared" si="30"/>
        <v>0</v>
      </c>
      <c r="F18" s="201">
        <f t="shared" si="30"/>
        <v>22316687</v>
      </c>
      <c r="G18" s="201">
        <f t="shared" si="30"/>
        <v>-1324979</v>
      </c>
      <c r="H18" s="201">
        <f t="shared" si="30"/>
        <v>-4537450</v>
      </c>
      <c r="I18" s="201">
        <f t="shared" si="30"/>
        <v>0</v>
      </c>
      <c r="J18" s="201">
        <f t="shared" si="30"/>
        <v>-5862429</v>
      </c>
      <c r="K18" s="201">
        <f t="shared" si="30"/>
        <v>4628334</v>
      </c>
      <c r="L18" s="201">
        <f t="shared" si="30"/>
        <v>11825924</v>
      </c>
      <c r="M18" s="201">
        <f t="shared" si="30"/>
        <v>0</v>
      </c>
      <c r="N18" s="200">
        <f t="shared" si="30"/>
        <v>16454258</v>
      </c>
      <c r="O18" s="200">
        <f t="shared" si="30"/>
        <v>177226</v>
      </c>
      <c r="P18" s="201">
        <f t="shared" si="30"/>
        <v>67138</v>
      </c>
      <c r="Q18" s="201">
        <f t="shared" si="30"/>
        <v>43025</v>
      </c>
      <c r="R18" s="201">
        <f t="shared" si="30"/>
        <v>287389</v>
      </c>
      <c r="S18" s="201">
        <f t="shared" si="30"/>
        <v>64800</v>
      </c>
      <c r="T18" s="201">
        <f t="shared" si="30"/>
        <v>16587</v>
      </c>
      <c r="U18" s="201">
        <f t="shared" si="30"/>
        <v>653</v>
      </c>
      <c r="V18" s="201">
        <f t="shared" si="30"/>
        <v>82040</v>
      </c>
      <c r="W18" s="201">
        <f t="shared" si="30"/>
        <v>242026</v>
      </c>
      <c r="X18" s="201">
        <f t="shared" si="30"/>
        <v>83725</v>
      </c>
      <c r="Y18" s="201">
        <f t="shared" si="30"/>
        <v>43678</v>
      </c>
      <c r="Z18" s="200">
        <f t="shared" si="30"/>
        <v>369429</v>
      </c>
      <c r="AA18" s="201">
        <f t="shared" si="30"/>
        <v>6130539</v>
      </c>
      <c r="AB18" s="202">
        <f t="shared" si="30"/>
        <v>16430512</v>
      </c>
      <c r="AC18" s="192">
        <f t="shared" si="2"/>
        <v>43025</v>
      </c>
      <c r="AD18" s="203">
        <f>SUM(AD15:AD17)</f>
        <v>22604076</v>
      </c>
      <c r="AE18" s="201">
        <f t="shared" ref="AE18:AF18" si="31">SUM(AE15:AE17)</f>
        <v>-1260179</v>
      </c>
      <c r="AF18" s="202">
        <f t="shared" si="31"/>
        <v>-4520863</v>
      </c>
      <c r="AG18" s="192">
        <f t="shared" si="25"/>
        <v>653</v>
      </c>
      <c r="AH18" s="203">
        <f t="shared" ref="AH18:AJ18" si="32">SUM(AH15:AH17)</f>
        <v>-5780389</v>
      </c>
      <c r="AI18" s="201">
        <f t="shared" si="32"/>
        <v>4870360</v>
      </c>
      <c r="AJ18" s="202">
        <f t="shared" si="32"/>
        <v>11909649</v>
      </c>
      <c r="AK18" s="192">
        <f t="shared" si="28"/>
        <v>43678</v>
      </c>
      <c r="AL18" s="203">
        <f t="shared" ref="AL18" si="33">SUM(AL15:AL17)</f>
        <v>16823687</v>
      </c>
    </row>
    <row r="19" spans="1:38" x14ac:dyDescent="0.25">
      <c r="A19" s="349" t="s">
        <v>444</v>
      </c>
      <c r="B19" s="194"/>
      <c r="C19" s="188">
        <v>0</v>
      </c>
      <c r="D19" s="189">
        <v>65767</v>
      </c>
      <c r="E19" s="189">
        <v>0</v>
      </c>
      <c r="F19" s="189">
        <f>SUM(C19:E19)</f>
        <v>65767</v>
      </c>
      <c r="G19" s="189">
        <v>0</v>
      </c>
      <c r="H19" s="189">
        <v>-17335</v>
      </c>
      <c r="I19" s="189"/>
      <c r="J19" s="189">
        <f t="shared" si="10"/>
        <v>-17335</v>
      </c>
      <c r="K19" s="189">
        <f t="shared" ref="K19:M20" si="34">SUM(C19+G19)</f>
        <v>0</v>
      </c>
      <c r="L19" s="189">
        <f t="shared" si="34"/>
        <v>48432</v>
      </c>
      <c r="M19" s="189">
        <f t="shared" si="34"/>
        <v>0</v>
      </c>
      <c r="N19" s="188">
        <f t="shared" ref="N19:N20" si="35">SUM(K19:M19)</f>
        <v>48432</v>
      </c>
      <c r="O19" s="188">
        <v>0</v>
      </c>
      <c r="P19" s="189">
        <v>0</v>
      </c>
      <c r="Q19" s="189">
        <v>0</v>
      </c>
      <c r="R19" s="189">
        <f>SUM(O19:Q19)</f>
        <v>0</v>
      </c>
      <c r="S19" s="189">
        <v>0</v>
      </c>
      <c r="T19" s="189">
        <v>0</v>
      </c>
      <c r="U19" s="189">
        <v>0</v>
      </c>
      <c r="V19" s="189">
        <f t="shared" si="14"/>
        <v>0</v>
      </c>
      <c r="W19" s="189">
        <f t="shared" ref="W19:Y20" si="36">SUM(O19+S19)</f>
        <v>0</v>
      </c>
      <c r="X19" s="189">
        <f t="shared" si="36"/>
        <v>0</v>
      </c>
      <c r="Y19" s="189">
        <f t="shared" si="36"/>
        <v>0</v>
      </c>
      <c r="Z19" s="188">
        <f t="shared" ref="Z19:Z20" si="37">SUM(W19:Y19)</f>
        <v>0</v>
      </c>
      <c r="AA19" s="190">
        <f>+C19+O19</f>
        <v>0</v>
      </c>
      <c r="AB19" s="191">
        <f>+D19+P19</f>
        <v>65767</v>
      </c>
      <c r="AC19" s="192">
        <f t="shared" si="2"/>
        <v>0</v>
      </c>
      <c r="AD19" s="193">
        <f>SUM(AA19:AC19)</f>
        <v>65767</v>
      </c>
      <c r="AE19" s="190">
        <f t="shared" ref="AE19:AF20" si="38">+G19+S19</f>
        <v>0</v>
      </c>
      <c r="AF19" s="191">
        <f t="shared" si="38"/>
        <v>-17335</v>
      </c>
      <c r="AG19" s="192">
        <f t="shared" si="25"/>
        <v>0</v>
      </c>
      <c r="AH19" s="193">
        <f t="shared" ref="AH19:AH20" si="39">SUM(AE19:AG19)</f>
        <v>-17335</v>
      </c>
      <c r="AI19" s="190">
        <f t="shared" ref="AI19:AJ20" si="40">+K19+W19</f>
        <v>0</v>
      </c>
      <c r="AJ19" s="191">
        <f t="shared" si="40"/>
        <v>48432</v>
      </c>
      <c r="AK19" s="192">
        <f t="shared" si="28"/>
        <v>0</v>
      </c>
      <c r="AL19" s="193">
        <f t="shared" ref="AL19:AL20" si="41">SUM(AI19:AK19)</f>
        <v>48432</v>
      </c>
    </row>
    <row r="20" spans="1:38" x14ac:dyDescent="0.25">
      <c r="A20" s="349" t="s">
        <v>445</v>
      </c>
      <c r="B20" s="194"/>
      <c r="C20" s="188">
        <v>4852615</v>
      </c>
      <c r="D20" s="189">
        <v>133240</v>
      </c>
      <c r="E20" s="189">
        <v>0</v>
      </c>
      <c r="F20" s="189">
        <f>SUM(C20:E20)</f>
        <v>4985855</v>
      </c>
      <c r="G20" s="189">
        <v>2392166</v>
      </c>
      <c r="H20" s="189">
        <v>-34805</v>
      </c>
      <c r="I20" s="189"/>
      <c r="J20" s="189">
        <f t="shared" si="10"/>
        <v>2357361</v>
      </c>
      <c r="K20" s="189">
        <f t="shared" si="34"/>
        <v>7244781</v>
      </c>
      <c r="L20" s="189">
        <f t="shared" si="34"/>
        <v>98435</v>
      </c>
      <c r="M20" s="189">
        <f t="shared" si="34"/>
        <v>0</v>
      </c>
      <c r="N20" s="188">
        <f t="shared" si="35"/>
        <v>7343216</v>
      </c>
      <c r="O20" s="188">
        <v>0</v>
      </c>
      <c r="P20" s="189">
        <v>0</v>
      </c>
      <c r="Q20" s="189">
        <v>0</v>
      </c>
      <c r="R20" s="189">
        <f>SUM(O20:Q20)</f>
        <v>0</v>
      </c>
      <c r="S20" s="189">
        <v>0</v>
      </c>
      <c r="T20" s="189">
        <v>0</v>
      </c>
      <c r="U20" s="189">
        <v>0</v>
      </c>
      <c r="V20" s="189">
        <f t="shared" si="14"/>
        <v>0</v>
      </c>
      <c r="W20" s="189">
        <f t="shared" si="36"/>
        <v>0</v>
      </c>
      <c r="X20" s="189">
        <f t="shared" si="36"/>
        <v>0</v>
      </c>
      <c r="Y20" s="189">
        <f t="shared" si="36"/>
        <v>0</v>
      </c>
      <c r="Z20" s="188">
        <f t="shared" si="37"/>
        <v>0</v>
      </c>
      <c r="AA20" s="190">
        <f>+C20+O20</f>
        <v>4852615</v>
      </c>
      <c r="AB20" s="191">
        <f>+D20+P20</f>
        <v>133240</v>
      </c>
      <c r="AC20" s="192">
        <f t="shared" si="2"/>
        <v>0</v>
      </c>
      <c r="AD20" s="193">
        <f>SUM(AA20:AC20)</f>
        <v>4985855</v>
      </c>
      <c r="AE20" s="190">
        <f t="shared" si="38"/>
        <v>2392166</v>
      </c>
      <c r="AF20" s="191">
        <f t="shared" si="38"/>
        <v>-34805</v>
      </c>
      <c r="AG20" s="192">
        <f t="shared" si="25"/>
        <v>0</v>
      </c>
      <c r="AH20" s="193">
        <f t="shared" si="39"/>
        <v>2357361</v>
      </c>
      <c r="AI20" s="190">
        <f t="shared" si="40"/>
        <v>7244781</v>
      </c>
      <c r="AJ20" s="191">
        <f t="shared" si="40"/>
        <v>98435</v>
      </c>
      <c r="AK20" s="192">
        <f t="shared" si="28"/>
        <v>0</v>
      </c>
      <c r="AL20" s="193">
        <f t="shared" si="41"/>
        <v>7343216</v>
      </c>
    </row>
    <row r="21" spans="1:38" s="360" customFormat="1" ht="16.5" thickBot="1" x14ac:dyDescent="0.3">
      <c r="A21" s="354" t="s">
        <v>446</v>
      </c>
      <c r="B21" s="361" t="s">
        <v>732</v>
      </c>
      <c r="C21" s="362">
        <f>SUM(C19:C20)</f>
        <v>4852615</v>
      </c>
      <c r="D21" s="362">
        <f t="shared" ref="D21:AL21" si="42">SUM(D19:D20)</f>
        <v>199007</v>
      </c>
      <c r="E21" s="362">
        <f t="shared" si="42"/>
        <v>0</v>
      </c>
      <c r="F21" s="362">
        <f t="shared" si="42"/>
        <v>5051622</v>
      </c>
      <c r="G21" s="362">
        <f t="shared" si="42"/>
        <v>2392166</v>
      </c>
      <c r="H21" s="362">
        <f t="shared" si="42"/>
        <v>-52140</v>
      </c>
      <c r="I21" s="362">
        <f t="shared" si="42"/>
        <v>0</v>
      </c>
      <c r="J21" s="362">
        <f t="shared" si="42"/>
        <v>2340026</v>
      </c>
      <c r="K21" s="362">
        <f t="shared" si="42"/>
        <v>7244781</v>
      </c>
      <c r="L21" s="362">
        <f t="shared" si="42"/>
        <v>146867</v>
      </c>
      <c r="M21" s="362">
        <f t="shared" si="42"/>
        <v>0</v>
      </c>
      <c r="N21" s="362">
        <f t="shared" si="42"/>
        <v>7391648</v>
      </c>
      <c r="O21" s="362">
        <f t="shared" si="42"/>
        <v>0</v>
      </c>
      <c r="P21" s="362">
        <f t="shared" si="42"/>
        <v>0</v>
      </c>
      <c r="Q21" s="362">
        <f t="shared" si="42"/>
        <v>0</v>
      </c>
      <c r="R21" s="362">
        <f t="shared" si="42"/>
        <v>0</v>
      </c>
      <c r="S21" s="362">
        <f t="shared" si="42"/>
        <v>0</v>
      </c>
      <c r="T21" s="362">
        <f t="shared" si="42"/>
        <v>0</v>
      </c>
      <c r="U21" s="362">
        <f t="shared" si="42"/>
        <v>0</v>
      </c>
      <c r="V21" s="362">
        <f t="shared" si="42"/>
        <v>0</v>
      </c>
      <c r="W21" s="362">
        <f t="shared" si="42"/>
        <v>0</v>
      </c>
      <c r="X21" s="362">
        <f t="shared" si="42"/>
        <v>0</v>
      </c>
      <c r="Y21" s="362">
        <f t="shared" si="42"/>
        <v>0</v>
      </c>
      <c r="Z21" s="362">
        <f t="shared" si="42"/>
        <v>0</v>
      </c>
      <c r="AA21" s="362">
        <f t="shared" si="42"/>
        <v>4852615</v>
      </c>
      <c r="AB21" s="362">
        <f t="shared" si="42"/>
        <v>199007</v>
      </c>
      <c r="AC21" s="362">
        <f t="shared" si="42"/>
        <v>0</v>
      </c>
      <c r="AD21" s="362">
        <f t="shared" si="42"/>
        <v>5051622</v>
      </c>
      <c r="AE21" s="362">
        <f t="shared" si="42"/>
        <v>2392166</v>
      </c>
      <c r="AF21" s="362">
        <f t="shared" si="42"/>
        <v>-52140</v>
      </c>
      <c r="AG21" s="362">
        <f t="shared" si="42"/>
        <v>0</v>
      </c>
      <c r="AH21" s="362">
        <f t="shared" si="42"/>
        <v>2340026</v>
      </c>
      <c r="AI21" s="362">
        <f t="shared" si="42"/>
        <v>7244781</v>
      </c>
      <c r="AJ21" s="362">
        <f t="shared" si="42"/>
        <v>146867</v>
      </c>
      <c r="AK21" s="362">
        <f t="shared" si="42"/>
        <v>0</v>
      </c>
      <c r="AL21" s="362">
        <f t="shared" si="42"/>
        <v>7391648</v>
      </c>
    </row>
    <row r="22" spans="1:38" ht="17.25" thickTop="1" thickBot="1" x14ac:dyDescent="0.3">
      <c r="A22" s="204" t="s">
        <v>447</v>
      </c>
      <c r="B22" s="325" t="s">
        <v>611</v>
      </c>
      <c r="C22" s="205">
        <f>+C21+C18+C14</f>
        <v>17933377</v>
      </c>
      <c r="D22" s="205">
        <f t="shared" ref="D22:AL22" si="43">+D21+D18+D14</f>
        <v>23053709</v>
      </c>
      <c r="E22" s="205">
        <f t="shared" si="43"/>
        <v>243</v>
      </c>
      <c r="F22" s="205">
        <f t="shared" si="43"/>
        <v>40987329</v>
      </c>
      <c r="G22" s="205">
        <f t="shared" si="43"/>
        <v>1090048</v>
      </c>
      <c r="H22" s="205">
        <f t="shared" si="43"/>
        <v>-6994807</v>
      </c>
      <c r="I22" s="205">
        <f t="shared" si="43"/>
        <v>0</v>
      </c>
      <c r="J22" s="205">
        <f t="shared" si="43"/>
        <v>-5904759</v>
      </c>
      <c r="K22" s="205">
        <f t="shared" si="43"/>
        <v>19023425</v>
      </c>
      <c r="L22" s="205">
        <f t="shared" si="43"/>
        <v>16058902</v>
      </c>
      <c r="M22" s="205">
        <f t="shared" si="43"/>
        <v>243</v>
      </c>
      <c r="N22" s="205">
        <f t="shared" si="43"/>
        <v>35082570</v>
      </c>
      <c r="O22" s="205">
        <f t="shared" si="43"/>
        <v>9933008</v>
      </c>
      <c r="P22" s="205">
        <f t="shared" si="43"/>
        <v>2440682</v>
      </c>
      <c r="Q22" s="205">
        <f t="shared" si="43"/>
        <v>826601</v>
      </c>
      <c r="R22" s="205">
        <f t="shared" si="43"/>
        <v>13200291</v>
      </c>
      <c r="S22" s="205">
        <f t="shared" si="43"/>
        <v>491547</v>
      </c>
      <c r="T22" s="205">
        <f t="shared" si="43"/>
        <v>122942</v>
      </c>
      <c r="U22" s="205">
        <f t="shared" si="43"/>
        <v>-450</v>
      </c>
      <c r="V22" s="205">
        <f t="shared" si="43"/>
        <v>614039</v>
      </c>
      <c r="W22" s="205">
        <f t="shared" si="43"/>
        <v>10424555</v>
      </c>
      <c r="X22" s="205">
        <f t="shared" si="43"/>
        <v>2563624</v>
      </c>
      <c r="Y22" s="205">
        <f t="shared" si="43"/>
        <v>826151</v>
      </c>
      <c r="Z22" s="205">
        <f t="shared" si="43"/>
        <v>13814330</v>
      </c>
      <c r="AA22" s="205">
        <f t="shared" si="43"/>
        <v>27866385</v>
      </c>
      <c r="AB22" s="205">
        <f t="shared" si="43"/>
        <v>25494391</v>
      </c>
      <c r="AC22" s="205">
        <f t="shared" si="43"/>
        <v>826844</v>
      </c>
      <c r="AD22" s="205">
        <f t="shared" si="43"/>
        <v>54187620</v>
      </c>
      <c r="AE22" s="205">
        <f t="shared" si="43"/>
        <v>1581595</v>
      </c>
      <c r="AF22" s="205">
        <f t="shared" si="43"/>
        <v>-6871865</v>
      </c>
      <c r="AG22" s="205">
        <f t="shared" si="43"/>
        <v>-450</v>
      </c>
      <c r="AH22" s="205">
        <f t="shared" si="43"/>
        <v>-5290720</v>
      </c>
      <c r="AI22" s="205">
        <f t="shared" si="43"/>
        <v>29447980</v>
      </c>
      <c r="AJ22" s="205">
        <f t="shared" si="43"/>
        <v>18622526</v>
      </c>
      <c r="AK22" s="205">
        <f t="shared" si="43"/>
        <v>826394</v>
      </c>
      <c r="AL22" s="205">
        <f t="shared" si="43"/>
        <v>48896900</v>
      </c>
    </row>
    <row r="23" spans="1:38" ht="16.5" thickTop="1" x14ac:dyDescent="0.25">
      <c r="A23" s="554" t="s">
        <v>697</v>
      </c>
      <c r="B23" s="555" t="s">
        <v>695</v>
      </c>
      <c r="C23" s="719">
        <v>7653057</v>
      </c>
      <c r="D23" s="719">
        <v>1551842</v>
      </c>
      <c r="E23" s="719">
        <v>755838</v>
      </c>
      <c r="F23" s="719">
        <f>SUM(C23:E23)</f>
        <v>9960737</v>
      </c>
      <c r="G23" s="719">
        <v>83766</v>
      </c>
      <c r="H23" s="719">
        <v>67753</v>
      </c>
      <c r="I23" s="719">
        <v>509</v>
      </c>
      <c r="J23" s="719">
        <f>SUM(G23:I23)</f>
        <v>152028</v>
      </c>
      <c r="K23" s="719">
        <f t="shared" ref="K23:K24" si="44">SUM(C23+G23)</f>
        <v>7736823</v>
      </c>
      <c r="L23" s="719">
        <f t="shared" ref="L23:M26" si="45">SUM(D23+H23)</f>
        <v>1619595</v>
      </c>
      <c r="M23" s="719">
        <f t="shared" si="45"/>
        <v>756347</v>
      </c>
      <c r="N23" s="719">
        <f t="shared" ref="N23:N26" si="46">SUM(K23:M23)</f>
        <v>10112765</v>
      </c>
      <c r="O23" s="719"/>
      <c r="P23" s="719"/>
      <c r="Q23" s="719"/>
      <c r="R23" s="719">
        <f>SUM(O23:Q23)</f>
        <v>0</v>
      </c>
      <c r="S23" s="719"/>
      <c r="T23" s="719"/>
      <c r="U23" s="719"/>
      <c r="V23" s="719">
        <f>SUM(S23:U23)</f>
        <v>0</v>
      </c>
      <c r="W23" s="719">
        <f t="shared" ref="W23:Y26" si="47">SUM(O23+S23)</f>
        <v>0</v>
      </c>
      <c r="X23" s="719">
        <f t="shared" si="47"/>
        <v>0</v>
      </c>
      <c r="Y23" s="719">
        <f t="shared" si="47"/>
        <v>0</v>
      </c>
      <c r="Z23" s="719">
        <f t="shared" ref="Z23:Z26" si="48">SUM(W23:Y23)</f>
        <v>0</v>
      </c>
      <c r="AA23" s="719">
        <f t="shared" ref="AA23:AL26" si="49">SUM(O23+C23)</f>
        <v>7653057</v>
      </c>
      <c r="AB23" s="719">
        <f t="shared" si="49"/>
        <v>1551842</v>
      </c>
      <c r="AC23" s="719">
        <f t="shared" si="49"/>
        <v>755838</v>
      </c>
      <c r="AD23" s="719">
        <f t="shared" si="49"/>
        <v>9960737</v>
      </c>
      <c r="AE23" s="719">
        <f t="shared" si="49"/>
        <v>83766</v>
      </c>
      <c r="AF23" s="719">
        <f t="shared" si="49"/>
        <v>67753</v>
      </c>
      <c r="AG23" s="719">
        <f t="shared" si="49"/>
        <v>509</v>
      </c>
      <c r="AH23" s="719">
        <f t="shared" si="49"/>
        <v>152028</v>
      </c>
      <c r="AI23" s="719">
        <f t="shared" si="49"/>
        <v>7736823</v>
      </c>
      <c r="AJ23" s="719">
        <f t="shared" si="49"/>
        <v>1619595</v>
      </c>
      <c r="AK23" s="719">
        <f t="shared" si="49"/>
        <v>756347</v>
      </c>
      <c r="AL23" s="719">
        <f t="shared" si="49"/>
        <v>10112765</v>
      </c>
    </row>
    <row r="24" spans="1:38" ht="31.5" x14ac:dyDescent="0.25">
      <c r="A24" s="720" t="s">
        <v>733</v>
      </c>
      <c r="B24" s="721" t="s">
        <v>696</v>
      </c>
      <c r="C24" s="722">
        <v>0</v>
      </c>
      <c r="D24" s="722">
        <v>0</v>
      </c>
      <c r="E24" s="722">
        <v>0</v>
      </c>
      <c r="F24" s="722">
        <f>SUM(C24:E24)</f>
        <v>0</v>
      </c>
      <c r="G24" s="722"/>
      <c r="H24" s="722"/>
      <c r="I24" s="722"/>
      <c r="J24" s="722">
        <f>SUM(G24:I24)</f>
        <v>0</v>
      </c>
      <c r="K24" s="722">
        <f t="shared" si="44"/>
        <v>0</v>
      </c>
      <c r="L24" s="722">
        <f t="shared" si="45"/>
        <v>0</v>
      </c>
      <c r="M24" s="722">
        <f t="shared" si="45"/>
        <v>0</v>
      </c>
      <c r="N24" s="722">
        <f t="shared" si="46"/>
        <v>0</v>
      </c>
      <c r="O24" s="722"/>
      <c r="P24" s="722"/>
      <c r="Q24" s="722"/>
      <c r="R24" s="722">
        <f>SUM(O24:Q24)</f>
        <v>0</v>
      </c>
      <c r="S24" s="722"/>
      <c r="T24" s="722"/>
      <c r="U24" s="722"/>
      <c r="V24" s="722">
        <f>SUM(S24:U24)</f>
        <v>0</v>
      </c>
      <c r="W24" s="722">
        <f t="shared" si="47"/>
        <v>0</v>
      </c>
      <c r="X24" s="722">
        <f t="shared" si="47"/>
        <v>0</v>
      </c>
      <c r="Y24" s="722">
        <f t="shared" si="47"/>
        <v>0</v>
      </c>
      <c r="Z24" s="722">
        <f t="shared" si="48"/>
        <v>0</v>
      </c>
      <c r="AA24" s="722">
        <f t="shared" si="49"/>
        <v>0</v>
      </c>
      <c r="AB24" s="722">
        <f t="shared" si="49"/>
        <v>0</v>
      </c>
      <c r="AC24" s="722">
        <f t="shared" si="49"/>
        <v>0</v>
      </c>
      <c r="AD24" s="722">
        <f t="shared" si="49"/>
        <v>0</v>
      </c>
      <c r="AE24" s="722">
        <f t="shared" si="49"/>
        <v>0</v>
      </c>
      <c r="AF24" s="722">
        <f t="shared" si="49"/>
        <v>0</v>
      </c>
      <c r="AG24" s="722">
        <f t="shared" si="49"/>
        <v>0</v>
      </c>
      <c r="AH24" s="722">
        <f t="shared" si="49"/>
        <v>0</v>
      </c>
      <c r="AI24" s="722">
        <f t="shared" si="49"/>
        <v>0</v>
      </c>
      <c r="AJ24" s="722">
        <f t="shared" si="49"/>
        <v>0</v>
      </c>
      <c r="AK24" s="722">
        <f t="shared" si="49"/>
        <v>0</v>
      </c>
      <c r="AL24" s="722">
        <f t="shared" si="49"/>
        <v>0</v>
      </c>
    </row>
    <row r="25" spans="1:38" ht="31.5" x14ac:dyDescent="0.25">
      <c r="A25" s="574" t="s">
        <v>1138</v>
      </c>
      <c r="B25" s="575" t="s">
        <v>1139</v>
      </c>
      <c r="C25" s="744">
        <v>0</v>
      </c>
      <c r="D25" s="744">
        <v>4800000</v>
      </c>
      <c r="E25" s="744">
        <v>0</v>
      </c>
      <c r="F25" s="744">
        <f>SUM(C25:E25)</f>
        <v>4800000</v>
      </c>
      <c r="G25" s="744"/>
      <c r="H25" s="744"/>
      <c r="I25" s="744"/>
      <c r="J25" s="744">
        <f>SUM(G25:I25)</f>
        <v>0</v>
      </c>
      <c r="K25" s="744">
        <f t="shared" ref="K25:K26" si="50">SUM(C25+G25)</f>
        <v>0</v>
      </c>
      <c r="L25" s="744">
        <f t="shared" si="45"/>
        <v>4800000</v>
      </c>
      <c r="M25" s="744">
        <f t="shared" si="45"/>
        <v>0</v>
      </c>
      <c r="N25" s="744">
        <f t="shared" si="46"/>
        <v>4800000</v>
      </c>
      <c r="O25" s="744"/>
      <c r="P25" s="744"/>
      <c r="Q25" s="744"/>
      <c r="R25" s="744">
        <f>SUM(O25:Q25)</f>
        <v>0</v>
      </c>
      <c r="S25" s="744"/>
      <c r="T25" s="744"/>
      <c r="U25" s="744"/>
      <c r="V25" s="744">
        <f>SUM(S25:U25)</f>
        <v>0</v>
      </c>
      <c r="W25" s="744">
        <f t="shared" si="47"/>
        <v>0</v>
      </c>
      <c r="X25" s="744">
        <f t="shared" si="47"/>
        <v>0</v>
      </c>
      <c r="Y25" s="744">
        <f t="shared" si="47"/>
        <v>0</v>
      </c>
      <c r="Z25" s="744">
        <f t="shared" si="48"/>
        <v>0</v>
      </c>
      <c r="AA25" s="744">
        <f t="shared" si="49"/>
        <v>0</v>
      </c>
      <c r="AB25" s="744">
        <f t="shared" si="49"/>
        <v>4800000</v>
      </c>
      <c r="AC25" s="744">
        <f t="shared" si="49"/>
        <v>0</v>
      </c>
      <c r="AD25" s="744">
        <f t="shared" si="49"/>
        <v>4800000</v>
      </c>
      <c r="AE25" s="744">
        <f t="shared" si="49"/>
        <v>0</v>
      </c>
      <c r="AF25" s="744">
        <f t="shared" si="49"/>
        <v>0</v>
      </c>
      <c r="AG25" s="744">
        <f t="shared" si="49"/>
        <v>0</v>
      </c>
      <c r="AH25" s="744">
        <f t="shared" si="49"/>
        <v>0</v>
      </c>
      <c r="AI25" s="744">
        <f t="shared" si="49"/>
        <v>0</v>
      </c>
      <c r="AJ25" s="744">
        <f t="shared" si="49"/>
        <v>4800000</v>
      </c>
      <c r="AK25" s="744">
        <f t="shared" si="49"/>
        <v>0</v>
      </c>
      <c r="AL25" s="744">
        <f t="shared" si="49"/>
        <v>4800000</v>
      </c>
    </row>
    <row r="26" spans="1:38" ht="32.25" thickBot="1" x14ac:dyDescent="0.3">
      <c r="A26" s="582" t="s">
        <v>1203</v>
      </c>
      <c r="B26" s="723" t="s">
        <v>1204</v>
      </c>
      <c r="C26" s="724">
        <v>129365</v>
      </c>
      <c r="D26" s="724">
        <v>0</v>
      </c>
      <c r="E26" s="724">
        <v>0</v>
      </c>
      <c r="F26" s="724">
        <f>SUM(C26:E26)</f>
        <v>129365</v>
      </c>
      <c r="G26" s="951"/>
      <c r="H26" s="724"/>
      <c r="I26" s="724"/>
      <c r="J26" s="724">
        <f>SUM(G26:I26)</f>
        <v>0</v>
      </c>
      <c r="K26" s="724">
        <f t="shared" si="50"/>
        <v>129365</v>
      </c>
      <c r="L26" s="724">
        <f t="shared" si="45"/>
        <v>0</v>
      </c>
      <c r="M26" s="724">
        <f t="shared" si="45"/>
        <v>0</v>
      </c>
      <c r="N26" s="724">
        <f t="shared" si="46"/>
        <v>129365</v>
      </c>
      <c r="O26" s="724"/>
      <c r="P26" s="724"/>
      <c r="Q26" s="724"/>
      <c r="R26" s="724">
        <f>SUM(O26:Q26)</f>
        <v>0</v>
      </c>
      <c r="S26" s="724"/>
      <c r="T26" s="724"/>
      <c r="U26" s="724"/>
      <c r="V26" s="724">
        <f>SUM(S26:U26)</f>
        <v>0</v>
      </c>
      <c r="W26" s="724">
        <f t="shared" si="47"/>
        <v>0</v>
      </c>
      <c r="X26" s="724">
        <f t="shared" si="47"/>
        <v>0</v>
      </c>
      <c r="Y26" s="724">
        <f t="shared" si="47"/>
        <v>0</v>
      </c>
      <c r="Z26" s="724">
        <f t="shared" si="48"/>
        <v>0</v>
      </c>
      <c r="AA26" s="724">
        <f t="shared" si="49"/>
        <v>129365</v>
      </c>
      <c r="AB26" s="724">
        <f t="shared" si="49"/>
        <v>0</v>
      </c>
      <c r="AC26" s="724">
        <f t="shared" si="49"/>
        <v>0</v>
      </c>
      <c r="AD26" s="724">
        <f t="shared" si="49"/>
        <v>129365</v>
      </c>
      <c r="AE26" s="724">
        <f t="shared" si="49"/>
        <v>0</v>
      </c>
      <c r="AF26" s="724">
        <f t="shared" si="49"/>
        <v>0</v>
      </c>
      <c r="AG26" s="724">
        <f t="shared" si="49"/>
        <v>0</v>
      </c>
      <c r="AH26" s="724">
        <f t="shared" si="49"/>
        <v>0</v>
      </c>
      <c r="AI26" s="724">
        <f t="shared" si="49"/>
        <v>129365</v>
      </c>
      <c r="AJ26" s="724">
        <f t="shared" si="49"/>
        <v>0</v>
      </c>
      <c r="AK26" s="724">
        <f t="shared" si="49"/>
        <v>0</v>
      </c>
      <c r="AL26" s="724">
        <f t="shared" si="49"/>
        <v>129365</v>
      </c>
    </row>
    <row r="27" spans="1:38" ht="17.25" thickTop="1" thickBot="1" x14ac:dyDescent="0.3">
      <c r="A27" s="206" t="s">
        <v>698</v>
      </c>
      <c r="B27" s="323" t="s">
        <v>448</v>
      </c>
      <c r="C27" s="434">
        <f>SUM(C23:C26)</f>
        <v>7782422</v>
      </c>
      <c r="D27" s="434">
        <f t="shared" ref="D27:E27" si="51">SUM(D23:D26)</f>
        <v>6351842</v>
      </c>
      <c r="E27" s="434">
        <f t="shared" si="51"/>
        <v>755838</v>
      </c>
      <c r="F27" s="434">
        <f>SUM(F23:F26)</f>
        <v>14890102</v>
      </c>
      <c r="G27" s="434">
        <f t="shared" ref="G27:AL27" si="52">SUM(G23:G26)</f>
        <v>83766</v>
      </c>
      <c r="H27" s="434">
        <f t="shared" si="52"/>
        <v>67753</v>
      </c>
      <c r="I27" s="434">
        <f t="shared" si="52"/>
        <v>509</v>
      </c>
      <c r="J27" s="434">
        <f t="shared" si="52"/>
        <v>152028</v>
      </c>
      <c r="K27" s="434">
        <f t="shared" si="52"/>
        <v>7866188</v>
      </c>
      <c r="L27" s="434">
        <f t="shared" si="52"/>
        <v>6419595</v>
      </c>
      <c r="M27" s="434">
        <f t="shared" si="52"/>
        <v>756347</v>
      </c>
      <c r="N27" s="434">
        <f t="shared" si="52"/>
        <v>15042130</v>
      </c>
      <c r="O27" s="434">
        <f t="shared" si="52"/>
        <v>0</v>
      </c>
      <c r="P27" s="434">
        <f t="shared" si="52"/>
        <v>0</v>
      </c>
      <c r="Q27" s="434">
        <f t="shared" si="52"/>
        <v>0</v>
      </c>
      <c r="R27" s="434">
        <f t="shared" si="52"/>
        <v>0</v>
      </c>
      <c r="S27" s="434">
        <f t="shared" si="52"/>
        <v>0</v>
      </c>
      <c r="T27" s="434">
        <f t="shared" si="52"/>
        <v>0</v>
      </c>
      <c r="U27" s="434">
        <f t="shared" si="52"/>
        <v>0</v>
      </c>
      <c r="V27" s="434">
        <f t="shared" si="52"/>
        <v>0</v>
      </c>
      <c r="W27" s="434">
        <f t="shared" si="52"/>
        <v>0</v>
      </c>
      <c r="X27" s="434">
        <f t="shared" si="52"/>
        <v>0</v>
      </c>
      <c r="Y27" s="434">
        <f t="shared" si="52"/>
        <v>0</v>
      </c>
      <c r="Z27" s="434">
        <f t="shared" si="52"/>
        <v>0</v>
      </c>
      <c r="AA27" s="434">
        <f t="shared" si="52"/>
        <v>7782422</v>
      </c>
      <c r="AB27" s="434">
        <f t="shared" si="52"/>
        <v>6351842</v>
      </c>
      <c r="AC27" s="434">
        <f t="shared" si="52"/>
        <v>755838</v>
      </c>
      <c r="AD27" s="434">
        <f t="shared" si="52"/>
        <v>14890102</v>
      </c>
      <c r="AE27" s="434">
        <f t="shared" si="52"/>
        <v>83766</v>
      </c>
      <c r="AF27" s="434">
        <f t="shared" si="52"/>
        <v>67753</v>
      </c>
      <c r="AG27" s="434">
        <f t="shared" si="52"/>
        <v>509</v>
      </c>
      <c r="AH27" s="434">
        <f t="shared" si="52"/>
        <v>152028</v>
      </c>
      <c r="AI27" s="434">
        <f t="shared" si="52"/>
        <v>7866188</v>
      </c>
      <c r="AJ27" s="434">
        <f t="shared" si="52"/>
        <v>6419595</v>
      </c>
      <c r="AK27" s="434">
        <f t="shared" si="52"/>
        <v>756347</v>
      </c>
      <c r="AL27" s="434">
        <f t="shared" si="52"/>
        <v>15042130</v>
      </c>
    </row>
    <row r="28" spans="1:38" s="352" customFormat="1" ht="17.25" thickTop="1" thickBot="1" x14ac:dyDescent="0.3">
      <c r="A28" s="485" t="s">
        <v>1063</v>
      </c>
      <c r="B28" s="486"/>
      <c r="C28" s="952"/>
      <c r="D28" s="952"/>
      <c r="E28" s="952"/>
      <c r="F28" s="952"/>
      <c r="G28" s="952"/>
      <c r="H28" s="952"/>
      <c r="I28" s="952"/>
      <c r="J28" s="952"/>
      <c r="K28" s="952"/>
      <c r="L28" s="952"/>
      <c r="M28" s="952"/>
      <c r="N28" s="952"/>
      <c r="O28" s="952"/>
      <c r="P28" s="952"/>
      <c r="Q28" s="952"/>
      <c r="R28" s="953">
        <v>2103.1799999999998</v>
      </c>
      <c r="S28" s="953"/>
      <c r="T28" s="953"/>
      <c r="U28" s="953"/>
      <c r="V28" s="953"/>
      <c r="W28" s="953"/>
      <c r="X28" s="953"/>
      <c r="Y28" s="953"/>
      <c r="Z28" s="953">
        <f>SUM(R28+V28)</f>
        <v>2103.1799999999998</v>
      </c>
      <c r="AA28" s="952"/>
      <c r="AB28" s="952"/>
      <c r="AC28" s="952"/>
      <c r="AD28" s="953">
        <f>SUM(R28)</f>
        <v>2103.1799999999998</v>
      </c>
      <c r="AE28" s="952"/>
      <c r="AF28" s="952"/>
      <c r="AG28" s="952"/>
      <c r="AH28" s="953">
        <f>SUM(V28)</f>
        <v>0</v>
      </c>
      <c r="AI28" s="952"/>
      <c r="AJ28" s="952"/>
      <c r="AK28" s="952"/>
      <c r="AL28" s="953">
        <f t="shared" ref="AL28" si="53">SUM(Z28)</f>
        <v>2103.1799999999998</v>
      </c>
    </row>
    <row r="29" spans="1:38" ht="16.5" thickTop="1" x14ac:dyDescent="0.25">
      <c r="A29" s="208"/>
      <c r="B29" s="208"/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B29" s="186"/>
      <c r="AC29" s="186"/>
      <c r="AD29" s="186"/>
      <c r="AE29" s="186"/>
      <c r="AF29" s="186"/>
      <c r="AG29" s="186"/>
      <c r="AH29" s="186"/>
      <c r="AI29" s="186"/>
      <c r="AJ29" s="186"/>
      <c r="AK29" s="186"/>
      <c r="AL29" s="186"/>
    </row>
    <row r="30" spans="1:38" x14ac:dyDescent="0.25">
      <c r="A30" s="208"/>
      <c r="B30" s="208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</row>
    <row r="31" spans="1:38" x14ac:dyDescent="0.25">
      <c r="A31" s="208"/>
      <c r="B31" s="208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6"/>
      <c r="AH31" s="186"/>
      <c r="AI31" s="186"/>
      <c r="AJ31" s="186"/>
      <c r="AK31" s="186"/>
      <c r="AL31" s="186"/>
    </row>
    <row r="32" spans="1:38" x14ac:dyDescent="0.25">
      <c r="A32" s="208"/>
      <c r="B32" s="208"/>
      <c r="C32" s="186"/>
      <c r="D32" s="186"/>
      <c r="E32" s="186"/>
      <c r="F32" s="186"/>
      <c r="G32" s="186"/>
      <c r="H32" s="186"/>
      <c r="I32" s="186"/>
      <c r="J32" s="186"/>
      <c r="K32" s="186"/>
      <c r="L32" s="186"/>
      <c r="M32" s="186"/>
      <c r="N32" s="186"/>
      <c r="O32" s="186"/>
      <c r="P32" s="186"/>
      <c r="Q32" s="186"/>
      <c r="R32" s="186"/>
      <c r="S32" s="186"/>
      <c r="T32" s="186"/>
      <c r="U32" s="186"/>
      <c r="V32" s="186"/>
      <c r="W32" s="186"/>
      <c r="X32" s="186"/>
      <c r="Y32" s="186"/>
      <c r="Z32" s="186"/>
      <c r="AA32" s="186"/>
      <c r="AB32" s="186"/>
      <c r="AC32" s="186"/>
      <c r="AD32" s="186"/>
      <c r="AE32" s="186"/>
      <c r="AF32" s="186"/>
      <c r="AG32" s="186"/>
      <c r="AH32" s="186"/>
      <c r="AI32" s="186"/>
      <c r="AJ32" s="186"/>
      <c r="AK32" s="186"/>
      <c r="AL32" s="186"/>
    </row>
    <row r="33" spans="1:38" x14ac:dyDescent="0.25">
      <c r="A33" s="208"/>
      <c r="B33" s="208"/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  <c r="AA33" s="186"/>
      <c r="AB33" s="186"/>
      <c r="AC33" s="186"/>
      <c r="AD33" s="186"/>
      <c r="AE33" s="186"/>
      <c r="AF33" s="186"/>
      <c r="AG33" s="186"/>
      <c r="AH33" s="186"/>
      <c r="AI33" s="186"/>
      <c r="AJ33" s="186"/>
      <c r="AK33" s="186"/>
      <c r="AL33" s="186"/>
    </row>
    <row r="34" spans="1:38" x14ac:dyDescent="0.25">
      <c r="A34" s="208"/>
      <c r="B34" s="208"/>
      <c r="C34" s="186"/>
      <c r="D34" s="186"/>
      <c r="E34" s="186"/>
      <c r="F34" s="186"/>
      <c r="G34" s="186"/>
      <c r="H34" s="186"/>
      <c r="I34" s="186"/>
      <c r="J34" s="186"/>
      <c r="K34" s="186"/>
      <c r="L34" s="186"/>
      <c r="M34" s="186"/>
      <c r="N34" s="186"/>
      <c r="O34" s="186"/>
      <c r="P34" s="186"/>
      <c r="Q34" s="186"/>
      <c r="R34" s="186"/>
      <c r="S34" s="186"/>
      <c r="T34" s="186"/>
      <c r="U34" s="186"/>
      <c r="V34" s="186"/>
      <c r="W34" s="186"/>
      <c r="X34" s="186"/>
      <c r="Y34" s="186"/>
      <c r="Z34" s="186"/>
      <c r="AA34" s="186"/>
      <c r="AB34" s="186"/>
      <c r="AC34" s="186"/>
      <c r="AD34" s="186"/>
      <c r="AE34" s="186"/>
      <c r="AF34" s="186"/>
      <c r="AG34" s="186"/>
      <c r="AH34" s="186"/>
      <c r="AI34" s="186"/>
      <c r="AJ34" s="186"/>
      <c r="AK34" s="186"/>
      <c r="AL34" s="186"/>
    </row>
    <row r="35" spans="1:38" x14ac:dyDescent="0.25">
      <c r="A35" s="208"/>
      <c r="B35" s="208"/>
      <c r="C35" s="186"/>
      <c r="D35" s="186"/>
      <c r="E35" s="186"/>
      <c r="F35" s="186"/>
      <c r="G35" s="186"/>
      <c r="H35" s="186"/>
      <c r="I35" s="186"/>
      <c r="J35" s="186"/>
      <c r="K35" s="186"/>
      <c r="L35" s="186"/>
      <c r="M35" s="186"/>
      <c r="N35" s="186"/>
      <c r="O35" s="186"/>
      <c r="P35" s="186"/>
      <c r="Q35" s="186"/>
      <c r="R35" s="186"/>
      <c r="S35" s="186"/>
      <c r="T35" s="186"/>
      <c r="U35" s="186"/>
      <c r="V35" s="186"/>
      <c r="W35" s="186"/>
      <c r="X35" s="186"/>
      <c r="Y35" s="186"/>
      <c r="Z35" s="186"/>
      <c r="AA35" s="186"/>
      <c r="AB35" s="186"/>
      <c r="AC35" s="186"/>
      <c r="AD35" s="186"/>
      <c r="AE35" s="186"/>
      <c r="AF35" s="186"/>
      <c r="AG35" s="186"/>
      <c r="AH35" s="186"/>
      <c r="AI35" s="186"/>
      <c r="AJ35" s="186"/>
      <c r="AK35" s="186"/>
      <c r="AL35" s="186"/>
    </row>
    <row r="36" spans="1:38" x14ac:dyDescent="0.25">
      <c r="A36" s="208"/>
      <c r="B36" s="208"/>
      <c r="C36" s="186"/>
      <c r="D36" s="186"/>
      <c r="E36" s="186"/>
      <c r="F36" s="186"/>
      <c r="G36" s="186"/>
      <c r="H36" s="186"/>
      <c r="I36" s="186"/>
      <c r="J36" s="186"/>
      <c r="K36" s="186"/>
      <c r="L36" s="186"/>
      <c r="M36" s="186"/>
      <c r="N36" s="186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B36" s="186"/>
      <c r="AC36" s="186"/>
      <c r="AD36" s="186"/>
      <c r="AE36" s="186"/>
      <c r="AF36" s="186"/>
      <c r="AG36" s="186"/>
      <c r="AH36" s="186"/>
      <c r="AI36" s="186"/>
      <c r="AJ36" s="186"/>
      <c r="AK36" s="186"/>
      <c r="AL36" s="186"/>
    </row>
    <row r="37" spans="1:38" x14ac:dyDescent="0.25">
      <c r="A37" s="208"/>
      <c r="B37" s="208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6"/>
      <c r="W37" s="186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  <c r="AI37" s="186"/>
      <c r="AJ37" s="186"/>
      <c r="AK37" s="186"/>
      <c r="AL37" s="186"/>
    </row>
    <row r="38" spans="1:38" x14ac:dyDescent="0.25">
      <c r="A38" s="208"/>
      <c r="B38" s="208"/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  <c r="W38" s="186"/>
      <c r="X38" s="186"/>
      <c r="Y38" s="186"/>
      <c r="Z38" s="186"/>
      <c r="AA38" s="186"/>
      <c r="AB38" s="186"/>
      <c r="AC38" s="186"/>
      <c r="AD38" s="186"/>
      <c r="AE38" s="186"/>
      <c r="AF38" s="186"/>
      <c r="AG38" s="186"/>
      <c r="AH38" s="186"/>
      <c r="AI38" s="186"/>
      <c r="AJ38" s="186"/>
      <c r="AK38" s="186"/>
      <c r="AL38" s="186"/>
    </row>
    <row r="39" spans="1:38" x14ac:dyDescent="0.25">
      <c r="A39" s="161"/>
      <c r="B39" s="161"/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</row>
  </sheetData>
  <mergeCells count="21">
    <mergeCell ref="AI8:AL8"/>
    <mergeCell ref="B3:N3"/>
    <mergeCell ref="O3:Z3"/>
    <mergeCell ref="AA3:AL3"/>
    <mergeCell ref="C5:N5"/>
    <mergeCell ref="AA5:AL5"/>
    <mergeCell ref="C6:F6"/>
    <mergeCell ref="AA6:AD6"/>
    <mergeCell ref="AE6:AH6"/>
    <mergeCell ref="AI6:AL6"/>
    <mergeCell ref="O8:R8"/>
    <mergeCell ref="S8:V8"/>
    <mergeCell ref="W8:Z8"/>
    <mergeCell ref="AA8:AD8"/>
    <mergeCell ref="AE8:AH8"/>
    <mergeCell ref="B1:N1"/>
    <mergeCell ref="O1:Z1"/>
    <mergeCell ref="AA1:AL1"/>
    <mergeCell ref="B2:N2"/>
    <mergeCell ref="O2:Z2"/>
    <mergeCell ref="AA2:AL2"/>
  </mergeCells>
  <pageMargins left="0.31496062992125984" right="0.27559055118110237" top="0.94488188976377963" bottom="0.39370078740157483" header="0.43307086614173229" footer="0.19685039370078741"/>
  <pageSetup paperSize="9" scale="61" orientation="landscape" r:id="rId1"/>
  <headerFooter alignWithMargins="0">
    <oddHeader>&amp;R&amp;"Times New Roman CE,Dőlt"&amp;10 2. melléklet
 a 3/2016.(II.12.) önkormányzati rendelethez&amp;X2</oddHeader>
    <oddFooter>&amp;L&amp;X2&amp;XMódosította a 6/2017.(II.24.) önkormányzati rendelet 4.§ (2) bekezdése, hatályos 2017. február 24. 12 órától&amp;C&amp;P. oldal</oddFooter>
  </headerFooter>
  <colBreaks count="1" manualBreakCount="1">
    <brk id="26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8"/>
  <sheetViews>
    <sheetView topLeftCell="A4" zoomScaleNormal="100" workbookViewId="0">
      <pane xSplit="3" ySplit="5" topLeftCell="H18" activePane="bottomRight" state="frozen"/>
      <selection activeCell="AH33" sqref="AH33"/>
      <selection pane="topRight" activeCell="AH33" sqref="AH33"/>
      <selection pane="bottomLeft" activeCell="AH33" sqref="AH33"/>
      <selection pane="bottomRight" activeCell="N23" sqref="N23"/>
    </sheetView>
  </sheetViews>
  <sheetFormatPr defaultRowHeight="12.75" x14ac:dyDescent="0.2"/>
  <cols>
    <col min="1" max="1" width="4.375" style="91" customWidth="1"/>
    <col min="2" max="2" width="26" style="92" customWidth="1"/>
    <col min="3" max="3" width="14.25" style="395" customWidth="1"/>
    <col min="4" max="4" width="7.5" style="91" customWidth="1"/>
    <col min="5" max="5" width="8.625" style="91" customWidth="1"/>
    <col min="6" max="6" width="8.125" style="91" customWidth="1"/>
    <col min="7" max="7" width="8.625" style="91" customWidth="1"/>
    <col min="8" max="8" width="9" style="91" customWidth="1"/>
    <col min="9" max="9" width="7.5" style="91" customWidth="1"/>
    <col min="10" max="10" width="8.625" style="91" customWidth="1"/>
    <col min="11" max="11" width="8.125" style="91" customWidth="1"/>
    <col min="12" max="12" width="9.375" style="91" customWidth="1"/>
    <col min="13" max="13" width="9" style="91" customWidth="1"/>
    <col min="14" max="14" width="7.5" style="91" customWidth="1"/>
    <col min="15" max="15" width="8.625" style="91" customWidth="1"/>
    <col min="16" max="16" width="8.125" style="91" customWidth="1"/>
    <col min="17" max="17" width="6.5" style="91" customWidth="1"/>
    <col min="18" max="18" width="9" style="91" customWidth="1"/>
    <col min="19" max="21" width="14.25" style="91" customWidth="1"/>
    <col min="22" max="16384" width="9" style="91"/>
  </cols>
  <sheetData>
    <row r="2" spans="1:21" x14ac:dyDescent="0.2">
      <c r="S2" s="348"/>
      <c r="T2" s="348"/>
      <c r="U2" s="348"/>
    </row>
    <row r="3" spans="1:21" ht="15.75" x14ac:dyDescent="0.25">
      <c r="A3" s="1300" t="s">
        <v>72</v>
      </c>
      <c r="B3" s="1300"/>
      <c r="C3" s="1300"/>
      <c r="D3" s="1300"/>
      <c r="E3" s="1300"/>
      <c r="F3" s="1300"/>
      <c r="G3" s="1300"/>
      <c r="H3" s="1300"/>
      <c r="I3" s="1300"/>
      <c r="J3" s="1300"/>
      <c r="K3" s="1300"/>
      <c r="L3" s="1300"/>
      <c r="M3" s="1300"/>
      <c r="N3" s="1300"/>
      <c r="O3" s="1300"/>
      <c r="P3" s="1300"/>
      <c r="Q3" s="1300"/>
      <c r="R3" s="1300"/>
      <c r="S3" s="1300"/>
      <c r="T3" s="1300"/>
      <c r="U3" s="1300"/>
    </row>
    <row r="4" spans="1:21" ht="15.75" x14ac:dyDescent="0.25">
      <c r="A4" s="1300" t="s">
        <v>986</v>
      </c>
      <c r="B4" s="1300"/>
      <c r="C4" s="1300"/>
      <c r="D4" s="1300"/>
      <c r="E4" s="1300"/>
      <c r="F4" s="1300"/>
      <c r="G4" s="1300"/>
      <c r="H4" s="1300"/>
      <c r="I4" s="1300"/>
      <c r="J4" s="1300"/>
      <c r="K4" s="1300"/>
      <c r="L4" s="1300"/>
      <c r="M4" s="1300"/>
      <c r="N4" s="1300"/>
      <c r="O4" s="1300"/>
      <c r="P4" s="1300"/>
      <c r="Q4" s="1300"/>
      <c r="R4" s="1300"/>
      <c r="S4" s="1300"/>
      <c r="T4" s="1300"/>
      <c r="U4" s="1300"/>
    </row>
    <row r="5" spans="1:21" ht="13.5" thickBot="1" x14ac:dyDescent="0.25"/>
    <row r="6" spans="1:21" s="93" customFormat="1" ht="13.5" thickBot="1" x14ac:dyDescent="0.25">
      <c r="A6" s="1301" t="s">
        <v>310</v>
      </c>
      <c r="B6" s="1304" t="s">
        <v>839</v>
      </c>
      <c r="C6" s="1307" t="s">
        <v>73</v>
      </c>
      <c r="D6" s="1310" t="s">
        <v>250</v>
      </c>
      <c r="E6" s="1310"/>
      <c r="F6" s="1310"/>
      <c r="G6" s="1310"/>
      <c r="H6" s="1310"/>
      <c r="I6" s="1311" t="s">
        <v>618</v>
      </c>
      <c r="J6" s="1311"/>
      <c r="K6" s="1311"/>
      <c r="L6" s="1311"/>
      <c r="M6" s="1311"/>
      <c r="N6" s="1310" t="s">
        <v>812</v>
      </c>
      <c r="O6" s="1310"/>
      <c r="P6" s="1310"/>
      <c r="Q6" s="1310"/>
      <c r="R6" s="1310"/>
      <c r="S6" s="1301" t="s">
        <v>250</v>
      </c>
      <c r="T6" s="1301" t="s">
        <v>618</v>
      </c>
      <c r="U6" s="1301" t="s">
        <v>812</v>
      </c>
    </row>
    <row r="7" spans="1:21" s="93" customFormat="1" ht="27" customHeight="1" thickBot="1" x14ac:dyDescent="0.25">
      <c r="A7" s="1302"/>
      <c r="B7" s="1305"/>
      <c r="C7" s="1308"/>
      <c r="D7" s="1312" t="s">
        <v>74</v>
      </c>
      <c r="E7" s="1312"/>
      <c r="F7" s="1310" t="s">
        <v>75</v>
      </c>
      <c r="G7" s="1310"/>
      <c r="H7" s="1310"/>
      <c r="I7" s="1312" t="s">
        <v>74</v>
      </c>
      <c r="J7" s="1312"/>
      <c r="K7" s="1310" t="s">
        <v>75</v>
      </c>
      <c r="L7" s="1310"/>
      <c r="M7" s="1310"/>
      <c r="N7" s="1312" t="s">
        <v>74</v>
      </c>
      <c r="O7" s="1312"/>
      <c r="P7" s="1310" t="s">
        <v>75</v>
      </c>
      <c r="Q7" s="1310"/>
      <c r="R7" s="1310"/>
      <c r="S7" s="1303"/>
      <c r="T7" s="1303"/>
      <c r="U7" s="1303"/>
    </row>
    <row r="8" spans="1:21" s="94" customFormat="1" ht="45.75" customHeight="1" thickBot="1" x14ac:dyDescent="0.25">
      <c r="A8" s="1303"/>
      <c r="B8" s="1306"/>
      <c r="C8" s="1309"/>
      <c r="D8" s="1148" t="s">
        <v>76</v>
      </c>
      <c r="E8" s="1148" t="s">
        <v>270</v>
      </c>
      <c r="F8" s="1148" t="s">
        <v>77</v>
      </c>
      <c r="G8" s="1148" t="s">
        <v>78</v>
      </c>
      <c r="H8" s="1148" t="s">
        <v>270</v>
      </c>
      <c r="I8" s="1148" t="s">
        <v>76</v>
      </c>
      <c r="J8" s="1148" t="s">
        <v>270</v>
      </c>
      <c r="K8" s="1148" t="s">
        <v>77</v>
      </c>
      <c r="L8" s="1148" t="s">
        <v>78</v>
      </c>
      <c r="M8" s="1148" t="s">
        <v>270</v>
      </c>
      <c r="N8" s="1148" t="s">
        <v>76</v>
      </c>
      <c r="O8" s="1148" t="s">
        <v>270</v>
      </c>
      <c r="P8" s="1148" t="s">
        <v>77</v>
      </c>
      <c r="Q8" s="1148" t="s">
        <v>78</v>
      </c>
      <c r="R8" s="1148" t="s">
        <v>270</v>
      </c>
      <c r="S8" s="375" t="s">
        <v>252</v>
      </c>
      <c r="T8" s="375" t="s">
        <v>252</v>
      </c>
      <c r="U8" s="375" t="s">
        <v>252</v>
      </c>
    </row>
    <row r="9" spans="1:21" ht="25.5" x14ac:dyDescent="0.2">
      <c r="A9" s="1217" t="s">
        <v>318</v>
      </c>
      <c r="B9" s="95" t="s">
        <v>80</v>
      </c>
      <c r="C9" s="396" t="s">
        <v>814</v>
      </c>
      <c r="D9" s="1218">
        <v>317</v>
      </c>
      <c r="E9" s="1068">
        <f t="shared" ref="E9:E15" si="0">SUM(D9:D9)</f>
        <v>317</v>
      </c>
      <c r="F9" s="1068">
        <v>0</v>
      </c>
      <c r="G9" s="1068">
        <v>0</v>
      </c>
      <c r="H9" s="1069">
        <f t="shared" ref="H9:H15" si="1">SUM(F9:G9)</f>
        <v>0</v>
      </c>
      <c r="I9" s="1218"/>
      <c r="J9" s="1068">
        <f t="shared" ref="J9:J15" si="2">SUM(I9:I9)</f>
        <v>0</v>
      </c>
      <c r="K9" s="1068"/>
      <c r="L9" s="1068"/>
      <c r="M9" s="1069">
        <f t="shared" ref="M9:M15" si="3">SUM(K9:L9)</f>
        <v>0</v>
      </c>
      <c r="N9" s="96"/>
      <c r="O9" s="97">
        <f t="shared" ref="O9:O15" si="4">SUM(N9:N9)</f>
        <v>0</v>
      </c>
      <c r="P9" s="97"/>
      <c r="Q9" s="97"/>
      <c r="R9" s="98">
        <f t="shared" ref="R9:R15" si="5">SUM(P9:Q9)</f>
        <v>0</v>
      </c>
      <c r="S9" s="517">
        <f t="shared" ref="S9:S15" si="6">SUM(E9+H9)</f>
        <v>317</v>
      </c>
      <c r="T9" s="517">
        <f t="shared" ref="T9:T34" si="7">SUM(J9+M9)</f>
        <v>0</v>
      </c>
      <c r="U9" s="517">
        <f t="shared" ref="U9:U34" si="8">SUM(O9+R9)</f>
        <v>0</v>
      </c>
    </row>
    <row r="10" spans="1:21" ht="25.5" x14ac:dyDescent="0.2">
      <c r="A10" s="1217" t="s">
        <v>319</v>
      </c>
      <c r="B10" s="95" t="s">
        <v>81</v>
      </c>
      <c r="C10" s="396" t="s">
        <v>814</v>
      </c>
      <c r="D10" s="1218">
        <v>305</v>
      </c>
      <c r="E10" s="1068">
        <f t="shared" si="0"/>
        <v>305</v>
      </c>
      <c r="F10" s="1068">
        <v>0</v>
      </c>
      <c r="G10" s="1068">
        <v>0</v>
      </c>
      <c r="H10" s="1069">
        <f t="shared" si="1"/>
        <v>0</v>
      </c>
      <c r="I10" s="1218"/>
      <c r="J10" s="1068">
        <f t="shared" si="2"/>
        <v>0</v>
      </c>
      <c r="K10" s="1068"/>
      <c r="L10" s="1068"/>
      <c r="M10" s="1069">
        <f t="shared" si="3"/>
        <v>0</v>
      </c>
      <c r="N10" s="96"/>
      <c r="O10" s="97">
        <f t="shared" si="4"/>
        <v>0</v>
      </c>
      <c r="P10" s="97"/>
      <c r="Q10" s="97"/>
      <c r="R10" s="98">
        <f t="shared" si="5"/>
        <v>0</v>
      </c>
      <c r="S10" s="517">
        <f t="shared" si="6"/>
        <v>305</v>
      </c>
      <c r="T10" s="517">
        <f t="shared" si="7"/>
        <v>0</v>
      </c>
      <c r="U10" s="517">
        <f t="shared" si="8"/>
        <v>0</v>
      </c>
    </row>
    <row r="11" spans="1:21" ht="25.5" x14ac:dyDescent="0.2">
      <c r="A11" s="1219" t="s">
        <v>323</v>
      </c>
      <c r="B11" s="658" t="s">
        <v>723</v>
      </c>
      <c r="C11" s="396" t="s">
        <v>814</v>
      </c>
      <c r="D11" s="1067">
        <v>17618</v>
      </c>
      <c r="E11" s="1068">
        <f t="shared" si="0"/>
        <v>17618</v>
      </c>
      <c r="F11" s="1067">
        <v>0</v>
      </c>
      <c r="G11" s="1067">
        <v>0</v>
      </c>
      <c r="H11" s="1069">
        <f t="shared" si="1"/>
        <v>0</v>
      </c>
      <c r="I11" s="1067"/>
      <c r="J11" s="1068">
        <f t="shared" si="2"/>
        <v>0</v>
      </c>
      <c r="K11" s="1067"/>
      <c r="L11" s="1067"/>
      <c r="M11" s="1069">
        <f t="shared" si="3"/>
        <v>0</v>
      </c>
      <c r="N11" s="660"/>
      <c r="O11" s="97">
        <f t="shared" si="4"/>
        <v>0</v>
      </c>
      <c r="P11" s="660"/>
      <c r="Q11" s="660"/>
      <c r="R11" s="98">
        <f t="shared" si="5"/>
        <v>0</v>
      </c>
      <c r="S11" s="517">
        <f t="shared" si="6"/>
        <v>17618</v>
      </c>
      <c r="T11" s="517">
        <f t="shared" si="7"/>
        <v>0</v>
      </c>
      <c r="U11" s="517">
        <f t="shared" si="8"/>
        <v>0</v>
      </c>
    </row>
    <row r="12" spans="1:21" ht="25.5" x14ac:dyDescent="0.2">
      <c r="A12" s="1219" t="s">
        <v>326</v>
      </c>
      <c r="B12" s="658" t="s">
        <v>987</v>
      </c>
      <c r="C12" s="396" t="s">
        <v>814</v>
      </c>
      <c r="D12" s="1067">
        <v>524</v>
      </c>
      <c r="E12" s="1068">
        <f t="shared" si="0"/>
        <v>524</v>
      </c>
      <c r="F12" s="1067">
        <v>0</v>
      </c>
      <c r="G12" s="1067">
        <v>0</v>
      </c>
      <c r="H12" s="1069">
        <f t="shared" si="1"/>
        <v>0</v>
      </c>
      <c r="I12" s="1067"/>
      <c r="J12" s="1068">
        <f t="shared" si="2"/>
        <v>0</v>
      </c>
      <c r="K12" s="1067"/>
      <c r="L12" s="1067"/>
      <c r="M12" s="1069">
        <f t="shared" si="3"/>
        <v>0</v>
      </c>
      <c r="N12" s="660"/>
      <c r="O12" s="97">
        <f t="shared" si="4"/>
        <v>0</v>
      </c>
      <c r="P12" s="660"/>
      <c r="Q12" s="660"/>
      <c r="R12" s="98">
        <f t="shared" si="5"/>
        <v>0</v>
      </c>
      <c r="S12" s="517">
        <f t="shared" si="6"/>
        <v>524</v>
      </c>
      <c r="T12" s="517">
        <f t="shared" si="7"/>
        <v>0</v>
      </c>
      <c r="U12" s="517">
        <f t="shared" si="8"/>
        <v>0</v>
      </c>
    </row>
    <row r="13" spans="1:21" ht="51" x14ac:dyDescent="0.2">
      <c r="A13" s="1217" t="s">
        <v>330</v>
      </c>
      <c r="B13" s="658" t="s">
        <v>988</v>
      </c>
      <c r="C13" s="659" t="s">
        <v>79</v>
      </c>
      <c r="D13" s="1067">
        <v>681</v>
      </c>
      <c r="E13" s="1068">
        <f t="shared" si="0"/>
        <v>681</v>
      </c>
      <c r="F13" s="1067">
        <v>0</v>
      </c>
      <c r="G13" s="1067">
        <v>12940</v>
      </c>
      <c r="H13" s="1069">
        <f t="shared" si="1"/>
        <v>12940</v>
      </c>
      <c r="I13" s="1067"/>
      <c r="J13" s="1068">
        <f t="shared" si="2"/>
        <v>0</v>
      </c>
      <c r="K13" s="1067"/>
      <c r="L13" s="1067"/>
      <c r="M13" s="1069">
        <f t="shared" si="3"/>
        <v>0</v>
      </c>
      <c r="N13" s="660"/>
      <c r="O13" s="97">
        <f t="shared" si="4"/>
        <v>0</v>
      </c>
      <c r="P13" s="660"/>
      <c r="Q13" s="660"/>
      <c r="R13" s="98">
        <f t="shared" si="5"/>
        <v>0</v>
      </c>
      <c r="S13" s="517">
        <f t="shared" si="6"/>
        <v>13621</v>
      </c>
      <c r="T13" s="517">
        <f t="shared" si="7"/>
        <v>0</v>
      </c>
      <c r="U13" s="517">
        <f t="shared" si="8"/>
        <v>0</v>
      </c>
    </row>
    <row r="14" spans="1:21" ht="76.5" x14ac:dyDescent="0.2">
      <c r="A14" s="1217" t="s">
        <v>334</v>
      </c>
      <c r="B14" s="658" t="s">
        <v>1087</v>
      </c>
      <c r="C14" s="659" t="s">
        <v>79</v>
      </c>
      <c r="D14" s="1067">
        <f>384169</f>
        <v>384169</v>
      </c>
      <c r="E14" s="1068">
        <f t="shared" si="0"/>
        <v>384169</v>
      </c>
      <c r="F14" s="1067">
        <v>0</v>
      </c>
      <c r="G14" s="1067">
        <f>8567250-7813619</f>
        <v>753631</v>
      </c>
      <c r="H14" s="1069">
        <f t="shared" si="1"/>
        <v>753631</v>
      </c>
      <c r="I14" s="1067">
        <v>0</v>
      </c>
      <c r="J14" s="1068">
        <f t="shared" si="2"/>
        <v>0</v>
      </c>
      <c r="K14" s="1067"/>
      <c r="L14" s="1067">
        <v>13067552</v>
      </c>
      <c r="M14" s="1069">
        <f t="shared" si="3"/>
        <v>13067552</v>
      </c>
      <c r="N14" s="660"/>
      <c r="O14" s="97">
        <f t="shared" si="4"/>
        <v>0</v>
      </c>
      <c r="P14" s="660"/>
      <c r="Q14" s="660"/>
      <c r="R14" s="98">
        <f t="shared" si="5"/>
        <v>0</v>
      </c>
      <c r="S14" s="517">
        <f t="shared" si="6"/>
        <v>1137800</v>
      </c>
      <c r="T14" s="517">
        <f t="shared" si="7"/>
        <v>13067552</v>
      </c>
      <c r="U14" s="517">
        <f t="shared" si="8"/>
        <v>0</v>
      </c>
    </row>
    <row r="15" spans="1:21" ht="76.5" x14ac:dyDescent="0.2">
      <c r="A15" s="1219" t="s">
        <v>338</v>
      </c>
      <c r="B15" s="658" t="s">
        <v>933</v>
      </c>
      <c r="C15" s="659" t="s">
        <v>79</v>
      </c>
      <c r="D15" s="1067">
        <f>+-16533+16533+299002</f>
        <v>299002</v>
      </c>
      <c r="E15" s="1068">
        <f t="shared" si="0"/>
        <v>299002</v>
      </c>
      <c r="F15" s="1067"/>
      <c r="G15" s="1067">
        <f>2850000-2850000</f>
        <v>0</v>
      </c>
      <c r="H15" s="1069">
        <f t="shared" si="1"/>
        <v>0</v>
      </c>
      <c r="I15" s="1067">
        <f>-299002</f>
        <v>-299002</v>
      </c>
      <c r="J15" s="1068">
        <f t="shared" si="2"/>
        <v>-299002</v>
      </c>
      <c r="K15" s="1067"/>
      <c r="L15" s="1067">
        <v>3784417</v>
      </c>
      <c r="M15" s="1069">
        <f t="shared" si="3"/>
        <v>3784417</v>
      </c>
      <c r="N15" s="660"/>
      <c r="O15" s="97">
        <f t="shared" si="4"/>
        <v>0</v>
      </c>
      <c r="P15" s="660"/>
      <c r="Q15" s="660"/>
      <c r="R15" s="98">
        <f t="shared" si="5"/>
        <v>0</v>
      </c>
      <c r="S15" s="517">
        <f t="shared" si="6"/>
        <v>299002</v>
      </c>
      <c r="T15" s="517">
        <f t="shared" si="7"/>
        <v>3485415</v>
      </c>
      <c r="U15" s="517">
        <f t="shared" si="8"/>
        <v>0</v>
      </c>
    </row>
    <row r="16" spans="1:21" ht="38.25" x14ac:dyDescent="0.2">
      <c r="A16" s="1219" t="s">
        <v>341</v>
      </c>
      <c r="B16" s="658" t="s">
        <v>1312</v>
      </c>
      <c r="C16" s="659" t="s">
        <v>79</v>
      </c>
      <c r="D16" s="1067">
        <v>0</v>
      </c>
      <c r="E16" s="1068">
        <f>SUM(D16:D16)</f>
        <v>0</v>
      </c>
      <c r="F16" s="1067">
        <f>58991-31991</f>
        <v>27000</v>
      </c>
      <c r="G16" s="1067"/>
      <c r="H16" s="1069">
        <f>SUM(F16:G16)</f>
        <v>27000</v>
      </c>
      <c r="I16" s="1067"/>
      <c r="J16" s="1068">
        <f t="shared" ref="J16:J34" si="9">SUM(I16:I16)</f>
        <v>0</v>
      </c>
      <c r="K16" s="1067">
        <v>31991</v>
      </c>
      <c r="L16" s="1067"/>
      <c r="M16" s="1069">
        <f t="shared" ref="M16:M34" si="10">SUM(K16:L16)</f>
        <v>31991</v>
      </c>
      <c r="N16" s="660"/>
      <c r="O16" s="97">
        <f t="shared" ref="O16:O34" si="11">SUM(N16:N16)</f>
        <v>0</v>
      </c>
      <c r="P16" s="660"/>
      <c r="Q16" s="660"/>
      <c r="R16" s="98">
        <f t="shared" ref="R16:R34" si="12">SUM(P16:Q16)</f>
        <v>0</v>
      </c>
      <c r="S16" s="517">
        <f t="shared" ref="S16:S34" si="13">SUM(E16+H16)</f>
        <v>27000</v>
      </c>
      <c r="T16" s="517">
        <f t="shared" si="7"/>
        <v>31991</v>
      </c>
      <c r="U16" s="517">
        <f t="shared" si="8"/>
        <v>0</v>
      </c>
    </row>
    <row r="17" spans="1:21" s="1071" customFormat="1" ht="51" x14ac:dyDescent="0.2">
      <c r="A17" s="1217" t="s">
        <v>344</v>
      </c>
      <c r="B17" s="658" t="s">
        <v>944</v>
      </c>
      <c r="C17" s="659" t="s">
        <v>79</v>
      </c>
      <c r="D17" s="1067">
        <f>222250+30000+100090+12867</f>
        <v>365207</v>
      </c>
      <c r="E17" s="1068">
        <f t="shared" ref="E17:E34" si="14">SUM(D17:D17)</f>
        <v>365207</v>
      </c>
      <c r="F17" s="1067">
        <v>0</v>
      </c>
      <c r="G17" s="1067">
        <f>286740-286740</f>
        <v>0</v>
      </c>
      <c r="H17" s="1069">
        <f t="shared" ref="H17:H34" si="15">SUM(F17:G17)</f>
        <v>0</v>
      </c>
      <c r="I17" s="1067">
        <v>-112987</v>
      </c>
      <c r="J17" s="1068">
        <f t="shared" si="9"/>
        <v>-112987</v>
      </c>
      <c r="K17" s="1067"/>
      <c r="L17" s="1067">
        <v>508999</v>
      </c>
      <c r="M17" s="1069">
        <f t="shared" si="10"/>
        <v>508999</v>
      </c>
      <c r="N17" s="1067"/>
      <c r="O17" s="1068">
        <f t="shared" si="11"/>
        <v>0</v>
      </c>
      <c r="P17" s="1067"/>
      <c r="Q17" s="1067"/>
      <c r="R17" s="1069">
        <f t="shared" si="12"/>
        <v>0</v>
      </c>
      <c r="S17" s="1070">
        <f t="shared" si="13"/>
        <v>365207</v>
      </c>
      <c r="T17" s="1070">
        <f t="shared" si="7"/>
        <v>396012</v>
      </c>
      <c r="U17" s="1070">
        <f t="shared" si="8"/>
        <v>0</v>
      </c>
    </row>
    <row r="18" spans="1:21" ht="25.5" x14ac:dyDescent="0.2">
      <c r="A18" s="1217" t="s">
        <v>0</v>
      </c>
      <c r="B18" s="658" t="s">
        <v>945</v>
      </c>
      <c r="C18" s="659" t="s">
        <v>79</v>
      </c>
      <c r="D18" s="1067">
        <v>35155</v>
      </c>
      <c r="E18" s="1068">
        <f t="shared" si="14"/>
        <v>35155</v>
      </c>
      <c r="F18" s="1067">
        <v>0</v>
      </c>
      <c r="G18" s="1067">
        <f>400000-400000</f>
        <v>0</v>
      </c>
      <c r="H18" s="1069">
        <f t="shared" si="15"/>
        <v>0</v>
      </c>
      <c r="I18" s="1067">
        <v>-35155</v>
      </c>
      <c r="J18" s="1068">
        <f t="shared" si="9"/>
        <v>-35155</v>
      </c>
      <c r="K18" s="1067"/>
      <c r="L18" s="1067">
        <v>200000</v>
      </c>
      <c r="M18" s="1069">
        <f t="shared" si="10"/>
        <v>200000</v>
      </c>
      <c r="N18" s="660"/>
      <c r="O18" s="97">
        <f t="shared" si="11"/>
        <v>0</v>
      </c>
      <c r="P18" s="660"/>
      <c r="Q18" s="660"/>
      <c r="R18" s="98">
        <f t="shared" si="12"/>
        <v>0</v>
      </c>
      <c r="S18" s="517">
        <f t="shared" si="13"/>
        <v>35155</v>
      </c>
      <c r="T18" s="517">
        <f t="shared" si="7"/>
        <v>164845</v>
      </c>
      <c r="U18" s="517">
        <f t="shared" si="8"/>
        <v>0</v>
      </c>
    </row>
    <row r="19" spans="1:21" ht="25.5" x14ac:dyDescent="0.2">
      <c r="A19" s="1219" t="s">
        <v>1</v>
      </c>
      <c r="B19" s="658" t="s">
        <v>941</v>
      </c>
      <c r="C19" s="659" t="s">
        <v>79</v>
      </c>
      <c r="D19" s="1067">
        <v>0</v>
      </c>
      <c r="E19" s="1068">
        <f t="shared" si="14"/>
        <v>0</v>
      </c>
      <c r="F19" s="1067">
        <v>0</v>
      </c>
      <c r="G19" s="1067">
        <v>900000</v>
      </c>
      <c r="H19" s="1069">
        <f t="shared" si="15"/>
        <v>900000</v>
      </c>
      <c r="I19" s="1067"/>
      <c r="J19" s="1068">
        <f t="shared" si="9"/>
        <v>0</v>
      </c>
      <c r="K19" s="1067"/>
      <c r="L19" s="1067"/>
      <c r="M19" s="1069">
        <f t="shared" si="10"/>
        <v>0</v>
      </c>
      <c r="N19" s="660"/>
      <c r="O19" s="97">
        <f t="shared" si="11"/>
        <v>0</v>
      </c>
      <c r="P19" s="660"/>
      <c r="Q19" s="660"/>
      <c r="R19" s="98">
        <f t="shared" si="12"/>
        <v>0</v>
      </c>
      <c r="S19" s="517">
        <f t="shared" si="13"/>
        <v>900000</v>
      </c>
      <c r="T19" s="517">
        <f t="shared" si="7"/>
        <v>0</v>
      </c>
      <c r="U19" s="517">
        <f t="shared" si="8"/>
        <v>0</v>
      </c>
    </row>
    <row r="20" spans="1:21" ht="51" x14ac:dyDescent="0.2">
      <c r="A20" s="1219" t="s">
        <v>2</v>
      </c>
      <c r="B20" s="658" t="s">
        <v>939</v>
      </c>
      <c r="C20" s="659" t="s">
        <v>79</v>
      </c>
      <c r="D20" s="1067">
        <v>0</v>
      </c>
      <c r="E20" s="1068">
        <f t="shared" si="14"/>
        <v>0</v>
      </c>
      <c r="F20" s="1067">
        <f>594320-564604</f>
        <v>29716</v>
      </c>
      <c r="G20" s="1067">
        <v>0</v>
      </c>
      <c r="H20" s="1069">
        <f t="shared" si="15"/>
        <v>29716</v>
      </c>
      <c r="I20" s="1067"/>
      <c r="J20" s="1068">
        <f t="shared" si="9"/>
        <v>0</v>
      </c>
      <c r="K20" s="1067">
        <v>270414</v>
      </c>
      <c r="L20" s="1067"/>
      <c r="M20" s="1069">
        <f t="shared" si="10"/>
        <v>270414</v>
      </c>
      <c r="N20" s="660"/>
      <c r="O20" s="97">
        <f t="shared" si="11"/>
        <v>0</v>
      </c>
      <c r="P20" s="660">
        <v>294188</v>
      </c>
      <c r="Q20" s="660"/>
      <c r="R20" s="98">
        <f t="shared" si="12"/>
        <v>294188</v>
      </c>
      <c r="S20" s="517">
        <f t="shared" si="13"/>
        <v>29716</v>
      </c>
      <c r="T20" s="517">
        <f t="shared" si="7"/>
        <v>270414</v>
      </c>
      <c r="U20" s="517">
        <f t="shared" si="8"/>
        <v>294188</v>
      </c>
    </row>
    <row r="21" spans="1:21" ht="25.5" x14ac:dyDescent="0.2">
      <c r="A21" s="1217" t="s">
        <v>3</v>
      </c>
      <c r="B21" s="658" t="s">
        <v>1313</v>
      </c>
      <c r="C21" s="659" t="s">
        <v>79</v>
      </c>
      <c r="D21" s="1067">
        <v>0</v>
      </c>
      <c r="E21" s="1068">
        <f t="shared" si="14"/>
        <v>0</v>
      </c>
      <c r="F21" s="1067">
        <f>518000-492100</f>
        <v>25900</v>
      </c>
      <c r="G21" s="1067">
        <v>0</v>
      </c>
      <c r="H21" s="1069">
        <f t="shared" si="15"/>
        <v>25900</v>
      </c>
      <c r="I21" s="1067"/>
      <c r="J21" s="1068">
        <f t="shared" si="9"/>
        <v>0</v>
      </c>
      <c r="K21" s="1067">
        <v>5900</v>
      </c>
      <c r="L21" s="1067"/>
      <c r="M21" s="1069">
        <f t="shared" si="10"/>
        <v>5900</v>
      </c>
      <c r="N21" s="660"/>
      <c r="O21" s="97">
        <f t="shared" si="11"/>
        <v>0</v>
      </c>
      <c r="P21" s="660">
        <v>486200</v>
      </c>
      <c r="Q21" s="660"/>
      <c r="R21" s="98">
        <f t="shared" si="12"/>
        <v>486200</v>
      </c>
      <c r="S21" s="517">
        <f t="shared" si="13"/>
        <v>25900</v>
      </c>
      <c r="T21" s="517">
        <f t="shared" si="7"/>
        <v>5900</v>
      </c>
      <c r="U21" s="517">
        <f t="shared" si="8"/>
        <v>486200</v>
      </c>
    </row>
    <row r="22" spans="1:21" ht="25.5" x14ac:dyDescent="0.2">
      <c r="A22" s="1217" t="s">
        <v>7</v>
      </c>
      <c r="B22" s="658" t="s">
        <v>1351</v>
      </c>
      <c r="C22" s="659" t="s">
        <v>79</v>
      </c>
      <c r="D22" s="1067">
        <v>328292</v>
      </c>
      <c r="E22" s="1068">
        <f t="shared" si="14"/>
        <v>328292</v>
      </c>
      <c r="F22" s="1067">
        <v>0</v>
      </c>
      <c r="G22" s="1067">
        <v>0</v>
      </c>
      <c r="H22" s="1069">
        <f t="shared" si="15"/>
        <v>0</v>
      </c>
      <c r="I22" s="1067"/>
      <c r="J22" s="1068">
        <f t="shared" si="9"/>
        <v>0</v>
      </c>
      <c r="K22" s="1067">
        <v>151055</v>
      </c>
      <c r="L22" s="1067"/>
      <c r="M22" s="1069">
        <f t="shared" si="10"/>
        <v>151055</v>
      </c>
      <c r="N22" s="660"/>
      <c r="O22" s="97">
        <f t="shared" si="11"/>
        <v>0</v>
      </c>
      <c r="P22" s="660">
        <v>151055</v>
      </c>
      <c r="Q22" s="660"/>
      <c r="R22" s="98">
        <f t="shared" si="12"/>
        <v>151055</v>
      </c>
      <c r="S22" s="517">
        <f t="shared" si="13"/>
        <v>328292</v>
      </c>
      <c r="T22" s="517">
        <f t="shared" si="7"/>
        <v>151055</v>
      </c>
      <c r="U22" s="517">
        <f t="shared" si="8"/>
        <v>151055</v>
      </c>
    </row>
    <row r="23" spans="1:21" ht="51" x14ac:dyDescent="0.2">
      <c r="A23" s="1219" t="s">
        <v>11</v>
      </c>
      <c r="B23" s="658" t="s">
        <v>1301</v>
      </c>
      <c r="C23" s="659" t="s">
        <v>79</v>
      </c>
      <c r="D23" s="1067">
        <v>0</v>
      </c>
      <c r="E23" s="1068">
        <f t="shared" si="14"/>
        <v>0</v>
      </c>
      <c r="F23" s="1067">
        <f>222662-111331</f>
        <v>111331</v>
      </c>
      <c r="G23" s="1067">
        <v>0</v>
      </c>
      <c r="H23" s="1069">
        <f t="shared" si="15"/>
        <v>111331</v>
      </c>
      <c r="I23" s="1067"/>
      <c r="J23" s="1068">
        <f t="shared" si="9"/>
        <v>0</v>
      </c>
      <c r="K23" s="1067"/>
      <c r="L23" s="1067"/>
      <c r="M23" s="1069">
        <f t="shared" si="10"/>
        <v>0</v>
      </c>
      <c r="N23" s="660"/>
      <c r="O23" s="97">
        <f t="shared" si="11"/>
        <v>0</v>
      </c>
      <c r="P23" s="660">
        <v>111331</v>
      </c>
      <c r="Q23" s="660"/>
      <c r="R23" s="98">
        <f t="shared" si="12"/>
        <v>111331</v>
      </c>
      <c r="S23" s="517">
        <f t="shared" si="13"/>
        <v>111331</v>
      </c>
      <c r="T23" s="517">
        <f t="shared" si="7"/>
        <v>0</v>
      </c>
      <c r="U23" s="517">
        <f t="shared" si="8"/>
        <v>111331</v>
      </c>
    </row>
    <row r="24" spans="1:21" x14ac:dyDescent="0.2">
      <c r="A24" s="1219" t="s">
        <v>15</v>
      </c>
      <c r="B24" s="658" t="s">
        <v>1302</v>
      </c>
      <c r="C24" s="659" t="s">
        <v>814</v>
      </c>
      <c r="D24" s="1067">
        <v>5843</v>
      </c>
      <c r="E24" s="1068">
        <f t="shared" si="14"/>
        <v>5843</v>
      </c>
      <c r="F24" s="1067">
        <f>106696-106534</f>
        <v>162</v>
      </c>
      <c r="G24" s="1067">
        <v>0</v>
      </c>
      <c r="H24" s="1069">
        <f t="shared" si="15"/>
        <v>162</v>
      </c>
      <c r="I24" s="1067">
        <f>-5843+2290</f>
        <v>-3553</v>
      </c>
      <c r="J24" s="1068">
        <f t="shared" si="9"/>
        <v>-3553</v>
      </c>
      <c r="K24" s="1067">
        <v>54237</v>
      </c>
      <c r="L24" s="1067"/>
      <c r="M24" s="1069">
        <f t="shared" si="10"/>
        <v>54237</v>
      </c>
      <c r="N24" s="660"/>
      <c r="O24" s="97">
        <f t="shared" si="11"/>
        <v>0</v>
      </c>
      <c r="P24" s="660"/>
      <c r="Q24" s="660"/>
      <c r="R24" s="98">
        <f t="shared" si="12"/>
        <v>0</v>
      </c>
      <c r="S24" s="517">
        <f t="shared" si="13"/>
        <v>6005</v>
      </c>
      <c r="T24" s="517">
        <f t="shared" si="7"/>
        <v>50684</v>
      </c>
      <c r="U24" s="517">
        <f t="shared" si="8"/>
        <v>0</v>
      </c>
    </row>
    <row r="25" spans="1:21" ht="38.25" x14ac:dyDescent="0.2">
      <c r="A25" s="1217" t="s">
        <v>18</v>
      </c>
      <c r="B25" s="658" t="s">
        <v>1495</v>
      </c>
      <c r="C25" s="659" t="s">
        <v>79</v>
      </c>
      <c r="D25" s="1067">
        <v>0</v>
      </c>
      <c r="E25" s="1068">
        <f t="shared" si="14"/>
        <v>0</v>
      </c>
      <c r="F25" s="1067">
        <f>94000+92423</f>
        <v>186423</v>
      </c>
      <c r="G25" s="1067">
        <v>0</v>
      </c>
      <c r="H25" s="1069">
        <f t="shared" si="15"/>
        <v>186423</v>
      </c>
      <c r="I25" s="1067"/>
      <c r="J25" s="1068">
        <f t="shared" si="9"/>
        <v>0</v>
      </c>
      <c r="K25" s="1067">
        <v>140635</v>
      </c>
      <c r="L25" s="1067"/>
      <c r="M25" s="1069">
        <f t="shared" si="10"/>
        <v>140635</v>
      </c>
      <c r="N25" s="660"/>
      <c r="O25" s="97">
        <f t="shared" si="11"/>
        <v>0</v>
      </c>
      <c r="P25" s="660"/>
      <c r="Q25" s="660"/>
      <c r="R25" s="98">
        <f t="shared" si="12"/>
        <v>0</v>
      </c>
      <c r="S25" s="517">
        <f t="shared" si="13"/>
        <v>186423</v>
      </c>
      <c r="T25" s="517">
        <f t="shared" si="7"/>
        <v>140635</v>
      </c>
      <c r="U25" s="517">
        <f t="shared" si="8"/>
        <v>0</v>
      </c>
    </row>
    <row r="26" spans="1:21" ht="38.25" x14ac:dyDescent="0.2">
      <c r="A26" s="1217" t="s">
        <v>22</v>
      </c>
      <c r="B26" s="658" t="s">
        <v>1304</v>
      </c>
      <c r="C26" s="659" t="s">
        <v>813</v>
      </c>
      <c r="D26" s="1067">
        <v>3543</v>
      </c>
      <c r="E26" s="1068">
        <f t="shared" si="14"/>
        <v>3543</v>
      </c>
      <c r="F26" s="1067">
        <v>0</v>
      </c>
      <c r="G26" s="1067"/>
      <c r="H26" s="1069">
        <f t="shared" si="15"/>
        <v>0</v>
      </c>
      <c r="I26" s="1067"/>
      <c r="J26" s="1068">
        <f t="shared" si="9"/>
        <v>0</v>
      </c>
      <c r="K26" s="1067">
        <v>0</v>
      </c>
      <c r="L26" s="1067"/>
      <c r="M26" s="1069">
        <f t="shared" si="10"/>
        <v>0</v>
      </c>
      <c r="N26" s="660"/>
      <c r="O26" s="97">
        <f t="shared" si="11"/>
        <v>0</v>
      </c>
      <c r="P26" s="660"/>
      <c r="Q26" s="660"/>
      <c r="R26" s="98">
        <f t="shared" si="12"/>
        <v>0</v>
      </c>
      <c r="S26" s="517">
        <f t="shared" si="13"/>
        <v>3543</v>
      </c>
      <c r="T26" s="517">
        <f t="shared" si="7"/>
        <v>0</v>
      </c>
      <c r="U26" s="517">
        <f t="shared" si="8"/>
        <v>0</v>
      </c>
    </row>
    <row r="27" spans="1:21" ht="38.25" x14ac:dyDescent="0.2">
      <c r="A27" s="1217" t="s">
        <v>25</v>
      </c>
      <c r="B27" s="95" t="s">
        <v>1303</v>
      </c>
      <c r="C27" s="396" t="s">
        <v>79</v>
      </c>
      <c r="D27" s="1218">
        <v>0</v>
      </c>
      <c r="E27" s="1068">
        <f t="shared" si="14"/>
        <v>0</v>
      </c>
      <c r="F27" s="1218">
        <f>302353-130920</f>
        <v>171433</v>
      </c>
      <c r="G27" s="1218">
        <v>0</v>
      </c>
      <c r="H27" s="1069">
        <f t="shared" si="15"/>
        <v>171433</v>
      </c>
      <c r="I27" s="1218"/>
      <c r="J27" s="1068">
        <f t="shared" si="9"/>
        <v>0</v>
      </c>
      <c r="K27" s="1218">
        <v>129503</v>
      </c>
      <c r="L27" s="1218"/>
      <c r="M27" s="1069">
        <f t="shared" si="10"/>
        <v>129503</v>
      </c>
      <c r="N27" s="96"/>
      <c r="O27" s="97">
        <f t="shared" si="11"/>
        <v>0</v>
      </c>
      <c r="P27" s="96"/>
      <c r="Q27" s="96"/>
      <c r="R27" s="98">
        <f t="shared" si="12"/>
        <v>0</v>
      </c>
      <c r="S27" s="517">
        <f t="shared" si="13"/>
        <v>171433</v>
      </c>
      <c r="T27" s="517">
        <f t="shared" si="7"/>
        <v>129503</v>
      </c>
      <c r="U27" s="517">
        <f t="shared" si="8"/>
        <v>0</v>
      </c>
    </row>
    <row r="28" spans="1:21" ht="38.25" x14ac:dyDescent="0.2">
      <c r="A28" s="1217" t="s">
        <v>26</v>
      </c>
      <c r="B28" s="95" t="s">
        <v>1496</v>
      </c>
      <c r="C28" s="396" t="s">
        <v>79</v>
      </c>
      <c r="D28" s="1218">
        <v>0</v>
      </c>
      <c r="E28" s="1068">
        <f t="shared" ref="E28" si="16">SUM(D28:D28)</f>
        <v>0</v>
      </c>
      <c r="F28" s="1218">
        <v>21501</v>
      </c>
      <c r="G28" s="1218">
        <v>0</v>
      </c>
      <c r="H28" s="1069">
        <f t="shared" ref="H28" si="17">SUM(F28:G28)</f>
        <v>21501</v>
      </c>
      <c r="I28" s="1218"/>
      <c r="J28" s="1068">
        <f t="shared" ref="J28" si="18">SUM(I28:I28)</f>
        <v>0</v>
      </c>
      <c r="K28" s="1218">
        <v>5852</v>
      </c>
      <c r="L28" s="1218"/>
      <c r="M28" s="1069">
        <f t="shared" ref="M28" si="19">SUM(K28:L28)</f>
        <v>5852</v>
      </c>
      <c r="N28" s="96"/>
      <c r="O28" s="97">
        <f t="shared" ref="O28" si="20">SUM(N28:N28)</f>
        <v>0</v>
      </c>
      <c r="P28" s="96">
        <v>337353</v>
      </c>
      <c r="Q28" s="96"/>
      <c r="R28" s="98">
        <f t="shared" ref="R28" si="21">SUM(P28:Q28)</f>
        <v>337353</v>
      </c>
      <c r="S28" s="517">
        <f t="shared" ref="S28" si="22">SUM(E28+H28)</f>
        <v>21501</v>
      </c>
      <c r="T28" s="517">
        <f t="shared" ref="T28:T31" si="23">SUM(J28+M28)</f>
        <v>5852</v>
      </c>
      <c r="U28" s="517">
        <f t="shared" ref="U28:U31" si="24">SUM(O28+R28)</f>
        <v>337353</v>
      </c>
    </row>
    <row r="29" spans="1:21" ht="25.5" x14ac:dyDescent="0.2">
      <c r="A29" s="1217" t="s">
        <v>28</v>
      </c>
      <c r="B29" s="95" t="s">
        <v>1497</v>
      </c>
      <c r="C29" s="396" t="s">
        <v>79</v>
      </c>
      <c r="D29" s="1218">
        <v>0</v>
      </c>
      <c r="E29" s="1068">
        <f t="shared" ref="E29:E31" si="25">SUM(D29:D29)</f>
        <v>0</v>
      </c>
      <c r="F29" s="1218">
        <v>37421</v>
      </c>
      <c r="G29" s="1218">
        <v>0</v>
      </c>
      <c r="H29" s="1069">
        <f t="shared" ref="H29:H31" si="26">SUM(F29:G29)</f>
        <v>37421</v>
      </c>
      <c r="I29" s="1218"/>
      <c r="J29" s="1068">
        <f t="shared" ref="J29:J31" si="27">SUM(I29:I29)</f>
        <v>0</v>
      </c>
      <c r="K29" s="1218">
        <v>56131</v>
      </c>
      <c r="L29" s="1218"/>
      <c r="M29" s="1069">
        <f t="shared" ref="M29:M31" si="28">SUM(K29:L29)</f>
        <v>56131</v>
      </c>
      <c r="N29" s="96"/>
      <c r="O29" s="97">
        <f t="shared" ref="O29:O31" si="29">SUM(N29:N29)</f>
        <v>0</v>
      </c>
      <c r="P29" s="96">
        <f>598728+56131</f>
        <v>654859</v>
      </c>
      <c r="Q29" s="96"/>
      <c r="R29" s="98">
        <f t="shared" ref="R29:R31" si="30">SUM(P29:Q29)</f>
        <v>654859</v>
      </c>
      <c r="S29" s="517">
        <f t="shared" ref="S29:S31" si="31">SUM(E29+H29)</f>
        <v>37421</v>
      </c>
      <c r="T29" s="517">
        <f t="shared" si="23"/>
        <v>56131</v>
      </c>
      <c r="U29" s="517">
        <f t="shared" si="24"/>
        <v>654859</v>
      </c>
    </row>
    <row r="30" spans="1:21" x14ac:dyDescent="0.2">
      <c r="A30" s="1217" t="s">
        <v>32</v>
      </c>
      <c r="B30" s="95" t="s">
        <v>1494</v>
      </c>
      <c r="C30" s="396" t="s">
        <v>79</v>
      </c>
      <c r="D30" s="1218">
        <v>0</v>
      </c>
      <c r="E30" s="1068">
        <f t="shared" si="25"/>
        <v>0</v>
      </c>
      <c r="F30" s="1218">
        <v>129649</v>
      </c>
      <c r="G30" s="1218">
        <v>0</v>
      </c>
      <c r="H30" s="1069">
        <f t="shared" si="26"/>
        <v>129649</v>
      </c>
      <c r="I30" s="1218"/>
      <c r="J30" s="1068">
        <f t="shared" si="27"/>
        <v>0</v>
      </c>
      <c r="K30" s="1218">
        <v>48903</v>
      </c>
      <c r="L30" s="1218"/>
      <c r="M30" s="1069">
        <f t="shared" si="28"/>
        <v>48903</v>
      </c>
      <c r="N30" s="96"/>
      <c r="O30" s="97">
        <f t="shared" si="29"/>
        <v>0</v>
      </c>
      <c r="P30" s="96">
        <v>48903</v>
      </c>
      <c r="Q30" s="96"/>
      <c r="R30" s="98">
        <f t="shared" si="30"/>
        <v>48903</v>
      </c>
      <c r="S30" s="517">
        <f t="shared" si="31"/>
        <v>129649</v>
      </c>
      <c r="T30" s="517">
        <f t="shared" si="23"/>
        <v>48903</v>
      </c>
      <c r="U30" s="517">
        <f t="shared" si="24"/>
        <v>48903</v>
      </c>
    </row>
    <row r="31" spans="1:21" x14ac:dyDescent="0.2">
      <c r="A31" s="1217" t="s">
        <v>33</v>
      </c>
      <c r="B31" s="95" t="s">
        <v>1493</v>
      </c>
      <c r="C31" s="396" t="s">
        <v>79</v>
      </c>
      <c r="D31" s="1218">
        <v>0</v>
      </c>
      <c r="E31" s="1068">
        <f t="shared" si="25"/>
        <v>0</v>
      </c>
      <c r="F31" s="1218">
        <v>7500000</v>
      </c>
      <c r="G31" s="1218">
        <v>0</v>
      </c>
      <c r="H31" s="1069">
        <f t="shared" si="26"/>
        <v>7500000</v>
      </c>
      <c r="I31" s="1218"/>
      <c r="J31" s="1068">
        <f t="shared" si="27"/>
        <v>0</v>
      </c>
      <c r="K31" s="1218"/>
      <c r="L31" s="1218"/>
      <c r="M31" s="1069">
        <f t="shared" si="28"/>
        <v>0</v>
      </c>
      <c r="N31" s="96"/>
      <c r="O31" s="97">
        <f t="shared" si="29"/>
        <v>0</v>
      </c>
      <c r="P31" s="96"/>
      <c r="Q31" s="96"/>
      <c r="R31" s="98">
        <f t="shared" si="30"/>
        <v>0</v>
      </c>
      <c r="S31" s="517">
        <f t="shared" si="31"/>
        <v>7500000</v>
      </c>
      <c r="T31" s="517">
        <f t="shared" si="23"/>
        <v>0</v>
      </c>
      <c r="U31" s="517">
        <f t="shared" si="24"/>
        <v>0</v>
      </c>
    </row>
    <row r="32" spans="1:21" ht="76.5" x14ac:dyDescent="0.2">
      <c r="A32" s="1217" t="s">
        <v>36</v>
      </c>
      <c r="B32" s="95" t="s">
        <v>989</v>
      </c>
      <c r="C32" s="396" t="s">
        <v>814</v>
      </c>
      <c r="D32" s="1218">
        <v>0</v>
      </c>
      <c r="E32" s="1068">
        <f t="shared" si="14"/>
        <v>0</v>
      </c>
      <c r="F32" s="1218">
        <f>167294-97310</f>
        <v>69984</v>
      </c>
      <c r="G32" s="1218">
        <v>0</v>
      </c>
      <c r="H32" s="1069">
        <f t="shared" si="15"/>
        <v>69984</v>
      </c>
      <c r="I32" s="1218"/>
      <c r="J32" s="1068">
        <f t="shared" si="9"/>
        <v>0</v>
      </c>
      <c r="K32" s="1218">
        <v>97310</v>
      </c>
      <c r="L32" s="1218"/>
      <c r="M32" s="1069">
        <f t="shared" si="10"/>
        <v>97310</v>
      </c>
      <c r="N32" s="96"/>
      <c r="O32" s="97">
        <f t="shared" si="11"/>
        <v>0</v>
      </c>
      <c r="P32" s="96"/>
      <c r="Q32" s="96"/>
      <c r="R32" s="98">
        <f t="shared" si="12"/>
        <v>0</v>
      </c>
      <c r="S32" s="517">
        <f t="shared" si="13"/>
        <v>69984</v>
      </c>
      <c r="T32" s="517">
        <f t="shared" si="7"/>
        <v>97310</v>
      </c>
      <c r="U32" s="517">
        <f t="shared" si="8"/>
        <v>0</v>
      </c>
    </row>
    <row r="33" spans="1:21" ht="76.5" x14ac:dyDescent="0.2">
      <c r="A33" s="1217" t="s">
        <v>37</v>
      </c>
      <c r="B33" s="95" t="s">
        <v>990</v>
      </c>
      <c r="C33" s="396" t="s">
        <v>814</v>
      </c>
      <c r="D33" s="1218">
        <v>0</v>
      </c>
      <c r="E33" s="1068">
        <f t="shared" si="14"/>
        <v>0</v>
      </c>
      <c r="F33" s="1218">
        <f>141602-74669</f>
        <v>66933</v>
      </c>
      <c r="G33" s="1218">
        <v>0</v>
      </c>
      <c r="H33" s="1069">
        <f t="shared" si="15"/>
        <v>66933</v>
      </c>
      <c r="I33" s="1218"/>
      <c r="J33" s="1068">
        <f t="shared" si="9"/>
        <v>0</v>
      </c>
      <c r="K33" s="1218">
        <v>74669</v>
      </c>
      <c r="L33" s="1218"/>
      <c r="M33" s="1069">
        <f t="shared" si="10"/>
        <v>74669</v>
      </c>
      <c r="N33" s="96"/>
      <c r="O33" s="97">
        <f t="shared" si="11"/>
        <v>0</v>
      </c>
      <c r="P33" s="96"/>
      <c r="Q33" s="96"/>
      <c r="R33" s="98">
        <f t="shared" si="12"/>
        <v>0</v>
      </c>
      <c r="S33" s="517">
        <f t="shared" si="13"/>
        <v>66933</v>
      </c>
      <c r="T33" s="517">
        <f t="shared" si="7"/>
        <v>74669</v>
      </c>
      <c r="U33" s="517">
        <f t="shared" si="8"/>
        <v>0</v>
      </c>
    </row>
    <row r="34" spans="1:21" ht="77.25" thickBot="1" x14ac:dyDescent="0.25">
      <c r="A34" s="1217" t="s">
        <v>38</v>
      </c>
      <c r="B34" s="658" t="s">
        <v>1092</v>
      </c>
      <c r="C34" s="659" t="s">
        <v>79</v>
      </c>
      <c r="D34" s="1067">
        <v>0</v>
      </c>
      <c r="E34" s="1068">
        <f t="shared" si="14"/>
        <v>0</v>
      </c>
      <c r="F34" s="1067">
        <f>350000-129754</f>
        <v>220246</v>
      </c>
      <c r="G34" s="1067">
        <v>0</v>
      </c>
      <c r="H34" s="1069">
        <f t="shared" si="15"/>
        <v>220246</v>
      </c>
      <c r="I34" s="1067"/>
      <c r="J34" s="1068">
        <f t="shared" si="9"/>
        <v>0</v>
      </c>
      <c r="K34" s="1067"/>
      <c r="L34" s="1067"/>
      <c r="M34" s="1069">
        <f t="shared" si="10"/>
        <v>0</v>
      </c>
      <c r="N34" s="660"/>
      <c r="O34" s="97">
        <f t="shared" si="11"/>
        <v>0</v>
      </c>
      <c r="P34" s="660">
        <v>146831</v>
      </c>
      <c r="Q34" s="660"/>
      <c r="R34" s="98">
        <f t="shared" si="12"/>
        <v>146831</v>
      </c>
      <c r="S34" s="517">
        <f t="shared" si="13"/>
        <v>220246</v>
      </c>
      <c r="T34" s="517">
        <f t="shared" si="7"/>
        <v>0</v>
      </c>
      <c r="U34" s="517">
        <f t="shared" si="8"/>
        <v>146831</v>
      </c>
    </row>
    <row r="35" spans="1:21" s="93" customFormat="1" ht="13.5" thickBot="1" x14ac:dyDescent="0.25">
      <c r="A35" s="661"/>
      <c r="B35" s="662" t="s">
        <v>252</v>
      </c>
      <c r="C35" s="663"/>
      <c r="D35" s="664">
        <f>SUM(D9:D34)</f>
        <v>1440656</v>
      </c>
      <c r="E35" s="664">
        <f t="shared" ref="E35:U35" si="32">SUM(E9:E34)</f>
        <v>1440656</v>
      </c>
      <c r="F35" s="664">
        <f t="shared" si="32"/>
        <v>8597699</v>
      </c>
      <c r="G35" s="664">
        <f t="shared" si="32"/>
        <v>1666571</v>
      </c>
      <c r="H35" s="664">
        <f t="shared" si="32"/>
        <v>10264270</v>
      </c>
      <c r="I35" s="664">
        <f t="shared" si="32"/>
        <v>-450697</v>
      </c>
      <c r="J35" s="664">
        <f t="shared" si="32"/>
        <v>-450697</v>
      </c>
      <c r="K35" s="664">
        <f t="shared" si="32"/>
        <v>1066600</v>
      </c>
      <c r="L35" s="664">
        <f t="shared" si="32"/>
        <v>17560968</v>
      </c>
      <c r="M35" s="664">
        <f t="shared" si="32"/>
        <v>18627568</v>
      </c>
      <c r="N35" s="664">
        <f t="shared" si="32"/>
        <v>0</v>
      </c>
      <c r="O35" s="664">
        <f t="shared" si="32"/>
        <v>0</v>
      </c>
      <c r="P35" s="664">
        <f t="shared" si="32"/>
        <v>2230720</v>
      </c>
      <c r="Q35" s="664">
        <f t="shared" si="32"/>
        <v>0</v>
      </c>
      <c r="R35" s="664">
        <f t="shared" si="32"/>
        <v>2230720</v>
      </c>
      <c r="S35" s="664">
        <f t="shared" si="32"/>
        <v>11704926</v>
      </c>
      <c r="T35" s="664">
        <f t="shared" si="32"/>
        <v>18176871</v>
      </c>
      <c r="U35" s="664">
        <f t="shared" si="32"/>
        <v>2230720</v>
      </c>
    </row>
    <row r="37" spans="1:21" x14ac:dyDescent="0.2">
      <c r="A37" s="91" t="s">
        <v>1088</v>
      </c>
      <c r="B37" s="99"/>
      <c r="C37" s="397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</row>
    <row r="38" spans="1:21" ht="13.15" customHeight="1" x14ac:dyDescent="0.2">
      <c r="B38" s="100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</row>
  </sheetData>
  <mergeCells count="17">
    <mergeCell ref="P7:R7"/>
    <mergeCell ref="A3:U3"/>
    <mergeCell ref="A4:U4"/>
    <mergeCell ref="A6:A8"/>
    <mergeCell ref="B6:B8"/>
    <mergeCell ref="C6:C8"/>
    <mergeCell ref="D6:H6"/>
    <mergeCell ref="I6:M6"/>
    <mergeCell ref="N6:R6"/>
    <mergeCell ref="S6:S7"/>
    <mergeCell ref="T6:T7"/>
    <mergeCell ref="U6:U7"/>
    <mergeCell ref="D7:E7"/>
    <mergeCell ref="F7:H7"/>
    <mergeCell ref="I7:J7"/>
    <mergeCell ref="K7:M7"/>
    <mergeCell ref="N7:O7"/>
  </mergeCells>
  <printOptions horizontalCentered="1"/>
  <pageMargins left="0.19685039370078741" right="0.15748031496062992" top="0.6692913385826772" bottom="0.43307086614173229" header="0.35433070866141736" footer="0.15748031496062992"/>
  <pageSetup paperSize="9" scale="59" orientation="landscape" r:id="rId1"/>
  <headerFooter alignWithMargins="0">
    <oddHeader>&amp;R&amp;"Times New Roman CE,Dőlt" 20. melléklet
  a 3/2016.(II.12.) önkormányzati rendelethez&amp;X18</oddHeader>
    <oddFooter>&amp;L&amp;X18&amp;XMódosította a 6/2017.(II.24.) önkormányzati rendelet 4.§ (16) bekezdése, hatályos 2017. február 24. 12 órától&amp;C&amp;P. oldal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zoomScaleNormal="100" workbookViewId="0">
      <selection activeCell="H26" sqref="H26"/>
    </sheetView>
  </sheetViews>
  <sheetFormatPr defaultColWidth="8" defaultRowHeight="15.75" x14ac:dyDescent="0.25"/>
  <cols>
    <col min="1" max="1" width="36" style="27" bestFit="1" customWidth="1"/>
    <col min="2" max="2" width="28.125" style="27" customWidth="1"/>
    <col min="3" max="3" width="18.125" style="64" customWidth="1"/>
    <col min="4" max="4" width="17.375" style="64" customWidth="1"/>
    <col min="5" max="5" width="16.5" style="64" customWidth="1"/>
    <col min="6" max="6" width="18.25" style="64" customWidth="1"/>
    <col min="7" max="16384" width="8" style="27"/>
  </cols>
  <sheetData>
    <row r="1" spans="1:9" s="21" customFormat="1" ht="32.25" thickTop="1" x14ac:dyDescent="0.25">
      <c r="A1" s="16" t="s">
        <v>249</v>
      </c>
      <c r="B1" s="17" t="s">
        <v>266</v>
      </c>
      <c r="C1" s="18" t="s">
        <v>267</v>
      </c>
      <c r="D1" s="19" t="s">
        <v>268</v>
      </c>
      <c r="E1" s="19" t="s">
        <v>269</v>
      </c>
      <c r="F1" s="20" t="s">
        <v>270</v>
      </c>
    </row>
    <row r="2" spans="1:9" x14ac:dyDescent="0.25">
      <c r="A2" s="22" t="s">
        <v>271</v>
      </c>
      <c r="B2" s="23"/>
      <c r="C2" s="24"/>
      <c r="D2" s="25"/>
      <c r="E2" s="24"/>
      <c r="F2" s="26"/>
    </row>
    <row r="3" spans="1:9" s="35" customFormat="1" x14ac:dyDescent="0.25">
      <c r="A3" s="28" t="s">
        <v>272</v>
      </c>
      <c r="B3" s="29"/>
      <c r="C3" s="30"/>
      <c r="D3" s="31"/>
      <c r="E3" s="30"/>
      <c r="F3" s="32"/>
      <c r="G3" s="33"/>
      <c r="H3" s="33"/>
      <c r="I3" s="34"/>
    </row>
    <row r="4" spans="1:9" s="43" customFormat="1" ht="31.5" x14ac:dyDescent="0.25">
      <c r="A4" s="36" t="s">
        <v>273</v>
      </c>
      <c r="B4" s="37" t="s">
        <v>274</v>
      </c>
      <c r="C4" s="38"/>
      <c r="D4" s="39">
        <v>38105</v>
      </c>
      <c r="E4" s="38"/>
      <c r="F4" s="40">
        <f>SUM(C4:E4)</f>
        <v>38105</v>
      </c>
      <c r="G4" s="41"/>
      <c r="H4" s="41"/>
      <c r="I4" s="42"/>
    </row>
    <row r="5" spans="1:9" s="43" customFormat="1" ht="31.5" x14ac:dyDescent="0.25">
      <c r="A5" s="36" t="s">
        <v>275</v>
      </c>
      <c r="B5" s="44" t="s">
        <v>276</v>
      </c>
      <c r="C5" s="38"/>
      <c r="D5" s="38">
        <v>18000</v>
      </c>
      <c r="E5" s="38"/>
      <c r="F5" s="40">
        <f>SUM(C5:E5)</f>
        <v>18000</v>
      </c>
      <c r="G5" s="41"/>
      <c r="H5" s="41"/>
      <c r="I5" s="42"/>
    </row>
    <row r="6" spans="1:9" s="43" customFormat="1" x14ac:dyDescent="0.25">
      <c r="A6" s="36" t="s">
        <v>473</v>
      </c>
      <c r="B6" s="44" t="s">
        <v>474</v>
      </c>
      <c r="C6" s="38"/>
      <c r="D6" s="38"/>
      <c r="E6" s="38">
        <v>454</v>
      </c>
      <c r="F6" s="40">
        <f>SUM(C6:E6)</f>
        <v>454</v>
      </c>
      <c r="G6" s="41"/>
      <c r="H6" s="41"/>
      <c r="I6" s="42"/>
    </row>
    <row r="7" spans="1:9" s="35" customFormat="1" x14ac:dyDescent="0.25">
      <c r="A7" s="28" t="s">
        <v>277</v>
      </c>
      <c r="B7" s="29"/>
      <c r="C7" s="30">
        <f>SUM(C4:C4)</f>
        <v>0</v>
      </c>
      <c r="D7" s="30">
        <f>SUM(D4:D6)</f>
        <v>56105</v>
      </c>
      <c r="E7" s="30">
        <f>SUM(E4:E6)</f>
        <v>454</v>
      </c>
      <c r="F7" s="45">
        <f>SUM(F4:F6)</f>
        <v>56559</v>
      </c>
      <c r="G7" s="33"/>
      <c r="H7" s="33"/>
      <c r="I7" s="34"/>
    </row>
    <row r="8" spans="1:9" s="35" customFormat="1" x14ac:dyDescent="0.25">
      <c r="A8" s="28" t="s">
        <v>278</v>
      </c>
      <c r="B8" s="29"/>
      <c r="C8" s="30"/>
      <c r="D8" s="30"/>
      <c r="E8" s="30"/>
      <c r="F8" s="45"/>
      <c r="G8" s="33"/>
      <c r="H8" s="33"/>
      <c r="I8" s="34"/>
    </row>
    <row r="9" spans="1:9" s="43" customFormat="1" x14ac:dyDescent="0.25">
      <c r="A9" s="36" t="s">
        <v>279</v>
      </c>
      <c r="B9" s="37" t="s">
        <v>280</v>
      </c>
      <c r="C9" s="38"/>
      <c r="D9" s="38">
        <v>11906</v>
      </c>
      <c r="E9" s="38"/>
      <c r="F9" s="40">
        <f>SUM(C9:E9)</f>
        <v>11906</v>
      </c>
      <c r="G9" s="41"/>
      <c r="H9" s="41"/>
      <c r="I9" s="42"/>
    </row>
    <row r="10" spans="1:9" s="35" customFormat="1" x14ac:dyDescent="0.25">
      <c r="A10" s="28" t="s">
        <v>281</v>
      </c>
      <c r="B10" s="29"/>
      <c r="C10" s="30">
        <f>SUM(C9)</f>
        <v>0</v>
      </c>
      <c r="D10" s="30">
        <f>SUM(D9)</f>
        <v>11906</v>
      </c>
      <c r="E10" s="30">
        <f>SUM(E9)</f>
        <v>0</v>
      </c>
      <c r="F10" s="45">
        <f>SUM(F9)</f>
        <v>11906</v>
      </c>
      <c r="G10" s="33"/>
      <c r="H10" s="33"/>
      <c r="I10" s="34"/>
    </row>
    <row r="11" spans="1:9" s="35" customFormat="1" x14ac:dyDescent="0.25">
      <c r="A11" s="28" t="s">
        <v>282</v>
      </c>
      <c r="B11" s="29"/>
      <c r="C11" s="30"/>
      <c r="D11" s="31"/>
      <c r="E11" s="30"/>
      <c r="F11" s="32"/>
      <c r="G11" s="33"/>
      <c r="H11" s="33"/>
      <c r="I11" s="34"/>
    </row>
    <row r="12" spans="1:9" s="43" customFormat="1" ht="31.5" x14ac:dyDescent="0.25">
      <c r="A12" s="36" t="s">
        <v>283</v>
      </c>
      <c r="B12" s="44" t="s">
        <v>284</v>
      </c>
      <c r="C12" s="38"/>
      <c r="D12" s="39">
        <v>4253</v>
      </c>
      <c r="E12" s="38"/>
      <c r="F12" s="40">
        <f>SUM(C12:E12)</f>
        <v>4253</v>
      </c>
      <c r="G12" s="41"/>
      <c r="H12" s="41"/>
      <c r="I12" s="42"/>
    </row>
    <row r="13" spans="1:9" s="43" customFormat="1" ht="31.5" x14ac:dyDescent="0.25">
      <c r="A13" s="36" t="s">
        <v>285</v>
      </c>
      <c r="B13" s="44" t="s">
        <v>286</v>
      </c>
      <c r="C13" s="38"/>
      <c r="D13" s="39">
        <v>190</v>
      </c>
      <c r="E13" s="38"/>
      <c r="F13" s="40">
        <f>SUM(C13:E13)</f>
        <v>190</v>
      </c>
      <c r="G13" s="41"/>
      <c r="H13" s="41"/>
      <c r="I13" s="42"/>
    </row>
    <row r="14" spans="1:9" s="43" customFormat="1" ht="31.5" x14ac:dyDescent="0.25">
      <c r="A14" s="36" t="s">
        <v>287</v>
      </c>
      <c r="B14" s="44" t="s">
        <v>288</v>
      </c>
      <c r="C14" s="38"/>
      <c r="D14" s="39">
        <v>1126</v>
      </c>
      <c r="E14" s="38"/>
      <c r="F14" s="40">
        <f>SUM(C14:E14)</f>
        <v>1126</v>
      </c>
      <c r="G14" s="41"/>
      <c r="H14" s="41"/>
      <c r="I14" s="42"/>
    </row>
    <row r="15" spans="1:9" s="43" customFormat="1" ht="31.5" x14ac:dyDescent="0.25">
      <c r="A15" s="36" t="s">
        <v>289</v>
      </c>
      <c r="B15" s="44" t="s">
        <v>290</v>
      </c>
      <c r="C15" s="38"/>
      <c r="D15" s="39">
        <v>604</v>
      </c>
      <c r="E15" s="38"/>
      <c r="F15" s="40">
        <f>SUM(C15:E15)</f>
        <v>604</v>
      </c>
      <c r="G15" s="41"/>
      <c r="H15" s="41"/>
      <c r="I15" s="42"/>
    </row>
    <row r="16" spans="1:9" s="43" customFormat="1" ht="31.5" x14ac:dyDescent="0.25">
      <c r="A16" s="36" t="s">
        <v>291</v>
      </c>
      <c r="B16" s="44" t="s">
        <v>292</v>
      </c>
      <c r="C16" s="38"/>
      <c r="D16" s="39">
        <v>900</v>
      </c>
      <c r="E16" s="38"/>
      <c r="F16" s="40">
        <f>SUM(C16:E16)</f>
        <v>900</v>
      </c>
      <c r="G16" s="41"/>
      <c r="H16" s="41"/>
      <c r="I16" s="42"/>
    </row>
    <row r="17" spans="1:9" s="35" customFormat="1" x14ac:dyDescent="0.25">
      <c r="A17" s="28" t="s">
        <v>293</v>
      </c>
      <c r="B17" s="29"/>
      <c r="C17" s="30">
        <f>SUM(C12:C16)</f>
        <v>0</v>
      </c>
      <c r="D17" s="30">
        <f>SUM(D12:D16)</f>
        <v>7073</v>
      </c>
      <c r="E17" s="30">
        <f>SUM(E12:E16)</f>
        <v>0</v>
      </c>
      <c r="F17" s="45">
        <f>SUM(F12:F16)</f>
        <v>7073</v>
      </c>
      <c r="G17" s="33"/>
      <c r="H17" s="33"/>
      <c r="I17" s="34"/>
    </row>
    <row r="18" spans="1:9" x14ac:dyDescent="0.25">
      <c r="A18" s="46" t="s">
        <v>294</v>
      </c>
      <c r="B18" s="47"/>
      <c r="C18" s="48">
        <f>SUM(C17+C7+C10)</f>
        <v>0</v>
      </c>
      <c r="D18" s="48">
        <f>SUM(D17+D7+D10)</f>
        <v>75084</v>
      </c>
      <c r="E18" s="48">
        <f>SUM(E17+E7+E10)</f>
        <v>454</v>
      </c>
      <c r="F18" s="49">
        <f>SUM(F17+F7+F10)</f>
        <v>75538</v>
      </c>
    </row>
    <row r="19" spans="1:9" x14ac:dyDescent="0.25">
      <c r="A19" s="50" t="s">
        <v>295</v>
      </c>
      <c r="B19" s="51"/>
      <c r="C19" s="25" t="s">
        <v>296</v>
      </c>
      <c r="D19" s="25"/>
      <c r="E19" s="25"/>
      <c r="F19" s="26"/>
    </row>
    <row r="20" spans="1:9" ht="33.75" customHeight="1" x14ac:dyDescent="0.25">
      <c r="A20" s="22" t="s">
        <v>297</v>
      </c>
      <c r="B20" s="52" t="s">
        <v>298</v>
      </c>
      <c r="C20" s="39"/>
      <c r="D20" s="39">
        <v>8400</v>
      </c>
      <c r="E20" s="39"/>
      <c r="F20" s="26">
        <f t="shared" ref="F20:F26" si="0">SUM(C20:E20)</f>
        <v>8400</v>
      </c>
    </row>
    <row r="21" spans="1:9" ht="31.5" x14ac:dyDescent="0.25">
      <c r="A21" s="22" t="s">
        <v>299</v>
      </c>
      <c r="B21" s="37" t="s">
        <v>300</v>
      </c>
      <c r="C21" s="38"/>
      <c r="D21" s="38">
        <v>803</v>
      </c>
      <c r="E21" s="38"/>
      <c r="F21" s="26">
        <f t="shared" si="0"/>
        <v>803</v>
      </c>
    </row>
    <row r="22" spans="1:9" ht="31.5" x14ac:dyDescent="0.25">
      <c r="A22" s="22" t="s">
        <v>301</v>
      </c>
      <c r="B22" s="37" t="s">
        <v>302</v>
      </c>
      <c r="C22" s="38"/>
      <c r="D22" s="38">
        <v>13115</v>
      </c>
      <c r="E22" s="38"/>
      <c r="F22" s="26">
        <f t="shared" si="0"/>
        <v>13115</v>
      </c>
    </row>
    <row r="23" spans="1:9" ht="31.5" x14ac:dyDescent="0.25">
      <c r="A23" s="22" t="s">
        <v>303</v>
      </c>
      <c r="B23" s="37" t="s">
        <v>304</v>
      </c>
      <c r="C23" s="38"/>
      <c r="D23" s="38">
        <v>1343</v>
      </c>
      <c r="E23" s="38"/>
      <c r="F23" s="26">
        <f t="shared" si="0"/>
        <v>1343</v>
      </c>
    </row>
    <row r="24" spans="1:9" x14ac:dyDescent="0.25">
      <c r="A24" s="22" t="s">
        <v>874</v>
      </c>
      <c r="B24" s="37" t="s">
        <v>873</v>
      </c>
      <c r="C24" s="38"/>
      <c r="D24" s="38">
        <v>353</v>
      </c>
      <c r="E24" s="38"/>
      <c r="F24" s="26">
        <f t="shared" si="0"/>
        <v>353</v>
      </c>
    </row>
    <row r="25" spans="1:9" ht="31.5" x14ac:dyDescent="0.25">
      <c r="A25" s="22" t="s">
        <v>305</v>
      </c>
      <c r="B25" s="44" t="s">
        <v>306</v>
      </c>
      <c r="C25" s="38">
        <v>27900</v>
      </c>
      <c r="D25" s="38"/>
      <c r="E25" s="38"/>
      <c r="F25" s="26">
        <f t="shared" si="0"/>
        <v>27900</v>
      </c>
    </row>
    <row r="26" spans="1:9" x14ac:dyDescent="0.25">
      <c r="A26" s="36" t="s">
        <v>473</v>
      </c>
      <c r="B26" s="44" t="s">
        <v>474</v>
      </c>
      <c r="C26" s="38"/>
      <c r="D26" s="38"/>
      <c r="E26" s="38">
        <v>116</v>
      </c>
      <c r="F26" s="26">
        <f t="shared" si="0"/>
        <v>116</v>
      </c>
    </row>
    <row r="27" spans="1:9" x14ac:dyDescent="0.25">
      <c r="A27" s="53" t="s">
        <v>307</v>
      </c>
      <c r="B27" s="54"/>
      <c r="C27" s="48">
        <f>SUM(C20:C26)</f>
        <v>27900</v>
      </c>
      <c r="D27" s="48">
        <f>SUM(D20:D26)</f>
        <v>24014</v>
      </c>
      <c r="E27" s="55">
        <f>E26</f>
        <v>116</v>
      </c>
      <c r="F27" s="49">
        <f>SUM(F20:F26)</f>
        <v>52030</v>
      </c>
    </row>
    <row r="28" spans="1:9" x14ac:dyDescent="0.25">
      <c r="A28" s="56" t="s">
        <v>308</v>
      </c>
      <c r="B28" s="54"/>
      <c r="C28" s="39"/>
      <c r="D28" s="39"/>
      <c r="E28" s="57">
        <v>11462</v>
      </c>
      <c r="F28" s="58">
        <f>SUM(C28:E28)</f>
        <v>11462</v>
      </c>
    </row>
    <row r="29" spans="1:9" ht="31.5" x14ac:dyDescent="0.25">
      <c r="A29" s="59" t="s">
        <v>309</v>
      </c>
      <c r="B29" s="54"/>
      <c r="C29" s="39"/>
      <c r="D29" s="39"/>
      <c r="E29" s="48">
        <v>0</v>
      </c>
      <c r="F29" s="49">
        <f>SUM(C29:E29)</f>
        <v>0</v>
      </c>
    </row>
    <row r="30" spans="1:9" ht="16.5" thickBot="1" x14ac:dyDescent="0.3">
      <c r="A30" s="60" t="s">
        <v>252</v>
      </c>
      <c r="B30" s="61"/>
      <c r="C30" s="62">
        <f>SUM(C29+C28+C27+C18)</f>
        <v>27900</v>
      </c>
      <c r="D30" s="62">
        <f>SUM(D29+D28+D27+D18)</f>
        <v>99098</v>
      </c>
      <c r="E30" s="62">
        <f>SUM(E29+E28+E27+E18)</f>
        <v>12032</v>
      </c>
      <c r="F30" s="63">
        <f>SUM(F29+F28+F27+F18)</f>
        <v>139030</v>
      </c>
    </row>
    <row r="31" spans="1:9" ht="16.5" thickTop="1" x14ac:dyDescent="0.25"/>
  </sheetData>
  <phoneticPr fontId="31" type="noConversion"/>
  <printOptions horizontalCentered="1"/>
  <pageMargins left="0.51181102362204722" right="0.27559055118110237" top="1.4960629921259843" bottom="0.39370078740157483" header="0.43307086614173229" footer="0.19685039370078741"/>
  <pageSetup paperSize="9" scale="95" orientation="landscape" r:id="rId1"/>
  <headerFooter alignWithMargins="0">
    <oddHeader>&amp;C&amp;"Times New Roman CE,Félkövér"
Kimutatás a közvetett támogatásokról eFt-ban&amp;R&amp;"Times New Roman CE,Félkövér"21. melléklet
&amp;11a 3/2016.(II.12.) önkormányzati rendelethez</oddHeader>
    <oddFooter>&amp;C&amp;P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zoomScaleNormal="100" workbookViewId="0">
      <pane ySplit="1" topLeftCell="A2" activePane="bottomLeft" state="frozen"/>
      <selection activeCell="F15" sqref="F15"/>
      <selection pane="bottomLeft" activeCell="C42" sqref="C42"/>
    </sheetView>
  </sheetViews>
  <sheetFormatPr defaultRowHeight="15.75" x14ac:dyDescent="0.25"/>
  <cols>
    <col min="1" max="1" width="5.625" style="90" customWidth="1"/>
    <col min="2" max="2" width="20.125" style="27" customWidth="1"/>
    <col min="3" max="3" width="48.25" style="27" customWidth="1"/>
    <col min="4" max="4" width="15.5" style="27" customWidth="1"/>
    <col min="5" max="5" width="17.75" style="27" customWidth="1"/>
    <col min="6" max="6" width="16.375" style="27" bestFit="1" customWidth="1"/>
    <col min="7" max="7" width="17.25" style="64" bestFit="1" customWidth="1"/>
    <col min="8" max="8" width="16.25" style="64" hidden="1" customWidth="1"/>
    <col min="9" max="9" width="15.75" style="64" customWidth="1"/>
    <col min="10" max="16384" width="9" style="27"/>
  </cols>
  <sheetData>
    <row r="1" spans="1:9" s="21" customFormat="1" ht="47.25" x14ac:dyDescent="0.25">
      <c r="A1" s="65" t="s">
        <v>310</v>
      </c>
      <c r="B1" s="66" t="s">
        <v>311</v>
      </c>
      <c r="C1" s="66" t="s">
        <v>312</v>
      </c>
      <c r="D1" s="66" t="s">
        <v>71</v>
      </c>
      <c r="E1" s="66"/>
      <c r="F1" s="66" t="s">
        <v>313</v>
      </c>
      <c r="G1" s="67" t="s">
        <v>314</v>
      </c>
      <c r="H1" s="67" t="s">
        <v>315</v>
      </c>
      <c r="I1" s="68" t="s">
        <v>316</v>
      </c>
    </row>
    <row r="2" spans="1:9" s="21" customFormat="1" x14ac:dyDescent="0.25">
      <c r="A2" s="1313" t="s">
        <v>317</v>
      </c>
      <c r="B2" s="1314"/>
      <c r="C2" s="1314"/>
      <c r="D2" s="69"/>
      <c r="E2" s="69"/>
      <c r="F2" s="69"/>
      <c r="G2" s="70"/>
      <c r="H2" s="71"/>
      <c r="I2" s="72"/>
    </row>
    <row r="3" spans="1:9" x14ac:dyDescent="0.25">
      <c r="A3" s="73" t="s">
        <v>318</v>
      </c>
      <c r="B3" s="74" t="s">
        <v>320</v>
      </c>
      <c r="C3" s="74" t="s">
        <v>321</v>
      </c>
      <c r="D3" s="75">
        <v>126</v>
      </c>
      <c r="E3" s="74" t="s">
        <v>322</v>
      </c>
      <c r="F3" s="76">
        <v>42521</v>
      </c>
      <c r="G3" s="79">
        <v>132300</v>
      </c>
      <c r="H3" s="39">
        <v>100800</v>
      </c>
      <c r="I3" s="78">
        <f>G3*5</f>
        <v>661500</v>
      </c>
    </row>
    <row r="4" spans="1:9" x14ac:dyDescent="0.25">
      <c r="A4" s="73" t="s">
        <v>319</v>
      </c>
      <c r="B4" s="74" t="s">
        <v>324</v>
      </c>
      <c r="C4" s="74" t="s">
        <v>714</v>
      </c>
      <c r="D4" s="75">
        <v>49</v>
      </c>
      <c r="E4" s="74" t="s">
        <v>325</v>
      </c>
      <c r="F4" s="76">
        <v>42521</v>
      </c>
      <c r="G4" s="77">
        <v>51450</v>
      </c>
      <c r="H4" s="39">
        <v>49000</v>
      </c>
      <c r="I4" s="78">
        <f t="shared" ref="I4:I30" si="0">G4*5</f>
        <v>257250</v>
      </c>
    </row>
    <row r="5" spans="1:9" x14ac:dyDescent="0.25">
      <c r="A5" s="73" t="s">
        <v>323</v>
      </c>
      <c r="B5" s="74" t="s">
        <v>327</v>
      </c>
      <c r="C5" s="74" t="s">
        <v>328</v>
      </c>
      <c r="D5" s="75">
        <v>45</v>
      </c>
      <c r="E5" s="74" t="s">
        <v>329</v>
      </c>
      <c r="F5" s="76">
        <v>42521</v>
      </c>
      <c r="G5" s="77">
        <v>47250</v>
      </c>
      <c r="H5" s="39">
        <v>45000</v>
      </c>
      <c r="I5" s="78">
        <f t="shared" si="0"/>
        <v>236250</v>
      </c>
    </row>
    <row r="6" spans="1:9" x14ac:dyDescent="0.25">
      <c r="A6" s="73" t="s">
        <v>326</v>
      </c>
      <c r="B6" s="74" t="s">
        <v>331</v>
      </c>
      <c r="C6" s="74" t="s">
        <v>332</v>
      </c>
      <c r="D6" s="75">
        <v>346</v>
      </c>
      <c r="E6" s="74" t="s">
        <v>333</v>
      </c>
      <c r="F6" s="76">
        <v>42521</v>
      </c>
      <c r="G6" s="77">
        <v>363300</v>
      </c>
      <c r="H6" s="39">
        <v>276800</v>
      </c>
      <c r="I6" s="78">
        <f t="shared" si="0"/>
        <v>1816500</v>
      </c>
    </row>
    <row r="7" spans="1:9" x14ac:dyDescent="0.25">
      <c r="A7" s="73" t="s">
        <v>330</v>
      </c>
      <c r="B7" s="74" t="s">
        <v>335</v>
      </c>
      <c r="C7" s="74" t="s">
        <v>336</v>
      </c>
      <c r="D7" s="75">
        <v>45</v>
      </c>
      <c r="E7" s="74" t="s">
        <v>337</v>
      </c>
      <c r="F7" s="76">
        <v>42521</v>
      </c>
      <c r="G7" s="77">
        <v>47250</v>
      </c>
      <c r="H7" s="39">
        <v>45000</v>
      </c>
      <c r="I7" s="78">
        <f t="shared" si="0"/>
        <v>236250</v>
      </c>
    </row>
    <row r="8" spans="1:9" x14ac:dyDescent="0.25">
      <c r="A8" s="73" t="s">
        <v>334</v>
      </c>
      <c r="B8" s="74" t="s">
        <v>339</v>
      </c>
      <c r="C8" s="74" t="s">
        <v>340</v>
      </c>
      <c r="D8" s="75">
        <v>45</v>
      </c>
      <c r="E8" s="74" t="s">
        <v>325</v>
      </c>
      <c r="F8" s="76">
        <v>42521</v>
      </c>
      <c r="G8" s="79">
        <v>47250</v>
      </c>
      <c r="H8" s="39">
        <v>45000</v>
      </c>
      <c r="I8" s="78">
        <f t="shared" si="0"/>
        <v>236250</v>
      </c>
    </row>
    <row r="9" spans="1:9" x14ac:dyDescent="0.25">
      <c r="A9" s="73" t="s">
        <v>338</v>
      </c>
      <c r="B9" s="74" t="s">
        <v>342</v>
      </c>
      <c r="C9" s="74" t="s">
        <v>343</v>
      </c>
      <c r="D9" s="75">
        <v>75</v>
      </c>
      <c r="E9" s="74" t="s">
        <v>325</v>
      </c>
      <c r="F9" s="76">
        <v>42521</v>
      </c>
      <c r="G9" s="77">
        <v>78750</v>
      </c>
      <c r="H9" s="39"/>
      <c r="I9" s="78">
        <f t="shared" si="0"/>
        <v>393750</v>
      </c>
    </row>
    <row r="10" spans="1:9" x14ac:dyDescent="0.25">
      <c r="A10" s="73" t="s">
        <v>341</v>
      </c>
      <c r="B10" s="74" t="s">
        <v>4</v>
      </c>
      <c r="C10" s="74" t="s">
        <v>5</v>
      </c>
      <c r="D10" s="80">
        <v>190</v>
      </c>
      <c r="E10" s="74" t="s">
        <v>6</v>
      </c>
      <c r="F10" s="76">
        <v>42521</v>
      </c>
      <c r="G10" s="77">
        <v>199500</v>
      </c>
      <c r="H10" s="39">
        <v>232000</v>
      </c>
      <c r="I10" s="78">
        <f t="shared" si="0"/>
        <v>997500</v>
      </c>
    </row>
    <row r="11" spans="1:9" x14ac:dyDescent="0.25">
      <c r="A11" s="73" t="s">
        <v>344</v>
      </c>
      <c r="B11" s="74" t="s">
        <v>8</v>
      </c>
      <c r="C11" s="74" t="s">
        <v>9</v>
      </c>
      <c r="D11" s="75">
        <v>53</v>
      </c>
      <c r="E11" s="74" t="s">
        <v>10</v>
      </c>
      <c r="F11" s="76">
        <v>42521</v>
      </c>
      <c r="G11" s="77">
        <v>55650</v>
      </c>
      <c r="H11" s="39">
        <v>51500</v>
      </c>
      <c r="I11" s="78">
        <f t="shared" si="0"/>
        <v>278250</v>
      </c>
    </row>
    <row r="12" spans="1:9" x14ac:dyDescent="0.25">
      <c r="A12" s="73" t="s">
        <v>0</v>
      </c>
      <c r="B12" s="74" t="s">
        <v>12</v>
      </c>
      <c r="C12" s="74" t="s">
        <v>13</v>
      </c>
      <c r="D12" s="75">
        <v>41</v>
      </c>
      <c r="E12" s="74" t="s">
        <v>14</v>
      </c>
      <c r="F12" s="76">
        <v>42521</v>
      </c>
      <c r="G12" s="77">
        <v>43050</v>
      </c>
      <c r="H12" s="39">
        <v>41000</v>
      </c>
      <c r="I12" s="78">
        <f t="shared" si="0"/>
        <v>215250</v>
      </c>
    </row>
    <row r="13" spans="1:9" x14ac:dyDescent="0.25">
      <c r="A13" s="73" t="s">
        <v>1</v>
      </c>
      <c r="B13" s="74" t="s">
        <v>16</v>
      </c>
      <c r="C13" s="74" t="s">
        <v>17</v>
      </c>
      <c r="D13" s="75">
        <v>44</v>
      </c>
      <c r="E13" s="74" t="s">
        <v>325</v>
      </c>
      <c r="F13" s="76">
        <v>42521</v>
      </c>
      <c r="G13" s="77">
        <v>46200</v>
      </c>
      <c r="H13" s="39">
        <v>42500</v>
      </c>
      <c r="I13" s="78">
        <f t="shared" si="0"/>
        <v>231000</v>
      </c>
    </row>
    <row r="14" spans="1:9" x14ac:dyDescent="0.25">
      <c r="A14" s="73" t="s">
        <v>2</v>
      </c>
      <c r="B14" s="74" t="s">
        <v>19</v>
      </c>
      <c r="C14" s="74" t="s">
        <v>20</v>
      </c>
      <c r="D14" s="75">
        <v>76</v>
      </c>
      <c r="E14" s="74" t="s">
        <v>21</v>
      </c>
      <c r="F14" s="76">
        <v>42521</v>
      </c>
      <c r="G14" s="77">
        <v>79800</v>
      </c>
      <c r="H14" s="39">
        <v>76000</v>
      </c>
      <c r="I14" s="78">
        <f t="shared" si="0"/>
        <v>399000</v>
      </c>
    </row>
    <row r="15" spans="1:9" x14ac:dyDescent="0.25">
      <c r="A15" s="73" t="s">
        <v>3</v>
      </c>
      <c r="B15" s="74" t="s">
        <v>23</v>
      </c>
      <c r="C15" s="74" t="s">
        <v>24</v>
      </c>
      <c r="D15" s="75">
        <v>53</v>
      </c>
      <c r="E15" s="74" t="s">
        <v>329</v>
      </c>
      <c r="F15" s="76">
        <v>42521</v>
      </c>
      <c r="G15" s="77">
        <v>55650</v>
      </c>
      <c r="H15" s="39">
        <v>53000</v>
      </c>
      <c r="I15" s="78">
        <f t="shared" si="0"/>
        <v>278250</v>
      </c>
    </row>
    <row r="16" spans="1:9" x14ac:dyDescent="0.25">
      <c r="A16" s="73" t="s">
        <v>7</v>
      </c>
      <c r="B16" s="74" t="s">
        <v>29</v>
      </c>
      <c r="C16" s="74" t="s">
        <v>30</v>
      </c>
      <c r="D16" s="75">
        <v>36</v>
      </c>
      <c r="E16" s="74" t="s">
        <v>31</v>
      </c>
      <c r="F16" s="76">
        <v>42521</v>
      </c>
      <c r="G16" s="81">
        <v>10800</v>
      </c>
      <c r="H16" s="39">
        <v>5400</v>
      </c>
      <c r="I16" s="78">
        <f t="shared" si="0"/>
        <v>54000</v>
      </c>
    </row>
    <row r="17" spans="1:9" x14ac:dyDescent="0.25">
      <c r="A17" s="73" t="s">
        <v>11</v>
      </c>
      <c r="B17" s="74" t="s">
        <v>29</v>
      </c>
      <c r="C17" s="74" t="s">
        <v>30</v>
      </c>
      <c r="D17" s="75">
        <v>18</v>
      </c>
      <c r="E17" s="74" t="s">
        <v>329</v>
      </c>
      <c r="F17" s="76">
        <v>42521</v>
      </c>
      <c r="G17" s="81">
        <v>18900</v>
      </c>
      <c r="H17" s="39">
        <v>18000</v>
      </c>
      <c r="I17" s="78">
        <f t="shared" si="0"/>
        <v>94500</v>
      </c>
    </row>
    <row r="18" spans="1:9" x14ac:dyDescent="0.25">
      <c r="A18" s="73" t="s">
        <v>15</v>
      </c>
      <c r="B18" s="74" t="s">
        <v>34</v>
      </c>
      <c r="C18" s="74" t="s">
        <v>35</v>
      </c>
      <c r="D18" s="75">
        <v>13</v>
      </c>
      <c r="E18" s="74" t="s">
        <v>329</v>
      </c>
      <c r="F18" s="76">
        <v>42521</v>
      </c>
      <c r="G18" s="82">
        <v>13650</v>
      </c>
      <c r="H18" s="39"/>
      <c r="I18" s="78">
        <f t="shared" si="0"/>
        <v>68250</v>
      </c>
    </row>
    <row r="19" spans="1:9" x14ac:dyDescent="0.25">
      <c r="A19" s="73" t="s">
        <v>18</v>
      </c>
      <c r="B19" s="74" t="s">
        <v>39</v>
      </c>
      <c r="C19" s="74" t="s">
        <v>40</v>
      </c>
      <c r="D19" s="75">
        <v>49</v>
      </c>
      <c r="E19" s="74" t="s">
        <v>329</v>
      </c>
      <c r="F19" s="76">
        <v>42521</v>
      </c>
      <c r="G19" s="79">
        <v>51450</v>
      </c>
      <c r="H19" s="39">
        <v>49000</v>
      </c>
      <c r="I19" s="78">
        <f t="shared" si="0"/>
        <v>257250</v>
      </c>
    </row>
    <row r="20" spans="1:9" x14ac:dyDescent="0.25">
      <c r="A20" s="73" t="s">
        <v>22</v>
      </c>
      <c r="B20" s="74" t="s">
        <v>42</v>
      </c>
      <c r="C20" s="74" t="s">
        <v>43</v>
      </c>
      <c r="D20" s="75">
        <v>47</v>
      </c>
      <c r="E20" s="74" t="s">
        <v>337</v>
      </c>
      <c r="F20" s="76">
        <v>42521</v>
      </c>
      <c r="G20" s="77">
        <v>49350</v>
      </c>
      <c r="H20" s="39">
        <v>47000</v>
      </c>
      <c r="I20" s="78">
        <f t="shared" si="0"/>
        <v>246750</v>
      </c>
    </row>
    <row r="21" spans="1:9" x14ac:dyDescent="0.25">
      <c r="A21" s="73" t="s">
        <v>25</v>
      </c>
      <c r="B21" s="74" t="s">
        <v>45</v>
      </c>
      <c r="C21" s="74" t="s">
        <v>46</v>
      </c>
      <c r="D21" s="75">
        <v>93</v>
      </c>
      <c r="E21" s="74" t="s">
        <v>47</v>
      </c>
      <c r="F21" s="76">
        <v>42521</v>
      </c>
      <c r="G21" s="77">
        <v>97650</v>
      </c>
      <c r="H21" s="39">
        <v>93000</v>
      </c>
      <c r="I21" s="78">
        <f t="shared" si="0"/>
        <v>488250</v>
      </c>
    </row>
    <row r="22" spans="1:9" x14ac:dyDescent="0.25">
      <c r="A22" s="73" t="s">
        <v>26</v>
      </c>
      <c r="B22" s="74" t="s">
        <v>49</v>
      </c>
      <c r="C22" s="74" t="s">
        <v>715</v>
      </c>
      <c r="D22" s="75">
        <v>20</v>
      </c>
      <c r="E22" s="74" t="s">
        <v>329</v>
      </c>
      <c r="F22" s="76">
        <v>42521</v>
      </c>
      <c r="G22" s="79">
        <v>21000</v>
      </c>
      <c r="H22" s="39">
        <v>20000</v>
      </c>
      <c r="I22" s="78">
        <f t="shared" si="0"/>
        <v>105000</v>
      </c>
    </row>
    <row r="23" spans="1:9" x14ac:dyDescent="0.25">
      <c r="A23" s="73" t="s">
        <v>28</v>
      </c>
      <c r="B23" s="74" t="s">
        <v>51</v>
      </c>
      <c r="C23" s="74" t="s">
        <v>717</v>
      </c>
      <c r="D23" s="75">
        <v>49</v>
      </c>
      <c r="E23" s="74" t="s">
        <v>325</v>
      </c>
      <c r="F23" s="76">
        <v>42521</v>
      </c>
      <c r="G23" s="77">
        <v>51450</v>
      </c>
      <c r="H23" s="39">
        <v>47500</v>
      </c>
      <c r="I23" s="78">
        <f t="shared" si="0"/>
        <v>257250</v>
      </c>
    </row>
    <row r="24" spans="1:9" x14ac:dyDescent="0.25">
      <c r="A24" s="73" t="s">
        <v>32</v>
      </c>
      <c r="B24" s="74" t="s">
        <v>53</v>
      </c>
      <c r="C24" s="74" t="s">
        <v>716</v>
      </c>
      <c r="D24" s="75">
        <v>43</v>
      </c>
      <c r="E24" s="74" t="s">
        <v>329</v>
      </c>
      <c r="F24" s="76">
        <v>42521</v>
      </c>
      <c r="G24" s="77">
        <v>45150</v>
      </c>
      <c r="H24" s="39">
        <v>43000</v>
      </c>
      <c r="I24" s="78">
        <f t="shared" si="0"/>
        <v>225750</v>
      </c>
    </row>
    <row r="25" spans="1:9" x14ac:dyDescent="0.25">
      <c r="A25" s="73" t="s">
        <v>33</v>
      </c>
      <c r="B25" s="74" t="s">
        <v>54</v>
      </c>
      <c r="C25" s="74" t="s">
        <v>55</v>
      </c>
      <c r="D25" s="75">
        <v>54</v>
      </c>
      <c r="E25" s="74" t="s">
        <v>31</v>
      </c>
      <c r="F25" s="76">
        <v>42521</v>
      </c>
      <c r="G25" s="77">
        <v>16200</v>
      </c>
      <c r="H25" s="39"/>
      <c r="I25" s="78">
        <f t="shared" si="0"/>
        <v>81000</v>
      </c>
    </row>
    <row r="26" spans="1:9" x14ac:dyDescent="0.25">
      <c r="A26" s="73" t="s">
        <v>36</v>
      </c>
      <c r="B26" s="74" t="s">
        <v>56</v>
      </c>
      <c r="C26" s="74" t="s">
        <v>57</v>
      </c>
      <c r="D26" s="75">
        <v>54</v>
      </c>
      <c r="E26" s="74" t="s">
        <v>329</v>
      </c>
      <c r="F26" s="76">
        <v>42521</v>
      </c>
      <c r="G26" s="77">
        <v>56700</v>
      </c>
      <c r="H26" s="39">
        <v>54000</v>
      </c>
      <c r="I26" s="78">
        <f t="shared" si="0"/>
        <v>283500</v>
      </c>
    </row>
    <row r="27" spans="1:9" s="83" customFormat="1" x14ac:dyDescent="0.25">
      <c r="A27" s="73" t="s">
        <v>37</v>
      </c>
      <c r="B27" s="74" t="s">
        <v>58</v>
      </c>
      <c r="C27" s="74" t="s">
        <v>59</v>
      </c>
      <c r="D27" s="75">
        <v>175</v>
      </c>
      <c r="E27" s="74" t="s">
        <v>325</v>
      </c>
      <c r="F27" s="76">
        <v>42521</v>
      </c>
      <c r="G27" s="79">
        <v>183750</v>
      </c>
      <c r="H27" s="39">
        <v>262500</v>
      </c>
      <c r="I27" s="78">
        <f t="shared" si="0"/>
        <v>918750</v>
      </c>
    </row>
    <row r="28" spans="1:9" s="83" customFormat="1" x14ac:dyDescent="0.25">
      <c r="A28" s="73" t="s">
        <v>38</v>
      </c>
      <c r="B28" s="74" t="s">
        <v>60</v>
      </c>
      <c r="C28" s="74" t="s">
        <v>61</v>
      </c>
      <c r="D28" s="75">
        <v>47</v>
      </c>
      <c r="E28" s="74" t="s">
        <v>329</v>
      </c>
      <c r="F28" s="76">
        <v>42521</v>
      </c>
      <c r="G28" s="79">
        <v>49350</v>
      </c>
      <c r="H28" s="39"/>
      <c r="I28" s="78">
        <f t="shared" si="0"/>
        <v>246750</v>
      </c>
    </row>
    <row r="29" spans="1:9" s="83" customFormat="1" x14ac:dyDescent="0.25">
      <c r="A29" s="73" t="s">
        <v>41</v>
      </c>
      <c r="B29" s="74" t="s">
        <v>62</v>
      </c>
      <c r="C29" s="74" t="s">
        <v>63</v>
      </c>
      <c r="D29" s="75">
        <v>53</v>
      </c>
      <c r="E29" s="74" t="s">
        <v>31</v>
      </c>
      <c r="F29" s="76">
        <v>42521</v>
      </c>
      <c r="G29" s="79">
        <v>15900</v>
      </c>
      <c r="H29" s="39"/>
      <c r="I29" s="78">
        <f t="shared" si="0"/>
        <v>79500</v>
      </c>
    </row>
    <row r="30" spans="1:9" s="83" customFormat="1" x14ac:dyDescent="0.25">
      <c r="A30" s="73" t="s">
        <v>44</v>
      </c>
      <c r="B30" s="74" t="s">
        <v>472</v>
      </c>
      <c r="C30" s="74" t="s">
        <v>64</v>
      </c>
      <c r="D30" s="75">
        <v>36</v>
      </c>
      <c r="E30" s="74" t="s">
        <v>31</v>
      </c>
      <c r="F30" s="76">
        <v>42521</v>
      </c>
      <c r="G30" s="79">
        <v>10800</v>
      </c>
      <c r="H30" s="39"/>
      <c r="I30" s="78">
        <f t="shared" si="0"/>
        <v>54000</v>
      </c>
    </row>
    <row r="31" spans="1:9" x14ac:dyDescent="0.25">
      <c r="A31" s="73"/>
      <c r="B31" s="54"/>
      <c r="C31" s="47" t="s">
        <v>65</v>
      </c>
      <c r="D31" s="54"/>
      <c r="E31" s="54"/>
      <c r="F31" s="54"/>
      <c r="G31" s="48">
        <f>SUM(G3:G30)</f>
        <v>1939500</v>
      </c>
      <c r="H31" s="48">
        <f>SUM(H3:H27)</f>
        <v>1697000</v>
      </c>
      <c r="I31" s="84">
        <f>SUM(I3:I30)</f>
        <v>9697500</v>
      </c>
    </row>
    <row r="32" spans="1:9" x14ac:dyDescent="0.25">
      <c r="A32" s="1313" t="s">
        <v>66</v>
      </c>
      <c r="B32" s="1314"/>
      <c r="C32" s="1314"/>
      <c r="D32" s="54"/>
      <c r="E32" s="54"/>
      <c r="F32" s="54"/>
      <c r="G32" s="48"/>
      <c r="H32" s="48"/>
      <c r="I32" s="84"/>
    </row>
    <row r="33" spans="1:9" x14ac:dyDescent="0.25">
      <c r="A33" s="73" t="s">
        <v>318</v>
      </c>
      <c r="B33" s="74" t="s">
        <v>27</v>
      </c>
      <c r="C33" s="74" t="s">
        <v>67</v>
      </c>
      <c r="D33" s="75">
        <v>14</v>
      </c>
      <c r="E33" s="74" t="s">
        <v>329</v>
      </c>
      <c r="F33" s="76">
        <v>42735</v>
      </c>
      <c r="G33" s="79">
        <v>14700</v>
      </c>
      <c r="H33" s="39"/>
      <c r="I33" s="78">
        <v>176400</v>
      </c>
    </row>
    <row r="34" spans="1:9" x14ac:dyDescent="0.25">
      <c r="A34" s="73" t="s">
        <v>319</v>
      </c>
      <c r="B34" s="74" t="s">
        <v>68</v>
      </c>
      <c r="C34" s="74" t="s">
        <v>67</v>
      </c>
      <c r="D34" s="75">
        <v>42</v>
      </c>
      <c r="E34" s="74" t="s">
        <v>329</v>
      </c>
      <c r="F34" s="76">
        <v>42735</v>
      </c>
      <c r="G34" s="79">
        <v>44100</v>
      </c>
      <c r="H34" s="39"/>
      <c r="I34" s="78">
        <v>529200</v>
      </c>
    </row>
    <row r="35" spans="1:9" x14ac:dyDescent="0.25">
      <c r="A35" s="73" t="s">
        <v>323</v>
      </c>
      <c r="B35" s="74" t="s">
        <v>69</v>
      </c>
      <c r="C35" s="74" t="s">
        <v>67</v>
      </c>
      <c r="D35" s="75">
        <v>42</v>
      </c>
      <c r="E35" s="74" t="s">
        <v>329</v>
      </c>
      <c r="F35" s="76">
        <v>42735</v>
      </c>
      <c r="G35" s="79">
        <v>44100</v>
      </c>
      <c r="H35" s="39"/>
      <c r="I35" s="78">
        <v>529200</v>
      </c>
    </row>
    <row r="36" spans="1:9" x14ac:dyDescent="0.25">
      <c r="A36" s="73" t="s">
        <v>326</v>
      </c>
      <c r="B36" s="74" t="s">
        <v>69</v>
      </c>
      <c r="C36" s="74" t="s">
        <v>67</v>
      </c>
      <c r="D36" s="75">
        <v>42</v>
      </c>
      <c r="E36" s="74" t="s">
        <v>329</v>
      </c>
      <c r="F36" s="76">
        <v>42735</v>
      </c>
      <c r="G36" s="79">
        <v>44100</v>
      </c>
      <c r="H36" s="39"/>
      <c r="I36" s="78">
        <v>529200</v>
      </c>
    </row>
    <row r="37" spans="1:9" x14ac:dyDescent="0.25">
      <c r="A37" s="73"/>
      <c r="B37" s="54"/>
      <c r="C37" s="47" t="s">
        <v>70</v>
      </c>
      <c r="D37" s="54"/>
      <c r="E37" s="54"/>
      <c r="F37" s="54"/>
      <c r="G37" s="48">
        <f>SUM(G33:G36)</f>
        <v>147000</v>
      </c>
      <c r="H37" s="48">
        <f>SUM(H10:H32)</f>
        <v>2832400</v>
      </c>
      <c r="I37" s="84">
        <f>SUM(I33:I36)</f>
        <v>1764000</v>
      </c>
    </row>
    <row r="38" spans="1:9" ht="16.5" thickBot="1" x14ac:dyDescent="0.3">
      <c r="A38" s="85"/>
      <c r="B38" s="86"/>
      <c r="C38" s="87" t="s">
        <v>265</v>
      </c>
      <c r="D38" s="86"/>
      <c r="E38" s="86"/>
      <c r="F38" s="86"/>
      <c r="G38" s="88">
        <f>SUM(G31+G37)</f>
        <v>2086500</v>
      </c>
      <c r="H38" s="88">
        <f>SUM(H10:H32)</f>
        <v>2832400</v>
      </c>
      <c r="I38" s="89">
        <f>SUM(I31+I37)</f>
        <v>11461500</v>
      </c>
    </row>
  </sheetData>
  <mergeCells count="2">
    <mergeCell ref="A2:C2"/>
    <mergeCell ref="A32:C32"/>
  </mergeCells>
  <phoneticPr fontId="31" type="noConversion"/>
  <printOptions horizontalCentered="1"/>
  <pageMargins left="0.19685039370078741" right="0.19685039370078741" top="1.1811023622047245" bottom="0.47244094488188981" header="0.51181102362204722" footer="0.15748031496062992"/>
  <pageSetup paperSize="9" scale="78" orientation="landscape" r:id="rId1"/>
  <headerFooter alignWithMargins="0">
    <oddHeader>&amp;C&amp;"Times New Roman,Félkövér"
Kimutatás a 2016. évben elengedett bérleti díjakról
&amp;R&amp;"Times New Roman,Félkövér"22. melléklet
&amp;10 &amp;11a 3/2016.(II.12.) önkormányzati rendelethez</oddHeader>
    <oddFooter>&amp;C&amp;P.oldal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08"/>
  <sheetViews>
    <sheetView topLeftCell="A22" zoomScaleNormal="100" workbookViewId="0">
      <selection activeCell="M47" sqref="M47"/>
    </sheetView>
  </sheetViews>
  <sheetFormatPr defaultRowHeight="15.75" x14ac:dyDescent="0.25"/>
  <cols>
    <col min="1" max="1" width="41.25" style="458" customWidth="1"/>
    <col min="2" max="6" width="10.5" style="465" customWidth="1"/>
    <col min="7" max="16384" width="9" style="1220"/>
  </cols>
  <sheetData>
    <row r="1" spans="1:6" x14ac:dyDescent="0.25">
      <c r="A1" s="1268" t="s">
        <v>961</v>
      </c>
      <c r="B1" s="1268"/>
      <c r="C1" s="1268"/>
      <c r="D1" s="1268"/>
      <c r="E1" s="1268"/>
      <c r="F1" s="1268"/>
    </row>
    <row r="2" spans="1:6" x14ac:dyDescent="0.25">
      <c r="A2" s="1268" t="s">
        <v>628</v>
      </c>
      <c r="B2" s="1268"/>
      <c r="C2" s="1268"/>
      <c r="D2" s="1268"/>
      <c r="E2" s="1268"/>
      <c r="F2" s="1268"/>
    </row>
    <row r="3" spans="1:6" x14ac:dyDescent="0.25">
      <c r="A3" s="463"/>
      <c r="B3" s="464"/>
      <c r="C3" s="464"/>
      <c r="D3" s="464"/>
      <c r="E3" s="464"/>
      <c r="F3" s="464"/>
    </row>
    <row r="4" spans="1:6" ht="16.5" thickBot="1" x14ac:dyDescent="0.3">
      <c r="A4" s="497"/>
      <c r="B4" s="498"/>
      <c r="C4" s="498"/>
      <c r="D4" s="498"/>
      <c r="E4" s="498"/>
      <c r="F4" s="498"/>
    </row>
    <row r="5" spans="1:6" ht="32.25" thickBot="1" x14ac:dyDescent="0.3">
      <c r="A5" s="455" t="s">
        <v>632</v>
      </c>
      <c r="B5" s="456" t="s">
        <v>630</v>
      </c>
      <c r="C5" s="456" t="s">
        <v>631</v>
      </c>
      <c r="D5" s="456" t="s">
        <v>590</v>
      </c>
      <c r="E5" s="456" t="s">
        <v>591</v>
      </c>
      <c r="F5" s="456" t="s">
        <v>383</v>
      </c>
    </row>
    <row r="6" spans="1:6" x14ac:dyDescent="0.25">
      <c r="A6" s="644" t="s">
        <v>542</v>
      </c>
      <c r="B6" s="645">
        <v>8656</v>
      </c>
      <c r="C6" s="645">
        <f>B6*15.6%</f>
        <v>1350.336</v>
      </c>
      <c r="D6" s="645"/>
      <c r="E6" s="646"/>
      <c r="F6" s="646"/>
    </row>
    <row r="7" spans="1:6" ht="16.5" thickBot="1" x14ac:dyDescent="0.3">
      <c r="A7" s="655" t="s">
        <v>543</v>
      </c>
      <c r="B7" s="645">
        <v>3390</v>
      </c>
      <c r="C7" s="645">
        <f>B7*15.67%</f>
        <v>531.21299999999997</v>
      </c>
      <c r="D7" s="645">
        <v>8510</v>
      </c>
      <c r="E7" s="646">
        <f>D7*27%</f>
        <v>2297.7000000000003</v>
      </c>
      <c r="F7" s="646"/>
    </row>
    <row r="8" spans="1:6" ht="17.25" thickTop="1" thickBot="1" x14ac:dyDescent="0.3">
      <c r="A8" s="647" t="s">
        <v>588</v>
      </c>
      <c r="B8" s="462">
        <f>SUM(B6:B7)</f>
        <v>12046</v>
      </c>
      <c r="C8" s="462">
        <f>SUM(C6:C7)</f>
        <v>1881.549</v>
      </c>
      <c r="D8" s="462">
        <f>SUM(D6:D7)</f>
        <v>8510</v>
      </c>
      <c r="E8" s="648">
        <f>SUM(E6:E7)</f>
        <v>2297.7000000000003</v>
      </c>
      <c r="F8" s="648">
        <f>SUM(F6:F7)</f>
        <v>0</v>
      </c>
    </row>
    <row r="9" spans="1:6" ht="16.5" thickTop="1" x14ac:dyDescent="0.25">
      <c r="A9" s="649" t="s">
        <v>545</v>
      </c>
      <c r="B9" s="645">
        <v>5355</v>
      </c>
      <c r="C9" s="645">
        <f>B9*9.86%</f>
        <v>528.00299999999993</v>
      </c>
      <c r="D9" s="645">
        <v>3464</v>
      </c>
      <c r="E9" s="646">
        <f t="shared" ref="E9:E14" si="0">D9*27%</f>
        <v>935.28000000000009</v>
      </c>
      <c r="F9" s="646"/>
    </row>
    <row r="10" spans="1:6" x14ac:dyDescent="0.25">
      <c r="A10" s="644" t="s">
        <v>546</v>
      </c>
      <c r="B10" s="645">
        <v>3388</v>
      </c>
      <c r="C10" s="645">
        <f>B10*12.6%</f>
        <v>426.88799999999998</v>
      </c>
      <c r="D10" s="645">
        <v>3491</v>
      </c>
      <c r="E10" s="646">
        <f t="shared" si="0"/>
        <v>942.57</v>
      </c>
      <c r="F10" s="646"/>
    </row>
    <row r="11" spans="1:6" x14ac:dyDescent="0.25">
      <c r="A11" s="644" t="s">
        <v>547</v>
      </c>
      <c r="B11" s="645">
        <v>1795</v>
      </c>
      <c r="C11" s="645">
        <f>B11*26.98%</f>
        <v>484.291</v>
      </c>
      <c r="D11" s="645">
        <v>3367</v>
      </c>
      <c r="E11" s="646">
        <f t="shared" si="0"/>
        <v>909.09</v>
      </c>
      <c r="F11" s="646"/>
    </row>
    <row r="12" spans="1:6" x14ac:dyDescent="0.25">
      <c r="A12" s="644" t="s">
        <v>802</v>
      </c>
      <c r="B12" s="645">
        <v>1412</v>
      </c>
      <c r="C12" s="645">
        <f>B12*26.99%</f>
        <v>381.09879999999998</v>
      </c>
      <c r="D12" s="645">
        <v>1268</v>
      </c>
      <c r="E12" s="646">
        <f t="shared" si="0"/>
        <v>342.36</v>
      </c>
      <c r="F12" s="646"/>
    </row>
    <row r="13" spans="1:6" x14ac:dyDescent="0.25">
      <c r="A13" s="644" t="s">
        <v>549</v>
      </c>
      <c r="B13" s="645">
        <v>5993</v>
      </c>
      <c r="C13" s="645">
        <f>B13*8.81%</f>
        <v>527.9833000000001</v>
      </c>
      <c r="D13" s="645">
        <v>4235</v>
      </c>
      <c r="E13" s="646">
        <f t="shared" si="0"/>
        <v>1143.45</v>
      </c>
      <c r="F13" s="646"/>
    </row>
    <row r="14" spans="1:6" ht="16.5" thickBot="1" x14ac:dyDescent="0.3">
      <c r="A14" s="644" t="s">
        <v>550</v>
      </c>
      <c r="B14" s="645">
        <v>3685</v>
      </c>
      <c r="C14" s="645">
        <f>B14*11.05%</f>
        <v>407.1925</v>
      </c>
      <c r="D14" s="645">
        <v>3680</v>
      </c>
      <c r="E14" s="646">
        <f t="shared" si="0"/>
        <v>993.6</v>
      </c>
      <c r="F14" s="646"/>
    </row>
    <row r="15" spans="1:6" ht="17.25" thickTop="1" thickBot="1" x14ac:dyDescent="0.3">
      <c r="A15" s="647" t="s">
        <v>551</v>
      </c>
      <c r="B15" s="462">
        <f>SUM(B9:B14)</f>
        <v>21628</v>
      </c>
      <c r="C15" s="462">
        <f>SUM(C9:C14)</f>
        <v>2755.4566</v>
      </c>
      <c r="D15" s="462">
        <f>SUM(D9:D14)</f>
        <v>19505</v>
      </c>
      <c r="E15" s="648">
        <f>SUM(E9:E14)</f>
        <v>5266.35</v>
      </c>
      <c r="F15" s="648">
        <f>SUM(F9:F14)</f>
        <v>0</v>
      </c>
    </row>
    <row r="16" spans="1:6" ht="16.5" thickTop="1" x14ac:dyDescent="0.25">
      <c r="A16" s="644" t="s">
        <v>552</v>
      </c>
      <c r="B16" s="645">
        <v>7143</v>
      </c>
      <c r="C16" s="645">
        <f>B16*17.9%</f>
        <v>1278.597</v>
      </c>
      <c r="D16" s="645">
        <v>35446</v>
      </c>
      <c r="E16" s="646">
        <f>D16*27%</f>
        <v>9570.42</v>
      </c>
      <c r="F16" s="646"/>
    </row>
    <row r="17" spans="1:6" x14ac:dyDescent="0.25">
      <c r="A17" s="644" t="s">
        <v>553</v>
      </c>
      <c r="B17" s="645">
        <v>7613</v>
      </c>
      <c r="C17" s="645">
        <f>B17*11.08%</f>
        <v>843.5204</v>
      </c>
      <c r="D17" s="645">
        <v>33119</v>
      </c>
      <c r="E17" s="646">
        <f t="shared" ref="E17:E27" si="1">D17*27%</f>
        <v>8942.130000000001</v>
      </c>
      <c r="F17" s="646"/>
    </row>
    <row r="18" spans="1:6" ht="31.5" x14ac:dyDescent="0.25">
      <c r="A18" s="644" t="s">
        <v>554</v>
      </c>
      <c r="B18" s="645">
        <v>9821</v>
      </c>
      <c r="C18" s="645">
        <f>B18*27%</f>
        <v>2651.67</v>
      </c>
      <c r="D18" s="645">
        <v>50533</v>
      </c>
      <c r="E18" s="646">
        <f t="shared" si="1"/>
        <v>13643.910000000002</v>
      </c>
      <c r="F18" s="646"/>
    </row>
    <row r="19" spans="1:6" x14ac:dyDescent="0.25">
      <c r="A19" s="644" t="s">
        <v>555</v>
      </c>
      <c r="B19" s="645">
        <v>4778</v>
      </c>
      <c r="C19" s="645">
        <f>B19*19.88%</f>
        <v>949.86639999999989</v>
      </c>
      <c r="D19" s="645">
        <v>31519</v>
      </c>
      <c r="E19" s="646">
        <f t="shared" si="1"/>
        <v>8510.130000000001</v>
      </c>
      <c r="F19" s="646"/>
    </row>
    <row r="20" spans="1:6" x14ac:dyDescent="0.25">
      <c r="A20" s="644" t="s">
        <v>556</v>
      </c>
      <c r="B20" s="645">
        <v>11656</v>
      </c>
      <c r="C20" s="645">
        <f>B20*12.05%</f>
        <v>1404.548</v>
      </c>
      <c r="D20" s="645">
        <v>32712</v>
      </c>
      <c r="E20" s="646">
        <f t="shared" si="1"/>
        <v>8832.24</v>
      </c>
      <c r="F20" s="646"/>
    </row>
    <row r="21" spans="1:6" x14ac:dyDescent="0.25">
      <c r="A21" s="644" t="s">
        <v>557</v>
      </c>
      <c r="B21" s="645">
        <v>2667</v>
      </c>
      <c r="C21" s="645">
        <f>B21*26.99%</f>
        <v>719.8232999999999</v>
      </c>
      <c r="D21" s="645">
        <v>34704</v>
      </c>
      <c r="E21" s="646">
        <f t="shared" si="1"/>
        <v>9370.08</v>
      </c>
      <c r="F21" s="646"/>
    </row>
    <row r="22" spans="1:6" x14ac:dyDescent="0.25">
      <c r="A22" s="644" t="s">
        <v>91</v>
      </c>
      <c r="B22" s="645">
        <v>8267</v>
      </c>
      <c r="C22" s="645">
        <f>B22*16.96%</f>
        <v>1402.0832</v>
      </c>
      <c r="D22" s="645">
        <v>35475</v>
      </c>
      <c r="E22" s="646">
        <f t="shared" si="1"/>
        <v>9578.25</v>
      </c>
      <c r="F22" s="646"/>
    </row>
    <row r="23" spans="1:6" x14ac:dyDescent="0.25">
      <c r="A23" s="644" t="s">
        <v>803</v>
      </c>
      <c r="B23" s="645">
        <v>9425</v>
      </c>
      <c r="C23" s="645">
        <f>B23*10.23%</f>
        <v>964.17750000000001</v>
      </c>
      <c r="D23" s="645">
        <v>36267</v>
      </c>
      <c r="E23" s="646">
        <f t="shared" si="1"/>
        <v>9792.09</v>
      </c>
      <c r="F23" s="646"/>
    </row>
    <row r="24" spans="1:6" x14ac:dyDescent="0.25">
      <c r="A24" s="644" t="s">
        <v>558</v>
      </c>
      <c r="B24" s="645">
        <v>894</v>
      </c>
      <c r="C24" s="645">
        <f>B24*26.98%</f>
        <v>241.2012</v>
      </c>
      <c r="D24" s="645">
        <v>8497</v>
      </c>
      <c r="E24" s="646">
        <f t="shared" si="1"/>
        <v>2294.19</v>
      </c>
      <c r="F24" s="646"/>
    </row>
    <row r="25" spans="1:6" x14ac:dyDescent="0.25">
      <c r="A25" s="644" t="s">
        <v>804</v>
      </c>
      <c r="B25" s="645">
        <v>10646</v>
      </c>
      <c r="C25" s="645">
        <f>B25*13.84%</f>
        <v>1473.4063999999998</v>
      </c>
      <c r="D25" s="645">
        <v>37529</v>
      </c>
      <c r="E25" s="646">
        <f t="shared" si="1"/>
        <v>10132.83</v>
      </c>
      <c r="F25" s="646"/>
    </row>
    <row r="26" spans="1:6" x14ac:dyDescent="0.25">
      <c r="A26" s="644" t="s">
        <v>560</v>
      </c>
      <c r="B26" s="645">
        <v>8076</v>
      </c>
      <c r="C26" s="645">
        <f>B26*15.1%</f>
        <v>1219.4759999999999</v>
      </c>
      <c r="D26" s="645">
        <v>32688</v>
      </c>
      <c r="E26" s="646">
        <f t="shared" si="1"/>
        <v>8825.76</v>
      </c>
      <c r="F26" s="646"/>
    </row>
    <row r="27" spans="1:6" ht="16.5" thickBot="1" x14ac:dyDescent="0.3">
      <c r="A27" s="644" t="s">
        <v>92</v>
      </c>
      <c r="B27" s="645">
        <v>8099</v>
      </c>
      <c r="C27" s="645">
        <f>B27*10.55%</f>
        <v>854.44450000000006</v>
      </c>
      <c r="D27" s="645">
        <v>25596</v>
      </c>
      <c r="E27" s="646">
        <f t="shared" si="1"/>
        <v>6910.92</v>
      </c>
      <c r="F27" s="646"/>
    </row>
    <row r="28" spans="1:6" ht="17.25" thickTop="1" thickBot="1" x14ac:dyDescent="0.3">
      <c r="A28" s="647" t="s">
        <v>561</v>
      </c>
      <c r="B28" s="462">
        <f>SUM(B16:B27)</f>
        <v>89085</v>
      </c>
      <c r="C28" s="462">
        <f>SUM(C16:C27)</f>
        <v>14002.813899999999</v>
      </c>
      <c r="D28" s="462">
        <f>SUM(D16:D27)</f>
        <v>394085</v>
      </c>
      <c r="E28" s="648">
        <f>SUM(E16:E27)</f>
        <v>106402.95</v>
      </c>
      <c r="F28" s="648">
        <f>SUM(F16:F27)</f>
        <v>0</v>
      </c>
    </row>
    <row r="29" spans="1:6" ht="17.25" thickTop="1" thickBot="1" x14ac:dyDescent="0.3">
      <c r="A29" s="647" t="s">
        <v>594</v>
      </c>
      <c r="B29" s="462">
        <f>SUM(B28+B15+B8)</f>
        <v>122759</v>
      </c>
      <c r="C29" s="462">
        <f>SUM(C28+C15+C8)</f>
        <v>18639.819499999998</v>
      </c>
      <c r="D29" s="462">
        <f>SUM(D28+D15+D8)</f>
        <v>422100</v>
      </c>
      <c r="E29" s="648">
        <f>SUM(E28+E15+E8)</f>
        <v>113967</v>
      </c>
      <c r="F29" s="648">
        <f>SUM(F28+F15+F8)</f>
        <v>0</v>
      </c>
    </row>
    <row r="30" spans="1:6" ht="16.5" thickTop="1" x14ac:dyDescent="0.25">
      <c r="A30" s="644" t="s">
        <v>93</v>
      </c>
      <c r="B30" s="645">
        <v>42344</v>
      </c>
      <c r="C30" s="645">
        <f>B30*25.08%</f>
        <v>10619.875199999999</v>
      </c>
      <c r="D30" s="645">
        <v>144052</v>
      </c>
      <c r="E30" s="646">
        <f>D30*27%</f>
        <v>38894.04</v>
      </c>
      <c r="F30" s="646"/>
    </row>
    <row r="31" spans="1:6" x14ac:dyDescent="0.25">
      <c r="A31" s="644" t="s">
        <v>949</v>
      </c>
      <c r="B31" s="645">
        <v>1855</v>
      </c>
      <c r="C31" s="645">
        <f>B31*16.67%</f>
        <v>309.22850000000005</v>
      </c>
      <c r="D31" s="645"/>
      <c r="E31" s="646"/>
      <c r="F31" s="646"/>
    </row>
    <row r="32" spans="1:6" ht="16.5" thickBot="1" x14ac:dyDescent="0.3">
      <c r="A32" s="644" t="s">
        <v>563</v>
      </c>
      <c r="B32" s="645">
        <v>21316</v>
      </c>
      <c r="C32" s="645">
        <f>B32*26.7%</f>
        <v>5691.3720000000003</v>
      </c>
      <c r="D32" s="645">
        <v>16858</v>
      </c>
      <c r="E32" s="646">
        <f t="shared" ref="E32" si="2">D32*27%</f>
        <v>4551.66</v>
      </c>
      <c r="F32" s="646"/>
    </row>
    <row r="33" spans="1:6" ht="17.25" thickTop="1" thickBot="1" x14ac:dyDescent="0.3">
      <c r="A33" s="647" t="s">
        <v>564</v>
      </c>
      <c r="B33" s="462">
        <f>SUM(B30:B32)</f>
        <v>65515</v>
      </c>
      <c r="C33" s="462">
        <f>SUM(C30:C32)</f>
        <v>16620.475699999999</v>
      </c>
      <c r="D33" s="462">
        <f>SUM(D30:D32)</f>
        <v>160910</v>
      </c>
      <c r="E33" s="648">
        <f>SUM(E30:E32)</f>
        <v>43445.7</v>
      </c>
      <c r="F33" s="648">
        <f>SUM(F30:F32)</f>
        <v>0</v>
      </c>
    </row>
    <row r="34" spans="1:6" ht="17.25" thickTop="1" thickBot="1" x14ac:dyDescent="0.3">
      <c r="A34" s="647" t="s">
        <v>565</v>
      </c>
      <c r="B34" s="462">
        <v>375183</v>
      </c>
      <c r="C34" s="462">
        <f>B34*13.29%</f>
        <v>49861.820699999997</v>
      </c>
      <c r="D34" s="462">
        <v>681071</v>
      </c>
      <c r="E34" s="648">
        <f>D34*27%</f>
        <v>183889.17</v>
      </c>
      <c r="F34" s="648">
        <v>5000</v>
      </c>
    </row>
    <row r="35" spans="1:6" ht="16.5" thickTop="1" x14ac:dyDescent="0.25">
      <c r="A35" s="649" t="s">
        <v>566</v>
      </c>
      <c r="B35" s="645">
        <v>2861</v>
      </c>
      <c r="C35" s="645">
        <f>B35*10.13%</f>
        <v>289.8193</v>
      </c>
      <c r="D35" s="645"/>
      <c r="E35" s="646"/>
      <c r="F35" s="646"/>
    </row>
    <row r="36" spans="1:6" x14ac:dyDescent="0.25">
      <c r="A36" s="649" t="s">
        <v>567</v>
      </c>
      <c r="B36" s="645">
        <v>1383</v>
      </c>
      <c r="C36" s="645">
        <f>B36*19.54%</f>
        <v>270.23820000000001</v>
      </c>
      <c r="D36" s="645"/>
      <c r="E36" s="646"/>
      <c r="F36" s="646"/>
    </row>
    <row r="37" spans="1:6" x14ac:dyDescent="0.25">
      <c r="A37" s="649" t="s">
        <v>381</v>
      </c>
      <c r="B37" s="645">
        <v>14802</v>
      </c>
      <c r="C37" s="645">
        <f>B37*11.62%</f>
        <v>1719.9923999999999</v>
      </c>
      <c r="D37" s="645"/>
      <c r="E37" s="646"/>
      <c r="F37" s="646"/>
    </row>
    <row r="38" spans="1:6" x14ac:dyDescent="0.25">
      <c r="A38" s="649" t="s">
        <v>568</v>
      </c>
      <c r="B38" s="645">
        <v>32432</v>
      </c>
      <c r="C38" s="645">
        <f>B38*16.74%</f>
        <v>5429.1167999999998</v>
      </c>
      <c r="D38" s="645"/>
      <c r="E38" s="646"/>
      <c r="F38" s="646"/>
    </row>
    <row r="39" spans="1:6" x14ac:dyDescent="0.25">
      <c r="A39" s="649" t="s">
        <v>569</v>
      </c>
      <c r="B39" s="499">
        <v>43215</v>
      </c>
      <c r="C39" s="499">
        <f>B39*17.19%</f>
        <v>7428.6585000000014</v>
      </c>
      <c r="D39" s="499"/>
      <c r="E39" s="650"/>
      <c r="F39" s="650"/>
    </row>
    <row r="40" spans="1:6" x14ac:dyDescent="0.25">
      <c r="A40" s="649" t="s">
        <v>805</v>
      </c>
      <c r="B40" s="645">
        <v>1301</v>
      </c>
      <c r="C40" s="645">
        <f>B40*12.54%</f>
        <v>163.14539999999997</v>
      </c>
      <c r="D40" s="645"/>
      <c r="E40" s="646"/>
      <c r="F40" s="646"/>
    </row>
    <row r="41" spans="1:6" ht="16.5" thickBot="1" x14ac:dyDescent="0.3">
      <c r="A41" s="649" t="s">
        <v>570</v>
      </c>
      <c r="B41" s="645">
        <v>13857</v>
      </c>
      <c r="C41" s="645">
        <f>B41*15.99%</f>
        <v>2215.7343000000001</v>
      </c>
      <c r="D41" s="645"/>
      <c r="E41" s="646"/>
      <c r="F41" s="646"/>
    </row>
    <row r="42" spans="1:6" ht="17.25" thickTop="1" thickBot="1" x14ac:dyDescent="0.3">
      <c r="A42" s="651" t="s">
        <v>571</v>
      </c>
      <c r="B42" s="462">
        <f>SUM(B35:B41)</f>
        <v>109851</v>
      </c>
      <c r="C42" s="462">
        <f>SUM(C35:C41)</f>
        <v>17516.704900000001</v>
      </c>
      <c r="D42" s="462">
        <f>SUM(D35:D41)</f>
        <v>0</v>
      </c>
      <c r="E42" s="648">
        <f>SUM(E35:E41)</f>
        <v>0</v>
      </c>
      <c r="F42" s="648">
        <f>SUM(F35:F41)</f>
        <v>0</v>
      </c>
    </row>
    <row r="43" spans="1:6" ht="17.25" thickTop="1" thickBot="1" x14ac:dyDescent="0.3">
      <c r="A43" s="652" t="s">
        <v>806</v>
      </c>
      <c r="B43" s="653">
        <f>SUM(B29+B33+B34+B42)</f>
        <v>673308</v>
      </c>
      <c r="C43" s="653">
        <f>SUM(C29+C33+C34+C42)</f>
        <v>102638.82079999999</v>
      </c>
      <c r="D43" s="653">
        <f>SUM(D29+D33+D34+D42)</f>
        <v>1264081</v>
      </c>
      <c r="E43" s="654">
        <f>SUM(E29+E33+E34+E42)</f>
        <v>341301.87</v>
      </c>
      <c r="F43" s="654">
        <f>SUM(F29+F33+F34+F42)</f>
        <v>5000</v>
      </c>
    </row>
    <row r="44" spans="1:6" ht="17.25" thickTop="1" thickBot="1" x14ac:dyDescent="0.3">
      <c r="A44" s="652" t="s">
        <v>94</v>
      </c>
      <c r="B44" s="685">
        <v>57160</v>
      </c>
      <c r="C44" s="685">
        <v>8782</v>
      </c>
      <c r="D44" s="685"/>
      <c r="E44" s="1221"/>
      <c r="F44" s="654"/>
    </row>
    <row r="45" spans="1:6" s="1222" customFormat="1" ht="17.25" thickTop="1" thickBot="1" x14ac:dyDescent="0.3">
      <c r="A45" s="652" t="s">
        <v>622</v>
      </c>
      <c r="B45" s="653">
        <f>SUM(B43+B44)</f>
        <v>730468</v>
      </c>
      <c r="C45" s="653">
        <f>SUM(C43+C44)</f>
        <v>111420.82079999999</v>
      </c>
      <c r="D45" s="653">
        <f>SUM(D43+D44)</f>
        <v>1264081</v>
      </c>
      <c r="E45" s="654">
        <f>SUM(E43+E44)</f>
        <v>341301.87</v>
      </c>
      <c r="F45" s="654">
        <f>SUM(F43+F44)</f>
        <v>5000</v>
      </c>
    </row>
    <row r="46" spans="1:6" s="1222" customFormat="1" x14ac:dyDescent="0.25">
      <c r="A46" s="463"/>
      <c r="B46" s="464"/>
      <c r="C46" s="464"/>
      <c r="D46" s="464"/>
      <c r="E46" s="464"/>
      <c r="F46" s="464"/>
    </row>
    <row r="47" spans="1:6" s="1222" customFormat="1" x14ac:dyDescent="0.25">
      <c r="A47" s="463"/>
      <c r="B47" s="1315"/>
      <c r="C47" s="1315"/>
      <c r="D47" s="464"/>
      <c r="E47" s="464"/>
      <c r="F47" s="464"/>
    </row>
    <row r="48" spans="1:6" s="1222" customFormat="1" x14ac:dyDescent="0.25">
      <c r="A48" s="463"/>
      <c r="B48" s="464"/>
      <c r="C48" s="464"/>
      <c r="D48" s="464"/>
      <c r="E48" s="464"/>
      <c r="F48" s="464"/>
    </row>
    <row r="49" spans="1:6" s="1222" customFormat="1" x14ac:dyDescent="0.25">
      <c r="A49" s="463"/>
      <c r="B49" s="464"/>
      <c r="C49" s="464"/>
      <c r="D49" s="464"/>
      <c r="E49" s="464"/>
      <c r="F49" s="464"/>
    </row>
    <row r="50" spans="1:6" s="1222" customFormat="1" x14ac:dyDescent="0.25">
      <c r="A50" s="463"/>
      <c r="B50" s="464"/>
      <c r="C50" s="464"/>
      <c r="D50" s="464"/>
      <c r="E50" s="464"/>
      <c r="F50" s="464"/>
    </row>
    <row r="51" spans="1:6" s="1222" customFormat="1" x14ac:dyDescent="0.25">
      <c r="A51" s="463"/>
      <c r="B51" s="464"/>
      <c r="C51" s="464"/>
      <c r="D51" s="464"/>
      <c r="E51" s="464"/>
      <c r="F51" s="464"/>
    </row>
    <row r="52" spans="1:6" s="1222" customFormat="1" x14ac:dyDescent="0.25">
      <c r="A52" s="463"/>
      <c r="B52" s="464"/>
      <c r="C52" s="464"/>
      <c r="D52" s="464"/>
      <c r="E52" s="464"/>
      <c r="F52" s="464"/>
    </row>
    <row r="53" spans="1:6" s="1222" customFormat="1" x14ac:dyDescent="0.25">
      <c r="A53" s="463"/>
      <c r="B53" s="464"/>
      <c r="C53" s="464"/>
      <c r="D53" s="464"/>
      <c r="E53" s="464"/>
      <c r="F53" s="464"/>
    </row>
    <row r="54" spans="1:6" s="1222" customFormat="1" x14ac:dyDescent="0.25">
      <c r="A54" s="463"/>
      <c r="B54" s="464"/>
      <c r="C54" s="464"/>
      <c r="D54" s="464"/>
      <c r="E54" s="464"/>
      <c r="F54" s="464"/>
    </row>
    <row r="55" spans="1:6" s="1222" customFormat="1" x14ac:dyDescent="0.25">
      <c r="A55" s="463"/>
      <c r="B55" s="464"/>
      <c r="C55" s="464"/>
      <c r="D55" s="464"/>
      <c r="E55" s="464"/>
      <c r="F55" s="464"/>
    </row>
    <row r="56" spans="1:6" s="1222" customFormat="1" x14ac:dyDescent="0.25">
      <c r="A56" s="463"/>
      <c r="B56" s="464"/>
      <c r="C56" s="464"/>
      <c r="D56" s="464"/>
      <c r="E56" s="464"/>
      <c r="F56" s="464"/>
    </row>
    <row r="57" spans="1:6" s="1222" customFormat="1" x14ac:dyDescent="0.25">
      <c r="A57" s="463"/>
      <c r="B57" s="464"/>
      <c r="C57" s="464"/>
      <c r="D57" s="464"/>
      <c r="E57" s="464"/>
      <c r="F57" s="464"/>
    </row>
    <row r="58" spans="1:6" s="1222" customFormat="1" x14ac:dyDescent="0.25">
      <c r="A58" s="463"/>
      <c r="B58" s="464"/>
      <c r="C58" s="464"/>
      <c r="D58" s="464"/>
      <c r="E58" s="464"/>
      <c r="F58" s="464"/>
    </row>
    <row r="59" spans="1:6" s="1222" customFormat="1" x14ac:dyDescent="0.25">
      <c r="A59" s="463"/>
      <c r="B59" s="464"/>
      <c r="C59" s="464"/>
      <c r="D59" s="464"/>
      <c r="E59" s="464"/>
      <c r="F59" s="464"/>
    </row>
    <row r="60" spans="1:6" s="1222" customFormat="1" x14ac:dyDescent="0.25">
      <c r="A60" s="463"/>
      <c r="B60" s="464"/>
      <c r="C60" s="464"/>
      <c r="D60" s="464"/>
      <c r="E60" s="464"/>
      <c r="F60" s="464"/>
    </row>
    <row r="61" spans="1:6" s="1222" customFormat="1" x14ac:dyDescent="0.25">
      <c r="A61" s="463"/>
      <c r="B61" s="464"/>
      <c r="C61" s="464"/>
      <c r="D61" s="464"/>
      <c r="E61" s="464"/>
      <c r="F61" s="464"/>
    </row>
    <row r="62" spans="1:6" s="1222" customFormat="1" x14ac:dyDescent="0.25">
      <c r="A62" s="463"/>
      <c r="B62" s="464"/>
      <c r="C62" s="464"/>
      <c r="D62" s="464"/>
      <c r="E62" s="464"/>
      <c r="F62" s="464"/>
    </row>
    <row r="63" spans="1:6" s="1222" customFormat="1" x14ac:dyDescent="0.25">
      <c r="A63" s="463"/>
      <c r="B63" s="464"/>
      <c r="C63" s="464"/>
      <c r="D63" s="464"/>
      <c r="E63" s="464"/>
      <c r="F63" s="464"/>
    </row>
    <row r="64" spans="1:6" s="1222" customFormat="1" x14ac:dyDescent="0.25">
      <c r="A64" s="463"/>
      <c r="B64" s="464"/>
      <c r="C64" s="464"/>
      <c r="D64" s="464"/>
      <c r="E64" s="464"/>
      <c r="F64" s="464"/>
    </row>
    <row r="65" spans="1:6" s="1222" customFormat="1" x14ac:dyDescent="0.25">
      <c r="A65" s="463"/>
      <c r="B65" s="464"/>
      <c r="C65" s="464"/>
      <c r="D65" s="464"/>
      <c r="E65" s="464"/>
      <c r="F65" s="464"/>
    </row>
    <row r="66" spans="1:6" s="1222" customFormat="1" x14ac:dyDescent="0.25">
      <c r="A66" s="463"/>
      <c r="B66" s="464"/>
      <c r="C66" s="464"/>
      <c r="D66" s="464"/>
      <c r="E66" s="464"/>
      <c r="F66" s="464"/>
    </row>
    <row r="67" spans="1:6" s="1222" customFormat="1" x14ac:dyDescent="0.25">
      <c r="A67" s="463"/>
      <c r="B67" s="464"/>
      <c r="C67" s="464"/>
      <c r="D67" s="464"/>
      <c r="E67" s="464"/>
      <c r="F67" s="464"/>
    </row>
    <row r="68" spans="1:6" s="1222" customFormat="1" x14ac:dyDescent="0.25">
      <c r="A68" s="463"/>
      <c r="B68" s="464"/>
      <c r="C68" s="464"/>
      <c r="D68" s="464"/>
      <c r="E68" s="464"/>
      <c r="F68" s="464"/>
    </row>
    <row r="69" spans="1:6" s="1222" customFormat="1" x14ac:dyDescent="0.25">
      <c r="A69" s="463"/>
      <c r="B69" s="464"/>
      <c r="C69" s="464"/>
      <c r="D69" s="464"/>
      <c r="E69" s="464"/>
      <c r="F69" s="464"/>
    </row>
    <row r="70" spans="1:6" s="1222" customFormat="1" x14ac:dyDescent="0.25">
      <c r="A70" s="463"/>
      <c r="B70" s="464"/>
      <c r="C70" s="464"/>
      <c r="D70" s="464"/>
      <c r="E70" s="464"/>
      <c r="F70" s="464"/>
    </row>
    <row r="71" spans="1:6" s="1222" customFormat="1" x14ac:dyDescent="0.25">
      <c r="A71" s="463"/>
      <c r="B71" s="464"/>
      <c r="C71" s="464"/>
      <c r="D71" s="464"/>
      <c r="E71" s="464"/>
      <c r="F71" s="464"/>
    </row>
    <row r="72" spans="1:6" s="1222" customFormat="1" x14ac:dyDescent="0.25">
      <c r="A72" s="463"/>
      <c r="B72" s="464"/>
      <c r="C72" s="464"/>
      <c r="D72" s="464"/>
      <c r="E72" s="464"/>
      <c r="F72" s="464"/>
    </row>
    <row r="73" spans="1:6" s="1222" customFormat="1" x14ac:dyDescent="0.25">
      <c r="A73" s="463"/>
      <c r="B73" s="464"/>
      <c r="C73" s="464"/>
      <c r="D73" s="464"/>
      <c r="E73" s="464"/>
      <c r="F73" s="464"/>
    </row>
    <row r="74" spans="1:6" s="1222" customFormat="1" x14ac:dyDescent="0.25">
      <c r="A74" s="463"/>
      <c r="B74" s="464"/>
      <c r="C74" s="464"/>
      <c r="D74" s="464"/>
      <c r="E74" s="464"/>
      <c r="F74" s="464"/>
    </row>
    <row r="75" spans="1:6" s="1222" customFormat="1" x14ac:dyDescent="0.25">
      <c r="A75" s="463"/>
      <c r="B75" s="464"/>
      <c r="C75" s="464"/>
      <c r="D75" s="464"/>
      <c r="E75" s="464"/>
      <c r="F75" s="464"/>
    </row>
    <row r="76" spans="1:6" s="1222" customFormat="1" x14ac:dyDescent="0.25">
      <c r="A76" s="463"/>
      <c r="B76" s="464"/>
      <c r="C76" s="464"/>
      <c r="D76" s="464"/>
      <c r="E76" s="464"/>
      <c r="F76" s="464"/>
    </row>
    <row r="77" spans="1:6" s="1222" customFormat="1" x14ac:dyDescent="0.25">
      <c r="A77" s="463"/>
      <c r="B77" s="464"/>
      <c r="C77" s="464"/>
      <c r="D77" s="464"/>
      <c r="E77" s="464"/>
      <c r="F77" s="464"/>
    </row>
    <row r="78" spans="1:6" s="1222" customFormat="1" x14ac:dyDescent="0.25">
      <c r="A78" s="463"/>
      <c r="B78" s="464"/>
      <c r="C78" s="464"/>
      <c r="D78" s="464"/>
      <c r="E78" s="464"/>
      <c r="F78" s="464"/>
    </row>
    <row r="79" spans="1:6" s="1222" customFormat="1" x14ac:dyDescent="0.25">
      <c r="A79" s="463"/>
      <c r="B79" s="464"/>
      <c r="C79" s="464"/>
      <c r="D79" s="464"/>
      <c r="E79" s="464"/>
      <c r="F79" s="464"/>
    </row>
    <row r="80" spans="1:6" s="1222" customFormat="1" x14ac:dyDescent="0.25">
      <c r="A80" s="463"/>
      <c r="B80" s="464"/>
      <c r="C80" s="464"/>
      <c r="D80" s="464"/>
      <c r="E80" s="464"/>
      <c r="F80" s="464"/>
    </row>
    <row r="81" spans="1:6" s="1222" customFormat="1" x14ac:dyDescent="0.25">
      <c r="A81" s="463"/>
      <c r="B81" s="464"/>
      <c r="C81" s="464"/>
      <c r="D81" s="464"/>
      <c r="E81" s="464"/>
      <c r="F81" s="464"/>
    </row>
    <row r="82" spans="1:6" s="1222" customFormat="1" x14ac:dyDescent="0.25">
      <c r="A82" s="463"/>
      <c r="B82" s="464"/>
      <c r="C82" s="464"/>
      <c r="D82" s="464"/>
      <c r="E82" s="464"/>
      <c r="F82" s="464"/>
    </row>
    <row r="83" spans="1:6" s="1222" customFormat="1" x14ac:dyDescent="0.25">
      <c r="A83" s="463"/>
      <c r="B83" s="464"/>
      <c r="C83" s="464"/>
      <c r="D83" s="464"/>
      <c r="E83" s="464"/>
      <c r="F83" s="464"/>
    </row>
    <row r="84" spans="1:6" s="1222" customFormat="1" x14ac:dyDescent="0.25">
      <c r="A84" s="463"/>
      <c r="B84" s="464"/>
      <c r="C84" s="464"/>
      <c r="D84" s="464"/>
      <c r="E84" s="464"/>
      <c r="F84" s="464"/>
    </row>
    <row r="85" spans="1:6" s="1222" customFormat="1" x14ac:dyDescent="0.25">
      <c r="A85" s="463"/>
      <c r="B85" s="464"/>
      <c r="C85" s="464"/>
      <c r="D85" s="464"/>
      <c r="E85" s="464"/>
      <c r="F85" s="464"/>
    </row>
    <row r="86" spans="1:6" s="1222" customFormat="1" x14ac:dyDescent="0.25">
      <c r="A86" s="463"/>
      <c r="B86" s="464"/>
      <c r="C86" s="464"/>
      <c r="D86" s="464"/>
      <c r="E86" s="464"/>
      <c r="F86" s="464"/>
    </row>
    <row r="87" spans="1:6" s="1222" customFormat="1" x14ac:dyDescent="0.25">
      <c r="A87" s="463"/>
      <c r="B87" s="464"/>
      <c r="C87" s="464"/>
      <c r="D87" s="464"/>
      <c r="E87" s="464"/>
      <c r="F87" s="464"/>
    </row>
    <row r="88" spans="1:6" s="1222" customFormat="1" x14ac:dyDescent="0.25">
      <c r="A88" s="463"/>
      <c r="B88" s="464"/>
      <c r="C88" s="464"/>
      <c r="D88" s="464"/>
      <c r="E88" s="464"/>
      <c r="F88" s="464"/>
    </row>
    <row r="89" spans="1:6" s="1222" customFormat="1" x14ac:dyDescent="0.25">
      <c r="A89" s="463"/>
      <c r="B89" s="464"/>
      <c r="C89" s="464"/>
      <c r="D89" s="464"/>
      <c r="E89" s="464"/>
      <c r="F89" s="464"/>
    </row>
    <row r="90" spans="1:6" s="1222" customFormat="1" x14ac:dyDescent="0.25">
      <c r="A90" s="463"/>
      <c r="B90" s="464"/>
      <c r="C90" s="464"/>
      <c r="D90" s="464"/>
      <c r="E90" s="464"/>
      <c r="F90" s="464"/>
    </row>
    <row r="91" spans="1:6" s="1222" customFormat="1" x14ac:dyDescent="0.25">
      <c r="A91" s="463"/>
      <c r="B91" s="464"/>
      <c r="C91" s="464"/>
      <c r="D91" s="464"/>
      <c r="E91" s="464"/>
      <c r="F91" s="464"/>
    </row>
    <row r="92" spans="1:6" s="1222" customFormat="1" x14ac:dyDescent="0.25">
      <c r="A92" s="463"/>
      <c r="B92" s="464"/>
      <c r="C92" s="464"/>
      <c r="D92" s="464"/>
      <c r="E92" s="464"/>
      <c r="F92" s="464"/>
    </row>
    <row r="93" spans="1:6" s="1222" customFormat="1" x14ac:dyDescent="0.25">
      <c r="A93" s="463"/>
      <c r="B93" s="464"/>
      <c r="C93" s="464"/>
      <c r="D93" s="464"/>
      <c r="E93" s="464"/>
      <c r="F93" s="464"/>
    </row>
    <row r="94" spans="1:6" s="1222" customFormat="1" x14ac:dyDescent="0.25">
      <c r="A94" s="463"/>
      <c r="B94" s="464"/>
      <c r="C94" s="464"/>
      <c r="D94" s="464"/>
      <c r="E94" s="464"/>
      <c r="F94" s="464"/>
    </row>
    <row r="95" spans="1:6" s="1222" customFormat="1" x14ac:dyDescent="0.25">
      <c r="A95" s="463"/>
      <c r="B95" s="464"/>
      <c r="C95" s="464"/>
      <c r="D95" s="464"/>
      <c r="E95" s="464"/>
      <c r="F95" s="464"/>
    </row>
    <row r="96" spans="1:6" s="1222" customFormat="1" x14ac:dyDescent="0.25">
      <c r="A96" s="463"/>
      <c r="B96" s="464"/>
      <c r="C96" s="464"/>
      <c r="D96" s="464"/>
      <c r="E96" s="464"/>
      <c r="F96" s="464"/>
    </row>
    <row r="97" spans="1:6" s="1222" customFormat="1" x14ac:dyDescent="0.25">
      <c r="A97" s="463"/>
      <c r="B97" s="464"/>
      <c r="C97" s="464"/>
      <c r="D97" s="464"/>
      <c r="E97" s="464"/>
      <c r="F97" s="464"/>
    </row>
    <row r="98" spans="1:6" s="1222" customFormat="1" x14ac:dyDescent="0.25">
      <c r="A98" s="463"/>
      <c r="B98" s="464"/>
      <c r="C98" s="464"/>
      <c r="D98" s="464"/>
      <c r="E98" s="464"/>
      <c r="F98" s="464"/>
    </row>
    <row r="99" spans="1:6" s="1222" customFormat="1" x14ac:dyDescent="0.25">
      <c r="A99" s="463"/>
      <c r="B99" s="464"/>
      <c r="C99" s="464"/>
      <c r="D99" s="464"/>
      <c r="E99" s="464"/>
      <c r="F99" s="464"/>
    </row>
    <row r="100" spans="1:6" s="1222" customFormat="1" x14ac:dyDescent="0.25">
      <c r="A100" s="463"/>
      <c r="B100" s="464"/>
      <c r="C100" s="464"/>
      <c r="D100" s="464"/>
      <c r="E100" s="464"/>
      <c r="F100" s="464"/>
    </row>
    <row r="101" spans="1:6" s="1222" customFormat="1" x14ac:dyDescent="0.25">
      <c r="A101" s="463"/>
      <c r="B101" s="464"/>
      <c r="C101" s="464"/>
      <c r="D101" s="464"/>
      <c r="E101" s="464"/>
      <c r="F101" s="464"/>
    </row>
    <row r="102" spans="1:6" s="1222" customFormat="1" x14ac:dyDescent="0.25">
      <c r="A102" s="463"/>
      <c r="B102" s="464"/>
      <c r="C102" s="464"/>
      <c r="D102" s="464"/>
      <c r="E102" s="464"/>
      <c r="F102" s="464"/>
    </row>
    <row r="103" spans="1:6" s="1222" customFormat="1" x14ac:dyDescent="0.25">
      <c r="A103" s="463"/>
      <c r="B103" s="464"/>
      <c r="C103" s="464"/>
      <c r="D103" s="464"/>
      <c r="E103" s="464"/>
      <c r="F103" s="464"/>
    </row>
    <row r="104" spans="1:6" s="1222" customFormat="1" x14ac:dyDescent="0.25">
      <c r="A104" s="463"/>
      <c r="B104" s="464"/>
      <c r="C104" s="464"/>
      <c r="D104" s="464"/>
      <c r="E104" s="464"/>
      <c r="F104" s="464"/>
    </row>
    <row r="105" spans="1:6" s="1222" customFormat="1" x14ac:dyDescent="0.25">
      <c r="A105" s="463"/>
      <c r="B105" s="464"/>
      <c r="C105" s="464"/>
      <c r="D105" s="464"/>
      <c r="E105" s="464"/>
      <c r="F105" s="464"/>
    </row>
    <row r="106" spans="1:6" s="1222" customFormat="1" x14ac:dyDescent="0.25">
      <c r="A106" s="463"/>
      <c r="B106" s="464"/>
      <c r="C106" s="464"/>
      <c r="D106" s="464"/>
      <c r="E106" s="464"/>
      <c r="F106" s="464"/>
    </row>
    <row r="107" spans="1:6" s="1222" customFormat="1" x14ac:dyDescent="0.25">
      <c r="A107" s="463"/>
      <c r="B107" s="464"/>
      <c r="C107" s="464"/>
      <c r="D107" s="464"/>
      <c r="E107" s="464"/>
      <c r="F107" s="464"/>
    </row>
    <row r="108" spans="1:6" s="1222" customFormat="1" x14ac:dyDescent="0.25">
      <c r="A108" s="463"/>
      <c r="B108" s="464"/>
      <c r="C108" s="464"/>
      <c r="D108" s="464"/>
      <c r="E108" s="464"/>
      <c r="F108" s="464"/>
    </row>
    <row r="109" spans="1:6" s="1222" customFormat="1" x14ac:dyDescent="0.25">
      <c r="A109" s="463"/>
      <c r="B109" s="464"/>
      <c r="C109" s="464"/>
      <c r="D109" s="464"/>
      <c r="E109" s="464"/>
      <c r="F109" s="464"/>
    </row>
    <row r="110" spans="1:6" s="1222" customFormat="1" x14ac:dyDescent="0.25">
      <c r="A110" s="463"/>
      <c r="B110" s="464"/>
      <c r="C110" s="464"/>
      <c r="D110" s="464"/>
      <c r="E110" s="464"/>
      <c r="F110" s="464"/>
    </row>
    <row r="111" spans="1:6" s="1222" customFormat="1" x14ac:dyDescent="0.25">
      <c r="A111" s="463"/>
      <c r="B111" s="464"/>
      <c r="C111" s="464"/>
      <c r="D111" s="464"/>
      <c r="E111" s="464"/>
      <c r="F111" s="464"/>
    </row>
    <row r="112" spans="1:6" s="1222" customFormat="1" x14ac:dyDescent="0.25">
      <c r="A112" s="463"/>
      <c r="B112" s="464"/>
      <c r="C112" s="464"/>
      <c r="D112" s="464"/>
      <c r="E112" s="464"/>
      <c r="F112" s="464"/>
    </row>
    <row r="113" spans="1:6" s="1222" customFormat="1" x14ac:dyDescent="0.25">
      <c r="A113" s="463"/>
      <c r="B113" s="464"/>
      <c r="C113" s="464"/>
      <c r="D113" s="464"/>
      <c r="E113" s="464"/>
      <c r="F113" s="464"/>
    </row>
    <row r="114" spans="1:6" s="1222" customFormat="1" x14ac:dyDescent="0.25">
      <c r="A114" s="463"/>
      <c r="B114" s="464"/>
      <c r="C114" s="464"/>
      <c r="D114" s="464"/>
      <c r="E114" s="464"/>
      <c r="F114" s="464"/>
    </row>
    <row r="115" spans="1:6" s="1222" customFormat="1" x14ac:dyDescent="0.25">
      <c r="A115" s="463"/>
      <c r="B115" s="464"/>
      <c r="C115" s="464"/>
      <c r="D115" s="464"/>
      <c r="E115" s="464"/>
      <c r="F115" s="464"/>
    </row>
    <row r="116" spans="1:6" s="1222" customFormat="1" x14ac:dyDescent="0.25">
      <c r="A116" s="463"/>
      <c r="B116" s="464"/>
      <c r="C116" s="464"/>
      <c r="D116" s="464"/>
      <c r="E116" s="464"/>
      <c r="F116" s="464"/>
    </row>
    <row r="117" spans="1:6" s="1222" customFormat="1" x14ac:dyDescent="0.25">
      <c r="A117" s="463"/>
      <c r="B117" s="464"/>
      <c r="C117" s="464"/>
      <c r="D117" s="464"/>
      <c r="E117" s="464"/>
      <c r="F117" s="464"/>
    </row>
    <row r="118" spans="1:6" s="1222" customFormat="1" x14ac:dyDescent="0.25">
      <c r="A118" s="463"/>
      <c r="B118" s="464"/>
      <c r="C118" s="464"/>
      <c r="D118" s="464"/>
      <c r="E118" s="464"/>
      <c r="F118" s="464"/>
    </row>
    <row r="119" spans="1:6" s="1222" customFormat="1" x14ac:dyDescent="0.25">
      <c r="A119" s="463"/>
      <c r="B119" s="464"/>
      <c r="C119" s="464"/>
      <c r="D119" s="464"/>
      <c r="E119" s="464"/>
      <c r="F119" s="464"/>
    </row>
    <row r="120" spans="1:6" s="1222" customFormat="1" x14ac:dyDescent="0.25">
      <c r="A120" s="463"/>
      <c r="B120" s="464"/>
      <c r="C120" s="464"/>
      <c r="D120" s="464"/>
      <c r="E120" s="464"/>
      <c r="F120" s="464"/>
    </row>
    <row r="121" spans="1:6" s="1222" customFormat="1" x14ac:dyDescent="0.25">
      <c r="A121" s="463"/>
      <c r="B121" s="464"/>
      <c r="C121" s="464"/>
      <c r="D121" s="464"/>
      <c r="E121" s="464"/>
      <c r="F121" s="464"/>
    </row>
    <row r="122" spans="1:6" s="1222" customFormat="1" x14ac:dyDescent="0.25">
      <c r="A122" s="463"/>
      <c r="B122" s="464"/>
      <c r="C122" s="464"/>
      <c r="D122" s="464"/>
      <c r="E122" s="464"/>
      <c r="F122" s="464"/>
    </row>
    <row r="123" spans="1:6" s="1222" customFormat="1" x14ac:dyDescent="0.25">
      <c r="A123" s="463"/>
      <c r="B123" s="464"/>
      <c r="C123" s="464"/>
      <c r="D123" s="464"/>
      <c r="E123" s="464"/>
      <c r="F123" s="464"/>
    </row>
    <row r="124" spans="1:6" s="1222" customFormat="1" x14ac:dyDescent="0.25">
      <c r="A124" s="463"/>
      <c r="B124" s="464"/>
      <c r="C124" s="464"/>
      <c r="D124" s="464"/>
      <c r="E124" s="464"/>
      <c r="F124" s="464"/>
    </row>
    <row r="125" spans="1:6" s="1222" customFormat="1" x14ac:dyDescent="0.25">
      <c r="A125" s="463"/>
      <c r="B125" s="464"/>
      <c r="C125" s="464"/>
      <c r="D125" s="464"/>
      <c r="E125" s="464"/>
      <c r="F125" s="464"/>
    </row>
    <row r="126" spans="1:6" s="1222" customFormat="1" x14ac:dyDescent="0.25">
      <c r="A126" s="463"/>
      <c r="B126" s="464"/>
      <c r="C126" s="464"/>
      <c r="D126" s="464"/>
      <c r="E126" s="464"/>
      <c r="F126" s="464"/>
    </row>
    <row r="127" spans="1:6" s="1222" customFormat="1" x14ac:dyDescent="0.25">
      <c r="A127" s="463"/>
      <c r="B127" s="464"/>
      <c r="C127" s="464"/>
      <c r="D127" s="464"/>
      <c r="E127" s="464"/>
      <c r="F127" s="464"/>
    </row>
    <row r="128" spans="1:6" s="1222" customFormat="1" x14ac:dyDescent="0.25">
      <c r="A128" s="463"/>
      <c r="B128" s="464"/>
      <c r="C128" s="464"/>
      <c r="D128" s="464"/>
      <c r="E128" s="464"/>
      <c r="F128" s="464"/>
    </row>
    <row r="129" spans="1:6" s="1222" customFormat="1" x14ac:dyDescent="0.25">
      <c r="A129" s="463"/>
      <c r="B129" s="464"/>
      <c r="C129" s="464"/>
      <c r="D129" s="464"/>
      <c r="E129" s="464"/>
      <c r="F129" s="464"/>
    </row>
    <row r="130" spans="1:6" s="1222" customFormat="1" x14ac:dyDescent="0.25">
      <c r="A130" s="463"/>
      <c r="B130" s="464"/>
      <c r="C130" s="464"/>
      <c r="D130" s="464"/>
      <c r="E130" s="464"/>
      <c r="F130" s="464"/>
    </row>
    <row r="131" spans="1:6" s="1222" customFormat="1" x14ac:dyDescent="0.25">
      <c r="A131" s="463"/>
      <c r="B131" s="464"/>
      <c r="C131" s="464"/>
      <c r="D131" s="464"/>
      <c r="E131" s="464"/>
      <c r="F131" s="464"/>
    </row>
    <row r="132" spans="1:6" s="1222" customFormat="1" x14ac:dyDescent="0.25">
      <c r="A132" s="463"/>
      <c r="B132" s="464"/>
      <c r="C132" s="464"/>
      <c r="D132" s="464"/>
      <c r="E132" s="464"/>
      <c r="F132" s="464"/>
    </row>
    <row r="133" spans="1:6" s="1222" customFormat="1" x14ac:dyDescent="0.25">
      <c r="A133" s="463"/>
      <c r="B133" s="464"/>
      <c r="C133" s="464"/>
      <c r="D133" s="464"/>
      <c r="E133" s="464"/>
      <c r="F133" s="464"/>
    </row>
    <row r="134" spans="1:6" s="1222" customFormat="1" x14ac:dyDescent="0.25">
      <c r="A134" s="463"/>
      <c r="B134" s="464"/>
      <c r="C134" s="464"/>
      <c r="D134" s="464"/>
      <c r="E134" s="464"/>
      <c r="F134" s="464"/>
    </row>
    <row r="135" spans="1:6" s="1222" customFormat="1" x14ac:dyDescent="0.25">
      <c r="A135" s="463"/>
      <c r="B135" s="464"/>
      <c r="C135" s="464"/>
      <c r="D135" s="464"/>
      <c r="E135" s="464"/>
      <c r="F135" s="464"/>
    </row>
    <row r="136" spans="1:6" s="1222" customFormat="1" x14ac:dyDescent="0.25">
      <c r="A136" s="463"/>
      <c r="B136" s="464"/>
      <c r="C136" s="464"/>
      <c r="D136" s="464"/>
      <c r="E136" s="464"/>
      <c r="F136" s="464"/>
    </row>
    <row r="137" spans="1:6" s="1222" customFormat="1" x14ac:dyDescent="0.25">
      <c r="A137" s="463"/>
      <c r="B137" s="464"/>
      <c r="C137" s="464"/>
      <c r="D137" s="464"/>
      <c r="E137" s="464"/>
      <c r="F137" s="464"/>
    </row>
    <row r="138" spans="1:6" s="1222" customFormat="1" x14ac:dyDescent="0.25">
      <c r="A138" s="463"/>
      <c r="B138" s="464"/>
      <c r="C138" s="464"/>
      <c r="D138" s="464"/>
      <c r="E138" s="464"/>
      <c r="F138" s="464"/>
    </row>
    <row r="139" spans="1:6" s="1222" customFormat="1" x14ac:dyDescent="0.25">
      <c r="A139" s="463"/>
      <c r="B139" s="464"/>
      <c r="C139" s="464"/>
      <c r="D139" s="464"/>
      <c r="E139" s="464"/>
      <c r="F139" s="464"/>
    </row>
    <row r="140" spans="1:6" s="1222" customFormat="1" x14ac:dyDescent="0.25">
      <c r="A140" s="463"/>
      <c r="B140" s="464"/>
      <c r="C140" s="464"/>
      <c r="D140" s="464"/>
      <c r="E140" s="464"/>
      <c r="F140" s="464"/>
    </row>
    <row r="141" spans="1:6" s="1222" customFormat="1" x14ac:dyDescent="0.25">
      <c r="A141" s="463"/>
      <c r="B141" s="464"/>
      <c r="C141" s="464"/>
      <c r="D141" s="464"/>
      <c r="E141" s="464"/>
      <c r="F141" s="464"/>
    </row>
    <row r="142" spans="1:6" s="1222" customFormat="1" x14ac:dyDescent="0.25">
      <c r="A142" s="463"/>
      <c r="B142" s="464"/>
      <c r="C142" s="464"/>
      <c r="D142" s="464"/>
      <c r="E142" s="464"/>
      <c r="F142" s="464"/>
    </row>
    <row r="143" spans="1:6" s="1222" customFormat="1" x14ac:dyDescent="0.25">
      <c r="A143" s="463"/>
      <c r="B143" s="464"/>
      <c r="C143" s="464"/>
      <c r="D143" s="464"/>
      <c r="E143" s="464"/>
      <c r="F143" s="464"/>
    </row>
    <row r="144" spans="1:6" s="1222" customFormat="1" x14ac:dyDescent="0.25">
      <c r="A144" s="463"/>
      <c r="B144" s="464"/>
      <c r="C144" s="464"/>
      <c r="D144" s="464"/>
      <c r="E144" s="464"/>
      <c r="F144" s="464"/>
    </row>
    <row r="145" spans="1:6" s="1222" customFormat="1" x14ac:dyDescent="0.25">
      <c r="A145" s="463"/>
      <c r="B145" s="464"/>
      <c r="C145" s="464"/>
      <c r="D145" s="464"/>
      <c r="E145" s="464"/>
      <c r="F145" s="464"/>
    </row>
    <row r="146" spans="1:6" s="1222" customFormat="1" x14ac:dyDescent="0.25">
      <c r="A146" s="463"/>
      <c r="B146" s="464"/>
      <c r="C146" s="464"/>
      <c r="D146" s="464"/>
      <c r="E146" s="464"/>
      <c r="F146" s="464"/>
    </row>
    <row r="147" spans="1:6" s="1222" customFormat="1" x14ac:dyDescent="0.25">
      <c r="A147" s="463"/>
      <c r="B147" s="464"/>
      <c r="C147" s="464"/>
      <c r="D147" s="464"/>
      <c r="E147" s="464"/>
      <c r="F147" s="464"/>
    </row>
    <row r="148" spans="1:6" s="1222" customFormat="1" x14ac:dyDescent="0.25">
      <c r="A148" s="463"/>
      <c r="B148" s="464"/>
      <c r="C148" s="464"/>
      <c r="D148" s="464"/>
      <c r="E148" s="464"/>
      <c r="F148" s="464"/>
    </row>
    <row r="149" spans="1:6" s="1222" customFormat="1" x14ac:dyDescent="0.25">
      <c r="A149" s="463"/>
      <c r="B149" s="464"/>
      <c r="C149" s="464"/>
      <c r="D149" s="464"/>
      <c r="E149" s="464"/>
      <c r="F149" s="464"/>
    </row>
    <row r="150" spans="1:6" s="1222" customFormat="1" x14ac:dyDescent="0.25">
      <c r="A150" s="463"/>
      <c r="B150" s="464"/>
      <c r="C150" s="464"/>
      <c r="D150" s="464"/>
      <c r="E150" s="464"/>
      <c r="F150" s="464"/>
    </row>
    <row r="151" spans="1:6" s="1222" customFormat="1" x14ac:dyDescent="0.25">
      <c r="A151" s="463"/>
      <c r="B151" s="464"/>
      <c r="C151" s="464"/>
      <c r="D151" s="464"/>
      <c r="E151" s="464"/>
      <c r="F151" s="464"/>
    </row>
    <row r="152" spans="1:6" s="1222" customFormat="1" x14ac:dyDescent="0.25">
      <c r="A152" s="463"/>
      <c r="B152" s="464"/>
      <c r="C152" s="464"/>
      <c r="D152" s="464"/>
      <c r="E152" s="464"/>
      <c r="F152" s="464"/>
    </row>
    <row r="153" spans="1:6" s="1222" customFormat="1" x14ac:dyDescent="0.25">
      <c r="A153" s="463"/>
      <c r="B153" s="464"/>
      <c r="C153" s="464"/>
      <c r="D153" s="464"/>
      <c r="E153" s="464"/>
      <c r="F153" s="464"/>
    </row>
    <row r="154" spans="1:6" s="1222" customFormat="1" x14ac:dyDescent="0.25">
      <c r="A154" s="463"/>
      <c r="B154" s="464"/>
      <c r="C154" s="464"/>
      <c r="D154" s="464"/>
      <c r="E154" s="464"/>
      <c r="F154" s="464"/>
    </row>
    <row r="155" spans="1:6" s="1222" customFormat="1" x14ac:dyDescent="0.25">
      <c r="A155" s="463"/>
      <c r="B155" s="464"/>
      <c r="C155" s="464"/>
      <c r="D155" s="464"/>
      <c r="E155" s="464"/>
      <c r="F155" s="464"/>
    </row>
    <row r="156" spans="1:6" s="1222" customFormat="1" x14ac:dyDescent="0.25">
      <c r="A156" s="463"/>
      <c r="B156" s="464"/>
      <c r="C156" s="464"/>
      <c r="D156" s="464"/>
      <c r="E156" s="464"/>
      <c r="F156" s="464"/>
    </row>
    <row r="157" spans="1:6" s="1222" customFormat="1" x14ac:dyDescent="0.25">
      <c r="A157" s="463"/>
      <c r="B157" s="464"/>
      <c r="C157" s="464"/>
      <c r="D157" s="464"/>
      <c r="E157" s="464"/>
      <c r="F157" s="464"/>
    </row>
    <row r="158" spans="1:6" s="1222" customFormat="1" x14ac:dyDescent="0.25">
      <c r="A158" s="463"/>
      <c r="B158" s="464"/>
      <c r="C158" s="464"/>
      <c r="D158" s="464"/>
      <c r="E158" s="464"/>
      <c r="F158" s="464"/>
    </row>
    <row r="159" spans="1:6" s="1222" customFormat="1" x14ac:dyDescent="0.25">
      <c r="A159" s="463"/>
      <c r="B159" s="464"/>
      <c r="C159" s="464"/>
      <c r="D159" s="464"/>
      <c r="E159" s="464"/>
      <c r="F159" s="464"/>
    </row>
    <row r="160" spans="1:6" s="1222" customFormat="1" x14ac:dyDescent="0.25">
      <c r="A160" s="463"/>
      <c r="B160" s="464"/>
      <c r="C160" s="464"/>
      <c r="D160" s="464"/>
      <c r="E160" s="464"/>
      <c r="F160" s="464"/>
    </row>
    <row r="161" spans="1:6" s="1222" customFormat="1" x14ac:dyDescent="0.25">
      <c r="A161" s="463"/>
      <c r="B161" s="464"/>
      <c r="C161" s="464"/>
      <c r="D161" s="464"/>
      <c r="E161" s="464"/>
      <c r="F161" s="464"/>
    </row>
    <row r="162" spans="1:6" s="1222" customFormat="1" x14ac:dyDescent="0.25">
      <c r="A162" s="463"/>
      <c r="B162" s="464"/>
      <c r="C162" s="464"/>
      <c r="D162" s="464"/>
      <c r="E162" s="464"/>
      <c r="F162" s="464"/>
    </row>
    <row r="163" spans="1:6" s="1222" customFormat="1" x14ac:dyDescent="0.25">
      <c r="A163" s="463"/>
      <c r="B163" s="464"/>
      <c r="C163" s="464"/>
      <c r="D163" s="464"/>
      <c r="E163" s="464"/>
      <c r="F163" s="464"/>
    </row>
    <row r="164" spans="1:6" s="1222" customFormat="1" x14ac:dyDescent="0.25">
      <c r="A164" s="463"/>
      <c r="B164" s="464"/>
      <c r="C164" s="464"/>
      <c r="D164" s="464"/>
      <c r="E164" s="464"/>
      <c r="F164" s="464"/>
    </row>
    <row r="165" spans="1:6" s="1222" customFormat="1" x14ac:dyDescent="0.25">
      <c r="A165" s="463"/>
      <c r="B165" s="464"/>
      <c r="C165" s="464"/>
      <c r="D165" s="464"/>
      <c r="E165" s="464"/>
      <c r="F165" s="464"/>
    </row>
    <row r="166" spans="1:6" s="1222" customFormat="1" x14ac:dyDescent="0.25">
      <c r="A166" s="463"/>
      <c r="B166" s="464"/>
      <c r="C166" s="464"/>
      <c r="D166" s="464"/>
      <c r="E166" s="464"/>
      <c r="F166" s="464"/>
    </row>
    <row r="167" spans="1:6" s="1222" customFormat="1" x14ac:dyDescent="0.25">
      <c r="A167" s="463"/>
      <c r="B167" s="464"/>
      <c r="C167" s="464"/>
      <c r="D167" s="464"/>
      <c r="E167" s="464"/>
      <c r="F167" s="464"/>
    </row>
    <row r="168" spans="1:6" s="1222" customFormat="1" x14ac:dyDescent="0.25">
      <c r="A168" s="463"/>
      <c r="B168" s="464"/>
      <c r="C168" s="464"/>
      <c r="D168" s="464"/>
      <c r="E168" s="464"/>
      <c r="F168" s="464"/>
    </row>
    <row r="169" spans="1:6" s="1222" customFormat="1" x14ac:dyDescent="0.25">
      <c r="A169" s="463"/>
      <c r="B169" s="464"/>
      <c r="C169" s="464"/>
      <c r="D169" s="464"/>
      <c r="E169" s="464"/>
      <c r="F169" s="464"/>
    </row>
    <row r="170" spans="1:6" s="1222" customFormat="1" x14ac:dyDescent="0.25">
      <c r="A170" s="463"/>
      <c r="B170" s="464"/>
      <c r="C170" s="464"/>
      <c r="D170" s="464"/>
      <c r="E170" s="464"/>
      <c r="F170" s="464"/>
    </row>
    <row r="171" spans="1:6" s="1222" customFormat="1" x14ac:dyDescent="0.25">
      <c r="A171" s="463"/>
      <c r="B171" s="464"/>
      <c r="C171" s="464"/>
      <c r="D171" s="464"/>
      <c r="E171" s="464"/>
      <c r="F171" s="464"/>
    </row>
    <row r="172" spans="1:6" s="1222" customFormat="1" x14ac:dyDescent="0.25">
      <c r="A172" s="463"/>
      <c r="B172" s="464"/>
      <c r="C172" s="464"/>
      <c r="D172" s="464"/>
      <c r="E172" s="464"/>
      <c r="F172" s="464"/>
    </row>
    <row r="173" spans="1:6" s="1222" customFormat="1" x14ac:dyDescent="0.25">
      <c r="A173" s="463"/>
      <c r="B173" s="464"/>
      <c r="C173" s="464"/>
      <c r="D173" s="464"/>
      <c r="E173" s="464"/>
      <c r="F173" s="464"/>
    </row>
    <row r="174" spans="1:6" s="1222" customFormat="1" x14ac:dyDescent="0.25">
      <c r="A174" s="463"/>
      <c r="B174" s="464"/>
      <c r="C174" s="464"/>
      <c r="D174" s="464"/>
      <c r="E174" s="464"/>
      <c r="F174" s="464"/>
    </row>
    <row r="175" spans="1:6" s="1222" customFormat="1" x14ac:dyDescent="0.25">
      <c r="A175" s="463"/>
      <c r="B175" s="464"/>
      <c r="C175" s="464"/>
      <c r="D175" s="464"/>
      <c r="E175" s="464"/>
      <c r="F175" s="464"/>
    </row>
    <row r="176" spans="1:6" s="1222" customFormat="1" x14ac:dyDescent="0.25">
      <c r="A176" s="463"/>
      <c r="B176" s="464"/>
      <c r="C176" s="464"/>
      <c r="D176" s="464"/>
      <c r="E176" s="464"/>
      <c r="F176" s="464"/>
    </row>
    <row r="177" spans="1:6" s="1222" customFormat="1" x14ac:dyDescent="0.25">
      <c r="A177" s="463"/>
      <c r="B177" s="464"/>
      <c r="C177" s="464"/>
      <c r="D177" s="464"/>
      <c r="E177" s="464"/>
      <c r="F177" s="464"/>
    </row>
    <row r="178" spans="1:6" s="1222" customFormat="1" x14ac:dyDescent="0.25">
      <c r="A178" s="463"/>
      <c r="B178" s="464"/>
      <c r="C178" s="464"/>
      <c r="D178" s="464"/>
      <c r="E178" s="464"/>
      <c r="F178" s="464"/>
    </row>
    <row r="179" spans="1:6" s="1222" customFormat="1" x14ac:dyDescent="0.25">
      <c r="A179" s="463"/>
      <c r="B179" s="464"/>
      <c r="C179" s="464"/>
      <c r="D179" s="464"/>
      <c r="E179" s="464"/>
      <c r="F179" s="464"/>
    </row>
    <row r="180" spans="1:6" s="1222" customFormat="1" x14ac:dyDescent="0.25">
      <c r="A180" s="463"/>
      <c r="B180" s="464"/>
      <c r="C180" s="464"/>
      <c r="D180" s="464"/>
      <c r="E180" s="464"/>
      <c r="F180" s="464"/>
    </row>
    <row r="181" spans="1:6" s="1222" customFormat="1" x14ac:dyDescent="0.25">
      <c r="A181" s="463"/>
      <c r="B181" s="464"/>
      <c r="C181" s="464"/>
      <c r="D181" s="464"/>
      <c r="E181" s="464"/>
      <c r="F181" s="464"/>
    </row>
    <row r="182" spans="1:6" s="1222" customFormat="1" x14ac:dyDescent="0.25">
      <c r="A182" s="463"/>
      <c r="B182" s="464"/>
      <c r="C182" s="464"/>
      <c r="D182" s="464"/>
      <c r="E182" s="464"/>
      <c r="F182" s="464"/>
    </row>
    <row r="183" spans="1:6" s="1222" customFormat="1" x14ac:dyDescent="0.25">
      <c r="A183" s="463"/>
      <c r="B183" s="464"/>
      <c r="C183" s="464"/>
      <c r="D183" s="464"/>
      <c r="E183" s="464"/>
      <c r="F183" s="464"/>
    </row>
    <row r="184" spans="1:6" s="1222" customFormat="1" x14ac:dyDescent="0.25">
      <c r="A184" s="463"/>
      <c r="B184" s="464"/>
      <c r="C184" s="464"/>
      <c r="D184" s="464"/>
      <c r="E184" s="464"/>
      <c r="F184" s="464"/>
    </row>
    <row r="185" spans="1:6" s="1222" customFormat="1" x14ac:dyDescent="0.25">
      <c r="A185" s="463"/>
      <c r="B185" s="464"/>
      <c r="C185" s="464"/>
      <c r="D185" s="464"/>
      <c r="E185" s="464"/>
      <c r="F185" s="464"/>
    </row>
    <row r="186" spans="1:6" s="1222" customFormat="1" x14ac:dyDescent="0.25">
      <c r="A186" s="463"/>
      <c r="B186" s="464"/>
      <c r="C186" s="464"/>
      <c r="D186" s="464"/>
      <c r="E186" s="464"/>
      <c r="F186" s="464"/>
    </row>
    <row r="187" spans="1:6" s="1222" customFormat="1" x14ac:dyDescent="0.25">
      <c r="A187" s="463"/>
      <c r="B187" s="464"/>
      <c r="C187" s="464"/>
      <c r="D187" s="464"/>
      <c r="E187" s="464"/>
      <c r="F187" s="464"/>
    </row>
    <row r="188" spans="1:6" s="1222" customFormat="1" x14ac:dyDescent="0.25">
      <c r="A188" s="463"/>
      <c r="B188" s="464"/>
      <c r="C188" s="464"/>
      <c r="D188" s="464"/>
      <c r="E188" s="464"/>
      <c r="F188" s="464"/>
    </row>
    <row r="189" spans="1:6" s="1222" customFormat="1" x14ac:dyDescent="0.25">
      <c r="A189" s="463"/>
      <c r="B189" s="464"/>
      <c r="C189" s="464"/>
      <c r="D189" s="464"/>
      <c r="E189" s="464"/>
      <c r="F189" s="464"/>
    </row>
    <row r="190" spans="1:6" s="1222" customFormat="1" x14ac:dyDescent="0.25">
      <c r="A190" s="463"/>
      <c r="B190" s="464"/>
      <c r="C190" s="464"/>
      <c r="D190" s="464"/>
      <c r="E190" s="464"/>
      <c r="F190" s="464"/>
    </row>
    <row r="191" spans="1:6" s="1222" customFormat="1" x14ac:dyDescent="0.25">
      <c r="A191" s="463"/>
      <c r="B191" s="464"/>
      <c r="C191" s="464"/>
      <c r="D191" s="464"/>
      <c r="E191" s="464"/>
      <c r="F191" s="464"/>
    </row>
    <row r="192" spans="1:6" s="1222" customFormat="1" x14ac:dyDescent="0.25">
      <c r="A192" s="463"/>
      <c r="B192" s="464"/>
      <c r="C192" s="464"/>
      <c r="D192" s="464"/>
      <c r="E192" s="464"/>
      <c r="F192" s="464"/>
    </row>
    <row r="193" spans="1:6" s="1222" customFormat="1" x14ac:dyDescent="0.25">
      <c r="A193" s="463"/>
      <c r="B193" s="464"/>
      <c r="C193" s="464"/>
      <c r="D193" s="464"/>
      <c r="E193" s="464"/>
      <c r="F193" s="464"/>
    </row>
    <row r="194" spans="1:6" s="1222" customFormat="1" x14ac:dyDescent="0.25">
      <c r="A194" s="463"/>
      <c r="B194" s="464"/>
      <c r="C194" s="464"/>
      <c r="D194" s="464"/>
      <c r="E194" s="464"/>
      <c r="F194" s="464"/>
    </row>
    <row r="195" spans="1:6" s="1222" customFormat="1" x14ac:dyDescent="0.25">
      <c r="A195" s="463"/>
      <c r="B195" s="464"/>
      <c r="C195" s="464"/>
      <c r="D195" s="464"/>
      <c r="E195" s="464"/>
      <c r="F195" s="464"/>
    </row>
    <row r="196" spans="1:6" s="1222" customFormat="1" x14ac:dyDescent="0.25">
      <c r="A196" s="463"/>
      <c r="B196" s="464"/>
      <c r="C196" s="464"/>
      <c r="D196" s="464"/>
      <c r="E196" s="464"/>
      <c r="F196" s="464"/>
    </row>
    <row r="197" spans="1:6" s="1222" customFormat="1" x14ac:dyDescent="0.25">
      <c r="A197" s="463"/>
      <c r="B197" s="464"/>
      <c r="C197" s="464"/>
      <c r="D197" s="464"/>
      <c r="E197" s="464"/>
      <c r="F197" s="464"/>
    </row>
    <row r="198" spans="1:6" s="1222" customFormat="1" x14ac:dyDescent="0.25">
      <c r="A198" s="463"/>
      <c r="B198" s="464"/>
      <c r="C198" s="464"/>
      <c r="D198" s="464"/>
      <c r="E198" s="464"/>
      <c r="F198" s="464"/>
    </row>
    <row r="199" spans="1:6" s="1222" customFormat="1" x14ac:dyDescent="0.25">
      <c r="A199" s="463"/>
      <c r="B199" s="464"/>
      <c r="C199" s="464"/>
      <c r="D199" s="464"/>
      <c r="E199" s="464"/>
      <c r="F199" s="464"/>
    </row>
    <row r="200" spans="1:6" s="1222" customFormat="1" x14ac:dyDescent="0.25">
      <c r="A200" s="463"/>
      <c r="B200" s="464"/>
      <c r="C200" s="464"/>
      <c r="D200" s="464"/>
      <c r="E200" s="464"/>
      <c r="F200" s="464"/>
    </row>
    <row r="201" spans="1:6" s="1222" customFormat="1" x14ac:dyDescent="0.25">
      <c r="A201" s="463"/>
      <c r="B201" s="464"/>
      <c r="C201" s="464"/>
      <c r="D201" s="464"/>
      <c r="E201" s="464"/>
      <c r="F201" s="464"/>
    </row>
    <row r="202" spans="1:6" s="1222" customFormat="1" x14ac:dyDescent="0.25">
      <c r="A202" s="463"/>
      <c r="B202" s="464"/>
      <c r="C202" s="464"/>
      <c r="D202" s="464"/>
      <c r="E202" s="464"/>
      <c r="F202" s="464"/>
    </row>
    <row r="203" spans="1:6" s="1222" customFormat="1" x14ac:dyDescent="0.25">
      <c r="A203" s="463"/>
      <c r="B203" s="464"/>
      <c r="C203" s="464"/>
      <c r="D203" s="464"/>
      <c r="E203" s="464"/>
      <c r="F203" s="464"/>
    </row>
    <row r="204" spans="1:6" s="1222" customFormat="1" x14ac:dyDescent="0.25">
      <c r="A204" s="463"/>
      <c r="B204" s="464"/>
      <c r="C204" s="464"/>
      <c r="D204" s="464"/>
      <c r="E204" s="464"/>
      <c r="F204" s="464"/>
    </row>
    <row r="205" spans="1:6" s="1222" customFormat="1" x14ac:dyDescent="0.25">
      <c r="A205" s="463"/>
      <c r="B205" s="464"/>
      <c r="C205" s="464"/>
      <c r="D205" s="464"/>
      <c r="E205" s="464"/>
      <c r="F205" s="464"/>
    </row>
    <row r="206" spans="1:6" s="1222" customFormat="1" x14ac:dyDescent="0.25">
      <c r="A206" s="463"/>
      <c r="B206" s="464"/>
      <c r="C206" s="464"/>
      <c r="D206" s="464"/>
      <c r="E206" s="464"/>
      <c r="F206" s="464"/>
    </row>
    <row r="207" spans="1:6" s="1222" customFormat="1" x14ac:dyDescent="0.25">
      <c r="A207" s="463"/>
      <c r="B207" s="464"/>
      <c r="C207" s="464"/>
      <c r="D207" s="464"/>
      <c r="E207" s="464"/>
      <c r="F207" s="464"/>
    </row>
    <row r="208" spans="1:6" s="1222" customFormat="1" x14ac:dyDescent="0.25">
      <c r="A208" s="463"/>
      <c r="B208" s="464"/>
      <c r="C208" s="464"/>
      <c r="D208" s="464"/>
      <c r="E208" s="464"/>
      <c r="F208" s="464"/>
    </row>
    <row r="209" spans="1:6" s="1222" customFormat="1" x14ac:dyDescent="0.25">
      <c r="A209" s="463"/>
      <c r="B209" s="464"/>
      <c r="C209" s="464"/>
      <c r="D209" s="464"/>
      <c r="E209" s="464"/>
      <c r="F209" s="464"/>
    </row>
    <row r="210" spans="1:6" s="1222" customFormat="1" x14ac:dyDescent="0.25">
      <c r="A210" s="463"/>
      <c r="B210" s="464"/>
      <c r="C210" s="464"/>
      <c r="D210" s="464"/>
      <c r="E210" s="464"/>
      <c r="F210" s="464"/>
    </row>
    <row r="211" spans="1:6" s="1222" customFormat="1" x14ac:dyDescent="0.25">
      <c r="A211" s="463"/>
      <c r="B211" s="464"/>
      <c r="C211" s="464"/>
      <c r="D211" s="464"/>
      <c r="E211" s="464"/>
      <c r="F211" s="464"/>
    </row>
    <row r="212" spans="1:6" s="1222" customFormat="1" x14ac:dyDescent="0.25">
      <c r="A212" s="463"/>
      <c r="B212" s="464"/>
      <c r="C212" s="464"/>
      <c r="D212" s="464"/>
      <c r="E212" s="464"/>
      <c r="F212" s="464"/>
    </row>
    <row r="213" spans="1:6" s="1222" customFormat="1" x14ac:dyDescent="0.25">
      <c r="A213" s="463"/>
      <c r="B213" s="464"/>
      <c r="C213" s="464"/>
      <c r="D213" s="464"/>
      <c r="E213" s="464"/>
      <c r="F213" s="464"/>
    </row>
    <row r="214" spans="1:6" s="1222" customFormat="1" x14ac:dyDescent="0.25">
      <c r="A214" s="463"/>
      <c r="B214" s="464"/>
      <c r="C214" s="464"/>
      <c r="D214" s="464"/>
      <c r="E214" s="464"/>
      <c r="F214" s="464"/>
    </row>
    <row r="215" spans="1:6" s="1222" customFormat="1" x14ac:dyDescent="0.25">
      <c r="A215" s="463"/>
      <c r="B215" s="464"/>
      <c r="C215" s="464"/>
      <c r="D215" s="464"/>
      <c r="E215" s="464"/>
      <c r="F215" s="464"/>
    </row>
    <row r="216" spans="1:6" s="1222" customFormat="1" x14ac:dyDescent="0.25">
      <c r="A216" s="463"/>
      <c r="B216" s="464"/>
      <c r="C216" s="464"/>
      <c r="D216" s="464"/>
      <c r="E216" s="464"/>
      <c r="F216" s="464"/>
    </row>
    <row r="217" spans="1:6" s="1222" customFormat="1" x14ac:dyDescent="0.25">
      <c r="A217" s="463"/>
      <c r="B217" s="464"/>
      <c r="C217" s="464"/>
      <c r="D217" s="464"/>
      <c r="E217" s="464"/>
      <c r="F217" s="464"/>
    </row>
    <row r="218" spans="1:6" s="1222" customFormat="1" x14ac:dyDescent="0.25">
      <c r="A218" s="463"/>
      <c r="B218" s="464"/>
      <c r="C218" s="464"/>
      <c r="D218" s="464"/>
      <c r="E218" s="464"/>
      <c r="F218" s="464"/>
    </row>
    <row r="219" spans="1:6" s="1222" customFormat="1" x14ac:dyDescent="0.25">
      <c r="A219" s="463"/>
      <c r="B219" s="464"/>
      <c r="C219" s="464"/>
      <c r="D219" s="464"/>
      <c r="E219" s="464"/>
      <c r="F219" s="464"/>
    </row>
    <row r="220" spans="1:6" s="1222" customFormat="1" x14ac:dyDescent="0.25">
      <c r="A220" s="463"/>
      <c r="B220" s="464"/>
      <c r="C220" s="464"/>
      <c r="D220" s="464"/>
      <c r="E220" s="464"/>
      <c r="F220" s="464"/>
    </row>
    <row r="221" spans="1:6" s="1222" customFormat="1" x14ac:dyDescent="0.25">
      <c r="A221" s="463"/>
      <c r="B221" s="464"/>
      <c r="C221" s="464"/>
      <c r="D221" s="464"/>
      <c r="E221" s="464"/>
      <c r="F221" s="464"/>
    </row>
    <row r="222" spans="1:6" s="1222" customFormat="1" x14ac:dyDescent="0.25">
      <c r="A222" s="463"/>
      <c r="B222" s="464"/>
      <c r="C222" s="464"/>
      <c r="D222" s="464"/>
      <c r="E222" s="464"/>
      <c r="F222" s="464"/>
    </row>
    <row r="223" spans="1:6" s="1222" customFormat="1" x14ac:dyDescent="0.25">
      <c r="A223" s="463"/>
      <c r="B223" s="464"/>
      <c r="C223" s="464"/>
      <c r="D223" s="464"/>
      <c r="E223" s="464"/>
      <c r="F223" s="464"/>
    </row>
    <row r="224" spans="1:6" s="1222" customFormat="1" x14ac:dyDescent="0.25">
      <c r="A224" s="463"/>
      <c r="B224" s="464"/>
      <c r="C224" s="464"/>
      <c r="D224" s="464"/>
      <c r="E224" s="464"/>
      <c r="F224" s="464"/>
    </row>
    <row r="225" spans="1:6" s="1222" customFormat="1" x14ac:dyDescent="0.25">
      <c r="A225" s="463"/>
      <c r="B225" s="464"/>
      <c r="C225" s="464"/>
      <c r="D225" s="464"/>
      <c r="E225" s="464"/>
      <c r="F225" s="464"/>
    </row>
    <row r="226" spans="1:6" s="1222" customFormat="1" x14ac:dyDescent="0.25">
      <c r="A226" s="463"/>
      <c r="B226" s="464"/>
      <c r="C226" s="464"/>
      <c r="D226" s="464"/>
      <c r="E226" s="464"/>
      <c r="F226" s="464"/>
    </row>
    <row r="227" spans="1:6" s="1222" customFormat="1" x14ac:dyDescent="0.25">
      <c r="A227" s="463"/>
      <c r="B227" s="464"/>
      <c r="C227" s="464"/>
      <c r="D227" s="464"/>
      <c r="E227" s="464"/>
      <c r="F227" s="464"/>
    </row>
    <row r="228" spans="1:6" s="1222" customFormat="1" x14ac:dyDescent="0.25">
      <c r="A228" s="463"/>
      <c r="B228" s="464"/>
      <c r="C228" s="464"/>
      <c r="D228" s="464"/>
      <c r="E228" s="464"/>
      <c r="F228" s="464"/>
    </row>
    <row r="229" spans="1:6" s="1222" customFormat="1" x14ac:dyDescent="0.25">
      <c r="A229" s="463"/>
      <c r="B229" s="464"/>
      <c r="C229" s="464"/>
      <c r="D229" s="464"/>
      <c r="E229" s="464"/>
      <c r="F229" s="464"/>
    </row>
    <row r="230" spans="1:6" s="1222" customFormat="1" x14ac:dyDescent="0.25">
      <c r="A230" s="463"/>
      <c r="B230" s="464"/>
      <c r="C230" s="464"/>
      <c r="D230" s="464"/>
      <c r="E230" s="464"/>
      <c r="F230" s="464"/>
    </row>
    <row r="231" spans="1:6" s="1222" customFormat="1" x14ac:dyDescent="0.25">
      <c r="A231" s="463"/>
      <c r="B231" s="464"/>
      <c r="C231" s="464"/>
      <c r="D231" s="464"/>
      <c r="E231" s="464"/>
      <c r="F231" s="464"/>
    </row>
    <row r="232" spans="1:6" s="1222" customFormat="1" x14ac:dyDescent="0.25">
      <c r="A232" s="463"/>
      <c r="B232" s="464"/>
      <c r="C232" s="464"/>
      <c r="D232" s="464"/>
      <c r="E232" s="464"/>
      <c r="F232" s="464"/>
    </row>
    <row r="233" spans="1:6" s="1222" customFormat="1" x14ac:dyDescent="0.25">
      <c r="A233" s="463"/>
      <c r="B233" s="464"/>
      <c r="C233" s="464"/>
      <c r="D233" s="464"/>
      <c r="E233" s="464"/>
      <c r="F233" s="464"/>
    </row>
    <row r="234" spans="1:6" s="1222" customFormat="1" x14ac:dyDescent="0.25">
      <c r="A234" s="463"/>
      <c r="B234" s="464"/>
      <c r="C234" s="464"/>
      <c r="D234" s="464"/>
      <c r="E234" s="464"/>
      <c r="F234" s="464"/>
    </row>
    <row r="235" spans="1:6" s="1222" customFormat="1" x14ac:dyDescent="0.25">
      <c r="A235" s="463"/>
      <c r="B235" s="464"/>
      <c r="C235" s="464"/>
      <c r="D235" s="464"/>
      <c r="E235" s="464"/>
      <c r="F235" s="464"/>
    </row>
    <row r="236" spans="1:6" s="1222" customFormat="1" x14ac:dyDescent="0.25">
      <c r="A236" s="463"/>
      <c r="B236" s="464"/>
      <c r="C236" s="464"/>
      <c r="D236" s="464"/>
      <c r="E236" s="464"/>
      <c r="F236" s="464"/>
    </row>
    <row r="237" spans="1:6" s="1222" customFormat="1" x14ac:dyDescent="0.25">
      <c r="A237" s="463"/>
      <c r="B237" s="464"/>
      <c r="C237" s="464"/>
      <c r="D237" s="464"/>
      <c r="E237" s="464"/>
      <c r="F237" s="464"/>
    </row>
    <row r="238" spans="1:6" s="1222" customFormat="1" x14ac:dyDescent="0.25">
      <c r="A238" s="463"/>
      <c r="B238" s="464"/>
      <c r="C238" s="464"/>
      <c r="D238" s="464"/>
      <c r="E238" s="464"/>
      <c r="F238" s="464"/>
    </row>
    <row r="239" spans="1:6" s="1222" customFormat="1" x14ac:dyDescent="0.25">
      <c r="A239" s="463"/>
      <c r="B239" s="464"/>
      <c r="C239" s="464"/>
      <c r="D239" s="464"/>
      <c r="E239" s="464"/>
      <c r="F239" s="464"/>
    </row>
    <row r="240" spans="1:6" s="1222" customFormat="1" x14ac:dyDescent="0.25">
      <c r="A240" s="463"/>
      <c r="B240" s="464"/>
      <c r="C240" s="464"/>
      <c r="D240" s="464"/>
      <c r="E240" s="464"/>
      <c r="F240" s="464"/>
    </row>
    <row r="241" spans="1:6" s="1222" customFormat="1" x14ac:dyDescent="0.25">
      <c r="A241" s="463"/>
      <c r="B241" s="464"/>
      <c r="C241" s="464"/>
      <c r="D241" s="464"/>
      <c r="E241" s="464"/>
      <c r="F241" s="464"/>
    </row>
    <row r="242" spans="1:6" s="1222" customFormat="1" x14ac:dyDescent="0.25">
      <c r="A242" s="463"/>
      <c r="B242" s="464"/>
      <c r="C242" s="464"/>
      <c r="D242" s="464"/>
      <c r="E242" s="464"/>
      <c r="F242" s="464"/>
    </row>
    <row r="243" spans="1:6" s="1222" customFormat="1" x14ac:dyDescent="0.25">
      <c r="A243" s="463"/>
      <c r="B243" s="464"/>
      <c r="C243" s="464"/>
      <c r="D243" s="464"/>
      <c r="E243" s="464"/>
      <c r="F243" s="464"/>
    </row>
    <row r="244" spans="1:6" s="1222" customFormat="1" x14ac:dyDescent="0.25">
      <c r="A244" s="463"/>
      <c r="B244" s="464"/>
      <c r="C244" s="464"/>
      <c r="D244" s="464"/>
      <c r="E244" s="464"/>
      <c r="F244" s="464"/>
    </row>
    <row r="245" spans="1:6" s="1222" customFormat="1" x14ac:dyDescent="0.25">
      <c r="A245" s="463"/>
      <c r="B245" s="464"/>
      <c r="C245" s="464"/>
      <c r="D245" s="464"/>
      <c r="E245" s="464"/>
      <c r="F245" s="464"/>
    </row>
    <row r="246" spans="1:6" s="1222" customFormat="1" x14ac:dyDescent="0.25">
      <c r="A246" s="463"/>
      <c r="B246" s="464"/>
      <c r="C246" s="464"/>
      <c r="D246" s="464"/>
      <c r="E246" s="464"/>
      <c r="F246" s="464"/>
    </row>
    <row r="247" spans="1:6" s="1222" customFormat="1" x14ac:dyDescent="0.25">
      <c r="A247" s="463"/>
      <c r="B247" s="464"/>
      <c r="C247" s="464"/>
      <c r="D247" s="464"/>
      <c r="E247" s="464"/>
      <c r="F247" s="464"/>
    </row>
    <row r="248" spans="1:6" s="1222" customFormat="1" x14ac:dyDescent="0.25">
      <c r="A248" s="463"/>
      <c r="B248" s="464"/>
      <c r="C248" s="464"/>
      <c r="D248" s="464"/>
      <c r="E248" s="464"/>
      <c r="F248" s="464"/>
    </row>
    <row r="249" spans="1:6" s="1222" customFormat="1" x14ac:dyDescent="0.25">
      <c r="A249" s="463"/>
      <c r="B249" s="464"/>
      <c r="C249" s="464"/>
      <c r="D249" s="464"/>
      <c r="E249" s="464"/>
      <c r="F249" s="464"/>
    </row>
    <row r="250" spans="1:6" s="1222" customFormat="1" x14ac:dyDescent="0.25">
      <c r="A250" s="463"/>
      <c r="B250" s="464"/>
      <c r="C250" s="464"/>
      <c r="D250" s="464"/>
      <c r="E250" s="464"/>
      <c r="F250" s="464"/>
    </row>
    <row r="251" spans="1:6" s="1222" customFormat="1" x14ac:dyDescent="0.25">
      <c r="A251" s="463"/>
      <c r="B251" s="464"/>
      <c r="C251" s="464"/>
      <c r="D251" s="464"/>
      <c r="E251" s="464"/>
      <c r="F251" s="464"/>
    </row>
    <row r="252" spans="1:6" s="1222" customFormat="1" x14ac:dyDescent="0.25">
      <c r="A252" s="463"/>
      <c r="B252" s="464"/>
      <c r="C252" s="464"/>
      <c r="D252" s="464"/>
      <c r="E252" s="464"/>
      <c r="F252" s="464"/>
    </row>
    <row r="253" spans="1:6" s="1222" customFormat="1" x14ac:dyDescent="0.25">
      <c r="A253" s="463"/>
      <c r="B253" s="464"/>
      <c r="C253" s="464"/>
      <c r="D253" s="464"/>
      <c r="E253" s="464"/>
      <c r="F253" s="464"/>
    </row>
    <row r="254" spans="1:6" s="1222" customFormat="1" x14ac:dyDescent="0.25">
      <c r="A254" s="463"/>
      <c r="B254" s="464"/>
      <c r="C254" s="464"/>
      <c r="D254" s="464"/>
      <c r="E254" s="464"/>
      <c r="F254" s="464"/>
    </row>
    <row r="255" spans="1:6" s="1222" customFormat="1" x14ac:dyDescent="0.25">
      <c r="A255" s="463"/>
      <c r="B255" s="464"/>
      <c r="C255" s="464"/>
      <c r="D255" s="464"/>
      <c r="E255" s="464"/>
      <c r="F255" s="464"/>
    </row>
    <row r="256" spans="1:6" s="1222" customFormat="1" x14ac:dyDescent="0.25">
      <c r="A256" s="463"/>
      <c r="B256" s="464"/>
      <c r="C256" s="464"/>
      <c r="D256" s="464"/>
      <c r="E256" s="464"/>
      <c r="F256" s="464"/>
    </row>
    <row r="257" spans="1:6" s="1222" customFormat="1" x14ac:dyDescent="0.25">
      <c r="A257" s="463"/>
      <c r="B257" s="464"/>
      <c r="C257" s="464"/>
      <c r="D257" s="464"/>
      <c r="E257" s="464"/>
      <c r="F257" s="464"/>
    </row>
    <row r="258" spans="1:6" s="1222" customFormat="1" x14ac:dyDescent="0.25">
      <c r="A258" s="463"/>
      <c r="B258" s="464"/>
      <c r="C258" s="464"/>
      <c r="D258" s="464"/>
      <c r="E258" s="464"/>
      <c r="F258" s="464"/>
    </row>
    <row r="259" spans="1:6" s="1222" customFormat="1" x14ac:dyDescent="0.25">
      <c r="A259" s="463"/>
      <c r="B259" s="464"/>
      <c r="C259" s="464"/>
      <c r="D259" s="464"/>
      <c r="E259" s="464"/>
      <c r="F259" s="464"/>
    </row>
    <row r="260" spans="1:6" s="1222" customFormat="1" x14ac:dyDescent="0.25">
      <c r="A260" s="463"/>
      <c r="B260" s="464"/>
      <c r="C260" s="464"/>
      <c r="D260" s="464"/>
      <c r="E260" s="464"/>
      <c r="F260" s="464"/>
    </row>
    <row r="261" spans="1:6" s="1222" customFormat="1" x14ac:dyDescent="0.25">
      <c r="A261" s="463"/>
      <c r="B261" s="464"/>
      <c r="C261" s="464"/>
      <c r="D261" s="464"/>
      <c r="E261" s="464"/>
      <c r="F261" s="464"/>
    </row>
    <row r="262" spans="1:6" s="1222" customFormat="1" x14ac:dyDescent="0.25">
      <c r="A262" s="463"/>
      <c r="B262" s="464"/>
      <c r="C262" s="464"/>
      <c r="D262" s="464"/>
      <c r="E262" s="464"/>
      <c r="F262" s="464"/>
    </row>
    <row r="263" spans="1:6" s="1222" customFormat="1" x14ac:dyDescent="0.25">
      <c r="A263" s="463"/>
      <c r="B263" s="464"/>
      <c r="C263" s="464"/>
      <c r="D263" s="464"/>
      <c r="E263" s="464"/>
      <c r="F263" s="464"/>
    </row>
    <row r="264" spans="1:6" s="1222" customFormat="1" x14ac:dyDescent="0.25">
      <c r="A264" s="463"/>
      <c r="B264" s="464"/>
      <c r="C264" s="464"/>
      <c r="D264" s="464"/>
      <c r="E264" s="464"/>
      <c r="F264" s="464"/>
    </row>
    <row r="265" spans="1:6" s="1222" customFormat="1" x14ac:dyDescent="0.25">
      <c r="A265" s="463"/>
      <c r="B265" s="464"/>
      <c r="C265" s="464"/>
      <c r="D265" s="464"/>
      <c r="E265" s="464"/>
      <c r="F265" s="464"/>
    </row>
    <row r="266" spans="1:6" s="1222" customFormat="1" x14ac:dyDescent="0.25">
      <c r="A266" s="463"/>
      <c r="B266" s="464"/>
      <c r="C266" s="464"/>
      <c r="D266" s="464"/>
      <c r="E266" s="464"/>
      <c r="F266" s="464"/>
    </row>
    <row r="267" spans="1:6" s="1222" customFormat="1" x14ac:dyDescent="0.25">
      <c r="A267" s="463"/>
      <c r="B267" s="464"/>
      <c r="C267" s="464"/>
      <c r="D267" s="464"/>
      <c r="E267" s="464"/>
      <c r="F267" s="464"/>
    </row>
    <row r="268" spans="1:6" s="1222" customFormat="1" x14ac:dyDescent="0.25">
      <c r="A268" s="463"/>
      <c r="B268" s="464"/>
      <c r="C268" s="464"/>
      <c r="D268" s="464"/>
      <c r="E268" s="464"/>
      <c r="F268" s="464"/>
    </row>
    <row r="269" spans="1:6" s="1222" customFormat="1" x14ac:dyDescent="0.25">
      <c r="A269" s="463"/>
      <c r="B269" s="464"/>
      <c r="C269" s="464"/>
      <c r="D269" s="464"/>
      <c r="E269" s="464"/>
      <c r="F269" s="464"/>
    </row>
    <row r="270" spans="1:6" s="1222" customFormat="1" x14ac:dyDescent="0.25">
      <c r="A270" s="463"/>
      <c r="B270" s="464"/>
      <c r="C270" s="464"/>
      <c r="D270" s="464"/>
      <c r="E270" s="464"/>
      <c r="F270" s="464"/>
    </row>
    <row r="271" spans="1:6" s="1222" customFormat="1" x14ac:dyDescent="0.25">
      <c r="A271" s="463"/>
      <c r="B271" s="464"/>
      <c r="C271" s="464"/>
      <c r="D271" s="464"/>
      <c r="E271" s="464"/>
      <c r="F271" s="464"/>
    </row>
    <row r="272" spans="1:6" s="1222" customFormat="1" x14ac:dyDescent="0.25">
      <c r="A272" s="463"/>
      <c r="B272" s="464"/>
      <c r="C272" s="464"/>
      <c r="D272" s="464"/>
      <c r="E272" s="464"/>
      <c r="F272" s="464"/>
    </row>
    <row r="273" spans="1:6" s="1222" customFormat="1" x14ac:dyDescent="0.25">
      <c r="A273" s="463"/>
      <c r="B273" s="464"/>
      <c r="C273" s="464"/>
      <c r="D273" s="464"/>
      <c r="E273" s="464"/>
      <c r="F273" s="464"/>
    </row>
    <row r="274" spans="1:6" s="1222" customFormat="1" x14ac:dyDescent="0.25">
      <c r="A274" s="463"/>
      <c r="B274" s="464"/>
      <c r="C274" s="464"/>
      <c r="D274" s="464"/>
      <c r="E274" s="464"/>
      <c r="F274" s="464"/>
    </row>
    <row r="275" spans="1:6" s="1222" customFormat="1" x14ac:dyDescent="0.25">
      <c r="A275" s="463"/>
      <c r="B275" s="464"/>
      <c r="C275" s="464"/>
      <c r="D275" s="464"/>
      <c r="E275" s="464"/>
      <c r="F275" s="464"/>
    </row>
    <row r="276" spans="1:6" s="1222" customFormat="1" x14ac:dyDescent="0.25">
      <c r="A276" s="463"/>
      <c r="B276" s="464"/>
      <c r="C276" s="464"/>
      <c r="D276" s="464"/>
      <c r="E276" s="464"/>
      <c r="F276" s="464"/>
    </row>
    <row r="277" spans="1:6" s="1222" customFormat="1" x14ac:dyDescent="0.25">
      <c r="A277" s="463"/>
      <c r="B277" s="464"/>
      <c r="C277" s="464"/>
      <c r="D277" s="464"/>
      <c r="E277" s="464"/>
      <c r="F277" s="464"/>
    </row>
    <row r="278" spans="1:6" s="1222" customFormat="1" x14ac:dyDescent="0.25">
      <c r="A278" s="463"/>
      <c r="B278" s="464"/>
      <c r="C278" s="464"/>
      <c r="D278" s="464"/>
      <c r="E278" s="464"/>
      <c r="F278" s="464"/>
    </row>
    <row r="279" spans="1:6" s="1222" customFormat="1" x14ac:dyDescent="0.25">
      <c r="A279" s="463"/>
      <c r="B279" s="464"/>
      <c r="C279" s="464"/>
      <c r="D279" s="464"/>
      <c r="E279" s="464"/>
      <c r="F279" s="464"/>
    </row>
    <row r="280" spans="1:6" s="1222" customFormat="1" x14ac:dyDescent="0.25">
      <c r="A280" s="463"/>
      <c r="B280" s="464"/>
      <c r="C280" s="464"/>
      <c r="D280" s="464"/>
      <c r="E280" s="464"/>
      <c r="F280" s="464"/>
    </row>
    <row r="281" spans="1:6" s="1222" customFormat="1" x14ac:dyDescent="0.25">
      <c r="A281" s="463"/>
      <c r="B281" s="464"/>
      <c r="C281" s="464"/>
      <c r="D281" s="464"/>
      <c r="E281" s="464"/>
      <c r="F281" s="464"/>
    </row>
    <row r="282" spans="1:6" s="1222" customFormat="1" x14ac:dyDescent="0.25">
      <c r="A282" s="463"/>
      <c r="B282" s="464"/>
      <c r="C282" s="464"/>
      <c r="D282" s="464"/>
      <c r="E282" s="464"/>
      <c r="F282" s="464"/>
    </row>
    <row r="283" spans="1:6" s="1222" customFormat="1" x14ac:dyDescent="0.25">
      <c r="A283" s="463"/>
      <c r="B283" s="464"/>
      <c r="C283" s="464"/>
      <c r="D283" s="464"/>
      <c r="E283" s="464"/>
      <c r="F283" s="464"/>
    </row>
    <row r="284" spans="1:6" s="1222" customFormat="1" x14ac:dyDescent="0.25">
      <c r="A284" s="463"/>
      <c r="B284" s="464"/>
      <c r="C284" s="464"/>
      <c r="D284" s="464"/>
      <c r="E284" s="464"/>
      <c r="F284" s="464"/>
    </row>
    <row r="285" spans="1:6" s="1222" customFormat="1" x14ac:dyDescent="0.25">
      <c r="A285" s="463"/>
      <c r="B285" s="464"/>
      <c r="C285" s="464"/>
      <c r="D285" s="464"/>
      <c r="E285" s="464"/>
      <c r="F285" s="464"/>
    </row>
    <row r="286" spans="1:6" s="1222" customFormat="1" x14ac:dyDescent="0.25">
      <c r="A286" s="463"/>
      <c r="B286" s="464"/>
      <c r="C286" s="464"/>
      <c r="D286" s="464"/>
      <c r="E286" s="464"/>
      <c r="F286" s="464"/>
    </row>
    <row r="287" spans="1:6" s="1222" customFormat="1" x14ac:dyDescent="0.25">
      <c r="A287" s="463"/>
      <c r="B287" s="464"/>
      <c r="C287" s="464"/>
      <c r="D287" s="464"/>
      <c r="E287" s="464"/>
      <c r="F287" s="464"/>
    </row>
    <row r="288" spans="1:6" s="1222" customFormat="1" x14ac:dyDescent="0.25">
      <c r="A288" s="463"/>
      <c r="B288" s="464"/>
      <c r="C288" s="464"/>
      <c r="D288" s="464"/>
      <c r="E288" s="464"/>
      <c r="F288" s="464"/>
    </row>
    <row r="289" spans="1:6" s="1222" customFormat="1" x14ac:dyDescent="0.25">
      <c r="A289" s="463"/>
      <c r="B289" s="464"/>
      <c r="C289" s="464"/>
      <c r="D289" s="464"/>
      <c r="E289" s="464"/>
      <c r="F289" s="464"/>
    </row>
    <row r="290" spans="1:6" s="1222" customFormat="1" x14ac:dyDescent="0.25">
      <c r="A290" s="463"/>
      <c r="B290" s="464"/>
      <c r="C290" s="464"/>
      <c r="D290" s="464"/>
      <c r="E290" s="464"/>
      <c r="F290" s="464"/>
    </row>
    <row r="291" spans="1:6" s="1222" customFormat="1" x14ac:dyDescent="0.25">
      <c r="A291" s="463"/>
      <c r="B291" s="464"/>
      <c r="C291" s="464"/>
      <c r="D291" s="464"/>
      <c r="E291" s="464"/>
      <c r="F291" s="464"/>
    </row>
    <row r="292" spans="1:6" s="1222" customFormat="1" x14ac:dyDescent="0.25">
      <c r="A292" s="463"/>
      <c r="B292" s="464"/>
      <c r="C292" s="464"/>
      <c r="D292" s="464"/>
      <c r="E292" s="464"/>
      <c r="F292" s="464"/>
    </row>
    <row r="293" spans="1:6" s="1222" customFormat="1" x14ac:dyDescent="0.25">
      <c r="A293" s="463"/>
      <c r="B293" s="464"/>
      <c r="C293" s="464"/>
      <c r="D293" s="464"/>
      <c r="E293" s="464"/>
      <c r="F293" s="464"/>
    </row>
    <row r="294" spans="1:6" s="1222" customFormat="1" x14ac:dyDescent="0.25">
      <c r="A294" s="463"/>
      <c r="B294" s="464"/>
      <c r="C294" s="464"/>
      <c r="D294" s="464"/>
      <c r="E294" s="464"/>
      <c r="F294" s="464"/>
    </row>
    <row r="295" spans="1:6" s="1222" customFormat="1" x14ac:dyDescent="0.25">
      <c r="A295" s="463"/>
      <c r="B295" s="464"/>
      <c r="C295" s="464"/>
      <c r="D295" s="464"/>
      <c r="E295" s="464"/>
      <c r="F295" s="464"/>
    </row>
    <row r="296" spans="1:6" s="1222" customFormat="1" x14ac:dyDescent="0.25">
      <c r="A296" s="463"/>
      <c r="B296" s="464"/>
      <c r="C296" s="464"/>
      <c r="D296" s="464"/>
      <c r="E296" s="464"/>
      <c r="F296" s="464"/>
    </row>
    <row r="297" spans="1:6" s="1222" customFormat="1" x14ac:dyDescent="0.25">
      <c r="A297" s="463"/>
      <c r="B297" s="464"/>
      <c r="C297" s="464"/>
      <c r="D297" s="464"/>
      <c r="E297" s="464"/>
      <c r="F297" s="464"/>
    </row>
    <row r="298" spans="1:6" s="1222" customFormat="1" x14ac:dyDescent="0.25">
      <c r="A298" s="463"/>
      <c r="B298" s="464"/>
      <c r="C298" s="464"/>
      <c r="D298" s="464"/>
      <c r="E298" s="464"/>
      <c r="F298" s="464"/>
    </row>
    <row r="299" spans="1:6" s="1222" customFormat="1" x14ac:dyDescent="0.25">
      <c r="A299" s="463"/>
      <c r="B299" s="464"/>
      <c r="C299" s="464"/>
      <c r="D299" s="464"/>
      <c r="E299" s="464"/>
      <c r="F299" s="464"/>
    </row>
    <row r="300" spans="1:6" s="1222" customFormat="1" x14ac:dyDescent="0.25">
      <c r="A300" s="463"/>
      <c r="B300" s="464"/>
      <c r="C300" s="464"/>
      <c r="D300" s="464"/>
      <c r="E300" s="464"/>
      <c r="F300" s="464"/>
    </row>
    <row r="301" spans="1:6" s="1222" customFormat="1" x14ac:dyDescent="0.25">
      <c r="A301" s="463"/>
      <c r="B301" s="464"/>
      <c r="C301" s="464"/>
      <c r="D301" s="464"/>
      <c r="E301" s="464"/>
      <c r="F301" s="464"/>
    </row>
    <row r="302" spans="1:6" s="1222" customFormat="1" x14ac:dyDescent="0.25">
      <c r="A302" s="463"/>
      <c r="B302" s="464"/>
      <c r="C302" s="464"/>
      <c r="D302" s="464"/>
      <c r="E302" s="464"/>
      <c r="F302" s="464"/>
    </row>
    <row r="303" spans="1:6" s="1222" customFormat="1" x14ac:dyDescent="0.25">
      <c r="A303" s="463"/>
      <c r="B303" s="464"/>
      <c r="C303" s="464"/>
      <c r="D303" s="464"/>
      <c r="E303" s="464"/>
      <c r="F303" s="464"/>
    </row>
    <row r="304" spans="1:6" s="1222" customFormat="1" x14ac:dyDescent="0.25">
      <c r="A304" s="463"/>
      <c r="B304" s="464"/>
      <c r="C304" s="464"/>
      <c r="D304" s="464"/>
      <c r="E304" s="464"/>
      <c r="F304" s="464"/>
    </row>
    <row r="305" spans="1:6" s="1222" customFormat="1" x14ac:dyDescent="0.25">
      <c r="A305" s="463"/>
      <c r="B305" s="464"/>
      <c r="C305" s="464"/>
      <c r="D305" s="464"/>
      <c r="E305" s="464"/>
      <c r="F305" s="464"/>
    </row>
    <row r="306" spans="1:6" s="1222" customFormat="1" x14ac:dyDescent="0.25">
      <c r="A306" s="463"/>
      <c r="B306" s="464"/>
      <c r="C306" s="464"/>
      <c r="D306" s="464"/>
      <c r="E306" s="464"/>
      <c r="F306" s="464"/>
    </row>
    <row r="307" spans="1:6" s="1222" customFormat="1" x14ac:dyDescent="0.25">
      <c r="A307" s="463"/>
      <c r="B307" s="464"/>
      <c r="C307" s="464"/>
      <c r="D307" s="464"/>
      <c r="E307" s="464"/>
      <c r="F307" s="464"/>
    </row>
    <row r="308" spans="1:6" s="1222" customFormat="1" x14ac:dyDescent="0.25">
      <c r="A308" s="463"/>
      <c r="B308" s="464"/>
      <c r="C308" s="464"/>
      <c r="D308" s="464"/>
      <c r="E308" s="464"/>
      <c r="F308" s="464"/>
    </row>
    <row r="309" spans="1:6" s="1222" customFormat="1" x14ac:dyDescent="0.25">
      <c r="A309" s="463"/>
      <c r="B309" s="464"/>
      <c r="C309" s="464"/>
      <c r="D309" s="464"/>
      <c r="E309" s="464"/>
      <c r="F309" s="464"/>
    </row>
    <row r="310" spans="1:6" s="1222" customFormat="1" x14ac:dyDescent="0.25">
      <c r="A310" s="463"/>
      <c r="B310" s="464"/>
      <c r="C310" s="464"/>
      <c r="D310" s="464"/>
      <c r="E310" s="464"/>
      <c r="F310" s="464"/>
    </row>
    <row r="311" spans="1:6" s="1222" customFormat="1" x14ac:dyDescent="0.25">
      <c r="A311" s="463"/>
      <c r="B311" s="464"/>
      <c r="C311" s="464"/>
      <c r="D311" s="464"/>
      <c r="E311" s="464"/>
      <c r="F311" s="464"/>
    </row>
    <row r="312" spans="1:6" s="1222" customFormat="1" x14ac:dyDescent="0.25">
      <c r="A312" s="463"/>
      <c r="B312" s="464"/>
      <c r="C312" s="464"/>
      <c r="D312" s="464"/>
      <c r="E312" s="464"/>
      <c r="F312" s="464"/>
    </row>
    <row r="313" spans="1:6" s="1222" customFormat="1" x14ac:dyDescent="0.25">
      <c r="A313" s="463"/>
      <c r="B313" s="464"/>
      <c r="C313" s="464"/>
      <c r="D313" s="464"/>
      <c r="E313" s="464"/>
      <c r="F313" s="464"/>
    </row>
    <row r="314" spans="1:6" s="1222" customFormat="1" x14ac:dyDescent="0.25">
      <c r="A314" s="463"/>
      <c r="B314" s="464"/>
      <c r="C314" s="464"/>
      <c r="D314" s="464"/>
      <c r="E314" s="464"/>
      <c r="F314" s="464"/>
    </row>
    <row r="315" spans="1:6" s="1222" customFormat="1" x14ac:dyDescent="0.25">
      <c r="A315" s="463"/>
      <c r="B315" s="464"/>
      <c r="C315" s="464"/>
      <c r="D315" s="464"/>
      <c r="E315" s="464"/>
      <c r="F315" s="464"/>
    </row>
    <row r="316" spans="1:6" s="1222" customFormat="1" x14ac:dyDescent="0.25">
      <c r="A316" s="463"/>
      <c r="B316" s="464"/>
      <c r="C316" s="464"/>
      <c r="D316" s="464"/>
      <c r="E316" s="464"/>
      <c r="F316" s="464"/>
    </row>
    <row r="317" spans="1:6" s="1222" customFormat="1" x14ac:dyDescent="0.25">
      <c r="A317" s="463"/>
      <c r="B317" s="464"/>
      <c r="C317" s="464"/>
      <c r="D317" s="464"/>
      <c r="E317" s="464"/>
      <c r="F317" s="464"/>
    </row>
    <row r="318" spans="1:6" s="1222" customFormat="1" x14ac:dyDescent="0.25">
      <c r="A318" s="463"/>
      <c r="B318" s="464"/>
      <c r="C318" s="464"/>
      <c r="D318" s="464"/>
      <c r="E318" s="464"/>
      <c r="F318" s="464"/>
    </row>
    <row r="319" spans="1:6" s="1222" customFormat="1" x14ac:dyDescent="0.25">
      <c r="A319" s="463"/>
      <c r="B319" s="464"/>
      <c r="C319" s="464"/>
      <c r="D319" s="464"/>
      <c r="E319" s="464"/>
      <c r="F319" s="464"/>
    </row>
    <row r="320" spans="1:6" s="1222" customFormat="1" x14ac:dyDescent="0.25">
      <c r="A320" s="463"/>
      <c r="B320" s="464"/>
      <c r="C320" s="464"/>
      <c r="D320" s="464"/>
      <c r="E320" s="464"/>
      <c r="F320" s="464"/>
    </row>
    <row r="321" spans="1:6" s="1222" customFormat="1" x14ac:dyDescent="0.25">
      <c r="A321" s="463"/>
      <c r="B321" s="464"/>
      <c r="C321" s="464"/>
      <c r="D321" s="464"/>
      <c r="E321" s="464"/>
      <c r="F321" s="464"/>
    </row>
    <row r="322" spans="1:6" s="1222" customFormat="1" x14ac:dyDescent="0.25">
      <c r="A322" s="463"/>
      <c r="B322" s="464"/>
      <c r="C322" s="464"/>
      <c r="D322" s="464"/>
      <c r="E322" s="464"/>
      <c r="F322" s="464"/>
    </row>
    <row r="323" spans="1:6" s="1222" customFormat="1" x14ac:dyDescent="0.25">
      <c r="A323" s="463"/>
      <c r="B323" s="464"/>
      <c r="C323" s="464"/>
      <c r="D323" s="464"/>
      <c r="E323" s="464"/>
      <c r="F323" s="464"/>
    </row>
    <row r="324" spans="1:6" s="1222" customFormat="1" x14ac:dyDescent="0.25">
      <c r="A324" s="463"/>
      <c r="B324" s="464"/>
      <c r="C324" s="464"/>
      <c r="D324" s="464"/>
      <c r="E324" s="464"/>
      <c r="F324" s="464"/>
    </row>
    <row r="325" spans="1:6" s="1222" customFormat="1" x14ac:dyDescent="0.25">
      <c r="A325" s="463"/>
      <c r="B325" s="464"/>
      <c r="C325" s="464"/>
      <c r="D325" s="464"/>
      <c r="E325" s="464"/>
      <c r="F325" s="464"/>
    </row>
    <row r="326" spans="1:6" s="1222" customFormat="1" x14ac:dyDescent="0.25">
      <c r="A326" s="463"/>
      <c r="B326" s="464"/>
      <c r="C326" s="464"/>
      <c r="D326" s="464"/>
      <c r="E326" s="464"/>
      <c r="F326" s="464"/>
    </row>
    <row r="327" spans="1:6" s="1222" customFormat="1" x14ac:dyDescent="0.25">
      <c r="A327" s="463"/>
      <c r="B327" s="464"/>
      <c r="C327" s="464"/>
      <c r="D327" s="464"/>
      <c r="E327" s="464"/>
      <c r="F327" s="464"/>
    </row>
    <row r="328" spans="1:6" s="1222" customFormat="1" x14ac:dyDescent="0.25">
      <c r="A328" s="463"/>
      <c r="B328" s="464"/>
      <c r="C328" s="464"/>
      <c r="D328" s="464"/>
      <c r="E328" s="464"/>
      <c r="F328" s="464"/>
    </row>
    <row r="329" spans="1:6" s="1222" customFormat="1" x14ac:dyDescent="0.25">
      <c r="A329" s="463"/>
      <c r="B329" s="464"/>
      <c r="C329" s="464"/>
      <c r="D329" s="464"/>
      <c r="E329" s="464"/>
      <c r="F329" s="464"/>
    </row>
    <row r="330" spans="1:6" s="1222" customFormat="1" x14ac:dyDescent="0.25">
      <c r="A330" s="463"/>
      <c r="B330" s="464"/>
      <c r="C330" s="464"/>
      <c r="D330" s="464"/>
      <c r="E330" s="464"/>
      <c r="F330" s="464"/>
    </row>
    <row r="331" spans="1:6" s="1222" customFormat="1" x14ac:dyDescent="0.25">
      <c r="A331" s="463"/>
      <c r="B331" s="464"/>
      <c r="C331" s="464"/>
      <c r="D331" s="464"/>
      <c r="E331" s="464"/>
      <c r="F331" s="464"/>
    </row>
    <row r="332" spans="1:6" s="1222" customFormat="1" x14ac:dyDescent="0.25">
      <c r="A332" s="463"/>
      <c r="B332" s="464"/>
      <c r="C332" s="464"/>
      <c r="D332" s="464"/>
      <c r="E332" s="464"/>
      <c r="F332" s="464"/>
    </row>
    <row r="333" spans="1:6" s="1222" customFormat="1" x14ac:dyDescent="0.25">
      <c r="A333" s="463"/>
      <c r="B333" s="464"/>
      <c r="C333" s="464"/>
      <c r="D333" s="464"/>
      <c r="E333" s="464"/>
      <c r="F333" s="464"/>
    </row>
    <row r="334" spans="1:6" s="1222" customFormat="1" x14ac:dyDescent="0.25">
      <c r="A334" s="463"/>
      <c r="B334" s="464"/>
      <c r="C334" s="464"/>
      <c r="D334" s="464"/>
      <c r="E334" s="464"/>
      <c r="F334" s="464"/>
    </row>
    <row r="335" spans="1:6" s="1222" customFormat="1" x14ac:dyDescent="0.25">
      <c r="A335" s="463"/>
      <c r="B335" s="464"/>
      <c r="C335" s="464"/>
      <c r="D335" s="464"/>
      <c r="E335" s="464"/>
      <c r="F335" s="464"/>
    </row>
    <row r="336" spans="1:6" s="1222" customFormat="1" x14ac:dyDescent="0.25">
      <c r="A336" s="463"/>
      <c r="B336" s="464"/>
      <c r="C336" s="464"/>
      <c r="D336" s="464"/>
      <c r="E336" s="464"/>
      <c r="F336" s="464"/>
    </row>
    <row r="337" spans="1:6" s="1222" customFormat="1" x14ac:dyDescent="0.25">
      <c r="A337" s="463"/>
      <c r="B337" s="464"/>
      <c r="C337" s="464"/>
      <c r="D337" s="464"/>
      <c r="E337" s="464"/>
      <c r="F337" s="464"/>
    </row>
    <row r="338" spans="1:6" s="1222" customFormat="1" x14ac:dyDescent="0.25">
      <c r="A338" s="463"/>
      <c r="B338" s="464"/>
      <c r="C338" s="464"/>
      <c r="D338" s="464"/>
      <c r="E338" s="464"/>
      <c r="F338" s="464"/>
    </row>
    <row r="339" spans="1:6" s="1222" customFormat="1" x14ac:dyDescent="0.25">
      <c r="A339" s="463"/>
      <c r="B339" s="464"/>
      <c r="C339" s="464"/>
      <c r="D339" s="464"/>
      <c r="E339" s="464"/>
      <c r="F339" s="464"/>
    </row>
    <row r="340" spans="1:6" s="1222" customFormat="1" x14ac:dyDescent="0.25">
      <c r="A340" s="463"/>
      <c r="B340" s="464"/>
      <c r="C340" s="464"/>
      <c r="D340" s="464"/>
      <c r="E340" s="464"/>
      <c r="F340" s="464"/>
    </row>
    <row r="341" spans="1:6" s="1222" customFormat="1" x14ac:dyDescent="0.25">
      <c r="A341" s="463"/>
      <c r="B341" s="464"/>
      <c r="C341" s="464"/>
      <c r="D341" s="464"/>
      <c r="E341" s="464"/>
      <c r="F341" s="464"/>
    </row>
    <row r="342" spans="1:6" s="1222" customFormat="1" x14ac:dyDescent="0.25">
      <c r="A342" s="463"/>
      <c r="B342" s="464"/>
      <c r="C342" s="464"/>
      <c r="D342" s="464"/>
      <c r="E342" s="464"/>
      <c r="F342" s="464"/>
    </row>
    <row r="343" spans="1:6" s="1222" customFormat="1" x14ac:dyDescent="0.25">
      <c r="A343" s="463"/>
      <c r="B343" s="464"/>
      <c r="C343" s="464"/>
      <c r="D343" s="464"/>
      <c r="E343" s="464"/>
      <c r="F343" s="464"/>
    </row>
    <row r="344" spans="1:6" s="1222" customFormat="1" x14ac:dyDescent="0.25">
      <c r="A344" s="463"/>
      <c r="B344" s="464"/>
      <c r="C344" s="464"/>
      <c r="D344" s="464"/>
      <c r="E344" s="464"/>
      <c r="F344" s="464"/>
    </row>
    <row r="345" spans="1:6" s="1222" customFormat="1" x14ac:dyDescent="0.25">
      <c r="A345" s="463"/>
      <c r="B345" s="464"/>
      <c r="C345" s="464"/>
      <c r="D345" s="464"/>
      <c r="E345" s="464"/>
      <c r="F345" s="464"/>
    </row>
    <row r="346" spans="1:6" s="1222" customFormat="1" x14ac:dyDescent="0.25">
      <c r="A346" s="463"/>
      <c r="B346" s="464"/>
      <c r="C346" s="464"/>
      <c r="D346" s="464"/>
      <c r="E346" s="464"/>
      <c r="F346" s="464"/>
    </row>
    <row r="347" spans="1:6" s="1222" customFormat="1" x14ac:dyDescent="0.25">
      <c r="A347" s="463"/>
      <c r="B347" s="464"/>
      <c r="C347" s="464"/>
      <c r="D347" s="464"/>
      <c r="E347" s="464"/>
      <c r="F347" s="464"/>
    </row>
    <row r="348" spans="1:6" s="1222" customFormat="1" x14ac:dyDescent="0.25">
      <c r="A348" s="463"/>
      <c r="B348" s="464"/>
      <c r="C348" s="464"/>
      <c r="D348" s="464"/>
      <c r="E348" s="464"/>
      <c r="F348" s="464"/>
    </row>
    <row r="349" spans="1:6" s="1222" customFormat="1" x14ac:dyDescent="0.25">
      <c r="A349" s="463"/>
      <c r="B349" s="464"/>
      <c r="C349" s="464"/>
      <c r="D349" s="464"/>
      <c r="E349" s="464"/>
      <c r="F349" s="464"/>
    </row>
    <row r="350" spans="1:6" s="1222" customFormat="1" x14ac:dyDescent="0.25">
      <c r="A350" s="463"/>
      <c r="B350" s="464"/>
      <c r="C350" s="464"/>
      <c r="D350" s="464"/>
      <c r="E350" s="464"/>
      <c r="F350" s="464"/>
    </row>
    <row r="351" spans="1:6" s="1222" customFormat="1" x14ac:dyDescent="0.25">
      <c r="A351" s="463"/>
      <c r="B351" s="464"/>
      <c r="C351" s="464"/>
      <c r="D351" s="464"/>
      <c r="E351" s="464"/>
      <c r="F351" s="464"/>
    </row>
    <row r="352" spans="1:6" s="1222" customFormat="1" x14ac:dyDescent="0.25">
      <c r="A352" s="463"/>
      <c r="B352" s="464"/>
      <c r="C352" s="464"/>
      <c r="D352" s="464"/>
      <c r="E352" s="464"/>
      <c r="F352" s="464"/>
    </row>
    <row r="353" spans="1:6" s="1222" customFormat="1" x14ac:dyDescent="0.25">
      <c r="A353" s="463"/>
      <c r="B353" s="464"/>
      <c r="C353" s="464"/>
      <c r="D353" s="464"/>
      <c r="E353" s="464"/>
      <c r="F353" s="464"/>
    </row>
    <row r="354" spans="1:6" s="1222" customFormat="1" x14ac:dyDescent="0.25">
      <c r="A354" s="463"/>
      <c r="B354" s="464"/>
      <c r="C354" s="464"/>
      <c r="D354" s="464"/>
      <c r="E354" s="464"/>
      <c r="F354" s="464"/>
    </row>
    <row r="355" spans="1:6" s="1222" customFormat="1" x14ac:dyDescent="0.25">
      <c r="A355" s="463"/>
      <c r="B355" s="464"/>
      <c r="C355" s="464"/>
      <c r="D355" s="464"/>
      <c r="E355" s="464"/>
      <c r="F355" s="464"/>
    </row>
    <row r="356" spans="1:6" s="1222" customFormat="1" x14ac:dyDescent="0.25">
      <c r="A356" s="463"/>
      <c r="B356" s="464"/>
      <c r="C356" s="464"/>
      <c r="D356" s="464"/>
      <c r="E356" s="464"/>
      <c r="F356" s="464"/>
    </row>
    <row r="357" spans="1:6" s="1222" customFormat="1" x14ac:dyDescent="0.25">
      <c r="A357" s="463"/>
      <c r="B357" s="464"/>
      <c r="C357" s="464"/>
      <c r="D357" s="464"/>
      <c r="E357" s="464"/>
      <c r="F357" s="464"/>
    </row>
    <row r="358" spans="1:6" s="1222" customFormat="1" x14ac:dyDescent="0.25">
      <c r="A358" s="463"/>
      <c r="B358" s="464"/>
      <c r="C358" s="464"/>
      <c r="D358" s="464"/>
      <c r="E358" s="464"/>
      <c r="F358" s="464"/>
    </row>
    <row r="359" spans="1:6" s="1222" customFormat="1" x14ac:dyDescent="0.25">
      <c r="A359" s="463"/>
      <c r="B359" s="464"/>
      <c r="C359" s="464"/>
      <c r="D359" s="464"/>
      <c r="E359" s="464"/>
      <c r="F359" s="464"/>
    </row>
    <row r="360" spans="1:6" s="1222" customFormat="1" x14ac:dyDescent="0.25">
      <c r="A360" s="463"/>
      <c r="B360" s="464"/>
      <c r="C360" s="464"/>
      <c r="D360" s="464"/>
      <c r="E360" s="464"/>
      <c r="F360" s="464"/>
    </row>
    <row r="361" spans="1:6" s="1222" customFormat="1" x14ac:dyDescent="0.25">
      <c r="A361" s="463"/>
      <c r="B361" s="464"/>
      <c r="C361" s="464"/>
      <c r="D361" s="464"/>
      <c r="E361" s="464"/>
      <c r="F361" s="464"/>
    </row>
    <row r="362" spans="1:6" s="1222" customFormat="1" x14ac:dyDescent="0.25">
      <c r="A362" s="463"/>
      <c r="B362" s="464"/>
      <c r="C362" s="464"/>
      <c r="D362" s="464"/>
      <c r="E362" s="464"/>
      <c r="F362" s="464"/>
    </row>
    <row r="363" spans="1:6" s="1222" customFormat="1" x14ac:dyDescent="0.25">
      <c r="A363" s="463"/>
      <c r="B363" s="464"/>
      <c r="C363" s="464"/>
      <c r="D363" s="464"/>
      <c r="E363" s="464"/>
      <c r="F363" s="464"/>
    </row>
    <row r="364" spans="1:6" s="1222" customFormat="1" x14ac:dyDescent="0.25">
      <c r="A364" s="463"/>
      <c r="B364" s="464"/>
      <c r="C364" s="464"/>
      <c r="D364" s="464"/>
      <c r="E364" s="464"/>
      <c r="F364" s="464"/>
    </row>
    <row r="365" spans="1:6" s="1222" customFormat="1" x14ac:dyDescent="0.25">
      <c r="A365" s="463"/>
      <c r="B365" s="464"/>
      <c r="C365" s="464"/>
      <c r="D365" s="464"/>
      <c r="E365" s="464"/>
      <c r="F365" s="464"/>
    </row>
    <row r="366" spans="1:6" s="1222" customFormat="1" x14ac:dyDescent="0.25">
      <c r="A366" s="463"/>
      <c r="B366" s="464"/>
      <c r="C366" s="464"/>
      <c r="D366" s="464"/>
      <c r="E366" s="464"/>
      <c r="F366" s="464"/>
    </row>
    <row r="367" spans="1:6" s="1222" customFormat="1" x14ac:dyDescent="0.25">
      <c r="A367" s="463"/>
      <c r="B367" s="464"/>
      <c r="C367" s="464"/>
      <c r="D367" s="464"/>
      <c r="E367" s="464"/>
      <c r="F367" s="464"/>
    </row>
    <row r="368" spans="1:6" s="1222" customFormat="1" x14ac:dyDescent="0.25">
      <c r="A368" s="463"/>
      <c r="B368" s="464"/>
      <c r="C368" s="464"/>
      <c r="D368" s="464"/>
      <c r="E368" s="464"/>
      <c r="F368" s="464"/>
    </row>
    <row r="369" spans="1:6" s="1222" customFormat="1" x14ac:dyDescent="0.25">
      <c r="A369" s="463"/>
      <c r="B369" s="464"/>
      <c r="C369" s="464"/>
      <c r="D369" s="464"/>
      <c r="E369" s="464"/>
      <c r="F369" s="464"/>
    </row>
    <row r="370" spans="1:6" s="1222" customFormat="1" x14ac:dyDescent="0.25">
      <c r="A370" s="463"/>
      <c r="B370" s="464"/>
      <c r="C370" s="464"/>
      <c r="D370" s="464"/>
      <c r="E370" s="464"/>
      <c r="F370" s="464"/>
    </row>
    <row r="371" spans="1:6" s="1222" customFormat="1" x14ac:dyDescent="0.25">
      <c r="A371" s="463"/>
      <c r="B371" s="464"/>
      <c r="C371" s="464"/>
      <c r="D371" s="464"/>
      <c r="E371" s="464"/>
      <c r="F371" s="464"/>
    </row>
    <row r="372" spans="1:6" s="1222" customFormat="1" x14ac:dyDescent="0.25">
      <c r="A372" s="463"/>
      <c r="B372" s="464"/>
      <c r="C372" s="464"/>
      <c r="D372" s="464"/>
      <c r="E372" s="464"/>
      <c r="F372" s="464"/>
    </row>
    <row r="373" spans="1:6" s="1222" customFormat="1" x14ac:dyDescent="0.25">
      <c r="A373" s="463"/>
      <c r="B373" s="464"/>
      <c r="C373" s="464"/>
      <c r="D373" s="464"/>
      <c r="E373" s="464"/>
      <c r="F373" s="464"/>
    </row>
    <row r="374" spans="1:6" s="1222" customFormat="1" x14ac:dyDescent="0.25">
      <c r="A374" s="463"/>
      <c r="B374" s="464"/>
      <c r="C374" s="464"/>
      <c r="D374" s="464"/>
      <c r="E374" s="464"/>
      <c r="F374" s="464"/>
    </row>
    <row r="375" spans="1:6" s="1222" customFormat="1" x14ac:dyDescent="0.25">
      <c r="A375" s="463"/>
      <c r="B375" s="464"/>
      <c r="C375" s="464"/>
      <c r="D375" s="464"/>
      <c r="E375" s="464"/>
      <c r="F375" s="464"/>
    </row>
    <row r="376" spans="1:6" s="1222" customFormat="1" x14ac:dyDescent="0.25">
      <c r="A376" s="463"/>
      <c r="B376" s="464"/>
      <c r="C376" s="464"/>
      <c r="D376" s="464"/>
      <c r="E376" s="464"/>
      <c r="F376" s="464"/>
    </row>
    <row r="377" spans="1:6" s="1222" customFormat="1" x14ac:dyDescent="0.25">
      <c r="A377" s="463"/>
      <c r="B377" s="464"/>
      <c r="C377" s="464"/>
      <c r="D377" s="464"/>
      <c r="E377" s="464"/>
      <c r="F377" s="464"/>
    </row>
    <row r="378" spans="1:6" s="1222" customFormat="1" x14ac:dyDescent="0.25">
      <c r="A378" s="463"/>
      <c r="B378" s="464"/>
      <c r="C378" s="464"/>
      <c r="D378" s="464"/>
      <c r="E378" s="464"/>
      <c r="F378" s="464"/>
    </row>
    <row r="379" spans="1:6" s="1222" customFormat="1" x14ac:dyDescent="0.25">
      <c r="A379" s="463"/>
      <c r="B379" s="464"/>
      <c r="C379" s="464"/>
      <c r="D379" s="464"/>
      <c r="E379" s="464"/>
      <c r="F379" s="464"/>
    </row>
    <row r="380" spans="1:6" s="1222" customFormat="1" x14ac:dyDescent="0.25">
      <c r="A380" s="463"/>
      <c r="B380" s="464"/>
      <c r="C380" s="464"/>
      <c r="D380" s="464"/>
      <c r="E380" s="464"/>
      <c r="F380" s="464"/>
    </row>
    <row r="381" spans="1:6" s="1222" customFormat="1" x14ac:dyDescent="0.25">
      <c r="A381" s="463"/>
      <c r="B381" s="464"/>
      <c r="C381" s="464"/>
      <c r="D381" s="464"/>
      <c r="E381" s="464"/>
      <c r="F381" s="464"/>
    </row>
    <row r="382" spans="1:6" s="1222" customFormat="1" x14ac:dyDescent="0.25">
      <c r="A382" s="463"/>
      <c r="B382" s="464"/>
      <c r="C382" s="464"/>
      <c r="D382" s="464"/>
      <c r="E382" s="464"/>
      <c r="F382" s="464"/>
    </row>
    <row r="383" spans="1:6" s="1222" customFormat="1" x14ac:dyDescent="0.25">
      <c r="A383" s="463"/>
      <c r="B383" s="464"/>
      <c r="C383" s="464"/>
      <c r="D383" s="464"/>
      <c r="E383" s="464"/>
      <c r="F383" s="464"/>
    </row>
    <row r="384" spans="1:6" s="1222" customFormat="1" x14ac:dyDescent="0.25">
      <c r="A384" s="463"/>
      <c r="B384" s="464"/>
      <c r="C384" s="464"/>
      <c r="D384" s="464"/>
      <c r="E384" s="464"/>
      <c r="F384" s="464"/>
    </row>
    <row r="385" spans="1:6" s="1222" customFormat="1" x14ac:dyDescent="0.25">
      <c r="A385" s="463"/>
      <c r="B385" s="464"/>
      <c r="C385" s="464"/>
      <c r="D385" s="464"/>
      <c r="E385" s="464"/>
      <c r="F385" s="464"/>
    </row>
    <row r="386" spans="1:6" s="1222" customFormat="1" x14ac:dyDescent="0.25">
      <c r="A386" s="463"/>
      <c r="B386" s="464"/>
      <c r="C386" s="464"/>
      <c r="D386" s="464"/>
      <c r="E386" s="464"/>
      <c r="F386" s="464"/>
    </row>
    <row r="387" spans="1:6" s="1222" customFormat="1" x14ac:dyDescent="0.25">
      <c r="A387" s="463"/>
      <c r="B387" s="464"/>
      <c r="C387" s="464"/>
      <c r="D387" s="464"/>
      <c r="E387" s="464"/>
      <c r="F387" s="464"/>
    </row>
    <row r="388" spans="1:6" s="1222" customFormat="1" x14ac:dyDescent="0.25">
      <c r="A388" s="463"/>
      <c r="B388" s="464"/>
      <c r="C388" s="464"/>
      <c r="D388" s="464"/>
      <c r="E388" s="464"/>
      <c r="F388" s="464"/>
    </row>
    <row r="389" spans="1:6" s="1222" customFormat="1" x14ac:dyDescent="0.25">
      <c r="A389" s="463"/>
      <c r="B389" s="464"/>
      <c r="C389" s="464"/>
      <c r="D389" s="464"/>
      <c r="E389" s="464"/>
      <c r="F389" s="464"/>
    </row>
    <row r="390" spans="1:6" s="1222" customFormat="1" x14ac:dyDescent="0.25">
      <c r="A390" s="463"/>
      <c r="B390" s="464"/>
      <c r="C390" s="464"/>
      <c r="D390" s="464"/>
      <c r="E390" s="464"/>
      <c r="F390" s="464"/>
    </row>
    <row r="391" spans="1:6" s="1222" customFormat="1" x14ac:dyDescent="0.25">
      <c r="A391" s="463"/>
      <c r="B391" s="464"/>
      <c r="C391" s="464"/>
      <c r="D391" s="464"/>
      <c r="E391" s="464"/>
      <c r="F391" s="464"/>
    </row>
    <row r="392" spans="1:6" s="1222" customFormat="1" x14ac:dyDescent="0.25">
      <c r="A392" s="463"/>
      <c r="B392" s="464"/>
      <c r="C392" s="464"/>
      <c r="D392" s="464"/>
      <c r="E392" s="464"/>
      <c r="F392" s="464"/>
    </row>
    <row r="393" spans="1:6" s="1222" customFormat="1" x14ac:dyDescent="0.25">
      <c r="A393" s="463"/>
      <c r="B393" s="464"/>
      <c r="C393" s="464"/>
      <c r="D393" s="464"/>
      <c r="E393" s="464"/>
      <c r="F393" s="464"/>
    </row>
    <row r="394" spans="1:6" s="1222" customFormat="1" x14ac:dyDescent="0.25">
      <c r="A394" s="463"/>
      <c r="B394" s="464"/>
      <c r="C394" s="464"/>
      <c r="D394" s="464"/>
      <c r="E394" s="464"/>
      <c r="F394" s="464"/>
    </row>
    <row r="395" spans="1:6" s="1222" customFormat="1" x14ac:dyDescent="0.25">
      <c r="A395" s="463"/>
      <c r="B395" s="464"/>
      <c r="C395" s="464"/>
      <c r="D395" s="464"/>
      <c r="E395" s="464"/>
      <c r="F395" s="464"/>
    </row>
    <row r="396" spans="1:6" s="1222" customFormat="1" x14ac:dyDescent="0.25">
      <c r="A396" s="463"/>
      <c r="B396" s="464"/>
      <c r="C396" s="464"/>
      <c r="D396" s="464"/>
      <c r="E396" s="464"/>
      <c r="F396" s="464"/>
    </row>
    <row r="397" spans="1:6" s="1222" customFormat="1" x14ac:dyDescent="0.25">
      <c r="A397" s="463"/>
      <c r="B397" s="464"/>
      <c r="C397" s="464"/>
      <c r="D397" s="464"/>
      <c r="E397" s="464"/>
      <c r="F397" s="464"/>
    </row>
    <row r="398" spans="1:6" s="1222" customFormat="1" x14ac:dyDescent="0.25">
      <c r="A398" s="463"/>
      <c r="B398" s="464"/>
      <c r="C398" s="464"/>
      <c r="D398" s="464"/>
      <c r="E398" s="464"/>
      <c r="F398" s="464"/>
    </row>
    <row r="399" spans="1:6" s="1222" customFormat="1" x14ac:dyDescent="0.25">
      <c r="A399" s="463"/>
      <c r="B399" s="464"/>
      <c r="C399" s="464"/>
      <c r="D399" s="464"/>
      <c r="E399" s="464"/>
      <c r="F399" s="464"/>
    </row>
    <row r="400" spans="1:6" s="1222" customFormat="1" x14ac:dyDescent="0.25">
      <c r="A400" s="463"/>
      <c r="B400" s="464"/>
      <c r="C400" s="464"/>
      <c r="D400" s="464"/>
      <c r="E400" s="464"/>
      <c r="F400" s="464"/>
    </row>
    <row r="401" spans="1:6" s="1222" customFormat="1" x14ac:dyDescent="0.25">
      <c r="A401" s="463"/>
      <c r="B401" s="464"/>
      <c r="C401" s="464"/>
      <c r="D401" s="464"/>
      <c r="E401" s="464"/>
      <c r="F401" s="464"/>
    </row>
    <row r="402" spans="1:6" s="1222" customFormat="1" x14ac:dyDescent="0.25">
      <c r="A402" s="463"/>
      <c r="B402" s="464"/>
      <c r="C402" s="464"/>
      <c r="D402" s="464"/>
      <c r="E402" s="464"/>
      <c r="F402" s="464"/>
    </row>
    <row r="403" spans="1:6" s="1222" customFormat="1" x14ac:dyDescent="0.25">
      <c r="A403" s="463"/>
      <c r="B403" s="464"/>
      <c r="C403" s="464"/>
      <c r="D403" s="464"/>
      <c r="E403" s="464"/>
      <c r="F403" s="464"/>
    </row>
    <row r="404" spans="1:6" s="1222" customFormat="1" x14ac:dyDescent="0.25">
      <c r="A404" s="463"/>
      <c r="B404" s="464"/>
      <c r="C404" s="464"/>
      <c r="D404" s="464"/>
      <c r="E404" s="464"/>
      <c r="F404" s="464"/>
    </row>
    <row r="405" spans="1:6" s="1222" customFormat="1" x14ac:dyDescent="0.25">
      <c r="A405" s="463"/>
      <c r="B405" s="464"/>
      <c r="C405" s="464"/>
      <c r="D405" s="464"/>
      <c r="E405" s="464"/>
      <c r="F405" s="464"/>
    </row>
    <row r="406" spans="1:6" s="1222" customFormat="1" x14ac:dyDescent="0.25">
      <c r="A406" s="463"/>
      <c r="B406" s="464"/>
      <c r="C406" s="464"/>
      <c r="D406" s="464"/>
      <c r="E406" s="464"/>
      <c r="F406" s="464"/>
    </row>
    <row r="407" spans="1:6" s="1222" customFormat="1" x14ac:dyDescent="0.25">
      <c r="A407" s="463"/>
      <c r="B407" s="464"/>
      <c r="C407" s="464"/>
      <c r="D407" s="464"/>
      <c r="E407" s="464"/>
      <c r="F407" s="464"/>
    </row>
    <row r="408" spans="1:6" s="1222" customFormat="1" x14ac:dyDescent="0.25">
      <c r="A408" s="463"/>
      <c r="B408" s="464"/>
      <c r="C408" s="464"/>
      <c r="D408" s="464"/>
      <c r="E408" s="464"/>
      <c r="F408" s="464"/>
    </row>
    <row r="409" spans="1:6" s="1222" customFormat="1" x14ac:dyDescent="0.25">
      <c r="A409" s="463"/>
      <c r="B409" s="464"/>
      <c r="C409" s="464"/>
      <c r="D409" s="464"/>
      <c r="E409" s="464"/>
      <c r="F409" s="464"/>
    </row>
    <row r="410" spans="1:6" s="1222" customFormat="1" x14ac:dyDescent="0.25">
      <c r="A410" s="463"/>
      <c r="B410" s="464"/>
      <c r="C410" s="464"/>
      <c r="D410" s="464"/>
      <c r="E410" s="464"/>
      <c r="F410" s="464"/>
    </row>
    <row r="411" spans="1:6" s="1222" customFormat="1" x14ac:dyDescent="0.25">
      <c r="A411" s="463"/>
      <c r="B411" s="464"/>
      <c r="C411" s="464"/>
      <c r="D411" s="464"/>
      <c r="E411" s="464"/>
      <c r="F411" s="464"/>
    </row>
    <row r="412" spans="1:6" s="1222" customFormat="1" x14ac:dyDescent="0.25">
      <c r="A412" s="463"/>
      <c r="B412" s="464"/>
      <c r="C412" s="464"/>
      <c r="D412" s="464"/>
      <c r="E412" s="464"/>
      <c r="F412" s="464"/>
    </row>
    <row r="413" spans="1:6" s="1222" customFormat="1" x14ac:dyDescent="0.25">
      <c r="A413" s="463"/>
      <c r="B413" s="464"/>
      <c r="C413" s="464"/>
      <c r="D413" s="464"/>
      <c r="E413" s="464"/>
      <c r="F413" s="464"/>
    </row>
    <row r="414" spans="1:6" s="1222" customFormat="1" x14ac:dyDescent="0.25">
      <c r="A414" s="463"/>
      <c r="B414" s="464"/>
      <c r="C414" s="464"/>
      <c r="D414" s="464"/>
      <c r="E414" s="464"/>
      <c r="F414" s="464"/>
    </row>
    <row r="415" spans="1:6" s="1222" customFormat="1" x14ac:dyDescent="0.25">
      <c r="A415" s="463"/>
      <c r="B415" s="464"/>
      <c r="C415" s="464"/>
      <c r="D415" s="464"/>
      <c r="E415" s="464"/>
      <c r="F415" s="464"/>
    </row>
    <row r="416" spans="1:6" s="1222" customFormat="1" x14ac:dyDescent="0.25">
      <c r="A416" s="463"/>
      <c r="B416" s="464"/>
      <c r="C416" s="464"/>
      <c r="D416" s="464"/>
      <c r="E416" s="464"/>
      <c r="F416" s="464"/>
    </row>
    <row r="417" spans="1:6" s="1222" customFormat="1" x14ac:dyDescent="0.25">
      <c r="A417" s="463"/>
      <c r="B417" s="464"/>
      <c r="C417" s="464"/>
      <c r="D417" s="464"/>
      <c r="E417" s="464"/>
      <c r="F417" s="464"/>
    </row>
    <row r="418" spans="1:6" s="1222" customFormat="1" x14ac:dyDescent="0.25">
      <c r="A418" s="463"/>
      <c r="B418" s="464"/>
      <c r="C418" s="464"/>
      <c r="D418" s="464"/>
      <c r="E418" s="464"/>
      <c r="F418" s="464"/>
    </row>
    <row r="419" spans="1:6" s="1222" customFormat="1" x14ac:dyDescent="0.25">
      <c r="A419" s="463"/>
      <c r="B419" s="464"/>
      <c r="C419" s="464"/>
      <c r="D419" s="464"/>
      <c r="E419" s="464"/>
      <c r="F419" s="464"/>
    </row>
    <row r="420" spans="1:6" s="1222" customFormat="1" x14ac:dyDescent="0.25">
      <c r="A420" s="463"/>
      <c r="B420" s="464"/>
      <c r="C420" s="464"/>
      <c r="D420" s="464"/>
      <c r="E420" s="464"/>
      <c r="F420" s="464"/>
    </row>
    <row r="421" spans="1:6" s="1222" customFormat="1" x14ac:dyDescent="0.25">
      <c r="A421" s="463"/>
      <c r="B421" s="464"/>
      <c r="C421" s="464"/>
      <c r="D421" s="464"/>
      <c r="E421" s="464"/>
      <c r="F421" s="464"/>
    </row>
    <row r="422" spans="1:6" s="1222" customFormat="1" x14ac:dyDescent="0.25">
      <c r="A422" s="463"/>
      <c r="B422" s="464"/>
      <c r="C422" s="464"/>
      <c r="D422" s="464"/>
      <c r="E422" s="464"/>
      <c r="F422" s="464"/>
    </row>
    <row r="423" spans="1:6" s="1222" customFormat="1" x14ac:dyDescent="0.25">
      <c r="A423" s="463"/>
      <c r="B423" s="464"/>
      <c r="C423" s="464"/>
      <c r="D423" s="464"/>
      <c r="E423" s="464"/>
      <c r="F423" s="464"/>
    </row>
    <row r="424" spans="1:6" s="1222" customFormat="1" x14ac:dyDescent="0.25">
      <c r="A424" s="463"/>
      <c r="B424" s="464"/>
      <c r="C424" s="464"/>
      <c r="D424" s="464"/>
      <c r="E424" s="464"/>
      <c r="F424" s="464"/>
    </row>
    <row r="425" spans="1:6" s="1222" customFormat="1" x14ac:dyDescent="0.25">
      <c r="A425" s="463"/>
      <c r="B425" s="464"/>
      <c r="C425" s="464"/>
      <c r="D425" s="464"/>
      <c r="E425" s="464"/>
      <c r="F425" s="464"/>
    </row>
    <row r="426" spans="1:6" s="1222" customFormat="1" x14ac:dyDescent="0.25">
      <c r="A426" s="463"/>
      <c r="B426" s="464"/>
      <c r="C426" s="464"/>
      <c r="D426" s="464"/>
      <c r="E426" s="464"/>
      <c r="F426" s="464"/>
    </row>
    <row r="427" spans="1:6" s="1222" customFormat="1" x14ac:dyDescent="0.25">
      <c r="A427" s="463"/>
      <c r="B427" s="464"/>
      <c r="C427" s="464"/>
      <c r="D427" s="464"/>
      <c r="E427" s="464"/>
      <c r="F427" s="464"/>
    </row>
    <row r="428" spans="1:6" s="1222" customFormat="1" x14ac:dyDescent="0.25">
      <c r="A428" s="463"/>
      <c r="B428" s="464"/>
      <c r="C428" s="464"/>
      <c r="D428" s="464"/>
      <c r="E428" s="464"/>
      <c r="F428" s="464"/>
    </row>
    <row r="429" spans="1:6" s="1222" customFormat="1" x14ac:dyDescent="0.25">
      <c r="A429" s="463"/>
      <c r="B429" s="464"/>
      <c r="C429" s="464"/>
      <c r="D429" s="464"/>
      <c r="E429" s="464"/>
      <c r="F429" s="464"/>
    </row>
    <row r="430" spans="1:6" s="1222" customFormat="1" x14ac:dyDescent="0.25">
      <c r="A430" s="463"/>
      <c r="B430" s="464"/>
      <c r="C430" s="464"/>
      <c r="D430" s="464"/>
      <c r="E430" s="464"/>
      <c r="F430" s="464"/>
    </row>
    <row r="431" spans="1:6" s="1222" customFormat="1" x14ac:dyDescent="0.25">
      <c r="A431" s="463"/>
      <c r="B431" s="464"/>
      <c r="C431" s="464"/>
      <c r="D431" s="464"/>
      <c r="E431" s="464"/>
      <c r="F431" s="464"/>
    </row>
    <row r="432" spans="1:6" s="1222" customFormat="1" x14ac:dyDescent="0.25">
      <c r="A432" s="463"/>
      <c r="B432" s="464"/>
      <c r="C432" s="464"/>
      <c r="D432" s="464"/>
      <c r="E432" s="464"/>
      <c r="F432" s="464"/>
    </row>
    <row r="433" spans="1:6" s="1222" customFormat="1" x14ac:dyDescent="0.25">
      <c r="A433" s="463"/>
      <c r="B433" s="464"/>
      <c r="C433" s="464"/>
      <c r="D433" s="464"/>
      <c r="E433" s="464"/>
      <c r="F433" s="464"/>
    </row>
    <row r="434" spans="1:6" s="1222" customFormat="1" x14ac:dyDescent="0.25">
      <c r="A434" s="463"/>
      <c r="B434" s="464"/>
      <c r="C434" s="464"/>
      <c r="D434" s="464"/>
      <c r="E434" s="464"/>
      <c r="F434" s="464"/>
    </row>
    <row r="435" spans="1:6" s="1222" customFormat="1" x14ac:dyDescent="0.25">
      <c r="A435" s="463"/>
      <c r="B435" s="464"/>
      <c r="C435" s="464"/>
      <c r="D435" s="464"/>
      <c r="E435" s="464"/>
      <c r="F435" s="464"/>
    </row>
    <row r="436" spans="1:6" s="1222" customFormat="1" x14ac:dyDescent="0.25">
      <c r="A436" s="463"/>
      <c r="B436" s="464"/>
      <c r="C436" s="464"/>
      <c r="D436" s="464"/>
      <c r="E436" s="464"/>
      <c r="F436" s="464"/>
    </row>
    <row r="437" spans="1:6" s="1222" customFormat="1" x14ac:dyDescent="0.25">
      <c r="A437" s="463"/>
      <c r="B437" s="464"/>
      <c r="C437" s="464"/>
      <c r="D437" s="464"/>
      <c r="E437" s="464"/>
      <c r="F437" s="464"/>
    </row>
    <row r="438" spans="1:6" s="1222" customFormat="1" x14ac:dyDescent="0.25">
      <c r="A438" s="463"/>
      <c r="B438" s="464"/>
      <c r="C438" s="464"/>
      <c r="D438" s="464"/>
      <c r="E438" s="464"/>
      <c r="F438" s="464"/>
    </row>
    <row r="439" spans="1:6" s="1222" customFormat="1" x14ac:dyDescent="0.25">
      <c r="A439" s="463"/>
      <c r="B439" s="464"/>
      <c r="C439" s="464"/>
      <c r="D439" s="464"/>
      <c r="E439" s="464"/>
      <c r="F439" s="464"/>
    </row>
    <row r="440" spans="1:6" s="1222" customFormat="1" x14ac:dyDescent="0.25">
      <c r="A440" s="463"/>
      <c r="B440" s="464"/>
      <c r="C440" s="464"/>
      <c r="D440" s="464"/>
      <c r="E440" s="464"/>
      <c r="F440" s="464"/>
    </row>
    <row r="441" spans="1:6" s="1222" customFormat="1" x14ac:dyDescent="0.25">
      <c r="A441" s="463"/>
      <c r="B441" s="464"/>
      <c r="C441" s="464"/>
      <c r="D441" s="464"/>
      <c r="E441" s="464"/>
      <c r="F441" s="464"/>
    </row>
    <row r="442" spans="1:6" s="1222" customFormat="1" x14ac:dyDescent="0.25">
      <c r="A442" s="463"/>
      <c r="B442" s="464"/>
      <c r="C442" s="464"/>
      <c r="D442" s="464"/>
      <c r="E442" s="464"/>
      <c r="F442" s="464"/>
    </row>
    <row r="443" spans="1:6" s="1222" customFormat="1" x14ac:dyDescent="0.25">
      <c r="A443" s="463"/>
      <c r="B443" s="464"/>
      <c r="C443" s="464"/>
      <c r="D443" s="464"/>
      <c r="E443" s="464"/>
      <c r="F443" s="464"/>
    </row>
    <row r="444" spans="1:6" s="1222" customFormat="1" x14ac:dyDescent="0.25">
      <c r="A444" s="463"/>
      <c r="B444" s="464"/>
      <c r="C444" s="464"/>
      <c r="D444" s="464"/>
      <c r="E444" s="464"/>
      <c r="F444" s="464"/>
    </row>
    <row r="445" spans="1:6" s="1222" customFormat="1" x14ac:dyDescent="0.25">
      <c r="A445" s="463"/>
      <c r="B445" s="464"/>
      <c r="C445" s="464"/>
      <c r="D445" s="464"/>
      <c r="E445" s="464"/>
      <c r="F445" s="464"/>
    </row>
    <row r="446" spans="1:6" s="1222" customFormat="1" x14ac:dyDescent="0.25">
      <c r="A446" s="463"/>
      <c r="B446" s="464"/>
      <c r="C446" s="464"/>
      <c r="D446" s="464"/>
      <c r="E446" s="464"/>
      <c r="F446" s="464"/>
    </row>
    <row r="447" spans="1:6" s="1222" customFormat="1" x14ac:dyDescent="0.25">
      <c r="A447" s="463"/>
      <c r="B447" s="464"/>
      <c r="C447" s="464"/>
      <c r="D447" s="464"/>
      <c r="E447" s="464"/>
      <c r="F447" s="464"/>
    </row>
    <row r="448" spans="1:6" s="1222" customFormat="1" x14ac:dyDescent="0.25">
      <c r="A448" s="463"/>
      <c r="B448" s="464"/>
      <c r="C448" s="464"/>
      <c r="D448" s="464"/>
      <c r="E448" s="464"/>
      <c r="F448" s="464"/>
    </row>
    <row r="449" spans="1:6" s="1222" customFormat="1" x14ac:dyDescent="0.25">
      <c r="A449" s="463"/>
      <c r="B449" s="464"/>
      <c r="C449" s="464"/>
      <c r="D449" s="464"/>
      <c r="E449" s="464"/>
      <c r="F449" s="464"/>
    </row>
    <row r="450" spans="1:6" s="1222" customFormat="1" x14ac:dyDescent="0.25">
      <c r="A450" s="463"/>
      <c r="B450" s="464"/>
      <c r="C450" s="464"/>
      <c r="D450" s="464"/>
      <c r="E450" s="464"/>
      <c r="F450" s="464"/>
    </row>
    <row r="451" spans="1:6" s="1222" customFormat="1" x14ac:dyDescent="0.25">
      <c r="A451" s="463"/>
      <c r="B451" s="464"/>
      <c r="C451" s="464"/>
      <c r="D451" s="464"/>
      <c r="E451" s="464"/>
      <c r="F451" s="464"/>
    </row>
    <row r="452" spans="1:6" s="1222" customFormat="1" x14ac:dyDescent="0.25">
      <c r="A452" s="463"/>
      <c r="B452" s="464"/>
      <c r="C452" s="464"/>
      <c r="D452" s="464"/>
      <c r="E452" s="464"/>
      <c r="F452" s="464"/>
    </row>
    <row r="453" spans="1:6" s="1222" customFormat="1" x14ac:dyDescent="0.25">
      <c r="A453" s="463"/>
      <c r="B453" s="464"/>
      <c r="C453" s="464"/>
      <c r="D453" s="464"/>
      <c r="E453" s="464"/>
      <c r="F453" s="464"/>
    </row>
    <row r="454" spans="1:6" s="1222" customFormat="1" x14ac:dyDescent="0.25">
      <c r="A454" s="463"/>
      <c r="B454" s="464"/>
      <c r="C454" s="464"/>
      <c r="D454" s="464"/>
      <c r="E454" s="464"/>
      <c r="F454" s="464"/>
    </row>
    <row r="455" spans="1:6" s="1222" customFormat="1" x14ac:dyDescent="0.25">
      <c r="A455" s="463"/>
      <c r="B455" s="464"/>
      <c r="C455" s="464"/>
      <c r="D455" s="464"/>
      <c r="E455" s="464"/>
      <c r="F455" s="464"/>
    </row>
    <row r="456" spans="1:6" s="1222" customFormat="1" x14ac:dyDescent="0.25">
      <c r="A456" s="463"/>
      <c r="B456" s="464"/>
      <c r="C456" s="464"/>
      <c r="D456" s="464"/>
      <c r="E456" s="464"/>
      <c r="F456" s="464"/>
    </row>
    <row r="457" spans="1:6" s="1222" customFormat="1" x14ac:dyDescent="0.25">
      <c r="A457" s="463"/>
      <c r="B457" s="464"/>
      <c r="C457" s="464"/>
      <c r="D457" s="464"/>
      <c r="E457" s="464"/>
      <c r="F457" s="464"/>
    </row>
    <row r="458" spans="1:6" s="1222" customFormat="1" x14ac:dyDescent="0.25">
      <c r="A458" s="463"/>
      <c r="B458" s="464"/>
      <c r="C458" s="464"/>
      <c r="D458" s="464"/>
      <c r="E458" s="464"/>
      <c r="F458" s="464"/>
    </row>
    <row r="459" spans="1:6" s="1222" customFormat="1" x14ac:dyDescent="0.25">
      <c r="A459" s="463"/>
      <c r="B459" s="464"/>
      <c r="C459" s="464"/>
      <c r="D459" s="464"/>
      <c r="E459" s="464"/>
      <c r="F459" s="464"/>
    </row>
    <row r="460" spans="1:6" s="1222" customFormat="1" x14ac:dyDescent="0.25">
      <c r="A460" s="463"/>
      <c r="B460" s="464"/>
      <c r="C460" s="464"/>
      <c r="D460" s="464"/>
      <c r="E460" s="464"/>
      <c r="F460" s="464"/>
    </row>
    <row r="461" spans="1:6" s="1222" customFormat="1" x14ac:dyDescent="0.25">
      <c r="A461" s="463"/>
      <c r="B461" s="464"/>
      <c r="C461" s="464"/>
      <c r="D461" s="464"/>
      <c r="E461" s="464"/>
      <c r="F461" s="464"/>
    </row>
    <row r="462" spans="1:6" s="1222" customFormat="1" x14ac:dyDescent="0.25">
      <c r="A462" s="463"/>
      <c r="B462" s="464"/>
      <c r="C462" s="464"/>
      <c r="D462" s="464"/>
      <c r="E462" s="464"/>
      <c r="F462" s="464"/>
    </row>
    <row r="463" spans="1:6" s="1222" customFormat="1" x14ac:dyDescent="0.25">
      <c r="A463" s="463"/>
      <c r="B463" s="464"/>
      <c r="C463" s="464"/>
      <c r="D463" s="464"/>
      <c r="E463" s="464"/>
      <c r="F463" s="464"/>
    </row>
    <row r="464" spans="1:6" s="1222" customFormat="1" x14ac:dyDescent="0.25">
      <c r="A464" s="463"/>
      <c r="B464" s="464"/>
      <c r="C464" s="464"/>
      <c r="D464" s="464"/>
      <c r="E464" s="464"/>
      <c r="F464" s="464"/>
    </row>
    <row r="465" spans="1:6" s="1222" customFormat="1" x14ac:dyDescent="0.25">
      <c r="A465" s="463"/>
      <c r="B465" s="464"/>
      <c r="C465" s="464"/>
      <c r="D465" s="464"/>
      <c r="E465" s="464"/>
      <c r="F465" s="464"/>
    </row>
    <row r="466" spans="1:6" s="1222" customFormat="1" x14ac:dyDescent="0.25">
      <c r="A466" s="463"/>
      <c r="B466" s="464"/>
      <c r="C466" s="464"/>
      <c r="D466" s="464"/>
      <c r="E466" s="464"/>
      <c r="F466" s="464"/>
    </row>
    <row r="467" spans="1:6" s="1222" customFormat="1" x14ac:dyDescent="0.25">
      <c r="A467" s="463"/>
      <c r="B467" s="464"/>
      <c r="C467" s="464"/>
      <c r="D467" s="464"/>
      <c r="E467" s="464"/>
      <c r="F467" s="464"/>
    </row>
    <row r="468" spans="1:6" s="1222" customFormat="1" x14ac:dyDescent="0.25">
      <c r="A468" s="463"/>
      <c r="B468" s="464"/>
      <c r="C468" s="464"/>
      <c r="D468" s="464"/>
      <c r="E468" s="464"/>
      <c r="F468" s="464"/>
    </row>
    <row r="469" spans="1:6" s="1222" customFormat="1" x14ac:dyDescent="0.25">
      <c r="A469" s="463"/>
      <c r="B469" s="464"/>
      <c r="C469" s="464"/>
      <c r="D469" s="464"/>
      <c r="E469" s="464"/>
      <c r="F469" s="464"/>
    </row>
    <row r="470" spans="1:6" s="1222" customFormat="1" x14ac:dyDescent="0.25">
      <c r="A470" s="463"/>
      <c r="B470" s="464"/>
      <c r="C470" s="464"/>
      <c r="D470" s="464"/>
      <c r="E470" s="464"/>
      <c r="F470" s="464"/>
    </row>
    <row r="471" spans="1:6" s="1222" customFormat="1" x14ac:dyDescent="0.25">
      <c r="A471" s="463"/>
      <c r="B471" s="464"/>
      <c r="C471" s="464"/>
      <c r="D471" s="464"/>
      <c r="E471" s="464"/>
      <c r="F471" s="464"/>
    </row>
    <row r="472" spans="1:6" s="1222" customFormat="1" x14ac:dyDescent="0.25">
      <c r="A472" s="463"/>
      <c r="B472" s="464"/>
      <c r="C472" s="464"/>
      <c r="D472" s="464"/>
      <c r="E472" s="464"/>
      <c r="F472" s="464"/>
    </row>
    <row r="473" spans="1:6" s="1222" customFormat="1" x14ac:dyDescent="0.25">
      <c r="A473" s="463"/>
      <c r="B473" s="464"/>
      <c r="C473" s="464"/>
      <c r="D473" s="464"/>
      <c r="E473" s="464"/>
      <c r="F473" s="464"/>
    </row>
    <row r="474" spans="1:6" s="1222" customFormat="1" x14ac:dyDescent="0.25">
      <c r="A474" s="463"/>
      <c r="B474" s="464"/>
      <c r="C474" s="464"/>
      <c r="D474" s="464"/>
      <c r="E474" s="464"/>
      <c r="F474" s="464"/>
    </row>
    <row r="475" spans="1:6" s="1222" customFormat="1" x14ac:dyDescent="0.25">
      <c r="A475" s="463"/>
      <c r="B475" s="464"/>
      <c r="C475" s="464"/>
      <c r="D475" s="464"/>
      <c r="E475" s="464"/>
      <c r="F475" s="464"/>
    </row>
    <row r="476" spans="1:6" s="1222" customFormat="1" x14ac:dyDescent="0.25">
      <c r="A476" s="463"/>
      <c r="B476" s="464"/>
      <c r="C476" s="464"/>
      <c r="D476" s="464"/>
      <c r="E476" s="464"/>
      <c r="F476" s="464"/>
    </row>
    <row r="477" spans="1:6" s="1222" customFormat="1" x14ac:dyDescent="0.25">
      <c r="A477" s="463"/>
      <c r="B477" s="464"/>
      <c r="C477" s="464"/>
      <c r="D477" s="464"/>
      <c r="E477" s="464"/>
      <c r="F477" s="464"/>
    </row>
    <row r="478" spans="1:6" s="1222" customFormat="1" x14ac:dyDescent="0.25">
      <c r="A478" s="463"/>
      <c r="B478" s="464"/>
      <c r="C478" s="464"/>
      <c r="D478" s="464"/>
      <c r="E478" s="464"/>
      <c r="F478" s="464"/>
    </row>
    <row r="479" spans="1:6" s="1222" customFormat="1" x14ac:dyDescent="0.25">
      <c r="A479" s="463"/>
      <c r="B479" s="464"/>
      <c r="C479" s="464"/>
      <c r="D479" s="464"/>
      <c r="E479" s="464"/>
      <c r="F479" s="464"/>
    </row>
    <row r="480" spans="1:6" s="1222" customFormat="1" x14ac:dyDescent="0.25">
      <c r="A480" s="463"/>
      <c r="B480" s="464"/>
      <c r="C480" s="464"/>
      <c r="D480" s="464"/>
      <c r="E480" s="464"/>
      <c r="F480" s="464"/>
    </row>
    <row r="481" spans="1:6" s="1222" customFormat="1" x14ac:dyDescent="0.25">
      <c r="A481" s="463"/>
      <c r="B481" s="464"/>
      <c r="C481" s="464"/>
      <c r="D481" s="464"/>
      <c r="E481" s="464"/>
      <c r="F481" s="464"/>
    </row>
    <row r="482" spans="1:6" s="1222" customFormat="1" x14ac:dyDescent="0.25">
      <c r="A482" s="463"/>
      <c r="B482" s="464"/>
      <c r="C482" s="464"/>
      <c r="D482" s="464"/>
      <c r="E482" s="464"/>
      <c r="F482" s="464"/>
    </row>
    <row r="483" spans="1:6" s="1222" customFormat="1" x14ac:dyDescent="0.25">
      <c r="A483" s="463"/>
      <c r="B483" s="464"/>
      <c r="C483" s="464"/>
      <c r="D483" s="464"/>
      <c r="E483" s="464"/>
      <c r="F483" s="464"/>
    </row>
    <row r="484" spans="1:6" s="1222" customFormat="1" x14ac:dyDescent="0.25">
      <c r="A484" s="463"/>
      <c r="B484" s="464"/>
      <c r="C484" s="464"/>
      <c r="D484" s="464"/>
      <c r="E484" s="464"/>
      <c r="F484" s="464"/>
    </row>
    <row r="485" spans="1:6" s="1222" customFormat="1" x14ac:dyDescent="0.25">
      <c r="A485" s="463"/>
      <c r="B485" s="464"/>
      <c r="C485" s="464"/>
      <c r="D485" s="464"/>
      <c r="E485" s="464"/>
      <c r="F485" s="464"/>
    </row>
    <row r="486" spans="1:6" s="1222" customFormat="1" x14ac:dyDescent="0.25">
      <c r="A486" s="463"/>
      <c r="B486" s="464"/>
      <c r="C486" s="464"/>
      <c r="D486" s="464"/>
      <c r="E486" s="464"/>
      <c r="F486" s="464"/>
    </row>
    <row r="487" spans="1:6" s="1222" customFormat="1" x14ac:dyDescent="0.25">
      <c r="A487" s="463"/>
      <c r="B487" s="464"/>
      <c r="C487" s="464"/>
      <c r="D487" s="464"/>
      <c r="E487" s="464"/>
      <c r="F487" s="464"/>
    </row>
    <row r="488" spans="1:6" s="1222" customFormat="1" x14ac:dyDescent="0.25">
      <c r="A488" s="463"/>
      <c r="B488" s="464"/>
      <c r="C488" s="464"/>
      <c r="D488" s="464"/>
      <c r="E488" s="464"/>
      <c r="F488" s="464"/>
    </row>
    <row r="489" spans="1:6" s="1222" customFormat="1" x14ac:dyDescent="0.25">
      <c r="A489" s="463"/>
      <c r="B489" s="464"/>
      <c r="C489" s="464"/>
      <c r="D489" s="464"/>
      <c r="E489" s="464"/>
      <c r="F489" s="464"/>
    </row>
    <row r="490" spans="1:6" s="1222" customFormat="1" x14ac:dyDescent="0.25">
      <c r="A490" s="463"/>
      <c r="B490" s="464"/>
      <c r="C490" s="464"/>
      <c r="D490" s="464"/>
      <c r="E490" s="464"/>
      <c r="F490" s="464"/>
    </row>
    <row r="491" spans="1:6" s="1222" customFormat="1" x14ac:dyDescent="0.25">
      <c r="A491" s="463"/>
      <c r="B491" s="464"/>
      <c r="C491" s="464"/>
      <c r="D491" s="464"/>
      <c r="E491" s="464"/>
      <c r="F491" s="464"/>
    </row>
    <row r="492" spans="1:6" s="1222" customFormat="1" x14ac:dyDescent="0.25">
      <c r="A492" s="463"/>
      <c r="B492" s="464"/>
      <c r="C492" s="464"/>
      <c r="D492" s="464"/>
      <c r="E492" s="464"/>
      <c r="F492" s="464"/>
    </row>
    <row r="493" spans="1:6" s="1222" customFormat="1" x14ac:dyDescent="0.25">
      <c r="A493" s="463"/>
      <c r="B493" s="464"/>
      <c r="C493" s="464"/>
      <c r="D493" s="464"/>
      <c r="E493" s="464"/>
      <c r="F493" s="464"/>
    </row>
    <row r="494" spans="1:6" s="1222" customFormat="1" x14ac:dyDescent="0.25">
      <c r="A494" s="463"/>
      <c r="B494" s="464"/>
      <c r="C494" s="464"/>
      <c r="D494" s="464"/>
      <c r="E494" s="464"/>
      <c r="F494" s="464"/>
    </row>
    <row r="495" spans="1:6" s="1222" customFormat="1" x14ac:dyDescent="0.25">
      <c r="A495" s="463"/>
      <c r="B495" s="464"/>
      <c r="C495" s="464"/>
      <c r="D495" s="464"/>
      <c r="E495" s="464"/>
      <c r="F495" s="464"/>
    </row>
    <row r="496" spans="1:6" s="1222" customFormat="1" x14ac:dyDescent="0.25">
      <c r="A496" s="463"/>
      <c r="B496" s="464"/>
      <c r="C496" s="464"/>
      <c r="D496" s="464"/>
      <c r="E496" s="464"/>
      <c r="F496" s="464"/>
    </row>
    <row r="497" spans="1:6" s="1222" customFormat="1" x14ac:dyDescent="0.25">
      <c r="A497" s="463"/>
      <c r="B497" s="464"/>
      <c r="C497" s="464"/>
      <c r="D497" s="464"/>
      <c r="E497" s="464"/>
      <c r="F497" s="464"/>
    </row>
    <row r="498" spans="1:6" s="1222" customFormat="1" x14ac:dyDescent="0.25">
      <c r="A498" s="463"/>
      <c r="B498" s="464"/>
      <c r="C498" s="464"/>
      <c r="D498" s="464"/>
      <c r="E498" s="464"/>
      <c r="F498" s="464"/>
    </row>
    <row r="499" spans="1:6" s="1222" customFormat="1" x14ac:dyDescent="0.25">
      <c r="A499" s="463"/>
      <c r="B499" s="464"/>
      <c r="C499" s="464"/>
      <c r="D499" s="464"/>
      <c r="E499" s="464"/>
      <c r="F499" s="464"/>
    </row>
    <row r="500" spans="1:6" s="1222" customFormat="1" x14ac:dyDescent="0.25">
      <c r="A500" s="463"/>
      <c r="B500" s="464"/>
      <c r="C500" s="464"/>
      <c r="D500" s="464"/>
      <c r="E500" s="464"/>
      <c r="F500" s="464"/>
    </row>
    <row r="501" spans="1:6" s="1222" customFormat="1" x14ac:dyDescent="0.25">
      <c r="A501" s="463"/>
      <c r="B501" s="464"/>
      <c r="C501" s="464"/>
      <c r="D501" s="464"/>
      <c r="E501" s="464"/>
      <c r="F501" s="464"/>
    </row>
    <row r="502" spans="1:6" s="1222" customFormat="1" x14ac:dyDescent="0.25">
      <c r="A502" s="463"/>
      <c r="B502" s="464"/>
      <c r="C502" s="464"/>
      <c r="D502" s="464"/>
      <c r="E502" s="464"/>
      <c r="F502" s="464"/>
    </row>
    <row r="503" spans="1:6" s="1222" customFormat="1" x14ac:dyDescent="0.25">
      <c r="A503" s="463"/>
      <c r="B503" s="464"/>
      <c r="C503" s="464"/>
      <c r="D503" s="464"/>
      <c r="E503" s="464"/>
      <c r="F503" s="464"/>
    </row>
    <row r="504" spans="1:6" s="1222" customFormat="1" x14ac:dyDescent="0.25">
      <c r="A504" s="463"/>
      <c r="B504" s="464"/>
      <c r="C504" s="464"/>
      <c r="D504" s="464"/>
      <c r="E504" s="464"/>
      <c r="F504" s="464"/>
    </row>
    <row r="505" spans="1:6" s="1222" customFormat="1" x14ac:dyDescent="0.25">
      <c r="A505" s="463"/>
      <c r="B505" s="464"/>
      <c r="C505" s="464"/>
      <c r="D505" s="464"/>
      <c r="E505" s="464"/>
      <c r="F505" s="464"/>
    </row>
    <row r="506" spans="1:6" s="1222" customFormat="1" x14ac:dyDescent="0.25">
      <c r="A506" s="463"/>
      <c r="B506" s="464"/>
      <c r="C506" s="464"/>
      <c r="D506" s="464"/>
      <c r="E506" s="464"/>
      <c r="F506" s="464"/>
    </row>
    <row r="507" spans="1:6" s="1222" customFormat="1" x14ac:dyDescent="0.25">
      <c r="A507" s="463"/>
      <c r="B507" s="464"/>
      <c r="C507" s="464"/>
      <c r="D507" s="464"/>
      <c r="E507" s="464"/>
      <c r="F507" s="464"/>
    </row>
    <row r="508" spans="1:6" s="1222" customFormat="1" x14ac:dyDescent="0.25">
      <c r="A508" s="463"/>
      <c r="B508" s="464"/>
      <c r="C508" s="464"/>
      <c r="D508" s="464"/>
      <c r="E508" s="464"/>
      <c r="F508" s="464"/>
    </row>
    <row r="509" spans="1:6" s="1222" customFormat="1" x14ac:dyDescent="0.25">
      <c r="A509" s="463"/>
      <c r="B509" s="464"/>
      <c r="C509" s="464"/>
      <c r="D509" s="464"/>
      <c r="E509" s="464"/>
      <c r="F509" s="464"/>
    </row>
    <row r="510" spans="1:6" s="1222" customFormat="1" x14ac:dyDescent="0.25">
      <c r="A510" s="463"/>
      <c r="B510" s="464"/>
      <c r="C510" s="464"/>
      <c r="D510" s="464"/>
      <c r="E510" s="464"/>
      <c r="F510" s="464"/>
    </row>
    <row r="511" spans="1:6" s="1222" customFormat="1" x14ac:dyDescent="0.25">
      <c r="A511" s="463"/>
      <c r="B511" s="464"/>
      <c r="C511" s="464"/>
      <c r="D511" s="464"/>
      <c r="E511" s="464"/>
      <c r="F511" s="464"/>
    </row>
    <row r="512" spans="1:6" s="1222" customFormat="1" x14ac:dyDescent="0.25">
      <c r="A512" s="463"/>
      <c r="B512" s="464"/>
      <c r="C512" s="464"/>
      <c r="D512" s="464"/>
      <c r="E512" s="464"/>
      <c r="F512" s="464"/>
    </row>
    <row r="513" spans="1:6" s="1222" customFormat="1" x14ac:dyDescent="0.25">
      <c r="A513" s="463"/>
      <c r="B513" s="464"/>
      <c r="C513" s="464"/>
      <c r="D513" s="464"/>
      <c r="E513" s="464"/>
      <c r="F513" s="464"/>
    </row>
    <row r="514" spans="1:6" s="1222" customFormat="1" x14ac:dyDescent="0.25">
      <c r="A514" s="463"/>
      <c r="B514" s="464"/>
      <c r="C514" s="464"/>
      <c r="D514" s="464"/>
      <c r="E514" s="464"/>
      <c r="F514" s="464"/>
    </row>
    <row r="515" spans="1:6" s="1222" customFormat="1" x14ac:dyDescent="0.25">
      <c r="A515" s="463"/>
      <c r="B515" s="464"/>
      <c r="C515" s="464"/>
      <c r="D515" s="464"/>
      <c r="E515" s="464"/>
      <c r="F515" s="464"/>
    </row>
    <row r="516" spans="1:6" s="1222" customFormat="1" x14ac:dyDescent="0.25">
      <c r="A516" s="463"/>
      <c r="B516" s="464"/>
      <c r="C516" s="464"/>
      <c r="D516" s="464"/>
      <c r="E516" s="464"/>
      <c r="F516" s="464"/>
    </row>
    <row r="517" spans="1:6" s="1222" customFormat="1" x14ac:dyDescent="0.25">
      <c r="A517" s="463"/>
      <c r="B517" s="464"/>
      <c r="C517" s="464"/>
      <c r="D517" s="464"/>
      <c r="E517" s="464"/>
      <c r="F517" s="464"/>
    </row>
    <row r="518" spans="1:6" s="1222" customFormat="1" x14ac:dyDescent="0.25">
      <c r="A518" s="463"/>
      <c r="B518" s="464"/>
      <c r="C518" s="464"/>
      <c r="D518" s="464"/>
      <c r="E518" s="464"/>
      <c r="F518" s="464"/>
    </row>
    <row r="519" spans="1:6" s="1222" customFormat="1" x14ac:dyDescent="0.25">
      <c r="A519" s="463"/>
      <c r="B519" s="464"/>
      <c r="C519" s="464"/>
      <c r="D519" s="464"/>
      <c r="E519" s="464"/>
      <c r="F519" s="464"/>
    </row>
    <row r="520" spans="1:6" s="1222" customFormat="1" x14ac:dyDescent="0.25">
      <c r="A520" s="463"/>
      <c r="B520" s="464"/>
      <c r="C520" s="464"/>
      <c r="D520" s="464"/>
      <c r="E520" s="464"/>
      <c r="F520" s="464"/>
    </row>
    <row r="521" spans="1:6" s="1222" customFormat="1" x14ac:dyDescent="0.25">
      <c r="A521" s="463"/>
      <c r="B521" s="464"/>
      <c r="C521" s="464"/>
      <c r="D521" s="464"/>
      <c r="E521" s="464"/>
      <c r="F521" s="464"/>
    </row>
    <row r="522" spans="1:6" s="1222" customFormat="1" x14ac:dyDescent="0.25">
      <c r="A522" s="463"/>
      <c r="B522" s="464"/>
      <c r="C522" s="464"/>
      <c r="D522" s="464"/>
      <c r="E522" s="464"/>
      <c r="F522" s="464"/>
    </row>
    <row r="523" spans="1:6" s="1222" customFormat="1" x14ac:dyDescent="0.25">
      <c r="A523" s="463"/>
      <c r="B523" s="464"/>
      <c r="C523" s="464"/>
      <c r="D523" s="464"/>
      <c r="E523" s="464"/>
      <c r="F523" s="464"/>
    </row>
    <row r="524" spans="1:6" s="1222" customFormat="1" x14ac:dyDescent="0.25">
      <c r="A524" s="463"/>
      <c r="B524" s="464"/>
      <c r="C524" s="464"/>
      <c r="D524" s="464"/>
      <c r="E524" s="464"/>
      <c r="F524" s="464"/>
    </row>
    <row r="525" spans="1:6" s="1222" customFormat="1" x14ac:dyDescent="0.25">
      <c r="A525" s="463"/>
      <c r="B525" s="464"/>
      <c r="C525" s="464"/>
      <c r="D525" s="464"/>
      <c r="E525" s="464"/>
      <c r="F525" s="464"/>
    </row>
    <row r="526" spans="1:6" s="1222" customFormat="1" x14ac:dyDescent="0.25">
      <c r="A526" s="463"/>
      <c r="B526" s="464"/>
      <c r="C526" s="464"/>
      <c r="D526" s="464"/>
      <c r="E526" s="464"/>
      <c r="F526" s="464"/>
    </row>
    <row r="527" spans="1:6" s="1222" customFormat="1" x14ac:dyDescent="0.25">
      <c r="A527" s="463"/>
      <c r="B527" s="464"/>
      <c r="C527" s="464"/>
      <c r="D527" s="464"/>
      <c r="E527" s="464"/>
      <c r="F527" s="464"/>
    </row>
    <row r="528" spans="1:6" s="1222" customFormat="1" x14ac:dyDescent="0.25">
      <c r="A528" s="463"/>
      <c r="B528" s="464"/>
      <c r="C528" s="464"/>
      <c r="D528" s="464"/>
      <c r="E528" s="464"/>
      <c r="F528" s="464"/>
    </row>
    <row r="529" spans="1:6" s="1222" customFormat="1" x14ac:dyDescent="0.25">
      <c r="A529" s="463"/>
      <c r="B529" s="464"/>
      <c r="C529" s="464"/>
      <c r="D529" s="464"/>
      <c r="E529" s="464"/>
      <c r="F529" s="464"/>
    </row>
    <row r="530" spans="1:6" s="1222" customFormat="1" x14ac:dyDescent="0.25">
      <c r="A530" s="463"/>
      <c r="B530" s="464"/>
      <c r="C530" s="464"/>
      <c r="D530" s="464"/>
      <c r="E530" s="464"/>
      <c r="F530" s="464"/>
    </row>
    <row r="531" spans="1:6" s="1222" customFormat="1" x14ac:dyDescent="0.25">
      <c r="A531" s="463"/>
      <c r="B531" s="464"/>
      <c r="C531" s="464"/>
      <c r="D531" s="464"/>
      <c r="E531" s="464"/>
      <c r="F531" s="464"/>
    </row>
    <row r="532" spans="1:6" s="1222" customFormat="1" x14ac:dyDescent="0.25">
      <c r="A532" s="463"/>
      <c r="B532" s="464"/>
      <c r="C532" s="464"/>
      <c r="D532" s="464"/>
      <c r="E532" s="464"/>
      <c r="F532" s="464"/>
    </row>
    <row r="533" spans="1:6" s="1222" customFormat="1" x14ac:dyDescent="0.25">
      <c r="A533" s="463"/>
      <c r="B533" s="464"/>
      <c r="C533" s="464"/>
      <c r="D533" s="464"/>
      <c r="E533" s="464"/>
      <c r="F533" s="464"/>
    </row>
    <row r="534" spans="1:6" s="1222" customFormat="1" x14ac:dyDescent="0.25">
      <c r="A534" s="463"/>
      <c r="B534" s="464"/>
      <c r="C534" s="464"/>
      <c r="D534" s="464"/>
      <c r="E534" s="464"/>
      <c r="F534" s="464"/>
    </row>
    <row r="535" spans="1:6" s="1222" customFormat="1" x14ac:dyDescent="0.25">
      <c r="A535" s="463"/>
      <c r="B535" s="464"/>
      <c r="C535" s="464"/>
      <c r="D535" s="464"/>
      <c r="E535" s="464"/>
      <c r="F535" s="464"/>
    </row>
    <row r="536" spans="1:6" s="1222" customFormat="1" x14ac:dyDescent="0.25">
      <c r="A536" s="463"/>
      <c r="B536" s="464"/>
      <c r="C536" s="464"/>
      <c r="D536" s="464"/>
      <c r="E536" s="464"/>
      <c r="F536" s="464"/>
    </row>
    <row r="537" spans="1:6" s="1222" customFormat="1" x14ac:dyDescent="0.25">
      <c r="A537" s="463"/>
      <c r="B537" s="464"/>
      <c r="C537" s="464"/>
      <c r="D537" s="464"/>
      <c r="E537" s="464"/>
      <c r="F537" s="464"/>
    </row>
    <row r="538" spans="1:6" s="1222" customFormat="1" x14ac:dyDescent="0.25">
      <c r="A538" s="463"/>
      <c r="B538" s="464"/>
      <c r="C538" s="464"/>
      <c r="D538" s="464"/>
      <c r="E538" s="464"/>
      <c r="F538" s="464"/>
    </row>
    <row r="539" spans="1:6" s="1222" customFormat="1" x14ac:dyDescent="0.25">
      <c r="A539" s="463"/>
      <c r="B539" s="464"/>
      <c r="C539" s="464"/>
      <c r="D539" s="464"/>
      <c r="E539" s="464"/>
      <c r="F539" s="464"/>
    </row>
    <row r="540" spans="1:6" s="1222" customFormat="1" x14ac:dyDescent="0.25">
      <c r="A540" s="463"/>
      <c r="B540" s="464"/>
      <c r="C540" s="464"/>
      <c r="D540" s="464"/>
      <c r="E540" s="464"/>
      <c r="F540" s="464"/>
    </row>
    <row r="541" spans="1:6" s="1222" customFormat="1" x14ac:dyDescent="0.25">
      <c r="A541" s="463"/>
      <c r="B541" s="464"/>
      <c r="C541" s="464"/>
      <c r="D541" s="464"/>
      <c r="E541" s="464"/>
      <c r="F541" s="464"/>
    </row>
    <row r="542" spans="1:6" s="1222" customFormat="1" x14ac:dyDescent="0.25">
      <c r="A542" s="463"/>
      <c r="B542" s="464"/>
      <c r="C542" s="464"/>
      <c r="D542" s="464"/>
      <c r="E542" s="464"/>
      <c r="F542" s="464"/>
    </row>
    <row r="543" spans="1:6" s="1222" customFormat="1" x14ac:dyDescent="0.25">
      <c r="A543" s="463"/>
      <c r="B543" s="464"/>
      <c r="C543" s="464"/>
      <c r="D543" s="464"/>
      <c r="E543" s="464"/>
      <c r="F543" s="464"/>
    </row>
    <row r="544" spans="1:6" s="1222" customFormat="1" x14ac:dyDescent="0.25">
      <c r="A544" s="463"/>
      <c r="B544" s="464"/>
      <c r="C544" s="464"/>
      <c r="D544" s="464"/>
      <c r="E544" s="464"/>
      <c r="F544" s="464"/>
    </row>
    <row r="545" spans="1:6" s="1222" customFormat="1" x14ac:dyDescent="0.25">
      <c r="A545" s="463"/>
      <c r="B545" s="464"/>
      <c r="C545" s="464"/>
      <c r="D545" s="464"/>
      <c r="E545" s="464"/>
      <c r="F545" s="464"/>
    </row>
    <row r="546" spans="1:6" s="1222" customFormat="1" x14ac:dyDescent="0.25">
      <c r="A546" s="463"/>
      <c r="B546" s="464"/>
      <c r="C546" s="464"/>
      <c r="D546" s="464"/>
      <c r="E546" s="464"/>
      <c r="F546" s="464"/>
    </row>
    <row r="547" spans="1:6" s="1222" customFormat="1" x14ac:dyDescent="0.25">
      <c r="A547" s="463"/>
      <c r="B547" s="464"/>
      <c r="C547" s="464"/>
      <c r="D547" s="464"/>
      <c r="E547" s="464"/>
      <c r="F547" s="464"/>
    </row>
    <row r="548" spans="1:6" s="1222" customFormat="1" x14ac:dyDescent="0.25">
      <c r="A548" s="463"/>
      <c r="B548" s="464"/>
      <c r="C548" s="464"/>
      <c r="D548" s="464"/>
      <c r="E548" s="464"/>
      <c r="F548" s="464"/>
    </row>
    <row r="549" spans="1:6" s="1222" customFormat="1" x14ac:dyDescent="0.25">
      <c r="A549" s="463"/>
      <c r="B549" s="464"/>
      <c r="C549" s="464"/>
      <c r="D549" s="464"/>
      <c r="E549" s="464"/>
      <c r="F549" s="464"/>
    </row>
    <row r="550" spans="1:6" s="1222" customFormat="1" x14ac:dyDescent="0.25">
      <c r="A550" s="463"/>
      <c r="B550" s="464"/>
      <c r="C550" s="464"/>
      <c r="D550" s="464"/>
      <c r="E550" s="464"/>
      <c r="F550" s="464"/>
    </row>
    <row r="551" spans="1:6" s="1222" customFormat="1" x14ac:dyDescent="0.25">
      <c r="A551" s="463"/>
      <c r="B551" s="464"/>
      <c r="C551" s="464"/>
      <c r="D551" s="464"/>
      <c r="E551" s="464"/>
      <c r="F551" s="464"/>
    </row>
    <row r="552" spans="1:6" s="1222" customFormat="1" x14ac:dyDescent="0.25">
      <c r="A552" s="463"/>
      <c r="B552" s="464"/>
      <c r="C552" s="464"/>
      <c r="D552" s="464"/>
      <c r="E552" s="464"/>
      <c r="F552" s="464"/>
    </row>
    <row r="553" spans="1:6" s="1222" customFormat="1" x14ac:dyDescent="0.25">
      <c r="A553" s="463"/>
      <c r="B553" s="464"/>
      <c r="C553" s="464"/>
      <c r="D553" s="464"/>
      <c r="E553" s="464"/>
      <c r="F553" s="464"/>
    </row>
    <row r="554" spans="1:6" s="1222" customFormat="1" x14ac:dyDescent="0.25">
      <c r="A554" s="463"/>
      <c r="B554" s="464"/>
      <c r="C554" s="464"/>
      <c r="D554" s="464"/>
      <c r="E554" s="464"/>
      <c r="F554" s="464"/>
    </row>
    <row r="555" spans="1:6" s="1222" customFormat="1" x14ac:dyDescent="0.25">
      <c r="A555" s="463"/>
      <c r="B555" s="464"/>
      <c r="C555" s="464"/>
      <c r="D555" s="464"/>
      <c r="E555" s="464"/>
      <c r="F555" s="464"/>
    </row>
    <row r="556" spans="1:6" s="1222" customFormat="1" x14ac:dyDescent="0.25">
      <c r="A556" s="463"/>
      <c r="B556" s="464"/>
      <c r="C556" s="464"/>
      <c r="D556" s="464"/>
      <c r="E556" s="464"/>
      <c r="F556" s="464"/>
    </row>
    <row r="557" spans="1:6" s="1222" customFormat="1" x14ac:dyDescent="0.25">
      <c r="A557" s="463"/>
      <c r="B557" s="464"/>
      <c r="C557" s="464"/>
      <c r="D557" s="464"/>
      <c r="E557" s="464"/>
      <c r="F557" s="464"/>
    </row>
    <row r="558" spans="1:6" s="1222" customFormat="1" x14ac:dyDescent="0.25">
      <c r="A558" s="463"/>
      <c r="B558" s="464"/>
      <c r="C558" s="464"/>
      <c r="D558" s="464"/>
      <c r="E558" s="464"/>
      <c r="F558" s="464"/>
    </row>
    <row r="559" spans="1:6" s="1222" customFormat="1" x14ac:dyDescent="0.25">
      <c r="A559" s="463"/>
      <c r="B559" s="464"/>
      <c r="C559" s="464"/>
      <c r="D559" s="464"/>
      <c r="E559" s="464"/>
      <c r="F559" s="464"/>
    </row>
    <row r="560" spans="1:6" s="1222" customFormat="1" x14ac:dyDescent="0.25">
      <c r="A560" s="463"/>
      <c r="B560" s="464"/>
      <c r="C560" s="464"/>
      <c r="D560" s="464"/>
      <c r="E560" s="464"/>
      <c r="F560" s="464"/>
    </row>
    <row r="561" spans="1:6" s="1222" customFormat="1" x14ac:dyDescent="0.25">
      <c r="A561" s="463"/>
      <c r="B561" s="464"/>
      <c r="C561" s="464"/>
      <c r="D561" s="464"/>
      <c r="E561" s="464"/>
      <c r="F561" s="464"/>
    </row>
    <row r="562" spans="1:6" s="1222" customFormat="1" x14ac:dyDescent="0.25">
      <c r="A562" s="463"/>
      <c r="B562" s="464"/>
      <c r="C562" s="464"/>
      <c r="D562" s="464"/>
      <c r="E562" s="464"/>
      <c r="F562" s="464"/>
    </row>
    <row r="563" spans="1:6" s="1222" customFormat="1" x14ac:dyDescent="0.25">
      <c r="A563" s="463"/>
      <c r="B563" s="464"/>
      <c r="C563" s="464"/>
      <c r="D563" s="464"/>
      <c r="E563" s="464"/>
      <c r="F563" s="464"/>
    </row>
    <row r="564" spans="1:6" s="1222" customFormat="1" x14ac:dyDescent="0.25">
      <c r="A564" s="463"/>
      <c r="B564" s="464"/>
      <c r="C564" s="464"/>
      <c r="D564" s="464"/>
      <c r="E564" s="464"/>
      <c r="F564" s="464"/>
    </row>
    <row r="565" spans="1:6" s="1222" customFormat="1" x14ac:dyDescent="0.25">
      <c r="A565" s="463"/>
      <c r="B565" s="464"/>
      <c r="C565" s="464"/>
      <c r="D565" s="464"/>
      <c r="E565" s="464"/>
      <c r="F565" s="464"/>
    </row>
    <row r="566" spans="1:6" s="1222" customFormat="1" x14ac:dyDescent="0.25">
      <c r="A566" s="463"/>
      <c r="B566" s="464"/>
      <c r="C566" s="464"/>
      <c r="D566" s="464"/>
      <c r="E566" s="464"/>
      <c r="F566" s="464"/>
    </row>
    <row r="567" spans="1:6" s="1222" customFormat="1" x14ac:dyDescent="0.25">
      <c r="A567" s="463"/>
      <c r="B567" s="464"/>
      <c r="C567" s="464"/>
      <c r="D567" s="464"/>
      <c r="E567" s="464"/>
      <c r="F567" s="464"/>
    </row>
    <row r="568" spans="1:6" s="1222" customFormat="1" x14ac:dyDescent="0.25">
      <c r="A568" s="463"/>
      <c r="B568" s="464"/>
      <c r="C568" s="464"/>
      <c r="D568" s="464"/>
      <c r="E568" s="464"/>
      <c r="F568" s="464"/>
    </row>
    <row r="569" spans="1:6" s="1222" customFormat="1" x14ac:dyDescent="0.25">
      <c r="A569" s="463"/>
      <c r="B569" s="464"/>
      <c r="C569" s="464"/>
      <c r="D569" s="464"/>
      <c r="E569" s="464"/>
      <c r="F569" s="464"/>
    </row>
    <row r="570" spans="1:6" s="1222" customFormat="1" x14ac:dyDescent="0.25">
      <c r="A570" s="463"/>
      <c r="B570" s="464"/>
      <c r="C570" s="464"/>
      <c r="D570" s="464"/>
      <c r="E570" s="464"/>
      <c r="F570" s="464"/>
    </row>
    <row r="571" spans="1:6" s="1222" customFormat="1" x14ac:dyDescent="0.25">
      <c r="A571" s="463"/>
      <c r="B571" s="464"/>
      <c r="C571" s="464"/>
      <c r="D571" s="464"/>
      <c r="E571" s="464"/>
      <c r="F571" s="464"/>
    </row>
    <row r="572" spans="1:6" s="1222" customFormat="1" x14ac:dyDescent="0.25">
      <c r="A572" s="463"/>
      <c r="B572" s="464"/>
      <c r="C572" s="464"/>
      <c r="D572" s="464"/>
      <c r="E572" s="464"/>
      <c r="F572" s="464"/>
    </row>
    <row r="573" spans="1:6" s="1222" customFormat="1" x14ac:dyDescent="0.25">
      <c r="A573" s="463"/>
      <c r="B573" s="464"/>
      <c r="C573" s="464"/>
      <c r="D573" s="464"/>
      <c r="E573" s="464"/>
      <c r="F573" s="464"/>
    </row>
    <row r="574" spans="1:6" s="1222" customFormat="1" x14ac:dyDescent="0.25">
      <c r="A574" s="463"/>
      <c r="B574" s="464"/>
      <c r="C574" s="464"/>
      <c r="D574" s="464"/>
      <c r="E574" s="464"/>
      <c r="F574" s="464"/>
    </row>
    <row r="575" spans="1:6" s="1222" customFormat="1" x14ac:dyDescent="0.25">
      <c r="A575" s="463"/>
      <c r="B575" s="464"/>
      <c r="C575" s="464"/>
      <c r="D575" s="464"/>
      <c r="E575" s="464"/>
      <c r="F575" s="464"/>
    </row>
    <row r="576" spans="1:6" s="1222" customFormat="1" x14ac:dyDescent="0.25">
      <c r="A576" s="463"/>
      <c r="B576" s="464"/>
      <c r="C576" s="464"/>
      <c r="D576" s="464"/>
      <c r="E576" s="464"/>
      <c r="F576" s="464"/>
    </row>
    <row r="577" spans="1:6" s="1222" customFormat="1" x14ac:dyDescent="0.25">
      <c r="A577" s="463"/>
      <c r="B577" s="464"/>
      <c r="C577" s="464"/>
      <c r="D577" s="464"/>
      <c r="E577" s="464"/>
      <c r="F577" s="464"/>
    </row>
    <row r="578" spans="1:6" s="1222" customFormat="1" x14ac:dyDescent="0.25">
      <c r="A578" s="463"/>
      <c r="B578" s="464"/>
      <c r="C578" s="464"/>
      <c r="D578" s="464"/>
      <c r="E578" s="464"/>
      <c r="F578" s="464"/>
    </row>
    <row r="579" spans="1:6" s="1222" customFormat="1" x14ac:dyDescent="0.25">
      <c r="A579" s="463"/>
      <c r="B579" s="464"/>
      <c r="C579" s="464"/>
      <c r="D579" s="464"/>
      <c r="E579" s="464"/>
      <c r="F579" s="464"/>
    </row>
    <row r="580" spans="1:6" s="1222" customFormat="1" x14ac:dyDescent="0.25">
      <c r="A580" s="463"/>
      <c r="B580" s="464"/>
      <c r="C580" s="464"/>
      <c r="D580" s="464"/>
      <c r="E580" s="464"/>
      <c r="F580" s="464"/>
    </row>
    <row r="581" spans="1:6" s="1222" customFormat="1" x14ac:dyDescent="0.25">
      <c r="A581" s="463"/>
      <c r="B581" s="464"/>
      <c r="C581" s="464"/>
      <c r="D581" s="464"/>
      <c r="E581" s="464"/>
      <c r="F581" s="464"/>
    </row>
    <row r="582" spans="1:6" s="1222" customFormat="1" x14ac:dyDescent="0.25">
      <c r="A582" s="463"/>
      <c r="B582" s="464"/>
      <c r="C582" s="464"/>
      <c r="D582" s="464"/>
      <c r="E582" s="464"/>
      <c r="F582" s="464"/>
    </row>
    <row r="583" spans="1:6" s="1222" customFormat="1" x14ac:dyDescent="0.25">
      <c r="A583" s="463"/>
      <c r="B583" s="464"/>
      <c r="C583" s="464"/>
      <c r="D583" s="464"/>
      <c r="E583" s="464"/>
      <c r="F583" s="464"/>
    </row>
    <row r="584" spans="1:6" s="1222" customFormat="1" x14ac:dyDescent="0.25">
      <c r="A584" s="463"/>
      <c r="B584" s="464"/>
      <c r="C584" s="464"/>
      <c r="D584" s="464"/>
      <c r="E584" s="464"/>
      <c r="F584" s="464"/>
    </row>
    <row r="585" spans="1:6" s="1222" customFormat="1" x14ac:dyDescent="0.25">
      <c r="A585" s="463"/>
      <c r="B585" s="464"/>
      <c r="C585" s="464"/>
      <c r="D585" s="464"/>
      <c r="E585" s="464"/>
      <c r="F585" s="464"/>
    </row>
    <row r="586" spans="1:6" s="1222" customFormat="1" x14ac:dyDescent="0.25">
      <c r="A586" s="463"/>
      <c r="B586" s="464"/>
      <c r="C586" s="464"/>
      <c r="D586" s="464"/>
      <c r="E586" s="464"/>
      <c r="F586" s="464"/>
    </row>
    <row r="587" spans="1:6" s="1222" customFormat="1" x14ac:dyDescent="0.25">
      <c r="A587" s="463"/>
      <c r="B587" s="464"/>
      <c r="C587" s="464"/>
      <c r="D587" s="464"/>
      <c r="E587" s="464"/>
      <c r="F587" s="464"/>
    </row>
    <row r="588" spans="1:6" s="1222" customFormat="1" x14ac:dyDescent="0.25">
      <c r="A588" s="463"/>
      <c r="B588" s="464"/>
      <c r="C588" s="464"/>
      <c r="D588" s="464"/>
      <c r="E588" s="464"/>
      <c r="F588" s="464"/>
    </row>
    <row r="589" spans="1:6" s="1222" customFormat="1" x14ac:dyDescent="0.25">
      <c r="A589" s="463"/>
      <c r="B589" s="464"/>
      <c r="C589" s="464"/>
      <c r="D589" s="464"/>
      <c r="E589" s="464"/>
      <c r="F589" s="464"/>
    </row>
    <row r="590" spans="1:6" s="1222" customFormat="1" x14ac:dyDescent="0.25">
      <c r="A590" s="463"/>
      <c r="B590" s="464"/>
      <c r="C590" s="464"/>
      <c r="D590" s="464"/>
      <c r="E590" s="464"/>
      <c r="F590" s="464"/>
    </row>
    <row r="591" spans="1:6" s="1222" customFormat="1" x14ac:dyDescent="0.25">
      <c r="A591" s="463"/>
      <c r="B591" s="464"/>
      <c r="C591" s="464"/>
      <c r="D591" s="464"/>
      <c r="E591" s="464"/>
      <c r="F591" s="464"/>
    </row>
    <row r="592" spans="1:6" s="1222" customFormat="1" x14ac:dyDescent="0.25">
      <c r="A592" s="463"/>
      <c r="B592" s="464"/>
      <c r="C592" s="464"/>
      <c r="D592" s="464"/>
      <c r="E592" s="464"/>
      <c r="F592" s="464"/>
    </row>
    <row r="593" spans="1:6" s="1222" customFormat="1" x14ac:dyDescent="0.25">
      <c r="A593" s="463"/>
      <c r="B593" s="464"/>
      <c r="C593" s="464"/>
      <c r="D593" s="464"/>
      <c r="E593" s="464"/>
      <c r="F593" s="464"/>
    </row>
    <row r="594" spans="1:6" s="1222" customFormat="1" x14ac:dyDescent="0.25">
      <c r="A594" s="463"/>
      <c r="B594" s="464"/>
      <c r="C594" s="464"/>
      <c r="D594" s="464"/>
      <c r="E594" s="464"/>
      <c r="F594" s="464"/>
    </row>
    <row r="595" spans="1:6" s="1222" customFormat="1" x14ac:dyDescent="0.25">
      <c r="A595" s="463"/>
      <c r="B595" s="464"/>
      <c r="C595" s="464"/>
      <c r="D595" s="464"/>
      <c r="E595" s="464"/>
      <c r="F595" s="464"/>
    </row>
    <row r="596" spans="1:6" s="1222" customFormat="1" x14ac:dyDescent="0.25">
      <c r="A596" s="463"/>
      <c r="B596" s="464"/>
      <c r="C596" s="464"/>
      <c r="D596" s="464"/>
      <c r="E596" s="464"/>
      <c r="F596" s="464"/>
    </row>
    <row r="597" spans="1:6" s="1222" customFormat="1" x14ac:dyDescent="0.25">
      <c r="A597" s="463"/>
      <c r="B597" s="464"/>
      <c r="C597" s="464"/>
      <c r="D597" s="464"/>
      <c r="E597" s="464"/>
      <c r="F597" s="464"/>
    </row>
    <row r="598" spans="1:6" s="1222" customFormat="1" x14ac:dyDescent="0.25">
      <c r="A598" s="463"/>
      <c r="B598" s="464"/>
      <c r="C598" s="464"/>
      <c r="D598" s="464"/>
      <c r="E598" s="464"/>
      <c r="F598" s="464"/>
    </row>
    <row r="599" spans="1:6" s="1222" customFormat="1" x14ac:dyDescent="0.25">
      <c r="A599" s="463"/>
      <c r="B599" s="464"/>
      <c r="C599" s="464"/>
      <c r="D599" s="464"/>
      <c r="E599" s="464"/>
      <c r="F599" s="464"/>
    </row>
    <row r="600" spans="1:6" s="1222" customFormat="1" x14ac:dyDescent="0.25">
      <c r="A600" s="463"/>
      <c r="B600" s="464"/>
      <c r="C600" s="464"/>
      <c r="D600" s="464"/>
      <c r="E600" s="464"/>
      <c r="F600" s="464"/>
    </row>
    <row r="601" spans="1:6" s="1222" customFormat="1" x14ac:dyDescent="0.25">
      <c r="A601" s="463"/>
      <c r="B601" s="464"/>
      <c r="C601" s="464"/>
      <c r="D601" s="464"/>
      <c r="E601" s="464"/>
      <c r="F601" s="464"/>
    </row>
    <row r="602" spans="1:6" s="1222" customFormat="1" x14ac:dyDescent="0.25">
      <c r="A602" s="463"/>
      <c r="B602" s="464"/>
      <c r="C602" s="464"/>
      <c r="D602" s="464"/>
      <c r="E602" s="464"/>
      <c r="F602" s="464"/>
    </row>
    <row r="603" spans="1:6" s="1222" customFormat="1" x14ac:dyDescent="0.25">
      <c r="A603" s="463"/>
      <c r="B603" s="464"/>
      <c r="C603" s="464"/>
      <c r="D603" s="464"/>
      <c r="E603" s="464"/>
      <c r="F603" s="464"/>
    </row>
    <row r="604" spans="1:6" s="1222" customFormat="1" x14ac:dyDescent="0.25">
      <c r="A604" s="463"/>
      <c r="B604" s="464"/>
      <c r="C604" s="464"/>
      <c r="D604" s="464"/>
      <c r="E604" s="464"/>
      <c r="F604" s="464"/>
    </row>
    <row r="605" spans="1:6" s="1222" customFormat="1" x14ac:dyDescent="0.25">
      <c r="A605" s="463"/>
      <c r="B605" s="464"/>
      <c r="C605" s="464"/>
      <c r="D605" s="464"/>
      <c r="E605" s="464"/>
      <c r="F605" s="464"/>
    </row>
    <row r="606" spans="1:6" s="1222" customFormat="1" x14ac:dyDescent="0.25">
      <c r="A606" s="463"/>
      <c r="B606" s="464"/>
      <c r="C606" s="464"/>
      <c r="D606" s="464"/>
      <c r="E606" s="464"/>
      <c r="F606" s="464"/>
    </row>
    <row r="607" spans="1:6" s="1222" customFormat="1" x14ac:dyDescent="0.25">
      <c r="A607" s="463"/>
      <c r="B607" s="464"/>
      <c r="C607" s="464"/>
      <c r="D607" s="464"/>
      <c r="E607" s="464"/>
      <c r="F607" s="464"/>
    </row>
    <row r="608" spans="1:6" s="1222" customFormat="1" x14ac:dyDescent="0.25">
      <c r="A608" s="463"/>
      <c r="B608" s="464"/>
      <c r="C608" s="464"/>
      <c r="D608" s="464"/>
      <c r="E608" s="464"/>
      <c r="F608" s="464"/>
    </row>
    <row r="609" spans="1:6" s="1222" customFormat="1" x14ac:dyDescent="0.25">
      <c r="A609" s="463"/>
      <c r="B609" s="464"/>
      <c r="C609" s="464"/>
      <c r="D609" s="464"/>
      <c r="E609" s="464"/>
      <c r="F609" s="464"/>
    </row>
    <row r="610" spans="1:6" s="1222" customFormat="1" x14ac:dyDescent="0.25">
      <c r="A610" s="463"/>
      <c r="B610" s="464"/>
      <c r="C610" s="464"/>
      <c r="D610" s="464"/>
      <c r="E610" s="464"/>
      <c r="F610" s="464"/>
    </row>
    <row r="611" spans="1:6" s="1222" customFormat="1" x14ac:dyDescent="0.25">
      <c r="A611" s="463"/>
      <c r="B611" s="464"/>
      <c r="C611" s="464"/>
      <c r="D611" s="464"/>
      <c r="E611" s="464"/>
      <c r="F611" s="464"/>
    </row>
    <row r="612" spans="1:6" s="1222" customFormat="1" x14ac:dyDescent="0.25">
      <c r="A612" s="463"/>
      <c r="B612" s="464"/>
      <c r="C612" s="464"/>
      <c r="D612" s="464"/>
      <c r="E612" s="464"/>
      <c r="F612" s="464"/>
    </row>
    <row r="613" spans="1:6" s="1222" customFormat="1" x14ac:dyDescent="0.25">
      <c r="A613" s="463"/>
      <c r="B613" s="464"/>
      <c r="C613" s="464"/>
      <c r="D613" s="464"/>
      <c r="E613" s="464"/>
      <c r="F613" s="464"/>
    </row>
    <row r="614" spans="1:6" s="1222" customFormat="1" x14ac:dyDescent="0.25">
      <c r="A614" s="463"/>
      <c r="B614" s="464"/>
      <c r="C614" s="464"/>
      <c r="D614" s="464"/>
      <c r="E614" s="464"/>
      <c r="F614" s="464"/>
    </row>
    <row r="615" spans="1:6" s="1222" customFormat="1" x14ac:dyDescent="0.25">
      <c r="A615" s="463"/>
      <c r="B615" s="464"/>
      <c r="C615" s="464"/>
      <c r="D615" s="464"/>
      <c r="E615" s="464"/>
      <c r="F615" s="464"/>
    </row>
    <row r="616" spans="1:6" s="1222" customFormat="1" x14ac:dyDescent="0.25">
      <c r="A616" s="463"/>
      <c r="B616" s="464"/>
      <c r="C616" s="464"/>
      <c r="D616" s="464"/>
      <c r="E616" s="464"/>
      <c r="F616" s="464"/>
    </row>
    <row r="617" spans="1:6" s="1222" customFormat="1" x14ac:dyDescent="0.25">
      <c r="A617" s="463"/>
      <c r="B617" s="464"/>
      <c r="C617" s="464"/>
      <c r="D617" s="464"/>
      <c r="E617" s="464"/>
      <c r="F617" s="464"/>
    </row>
    <row r="618" spans="1:6" s="1222" customFormat="1" x14ac:dyDescent="0.25">
      <c r="A618" s="463"/>
      <c r="B618" s="464"/>
      <c r="C618" s="464"/>
      <c r="D618" s="464"/>
      <c r="E618" s="464"/>
      <c r="F618" s="464"/>
    </row>
    <row r="619" spans="1:6" s="1222" customFormat="1" x14ac:dyDescent="0.25">
      <c r="A619" s="463"/>
      <c r="B619" s="464"/>
      <c r="C619" s="464"/>
      <c r="D619" s="464"/>
      <c r="E619" s="464"/>
      <c r="F619" s="464"/>
    </row>
    <row r="620" spans="1:6" s="1222" customFormat="1" x14ac:dyDescent="0.25">
      <c r="A620" s="463"/>
      <c r="B620" s="464"/>
      <c r="C620" s="464"/>
      <c r="D620" s="464"/>
      <c r="E620" s="464"/>
      <c r="F620" s="464"/>
    </row>
    <row r="621" spans="1:6" s="1222" customFormat="1" x14ac:dyDescent="0.25">
      <c r="A621" s="463"/>
      <c r="B621" s="464"/>
      <c r="C621" s="464"/>
      <c r="D621" s="464"/>
      <c r="E621" s="464"/>
      <c r="F621" s="464"/>
    </row>
    <row r="622" spans="1:6" s="1222" customFormat="1" x14ac:dyDescent="0.25">
      <c r="A622" s="463"/>
      <c r="B622" s="464"/>
      <c r="C622" s="464"/>
      <c r="D622" s="464"/>
      <c r="E622" s="464"/>
      <c r="F622" s="464"/>
    </row>
    <row r="623" spans="1:6" s="1222" customFormat="1" x14ac:dyDescent="0.25">
      <c r="A623" s="463"/>
      <c r="B623" s="464"/>
      <c r="C623" s="464"/>
      <c r="D623" s="464"/>
      <c r="E623" s="464"/>
      <c r="F623" s="464"/>
    </row>
    <row r="624" spans="1:6" s="1222" customFormat="1" x14ac:dyDescent="0.25">
      <c r="A624" s="463"/>
      <c r="B624" s="464"/>
      <c r="C624" s="464"/>
      <c r="D624" s="464"/>
      <c r="E624" s="464"/>
      <c r="F624" s="464"/>
    </row>
    <row r="625" spans="1:6" s="1222" customFormat="1" x14ac:dyDescent="0.25">
      <c r="A625" s="463"/>
      <c r="B625" s="464"/>
      <c r="C625" s="464"/>
      <c r="D625" s="464"/>
      <c r="E625" s="464"/>
      <c r="F625" s="464"/>
    </row>
    <row r="626" spans="1:6" s="1222" customFormat="1" x14ac:dyDescent="0.25">
      <c r="A626" s="463"/>
      <c r="B626" s="464"/>
      <c r="C626" s="464"/>
      <c r="D626" s="464"/>
      <c r="E626" s="464"/>
      <c r="F626" s="464"/>
    </row>
    <row r="627" spans="1:6" s="1222" customFormat="1" x14ac:dyDescent="0.25">
      <c r="A627" s="463"/>
      <c r="B627" s="464"/>
      <c r="C627" s="464"/>
      <c r="D627" s="464"/>
      <c r="E627" s="464"/>
      <c r="F627" s="464"/>
    </row>
    <row r="628" spans="1:6" s="1222" customFormat="1" x14ac:dyDescent="0.25">
      <c r="A628" s="463"/>
      <c r="B628" s="464"/>
      <c r="C628" s="464"/>
      <c r="D628" s="464"/>
      <c r="E628" s="464"/>
      <c r="F628" s="464"/>
    </row>
    <row r="629" spans="1:6" s="1222" customFormat="1" x14ac:dyDescent="0.25">
      <c r="A629" s="463"/>
      <c r="B629" s="464"/>
      <c r="C629" s="464"/>
      <c r="D629" s="464"/>
      <c r="E629" s="464"/>
      <c r="F629" s="464"/>
    </row>
    <row r="630" spans="1:6" s="1222" customFormat="1" x14ac:dyDescent="0.25">
      <c r="A630" s="463"/>
      <c r="B630" s="464"/>
      <c r="C630" s="464"/>
      <c r="D630" s="464"/>
      <c r="E630" s="464"/>
      <c r="F630" s="464"/>
    </row>
    <row r="631" spans="1:6" s="1222" customFormat="1" x14ac:dyDescent="0.25">
      <c r="A631" s="463"/>
      <c r="B631" s="464"/>
      <c r="C631" s="464"/>
      <c r="D631" s="464"/>
      <c r="E631" s="464"/>
      <c r="F631" s="464"/>
    </row>
    <row r="632" spans="1:6" s="1222" customFormat="1" x14ac:dyDescent="0.25">
      <c r="A632" s="463"/>
      <c r="B632" s="464"/>
      <c r="C632" s="464"/>
      <c r="D632" s="464"/>
      <c r="E632" s="464"/>
      <c r="F632" s="464"/>
    </row>
    <row r="633" spans="1:6" s="1222" customFormat="1" x14ac:dyDescent="0.25">
      <c r="A633" s="463"/>
      <c r="B633" s="464"/>
      <c r="C633" s="464"/>
      <c r="D633" s="464"/>
      <c r="E633" s="464"/>
      <c r="F633" s="464"/>
    </row>
    <row r="634" spans="1:6" s="1222" customFormat="1" x14ac:dyDescent="0.25">
      <c r="A634" s="463"/>
      <c r="B634" s="464"/>
      <c r="C634" s="464"/>
      <c r="D634" s="464"/>
      <c r="E634" s="464"/>
      <c r="F634" s="464"/>
    </row>
    <row r="635" spans="1:6" s="1222" customFormat="1" x14ac:dyDescent="0.25">
      <c r="A635" s="463"/>
      <c r="B635" s="464"/>
      <c r="C635" s="464"/>
      <c r="D635" s="464"/>
      <c r="E635" s="464"/>
      <c r="F635" s="464"/>
    </row>
    <row r="636" spans="1:6" s="1222" customFormat="1" x14ac:dyDescent="0.25">
      <c r="A636" s="463"/>
      <c r="B636" s="464"/>
      <c r="C636" s="464"/>
      <c r="D636" s="464"/>
      <c r="E636" s="464"/>
      <c r="F636" s="464"/>
    </row>
    <row r="637" spans="1:6" s="1222" customFormat="1" x14ac:dyDescent="0.25">
      <c r="A637" s="463"/>
      <c r="B637" s="464"/>
      <c r="C637" s="464"/>
      <c r="D637" s="464"/>
      <c r="E637" s="464"/>
      <c r="F637" s="464"/>
    </row>
    <row r="638" spans="1:6" s="1222" customFormat="1" x14ac:dyDescent="0.25">
      <c r="A638" s="463"/>
      <c r="B638" s="464"/>
      <c r="C638" s="464"/>
      <c r="D638" s="464"/>
      <c r="E638" s="464"/>
      <c r="F638" s="464"/>
    </row>
    <row r="639" spans="1:6" s="1222" customFormat="1" x14ac:dyDescent="0.25">
      <c r="A639" s="463"/>
      <c r="B639" s="464"/>
      <c r="C639" s="464"/>
      <c r="D639" s="464"/>
      <c r="E639" s="464"/>
      <c r="F639" s="464"/>
    </row>
    <row r="640" spans="1:6" s="1222" customFormat="1" x14ac:dyDescent="0.25">
      <c r="A640" s="463"/>
      <c r="B640" s="464"/>
      <c r="C640" s="464"/>
      <c r="D640" s="464"/>
      <c r="E640" s="464"/>
      <c r="F640" s="464"/>
    </row>
    <row r="641" spans="1:6" s="1222" customFormat="1" x14ac:dyDescent="0.25">
      <c r="A641" s="463"/>
      <c r="B641" s="464"/>
      <c r="C641" s="464"/>
      <c r="D641" s="464"/>
      <c r="E641" s="464"/>
      <c r="F641" s="464"/>
    </row>
    <row r="642" spans="1:6" s="1222" customFormat="1" x14ac:dyDescent="0.25">
      <c r="A642" s="463"/>
      <c r="B642" s="464"/>
      <c r="C642" s="464"/>
      <c r="D642" s="464"/>
      <c r="E642" s="464"/>
      <c r="F642" s="464"/>
    </row>
    <row r="643" spans="1:6" s="1222" customFormat="1" x14ac:dyDescent="0.25">
      <c r="A643" s="463"/>
      <c r="B643" s="464"/>
      <c r="C643" s="464"/>
      <c r="D643" s="464"/>
      <c r="E643" s="464"/>
      <c r="F643" s="464"/>
    </row>
    <row r="644" spans="1:6" s="1222" customFormat="1" x14ac:dyDescent="0.25">
      <c r="A644" s="463"/>
      <c r="B644" s="464"/>
      <c r="C644" s="464"/>
      <c r="D644" s="464"/>
      <c r="E644" s="464"/>
      <c r="F644" s="464"/>
    </row>
    <row r="645" spans="1:6" s="1222" customFormat="1" x14ac:dyDescent="0.25">
      <c r="A645" s="463"/>
      <c r="B645" s="464"/>
      <c r="C645" s="464"/>
      <c r="D645" s="464"/>
      <c r="E645" s="464"/>
      <c r="F645" s="464"/>
    </row>
    <row r="646" spans="1:6" s="1222" customFormat="1" x14ac:dyDescent="0.25">
      <c r="A646" s="463"/>
      <c r="B646" s="464"/>
      <c r="C646" s="464"/>
      <c r="D646" s="464"/>
      <c r="E646" s="464"/>
      <c r="F646" s="464"/>
    </row>
    <row r="647" spans="1:6" s="1222" customFormat="1" x14ac:dyDescent="0.25">
      <c r="A647" s="463"/>
      <c r="B647" s="464"/>
      <c r="C647" s="464"/>
      <c r="D647" s="464"/>
      <c r="E647" s="464"/>
      <c r="F647" s="464"/>
    </row>
    <row r="648" spans="1:6" s="1222" customFormat="1" x14ac:dyDescent="0.25">
      <c r="A648" s="463"/>
      <c r="B648" s="464"/>
      <c r="C648" s="464"/>
      <c r="D648" s="464"/>
      <c r="E648" s="464"/>
      <c r="F648" s="464"/>
    </row>
    <row r="649" spans="1:6" s="1222" customFormat="1" x14ac:dyDescent="0.25">
      <c r="A649" s="463"/>
      <c r="B649" s="464"/>
      <c r="C649" s="464"/>
      <c r="D649" s="464"/>
      <c r="E649" s="464"/>
      <c r="F649" s="464"/>
    </row>
    <row r="650" spans="1:6" s="1222" customFormat="1" x14ac:dyDescent="0.25">
      <c r="A650" s="463"/>
      <c r="B650" s="464"/>
      <c r="C650" s="464"/>
      <c r="D650" s="464"/>
      <c r="E650" s="464"/>
      <c r="F650" s="464"/>
    </row>
    <row r="651" spans="1:6" s="1222" customFormat="1" x14ac:dyDescent="0.25">
      <c r="A651" s="463"/>
      <c r="B651" s="464"/>
      <c r="C651" s="464"/>
      <c r="D651" s="464"/>
      <c r="E651" s="464"/>
      <c r="F651" s="464"/>
    </row>
    <row r="652" spans="1:6" s="1222" customFormat="1" x14ac:dyDescent="0.25">
      <c r="A652" s="463"/>
      <c r="B652" s="464"/>
      <c r="C652" s="464"/>
      <c r="D652" s="464"/>
      <c r="E652" s="464"/>
      <c r="F652" s="464"/>
    </row>
    <row r="653" spans="1:6" s="1222" customFormat="1" x14ac:dyDescent="0.25">
      <c r="A653" s="463"/>
      <c r="B653" s="464"/>
      <c r="C653" s="464"/>
      <c r="D653" s="464"/>
      <c r="E653" s="464"/>
      <c r="F653" s="464"/>
    </row>
    <row r="654" spans="1:6" s="1222" customFormat="1" x14ac:dyDescent="0.25">
      <c r="A654" s="463"/>
      <c r="B654" s="464"/>
      <c r="C654" s="464"/>
      <c r="D654" s="464"/>
      <c r="E654" s="464"/>
      <c r="F654" s="464"/>
    </row>
    <row r="655" spans="1:6" s="1222" customFormat="1" x14ac:dyDescent="0.25">
      <c r="A655" s="463"/>
      <c r="B655" s="464"/>
      <c r="C655" s="464"/>
      <c r="D655" s="464"/>
      <c r="E655" s="464"/>
      <c r="F655" s="464"/>
    </row>
    <row r="656" spans="1:6" s="1222" customFormat="1" x14ac:dyDescent="0.25">
      <c r="A656" s="463"/>
      <c r="B656" s="464"/>
      <c r="C656" s="464"/>
      <c r="D656" s="464"/>
      <c r="E656" s="464"/>
      <c r="F656" s="464"/>
    </row>
    <row r="657" spans="1:6" s="1222" customFormat="1" x14ac:dyDescent="0.25">
      <c r="A657" s="463"/>
      <c r="B657" s="464"/>
      <c r="C657" s="464"/>
      <c r="D657" s="464"/>
      <c r="E657" s="464"/>
      <c r="F657" s="464"/>
    </row>
    <row r="658" spans="1:6" s="1222" customFormat="1" x14ac:dyDescent="0.25">
      <c r="A658" s="463"/>
      <c r="B658" s="464"/>
      <c r="C658" s="464"/>
      <c r="D658" s="464"/>
      <c r="E658" s="464"/>
      <c r="F658" s="464"/>
    </row>
    <row r="659" spans="1:6" s="1222" customFormat="1" x14ac:dyDescent="0.25">
      <c r="A659" s="463"/>
      <c r="B659" s="464"/>
      <c r="C659" s="464"/>
      <c r="D659" s="464"/>
      <c r="E659" s="464"/>
      <c r="F659" s="464"/>
    </row>
    <row r="660" spans="1:6" s="1222" customFormat="1" x14ac:dyDescent="0.25">
      <c r="A660" s="463"/>
      <c r="B660" s="464"/>
      <c r="C660" s="464"/>
      <c r="D660" s="464"/>
      <c r="E660" s="464"/>
      <c r="F660" s="464"/>
    </row>
    <row r="661" spans="1:6" s="1222" customFormat="1" x14ac:dyDescent="0.25">
      <c r="A661" s="463"/>
      <c r="B661" s="464"/>
      <c r="C661" s="464"/>
      <c r="D661" s="464"/>
      <c r="E661" s="464"/>
      <c r="F661" s="464"/>
    </row>
    <row r="662" spans="1:6" s="1222" customFormat="1" x14ac:dyDescent="0.25">
      <c r="A662" s="463"/>
      <c r="B662" s="464"/>
      <c r="C662" s="464"/>
      <c r="D662" s="464"/>
      <c r="E662" s="464"/>
      <c r="F662" s="464"/>
    </row>
    <row r="663" spans="1:6" s="1222" customFormat="1" x14ac:dyDescent="0.25">
      <c r="A663" s="463"/>
      <c r="B663" s="464"/>
      <c r="C663" s="464"/>
      <c r="D663" s="464"/>
      <c r="E663" s="464"/>
      <c r="F663" s="464"/>
    </row>
    <row r="664" spans="1:6" s="1222" customFormat="1" x14ac:dyDescent="0.25">
      <c r="A664" s="463"/>
      <c r="B664" s="464"/>
      <c r="C664" s="464"/>
      <c r="D664" s="464"/>
      <c r="E664" s="464"/>
      <c r="F664" s="464"/>
    </row>
    <row r="665" spans="1:6" s="1222" customFormat="1" x14ac:dyDescent="0.25">
      <c r="A665" s="463"/>
      <c r="B665" s="464"/>
      <c r="C665" s="464"/>
      <c r="D665" s="464"/>
      <c r="E665" s="464"/>
      <c r="F665" s="464"/>
    </row>
    <row r="666" spans="1:6" s="1222" customFormat="1" x14ac:dyDescent="0.25">
      <c r="A666" s="463"/>
      <c r="B666" s="464"/>
      <c r="C666" s="464"/>
      <c r="D666" s="464"/>
      <c r="E666" s="464"/>
      <c r="F666" s="464"/>
    </row>
    <row r="667" spans="1:6" s="1222" customFormat="1" x14ac:dyDescent="0.25">
      <c r="A667" s="463"/>
      <c r="B667" s="464"/>
      <c r="C667" s="464"/>
      <c r="D667" s="464"/>
      <c r="E667" s="464"/>
      <c r="F667" s="464"/>
    </row>
    <row r="668" spans="1:6" s="1222" customFormat="1" x14ac:dyDescent="0.25">
      <c r="A668" s="463"/>
      <c r="B668" s="464"/>
      <c r="C668" s="464"/>
      <c r="D668" s="464"/>
      <c r="E668" s="464"/>
      <c r="F668" s="464"/>
    </row>
    <row r="669" spans="1:6" s="1222" customFormat="1" x14ac:dyDescent="0.25">
      <c r="A669" s="463"/>
      <c r="B669" s="464"/>
      <c r="C669" s="464"/>
      <c r="D669" s="464"/>
      <c r="E669" s="464"/>
      <c r="F669" s="464"/>
    </row>
    <row r="670" spans="1:6" s="1222" customFormat="1" x14ac:dyDescent="0.25">
      <c r="A670" s="463"/>
      <c r="B670" s="464"/>
      <c r="C670" s="464"/>
      <c r="D670" s="464"/>
      <c r="E670" s="464"/>
      <c r="F670" s="464"/>
    </row>
    <row r="671" spans="1:6" s="1222" customFormat="1" x14ac:dyDescent="0.25">
      <c r="A671" s="463"/>
      <c r="B671" s="464"/>
      <c r="C671" s="464"/>
      <c r="D671" s="464"/>
      <c r="E671" s="464"/>
      <c r="F671" s="464"/>
    </row>
    <row r="672" spans="1:6" s="1222" customFormat="1" x14ac:dyDescent="0.25">
      <c r="A672" s="463"/>
      <c r="B672" s="464"/>
      <c r="C672" s="464"/>
      <c r="D672" s="464"/>
      <c r="E672" s="464"/>
      <c r="F672" s="464"/>
    </row>
    <row r="673" spans="1:6" s="1222" customFormat="1" x14ac:dyDescent="0.25">
      <c r="A673" s="463"/>
      <c r="B673" s="464"/>
      <c r="C673" s="464"/>
      <c r="D673" s="464"/>
      <c r="E673" s="464"/>
      <c r="F673" s="464"/>
    </row>
    <row r="674" spans="1:6" s="1222" customFormat="1" x14ac:dyDescent="0.25">
      <c r="A674" s="463"/>
      <c r="B674" s="464"/>
      <c r="C674" s="464"/>
      <c r="D674" s="464"/>
      <c r="E674" s="464"/>
      <c r="F674" s="464"/>
    </row>
    <row r="675" spans="1:6" s="1222" customFormat="1" x14ac:dyDescent="0.25">
      <c r="A675" s="463"/>
      <c r="B675" s="464"/>
      <c r="C675" s="464"/>
      <c r="D675" s="464"/>
      <c r="E675" s="464"/>
      <c r="F675" s="464"/>
    </row>
    <row r="676" spans="1:6" s="1222" customFormat="1" x14ac:dyDescent="0.25">
      <c r="A676" s="463"/>
      <c r="B676" s="464"/>
      <c r="C676" s="464"/>
      <c r="D676" s="464"/>
      <c r="E676" s="464"/>
      <c r="F676" s="464"/>
    </row>
    <row r="677" spans="1:6" s="1222" customFormat="1" x14ac:dyDescent="0.25">
      <c r="A677" s="463"/>
      <c r="B677" s="464"/>
      <c r="C677" s="464"/>
      <c r="D677" s="464"/>
      <c r="E677" s="464"/>
      <c r="F677" s="464"/>
    </row>
    <row r="678" spans="1:6" s="1222" customFormat="1" x14ac:dyDescent="0.25">
      <c r="A678" s="463"/>
      <c r="B678" s="464"/>
      <c r="C678" s="464"/>
      <c r="D678" s="464"/>
      <c r="E678" s="464"/>
      <c r="F678" s="464"/>
    </row>
    <row r="679" spans="1:6" s="1222" customFormat="1" x14ac:dyDescent="0.25">
      <c r="A679" s="463"/>
      <c r="B679" s="464"/>
      <c r="C679" s="464"/>
      <c r="D679" s="464"/>
      <c r="E679" s="464"/>
      <c r="F679" s="464"/>
    </row>
    <row r="680" spans="1:6" s="1222" customFormat="1" x14ac:dyDescent="0.25">
      <c r="A680" s="463"/>
      <c r="B680" s="464"/>
      <c r="C680" s="464"/>
      <c r="D680" s="464"/>
      <c r="E680" s="464"/>
      <c r="F680" s="464"/>
    </row>
    <row r="681" spans="1:6" s="1222" customFormat="1" x14ac:dyDescent="0.25">
      <c r="A681" s="463"/>
      <c r="B681" s="464"/>
      <c r="C681" s="464"/>
      <c r="D681" s="464"/>
      <c r="E681" s="464"/>
      <c r="F681" s="464"/>
    </row>
    <row r="682" spans="1:6" s="1222" customFormat="1" x14ac:dyDescent="0.25">
      <c r="A682" s="463"/>
      <c r="B682" s="464"/>
      <c r="C682" s="464"/>
      <c r="D682" s="464"/>
      <c r="E682" s="464"/>
      <c r="F682" s="464"/>
    </row>
    <row r="683" spans="1:6" s="1222" customFormat="1" x14ac:dyDescent="0.25">
      <c r="A683" s="463"/>
      <c r="B683" s="464"/>
      <c r="C683" s="464"/>
      <c r="D683" s="464"/>
      <c r="E683" s="464"/>
      <c r="F683" s="464"/>
    </row>
    <row r="684" spans="1:6" s="1222" customFormat="1" x14ac:dyDescent="0.25">
      <c r="A684" s="463"/>
      <c r="B684" s="464"/>
      <c r="C684" s="464"/>
      <c r="D684" s="464"/>
      <c r="E684" s="464"/>
      <c r="F684" s="464"/>
    </row>
    <row r="685" spans="1:6" s="1222" customFormat="1" x14ac:dyDescent="0.25">
      <c r="A685" s="463"/>
      <c r="B685" s="464"/>
      <c r="C685" s="464"/>
      <c r="D685" s="464"/>
      <c r="E685" s="464"/>
      <c r="F685" s="464"/>
    </row>
    <row r="686" spans="1:6" s="1222" customFormat="1" x14ac:dyDescent="0.25">
      <c r="A686" s="463"/>
      <c r="B686" s="464"/>
      <c r="C686" s="464"/>
      <c r="D686" s="464"/>
      <c r="E686" s="464"/>
      <c r="F686" s="464"/>
    </row>
    <row r="687" spans="1:6" s="1222" customFormat="1" x14ac:dyDescent="0.25">
      <c r="A687" s="463"/>
      <c r="B687" s="464"/>
      <c r="C687" s="464"/>
      <c r="D687" s="464"/>
      <c r="E687" s="464"/>
      <c r="F687" s="464"/>
    </row>
    <row r="688" spans="1:6" s="1222" customFormat="1" x14ac:dyDescent="0.25">
      <c r="A688" s="463"/>
      <c r="B688" s="464"/>
      <c r="C688" s="464"/>
      <c r="D688" s="464"/>
      <c r="E688" s="464"/>
      <c r="F688" s="464"/>
    </row>
    <row r="689" spans="1:6" s="1222" customFormat="1" x14ac:dyDescent="0.25">
      <c r="A689" s="463"/>
      <c r="B689" s="464"/>
      <c r="C689" s="464"/>
      <c r="D689" s="464"/>
      <c r="E689" s="464"/>
      <c r="F689" s="464"/>
    </row>
    <row r="690" spans="1:6" s="1222" customFormat="1" x14ac:dyDescent="0.25">
      <c r="A690" s="463"/>
      <c r="B690" s="464"/>
      <c r="C690" s="464"/>
      <c r="D690" s="464"/>
      <c r="E690" s="464"/>
      <c r="F690" s="464"/>
    </row>
    <row r="691" spans="1:6" s="1222" customFormat="1" x14ac:dyDescent="0.25">
      <c r="A691" s="463"/>
      <c r="B691" s="464"/>
      <c r="C691" s="464"/>
      <c r="D691" s="464"/>
      <c r="E691" s="464"/>
      <c r="F691" s="464"/>
    </row>
    <row r="692" spans="1:6" s="1222" customFormat="1" x14ac:dyDescent="0.25">
      <c r="A692" s="463"/>
      <c r="B692" s="464"/>
      <c r="C692" s="464"/>
      <c r="D692" s="464"/>
      <c r="E692" s="464"/>
      <c r="F692" s="464"/>
    </row>
    <row r="693" spans="1:6" s="1222" customFormat="1" x14ac:dyDescent="0.25">
      <c r="A693" s="463"/>
      <c r="B693" s="464"/>
      <c r="C693" s="464"/>
      <c r="D693" s="464"/>
      <c r="E693" s="464"/>
      <c r="F693" s="464"/>
    </row>
    <row r="694" spans="1:6" s="1222" customFormat="1" x14ac:dyDescent="0.25">
      <c r="A694" s="463"/>
      <c r="B694" s="464"/>
      <c r="C694" s="464"/>
      <c r="D694" s="464"/>
      <c r="E694" s="464"/>
      <c r="F694" s="464"/>
    </row>
    <row r="695" spans="1:6" s="1222" customFormat="1" x14ac:dyDescent="0.25">
      <c r="A695" s="463"/>
      <c r="B695" s="464"/>
      <c r="C695" s="464"/>
      <c r="D695" s="464"/>
      <c r="E695" s="464"/>
      <c r="F695" s="464"/>
    </row>
    <row r="696" spans="1:6" s="1222" customFormat="1" x14ac:dyDescent="0.25">
      <c r="A696" s="463"/>
      <c r="B696" s="464"/>
      <c r="C696" s="464"/>
      <c r="D696" s="464"/>
      <c r="E696" s="464"/>
      <c r="F696" s="464"/>
    </row>
    <row r="697" spans="1:6" s="1222" customFormat="1" x14ac:dyDescent="0.25">
      <c r="A697" s="463"/>
      <c r="B697" s="464"/>
      <c r="C697" s="464"/>
      <c r="D697" s="464"/>
      <c r="E697" s="464"/>
      <c r="F697" s="464"/>
    </row>
    <row r="698" spans="1:6" s="1222" customFormat="1" x14ac:dyDescent="0.25">
      <c r="A698" s="463"/>
      <c r="B698" s="464"/>
      <c r="C698" s="464"/>
      <c r="D698" s="464"/>
      <c r="E698" s="464"/>
      <c r="F698" s="464"/>
    </row>
    <row r="699" spans="1:6" s="1222" customFormat="1" x14ac:dyDescent="0.25">
      <c r="A699" s="463"/>
      <c r="B699" s="464"/>
      <c r="C699" s="464"/>
      <c r="D699" s="464"/>
      <c r="E699" s="464"/>
      <c r="F699" s="464"/>
    </row>
    <row r="700" spans="1:6" s="1222" customFormat="1" x14ac:dyDescent="0.25">
      <c r="A700" s="463"/>
      <c r="B700" s="464"/>
      <c r="C700" s="464"/>
      <c r="D700" s="464"/>
      <c r="E700" s="464"/>
      <c r="F700" s="464"/>
    </row>
    <row r="701" spans="1:6" s="1222" customFormat="1" x14ac:dyDescent="0.25">
      <c r="A701" s="463"/>
      <c r="B701" s="464"/>
      <c r="C701" s="464"/>
      <c r="D701" s="464"/>
      <c r="E701" s="464"/>
      <c r="F701" s="464"/>
    </row>
    <row r="702" spans="1:6" s="1222" customFormat="1" x14ac:dyDescent="0.25">
      <c r="A702" s="463"/>
      <c r="B702" s="464"/>
      <c r="C702" s="464"/>
      <c r="D702" s="464"/>
      <c r="E702" s="464"/>
      <c r="F702" s="464"/>
    </row>
    <row r="703" spans="1:6" s="1222" customFormat="1" x14ac:dyDescent="0.25">
      <c r="A703" s="463"/>
      <c r="B703" s="464"/>
      <c r="C703" s="464"/>
      <c r="D703" s="464"/>
      <c r="E703" s="464"/>
      <c r="F703" s="464"/>
    </row>
    <row r="704" spans="1:6" s="1222" customFormat="1" x14ac:dyDescent="0.25">
      <c r="A704" s="463"/>
      <c r="B704" s="464"/>
      <c r="C704" s="464"/>
      <c r="D704" s="464"/>
      <c r="E704" s="464"/>
      <c r="F704" s="464"/>
    </row>
    <row r="705" spans="1:6" s="1222" customFormat="1" x14ac:dyDescent="0.25">
      <c r="A705" s="463"/>
      <c r="B705" s="464"/>
      <c r="C705" s="464"/>
      <c r="D705" s="464"/>
      <c r="E705" s="464"/>
      <c r="F705" s="464"/>
    </row>
    <row r="706" spans="1:6" s="1222" customFormat="1" x14ac:dyDescent="0.25">
      <c r="A706" s="463"/>
      <c r="B706" s="464"/>
      <c r="C706" s="464"/>
      <c r="D706" s="464"/>
      <c r="E706" s="464"/>
      <c r="F706" s="464"/>
    </row>
    <row r="707" spans="1:6" s="1222" customFormat="1" x14ac:dyDescent="0.25">
      <c r="A707" s="463"/>
      <c r="B707" s="464"/>
      <c r="C707" s="464"/>
      <c r="D707" s="464"/>
      <c r="E707" s="464"/>
      <c r="F707" s="464"/>
    </row>
    <row r="708" spans="1:6" s="1222" customFormat="1" x14ac:dyDescent="0.25">
      <c r="A708" s="463"/>
      <c r="B708" s="464"/>
      <c r="C708" s="464"/>
      <c r="D708" s="464"/>
      <c r="E708" s="464"/>
      <c r="F708" s="464"/>
    </row>
    <row r="709" spans="1:6" s="1222" customFormat="1" x14ac:dyDescent="0.25">
      <c r="A709" s="463"/>
      <c r="B709" s="464"/>
      <c r="C709" s="464"/>
      <c r="D709" s="464"/>
      <c r="E709" s="464"/>
      <c r="F709" s="464"/>
    </row>
    <row r="710" spans="1:6" s="1222" customFormat="1" x14ac:dyDescent="0.25">
      <c r="A710" s="463"/>
      <c r="B710" s="464"/>
      <c r="C710" s="464"/>
      <c r="D710" s="464"/>
      <c r="E710" s="464"/>
      <c r="F710" s="464"/>
    </row>
    <row r="711" spans="1:6" s="1222" customFormat="1" x14ac:dyDescent="0.25">
      <c r="A711" s="463"/>
      <c r="B711" s="464"/>
      <c r="C711" s="464"/>
      <c r="D711" s="464"/>
      <c r="E711" s="464"/>
      <c r="F711" s="464"/>
    </row>
    <row r="712" spans="1:6" s="1222" customFormat="1" x14ac:dyDescent="0.25">
      <c r="A712" s="463"/>
      <c r="B712" s="464"/>
      <c r="C712" s="464"/>
      <c r="D712" s="464"/>
      <c r="E712" s="464"/>
      <c r="F712" s="464"/>
    </row>
    <row r="713" spans="1:6" s="1222" customFormat="1" x14ac:dyDescent="0.25">
      <c r="A713" s="463"/>
      <c r="B713" s="464"/>
      <c r="C713" s="464"/>
      <c r="D713" s="464"/>
      <c r="E713" s="464"/>
      <c r="F713" s="464"/>
    </row>
    <row r="714" spans="1:6" s="1222" customFormat="1" x14ac:dyDescent="0.25">
      <c r="A714" s="463"/>
      <c r="B714" s="464"/>
      <c r="C714" s="464"/>
      <c r="D714" s="464"/>
      <c r="E714" s="464"/>
      <c r="F714" s="464"/>
    </row>
    <row r="715" spans="1:6" s="1222" customFormat="1" x14ac:dyDescent="0.25">
      <c r="A715" s="463"/>
      <c r="B715" s="464"/>
      <c r="C715" s="464"/>
      <c r="D715" s="464"/>
      <c r="E715" s="464"/>
      <c r="F715" s="464"/>
    </row>
    <row r="716" spans="1:6" s="1222" customFormat="1" x14ac:dyDescent="0.25">
      <c r="A716" s="463"/>
      <c r="B716" s="464"/>
      <c r="C716" s="464"/>
      <c r="D716" s="464"/>
      <c r="E716" s="464"/>
      <c r="F716" s="464"/>
    </row>
    <row r="717" spans="1:6" s="1222" customFormat="1" x14ac:dyDescent="0.25">
      <c r="A717" s="463"/>
      <c r="B717" s="464"/>
      <c r="C717" s="464"/>
      <c r="D717" s="464"/>
      <c r="E717" s="464"/>
      <c r="F717" s="464"/>
    </row>
    <row r="718" spans="1:6" s="1222" customFormat="1" x14ac:dyDescent="0.25">
      <c r="A718" s="463"/>
      <c r="B718" s="464"/>
      <c r="C718" s="464"/>
      <c r="D718" s="464"/>
      <c r="E718" s="464"/>
      <c r="F718" s="464"/>
    </row>
    <row r="719" spans="1:6" s="1222" customFormat="1" x14ac:dyDescent="0.25">
      <c r="A719" s="463"/>
      <c r="B719" s="464"/>
      <c r="C719" s="464"/>
      <c r="D719" s="464"/>
      <c r="E719" s="464"/>
      <c r="F719" s="464"/>
    </row>
    <row r="720" spans="1:6" s="1222" customFormat="1" x14ac:dyDescent="0.25">
      <c r="A720" s="463"/>
      <c r="B720" s="464"/>
      <c r="C720" s="464"/>
      <c r="D720" s="464"/>
      <c r="E720" s="464"/>
      <c r="F720" s="464"/>
    </row>
    <row r="721" spans="1:6" s="1222" customFormat="1" x14ac:dyDescent="0.25">
      <c r="A721" s="463"/>
      <c r="B721" s="464"/>
      <c r="C721" s="464"/>
      <c r="D721" s="464"/>
      <c r="E721" s="464"/>
      <c r="F721" s="464"/>
    </row>
    <row r="722" spans="1:6" s="1222" customFormat="1" x14ac:dyDescent="0.25">
      <c r="A722" s="463"/>
      <c r="B722" s="464"/>
      <c r="C722" s="464"/>
      <c r="D722" s="464"/>
      <c r="E722" s="464"/>
      <c r="F722" s="464"/>
    </row>
    <row r="723" spans="1:6" s="1222" customFormat="1" x14ac:dyDescent="0.25">
      <c r="A723" s="463"/>
      <c r="B723" s="464"/>
      <c r="C723" s="464"/>
      <c r="D723" s="464"/>
      <c r="E723" s="464"/>
      <c r="F723" s="464"/>
    </row>
    <row r="724" spans="1:6" s="1222" customFormat="1" x14ac:dyDescent="0.25">
      <c r="A724" s="463"/>
      <c r="B724" s="464"/>
      <c r="C724" s="464"/>
      <c r="D724" s="464"/>
      <c r="E724" s="464"/>
      <c r="F724" s="464"/>
    </row>
    <row r="725" spans="1:6" s="1222" customFormat="1" x14ac:dyDescent="0.25">
      <c r="A725" s="463"/>
      <c r="B725" s="464"/>
      <c r="C725" s="464"/>
      <c r="D725" s="464"/>
      <c r="E725" s="464"/>
      <c r="F725" s="464"/>
    </row>
    <row r="726" spans="1:6" s="1222" customFormat="1" x14ac:dyDescent="0.25">
      <c r="A726" s="463"/>
      <c r="B726" s="464"/>
      <c r="C726" s="464"/>
      <c r="D726" s="464"/>
      <c r="E726" s="464"/>
      <c r="F726" s="464"/>
    </row>
    <row r="727" spans="1:6" s="1222" customFormat="1" x14ac:dyDescent="0.25">
      <c r="A727" s="463"/>
      <c r="B727" s="464"/>
      <c r="C727" s="464"/>
      <c r="D727" s="464"/>
      <c r="E727" s="464"/>
      <c r="F727" s="464"/>
    </row>
    <row r="728" spans="1:6" s="1222" customFormat="1" x14ac:dyDescent="0.25">
      <c r="A728" s="463"/>
      <c r="B728" s="464"/>
      <c r="C728" s="464"/>
      <c r="D728" s="464"/>
      <c r="E728" s="464"/>
      <c r="F728" s="464"/>
    </row>
    <row r="729" spans="1:6" s="1222" customFormat="1" x14ac:dyDescent="0.25">
      <c r="A729" s="463"/>
      <c r="B729" s="464"/>
      <c r="C729" s="464"/>
      <c r="D729" s="464"/>
      <c r="E729" s="464"/>
      <c r="F729" s="464"/>
    </row>
    <row r="730" spans="1:6" s="1222" customFormat="1" x14ac:dyDescent="0.25">
      <c r="A730" s="463"/>
      <c r="B730" s="464"/>
      <c r="C730" s="464"/>
      <c r="D730" s="464"/>
      <c r="E730" s="464"/>
      <c r="F730" s="464"/>
    </row>
    <row r="731" spans="1:6" s="1222" customFormat="1" x14ac:dyDescent="0.25">
      <c r="A731" s="463"/>
      <c r="B731" s="464"/>
      <c r="C731" s="464"/>
      <c r="D731" s="464"/>
      <c r="E731" s="464"/>
      <c r="F731" s="464"/>
    </row>
    <row r="732" spans="1:6" s="1222" customFormat="1" x14ac:dyDescent="0.25">
      <c r="A732" s="463"/>
      <c r="B732" s="464"/>
      <c r="C732" s="464"/>
      <c r="D732" s="464"/>
      <c r="E732" s="464"/>
      <c r="F732" s="464"/>
    </row>
    <row r="733" spans="1:6" s="1222" customFormat="1" x14ac:dyDescent="0.25">
      <c r="A733" s="463"/>
      <c r="B733" s="464"/>
      <c r="C733" s="464"/>
      <c r="D733" s="464"/>
      <c r="E733" s="464"/>
      <c r="F733" s="464"/>
    </row>
    <row r="734" spans="1:6" s="1222" customFormat="1" x14ac:dyDescent="0.25">
      <c r="A734" s="463"/>
      <c r="B734" s="464"/>
      <c r="C734" s="464"/>
      <c r="D734" s="464"/>
      <c r="E734" s="464"/>
      <c r="F734" s="464"/>
    </row>
    <row r="735" spans="1:6" s="1222" customFormat="1" x14ac:dyDescent="0.25">
      <c r="A735" s="463"/>
      <c r="B735" s="464"/>
      <c r="C735" s="464"/>
      <c r="D735" s="464"/>
      <c r="E735" s="464"/>
      <c r="F735" s="464"/>
    </row>
    <row r="736" spans="1:6" s="1222" customFormat="1" x14ac:dyDescent="0.25">
      <c r="A736" s="463"/>
      <c r="B736" s="464"/>
      <c r="C736" s="464"/>
      <c r="D736" s="464"/>
      <c r="E736" s="464"/>
      <c r="F736" s="464"/>
    </row>
    <row r="737" spans="1:6" s="1222" customFormat="1" x14ac:dyDescent="0.25">
      <c r="A737" s="463"/>
      <c r="B737" s="464"/>
      <c r="C737" s="464"/>
      <c r="D737" s="464"/>
      <c r="E737" s="464"/>
      <c r="F737" s="464"/>
    </row>
    <row r="738" spans="1:6" s="1222" customFormat="1" x14ac:dyDescent="0.25">
      <c r="A738" s="463"/>
      <c r="B738" s="464"/>
      <c r="C738" s="464"/>
      <c r="D738" s="464"/>
      <c r="E738" s="464"/>
      <c r="F738" s="464"/>
    </row>
    <row r="739" spans="1:6" s="1222" customFormat="1" x14ac:dyDescent="0.25">
      <c r="A739" s="463"/>
      <c r="B739" s="464"/>
      <c r="C739" s="464"/>
      <c r="D739" s="464"/>
      <c r="E739" s="464"/>
      <c r="F739" s="464"/>
    </row>
    <row r="740" spans="1:6" s="1222" customFormat="1" x14ac:dyDescent="0.25">
      <c r="A740" s="463"/>
      <c r="B740" s="464"/>
      <c r="C740" s="464"/>
      <c r="D740" s="464"/>
      <c r="E740" s="464"/>
      <c r="F740" s="464"/>
    </row>
    <row r="741" spans="1:6" s="1222" customFormat="1" x14ac:dyDescent="0.25">
      <c r="A741" s="463"/>
      <c r="B741" s="464"/>
      <c r="C741" s="464"/>
      <c r="D741" s="464"/>
      <c r="E741" s="464"/>
      <c r="F741" s="464"/>
    </row>
    <row r="742" spans="1:6" s="1222" customFormat="1" x14ac:dyDescent="0.25">
      <c r="A742" s="463"/>
      <c r="B742" s="464"/>
      <c r="C742" s="464"/>
      <c r="D742" s="464"/>
      <c r="E742" s="464"/>
      <c r="F742" s="464"/>
    </row>
    <row r="743" spans="1:6" s="1222" customFormat="1" x14ac:dyDescent="0.25">
      <c r="A743" s="463"/>
      <c r="B743" s="464"/>
      <c r="C743" s="464"/>
      <c r="D743" s="464"/>
      <c r="E743" s="464"/>
      <c r="F743" s="464"/>
    </row>
    <row r="744" spans="1:6" s="1222" customFormat="1" x14ac:dyDescent="0.25">
      <c r="A744" s="463"/>
      <c r="B744" s="464"/>
      <c r="C744" s="464"/>
      <c r="D744" s="464"/>
      <c r="E744" s="464"/>
      <c r="F744" s="464"/>
    </row>
    <row r="745" spans="1:6" s="1222" customFormat="1" x14ac:dyDescent="0.25">
      <c r="A745" s="463"/>
      <c r="B745" s="464"/>
      <c r="C745" s="464"/>
      <c r="D745" s="464"/>
      <c r="E745" s="464"/>
      <c r="F745" s="464"/>
    </row>
    <row r="746" spans="1:6" s="1222" customFormat="1" x14ac:dyDescent="0.25">
      <c r="A746" s="463"/>
      <c r="B746" s="464"/>
      <c r="C746" s="464"/>
      <c r="D746" s="464"/>
      <c r="E746" s="464"/>
      <c r="F746" s="464"/>
    </row>
    <row r="747" spans="1:6" s="1222" customFormat="1" x14ac:dyDescent="0.25">
      <c r="A747" s="463"/>
      <c r="B747" s="464"/>
      <c r="C747" s="464"/>
      <c r="D747" s="464"/>
      <c r="E747" s="464"/>
      <c r="F747" s="464"/>
    </row>
    <row r="748" spans="1:6" s="1222" customFormat="1" x14ac:dyDescent="0.25">
      <c r="A748" s="463"/>
      <c r="B748" s="464"/>
      <c r="C748" s="464"/>
      <c r="D748" s="464"/>
      <c r="E748" s="464"/>
      <c r="F748" s="464"/>
    </row>
    <row r="749" spans="1:6" s="1222" customFormat="1" x14ac:dyDescent="0.25">
      <c r="A749" s="463"/>
      <c r="B749" s="464"/>
      <c r="C749" s="464"/>
      <c r="D749" s="464"/>
      <c r="E749" s="464"/>
      <c r="F749" s="464"/>
    </row>
    <row r="750" spans="1:6" s="1222" customFormat="1" x14ac:dyDescent="0.25">
      <c r="A750" s="463"/>
      <c r="B750" s="464"/>
      <c r="C750" s="464"/>
      <c r="D750" s="464"/>
      <c r="E750" s="464"/>
      <c r="F750" s="464"/>
    </row>
    <row r="751" spans="1:6" s="1222" customFormat="1" x14ac:dyDescent="0.25">
      <c r="A751" s="463"/>
      <c r="B751" s="464"/>
      <c r="C751" s="464"/>
      <c r="D751" s="464"/>
      <c r="E751" s="464"/>
      <c r="F751" s="464"/>
    </row>
    <row r="752" spans="1:6" s="1222" customFormat="1" x14ac:dyDescent="0.25">
      <c r="A752" s="463"/>
      <c r="B752" s="464"/>
      <c r="C752" s="464"/>
      <c r="D752" s="464"/>
      <c r="E752" s="464"/>
      <c r="F752" s="464"/>
    </row>
    <row r="753" spans="1:6" s="1222" customFormat="1" x14ac:dyDescent="0.25">
      <c r="A753" s="463"/>
      <c r="B753" s="464"/>
      <c r="C753" s="464"/>
      <c r="D753" s="464"/>
      <c r="E753" s="464"/>
      <c r="F753" s="464"/>
    </row>
    <row r="754" spans="1:6" s="1222" customFormat="1" x14ac:dyDescent="0.25">
      <c r="A754" s="463"/>
      <c r="B754" s="464"/>
      <c r="C754" s="464"/>
      <c r="D754" s="464"/>
      <c r="E754" s="464"/>
      <c r="F754" s="464"/>
    </row>
    <row r="755" spans="1:6" s="1222" customFormat="1" x14ac:dyDescent="0.25">
      <c r="A755" s="463"/>
      <c r="B755" s="464"/>
      <c r="C755" s="464"/>
      <c r="D755" s="464"/>
      <c r="E755" s="464"/>
      <c r="F755" s="464"/>
    </row>
    <row r="756" spans="1:6" s="1222" customFormat="1" x14ac:dyDescent="0.25">
      <c r="A756" s="463"/>
      <c r="B756" s="464"/>
      <c r="C756" s="464"/>
      <c r="D756" s="464"/>
      <c r="E756" s="464"/>
      <c r="F756" s="464"/>
    </row>
    <row r="757" spans="1:6" s="1222" customFormat="1" x14ac:dyDescent="0.25">
      <c r="A757" s="463"/>
      <c r="B757" s="464"/>
      <c r="C757" s="464"/>
      <c r="D757" s="464"/>
      <c r="E757" s="464"/>
      <c r="F757" s="464"/>
    </row>
    <row r="758" spans="1:6" s="1222" customFormat="1" x14ac:dyDescent="0.25">
      <c r="A758" s="463"/>
      <c r="B758" s="464"/>
      <c r="C758" s="464"/>
      <c r="D758" s="464"/>
      <c r="E758" s="464"/>
      <c r="F758" s="464"/>
    </row>
    <row r="759" spans="1:6" s="1222" customFormat="1" x14ac:dyDescent="0.25">
      <c r="A759" s="463"/>
      <c r="B759" s="464"/>
      <c r="C759" s="464"/>
      <c r="D759" s="464"/>
      <c r="E759" s="464"/>
      <c r="F759" s="464"/>
    </row>
    <row r="760" spans="1:6" s="1222" customFormat="1" x14ac:dyDescent="0.25">
      <c r="A760" s="463"/>
      <c r="B760" s="464"/>
      <c r="C760" s="464"/>
      <c r="D760" s="464"/>
      <c r="E760" s="464"/>
      <c r="F760" s="464"/>
    </row>
    <row r="761" spans="1:6" s="1222" customFormat="1" x14ac:dyDescent="0.25">
      <c r="A761" s="463"/>
      <c r="B761" s="464"/>
      <c r="C761" s="464"/>
      <c r="D761" s="464"/>
      <c r="E761" s="464"/>
      <c r="F761" s="464"/>
    </row>
    <row r="762" spans="1:6" s="1222" customFormat="1" x14ac:dyDescent="0.25">
      <c r="A762" s="463"/>
      <c r="B762" s="464"/>
      <c r="C762" s="464"/>
      <c r="D762" s="464"/>
      <c r="E762" s="464"/>
      <c r="F762" s="464"/>
    </row>
    <row r="763" spans="1:6" s="1222" customFormat="1" x14ac:dyDescent="0.25">
      <c r="A763" s="463"/>
      <c r="B763" s="464"/>
      <c r="C763" s="464"/>
      <c r="D763" s="464"/>
      <c r="E763" s="464"/>
      <c r="F763" s="464"/>
    </row>
    <row r="764" spans="1:6" s="1222" customFormat="1" x14ac:dyDescent="0.25">
      <c r="A764" s="463"/>
      <c r="B764" s="464"/>
      <c r="C764" s="464"/>
      <c r="D764" s="464"/>
      <c r="E764" s="464"/>
      <c r="F764" s="464"/>
    </row>
    <row r="765" spans="1:6" s="1222" customFormat="1" x14ac:dyDescent="0.25">
      <c r="A765" s="463"/>
      <c r="B765" s="464"/>
      <c r="C765" s="464"/>
      <c r="D765" s="464"/>
      <c r="E765" s="464"/>
      <c r="F765" s="464"/>
    </row>
    <row r="766" spans="1:6" s="1222" customFormat="1" x14ac:dyDescent="0.25">
      <c r="A766" s="463"/>
      <c r="B766" s="464"/>
      <c r="C766" s="464"/>
      <c r="D766" s="464"/>
      <c r="E766" s="464"/>
      <c r="F766" s="464"/>
    </row>
    <row r="767" spans="1:6" s="1222" customFormat="1" x14ac:dyDescent="0.25">
      <c r="A767" s="463"/>
      <c r="B767" s="464"/>
      <c r="C767" s="464"/>
      <c r="D767" s="464"/>
      <c r="E767" s="464"/>
      <c r="F767" s="464"/>
    </row>
    <row r="768" spans="1:6" s="1222" customFormat="1" x14ac:dyDescent="0.25">
      <c r="A768" s="463"/>
      <c r="B768" s="464"/>
      <c r="C768" s="464"/>
      <c r="D768" s="464"/>
      <c r="E768" s="464"/>
      <c r="F768" s="464"/>
    </row>
    <row r="769" spans="1:6" s="1222" customFormat="1" x14ac:dyDescent="0.25">
      <c r="A769" s="463"/>
      <c r="B769" s="464"/>
      <c r="C769" s="464"/>
      <c r="D769" s="464"/>
      <c r="E769" s="464"/>
      <c r="F769" s="464"/>
    </row>
    <row r="770" spans="1:6" s="1222" customFormat="1" x14ac:dyDescent="0.25">
      <c r="A770" s="463"/>
      <c r="B770" s="464"/>
      <c r="C770" s="464"/>
      <c r="D770" s="464"/>
      <c r="E770" s="464"/>
      <c r="F770" s="464"/>
    </row>
    <row r="771" spans="1:6" s="1222" customFormat="1" x14ac:dyDescent="0.25">
      <c r="A771" s="463"/>
      <c r="B771" s="464"/>
      <c r="C771" s="464"/>
      <c r="D771" s="464"/>
      <c r="E771" s="464"/>
      <c r="F771" s="464"/>
    </row>
    <row r="772" spans="1:6" s="1222" customFormat="1" x14ac:dyDescent="0.25">
      <c r="A772" s="463"/>
      <c r="B772" s="464"/>
      <c r="C772" s="464"/>
      <c r="D772" s="464"/>
      <c r="E772" s="464"/>
      <c r="F772" s="464"/>
    </row>
    <row r="773" spans="1:6" s="1222" customFormat="1" x14ac:dyDescent="0.25">
      <c r="A773" s="463"/>
      <c r="B773" s="464"/>
      <c r="C773" s="464"/>
      <c r="D773" s="464"/>
      <c r="E773" s="464"/>
      <c r="F773" s="464"/>
    </row>
    <row r="774" spans="1:6" s="1222" customFormat="1" x14ac:dyDescent="0.25">
      <c r="A774" s="463"/>
      <c r="B774" s="464"/>
      <c r="C774" s="464"/>
      <c r="D774" s="464"/>
      <c r="E774" s="464"/>
      <c r="F774" s="464"/>
    </row>
    <row r="775" spans="1:6" s="1222" customFormat="1" x14ac:dyDescent="0.25">
      <c r="A775" s="463"/>
      <c r="B775" s="464"/>
      <c r="C775" s="464"/>
      <c r="D775" s="464"/>
      <c r="E775" s="464"/>
      <c r="F775" s="464"/>
    </row>
    <row r="776" spans="1:6" s="1222" customFormat="1" x14ac:dyDescent="0.25">
      <c r="A776" s="463"/>
      <c r="B776" s="464"/>
      <c r="C776" s="464"/>
      <c r="D776" s="464"/>
      <c r="E776" s="464"/>
      <c r="F776" s="464"/>
    </row>
    <row r="777" spans="1:6" s="1222" customFormat="1" x14ac:dyDescent="0.25">
      <c r="A777" s="463"/>
      <c r="B777" s="464"/>
      <c r="C777" s="464"/>
      <c r="D777" s="464"/>
      <c r="E777" s="464"/>
      <c r="F777" s="464"/>
    </row>
    <row r="778" spans="1:6" s="1222" customFormat="1" x14ac:dyDescent="0.25">
      <c r="A778" s="463"/>
      <c r="B778" s="464"/>
      <c r="C778" s="464"/>
      <c r="D778" s="464"/>
      <c r="E778" s="464"/>
      <c r="F778" s="464"/>
    </row>
    <row r="779" spans="1:6" s="1222" customFormat="1" x14ac:dyDescent="0.25">
      <c r="A779" s="463"/>
      <c r="B779" s="464"/>
      <c r="C779" s="464"/>
      <c r="D779" s="464"/>
      <c r="E779" s="464"/>
      <c r="F779" s="464"/>
    </row>
    <row r="780" spans="1:6" s="1222" customFormat="1" x14ac:dyDescent="0.25">
      <c r="A780" s="463"/>
      <c r="B780" s="464"/>
      <c r="C780" s="464"/>
      <c r="D780" s="464"/>
      <c r="E780" s="464"/>
      <c r="F780" s="464"/>
    </row>
    <row r="781" spans="1:6" s="1222" customFormat="1" x14ac:dyDescent="0.25">
      <c r="A781" s="463"/>
      <c r="B781" s="464"/>
      <c r="C781" s="464"/>
      <c r="D781" s="464"/>
      <c r="E781" s="464"/>
      <c r="F781" s="464"/>
    </row>
    <row r="782" spans="1:6" s="1222" customFormat="1" x14ac:dyDescent="0.25">
      <c r="A782" s="463"/>
      <c r="B782" s="464"/>
      <c r="C782" s="464"/>
      <c r="D782" s="464"/>
      <c r="E782" s="464"/>
      <c r="F782" s="464"/>
    </row>
    <row r="783" spans="1:6" s="1222" customFormat="1" x14ac:dyDescent="0.25">
      <c r="A783" s="463"/>
      <c r="B783" s="464"/>
      <c r="C783" s="464"/>
      <c r="D783" s="464"/>
      <c r="E783" s="464"/>
      <c r="F783" s="464"/>
    </row>
    <row r="784" spans="1:6" s="1222" customFormat="1" x14ac:dyDescent="0.25">
      <c r="A784" s="463"/>
      <c r="B784" s="464"/>
      <c r="C784" s="464"/>
      <c r="D784" s="464"/>
      <c r="E784" s="464"/>
      <c r="F784" s="464"/>
    </row>
    <row r="785" spans="1:6" s="1222" customFormat="1" x14ac:dyDescent="0.25">
      <c r="A785" s="463"/>
      <c r="B785" s="464"/>
      <c r="C785" s="464"/>
      <c r="D785" s="464"/>
      <c r="E785" s="464"/>
      <c r="F785" s="464"/>
    </row>
    <row r="786" spans="1:6" s="1222" customFormat="1" x14ac:dyDescent="0.25">
      <c r="A786" s="463"/>
      <c r="B786" s="464"/>
      <c r="C786" s="464"/>
      <c r="D786" s="464"/>
      <c r="E786" s="464"/>
      <c r="F786" s="464"/>
    </row>
    <row r="787" spans="1:6" s="1222" customFormat="1" x14ac:dyDescent="0.25">
      <c r="A787" s="463"/>
      <c r="B787" s="464"/>
      <c r="C787" s="464"/>
      <c r="D787" s="464"/>
      <c r="E787" s="464"/>
      <c r="F787" s="464"/>
    </row>
    <row r="788" spans="1:6" s="1222" customFormat="1" x14ac:dyDescent="0.25">
      <c r="A788" s="463"/>
      <c r="B788" s="464"/>
      <c r="C788" s="464"/>
      <c r="D788" s="464"/>
      <c r="E788" s="464"/>
      <c r="F788" s="464"/>
    </row>
    <row r="789" spans="1:6" s="1222" customFormat="1" x14ac:dyDescent="0.25">
      <c r="A789" s="463"/>
      <c r="B789" s="464"/>
      <c r="C789" s="464"/>
      <c r="D789" s="464"/>
      <c r="E789" s="464"/>
      <c r="F789" s="464"/>
    </row>
    <row r="790" spans="1:6" s="1222" customFormat="1" x14ac:dyDescent="0.25">
      <c r="A790" s="463"/>
      <c r="B790" s="464"/>
      <c r="C790" s="464"/>
      <c r="D790" s="464"/>
      <c r="E790" s="464"/>
      <c r="F790" s="464"/>
    </row>
    <row r="791" spans="1:6" s="1222" customFormat="1" x14ac:dyDescent="0.25">
      <c r="A791" s="463"/>
      <c r="B791" s="464"/>
      <c r="C791" s="464"/>
      <c r="D791" s="464"/>
      <c r="E791" s="464"/>
      <c r="F791" s="464"/>
    </row>
    <row r="792" spans="1:6" s="1222" customFormat="1" x14ac:dyDescent="0.25">
      <c r="A792" s="463"/>
      <c r="B792" s="464"/>
      <c r="C792" s="464"/>
      <c r="D792" s="464"/>
      <c r="E792" s="464"/>
      <c r="F792" s="464"/>
    </row>
    <row r="793" spans="1:6" s="1222" customFormat="1" x14ac:dyDescent="0.25">
      <c r="A793" s="463"/>
      <c r="B793" s="464"/>
      <c r="C793" s="464"/>
      <c r="D793" s="464"/>
      <c r="E793" s="464"/>
      <c r="F793" s="464"/>
    </row>
    <row r="794" spans="1:6" s="1222" customFormat="1" x14ac:dyDescent="0.25">
      <c r="A794" s="463"/>
      <c r="B794" s="464"/>
      <c r="C794" s="464"/>
      <c r="D794" s="464"/>
      <c r="E794" s="464"/>
      <c r="F794" s="464"/>
    </row>
    <row r="795" spans="1:6" s="1222" customFormat="1" x14ac:dyDescent="0.25">
      <c r="A795" s="463"/>
      <c r="B795" s="464"/>
      <c r="C795" s="464"/>
      <c r="D795" s="464"/>
      <c r="E795" s="464"/>
      <c r="F795" s="464"/>
    </row>
    <row r="796" spans="1:6" s="1222" customFormat="1" x14ac:dyDescent="0.25">
      <c r="A796" s="463"/>
      <c r="B796" s="464"/>
      <c r="C796" s="464"/>
      <c r="D796" s="464"/>
      <c r="E796" s="464"/>
      <c r="F796" s="464"/>
    </row>
    <row r="797" spans="1:6" s="1222" customFormat="1" x14ac:dyDescent="0.25">
      <c r="A797" s="463"/>
      <c r="B797" s="464"/>
      <c r="C797" s="464"/>
      <c r="D797" s="464"/>
      <c r="E797" s="464"/>
      <c r="F797" s="464"/>
    </row>
    <row r="798" spans="1:6" s="1222" customFormat="1" x14ac:dyDescent="0.25">
      <c r="A798" s="463"/>
      <c r="B798" s="464"/>
      <c r="C798" s="464"/>
      <c r="D798" s="464"/>
      <c r="E798" s="464"/>
      <c r="F798" s="464"/>
    </row>
    <row r="799" spans="1:6" s="1222" customFormat="1" x14ac:dyDescent="0.25">
      <c r="A799" s="463"/>
      <c r="B799" s="464"/>
      <c r="C799" s="464"/>
      <c r="D799" s="464"/>
      <c r="E799" s="464"/>
      <c r="F799" s="464"/>
    </row>
    <row r="800" spans="1:6" s="1222" customFormat="1" x14ac:dyDescent="0.25">
      <c r="A800" s="463"/>
      <c r="B800" s="464"/>
      <c r="C800" s="464"/>
      <c r="D800" s="464"/>
      <c r="E800" s="464"/>
      <c r="F800" s="464"/>
    </row>
    <row r="801" spans="1:6" s="1222" customFormat="1" x14ac:dyDescent="0.25">
      <c r="A801" s="463"/>
      <c r="B801" s="464"/>
      <c r="C801" s="464"/>
      <c r="D801" s="464"/>
      <c r="E801" s="464"/>
      <c r="F801" s="464"/>
    </row>
    <row r="802" spans="1:6" s="1222" customFormat="1" x14ac:dyDescent="0.25">
      <c r="A802" s="463"/>
      <c r="B802" s="464"/>
      <c r="C802" s="464"/>
      <c r="D802" s="464"/>
      <c r="E802" s="464"/>
      <c r="F802" s="464"/>
    </row>
    <row r="803" spans="1:6" s="1222" customFormat="1" x14ac:dyDescent="0.25">
      <c r="A803" s="463"/>
      <c r="B803" s="464"/>
      <c r="C803" s="464"/>
      <c r="D803" s="464"/>
      <c r="E803" s="464"/>
      <c r="F803" s="464"/>
    </row>
    <row r="804" spans="1:6" s="1222" customFormat="1" x14ac:dyDescent="0.25">
      <c r="A804" s="463"/>
      <c r="B804" s="464"/>
      <c r="C804" s="464"/>
      <c r="D804" s="464"/>
      <c r="E804" s="464"/>
      <c r="F804" s="464"/>
    </row>
    <row r="805" spans="1:6" s="1222" customFormat="1" x14ac:dyDescent="0.25">
      <c r="A805" s="463"/>
      <c r="B805" s="464"/>
      <c r="C805" s="464"/>
      <c r="D805" s="464"/>
      <c r="E805" s="464"/>
      <c r="F805" s="464"/>
    </row>
    <row r="806" spans="1:6" s="1222" customFormat="1" x14ac:dyDescent="0.25">
      <c r="A806" s="463"/>
      <c r="B806" s="464"/>
      <c r="C806" s="464"/>
      <c r="D806" s="464"/>
      <c r="E806" s="464"/>
      <c r="F806" s="464"/>
    </row>
    <row r="807" spans="1:6" s="1222" customFormat="1" x14ac:dyDescent="0.25">
      <c r="A807" s="463"/>
      <c r="B807" s="464"/>
      <c r="C807" s="464"/>
      <c r="D807" s="464"/>
      <c r="E807" s="464"/>
      <c r="F807" s="464"/>
    </row>
    <row r="808" spans="1:6" s="1222" customFormat="1" x14ac:dyDescent="0.25">
      <c r="A808" s="463"/>
      <c r="B808" s="464"/>
      <c r="C808" s="464"/>
      <c r="D808" s="464"/>
      <c r="E808" s="464"/>
      <c r="F808" s="464"/>
    </row>
    <row r="809" spans="1:6" s="1222" customFormat="1" x14ac:dyDescent="0.25">
      <c r="A809" s="463"/>
      <c r="B809" s="464"/>
      <c r="C809" s="464"/>
      <c r="D809" s="464"/>
      <c r="E809" s="464"/>
      <c r="F809" s="464"/>
    </row>
    <row r="810" spans="1:6" s="1222" customFormat="1" x14ac:dyDescent="0.25">
      <c r="A810" s="463"/>
      <c r="B810" s="464"/>
      <c r="C810" s="464"/>
      <c r="D810" s="464"/>
      <c r="E810" s="464"/>
      <c r="F810" s="464"/>
    </row>
    <row r="811" spans="1:6" s="1222" customFormat="1" x14ac:dyDescent="0.25">
      <c r="A811" s="463"/>
      <c r="B811" s="464"/>
      <c r="C811" s="464"/>
      <c r="D811" s="464"/>
      <c r="E811" s="464"/>
      <c r="F811" s="464"/>
    </row>
    <row r="812" spans="1:6" s="1222" customFormat="1" x14ac:dyDescent="0.25">
      <c r="A812" s="463"/>
      <c r="B812" s="464"/>
      <c r="C812" s="464"/>
      <c r="D812" s="464"/>
      <c r="E812" s="464"/>
      <c r="F812" s="464"/>
    </row>
    <row r="813" spans="1:6" s="1222" customFormat="1" x14ac:dyDescent="0.25">
      <c r="A813" s="463"/>
      <c r="B813" s="464"/>
      <c r="C813" s="464"/>
      <c r="D813" s="464"/>
      <c r="E813" s="464"/>
      <c r="F813" s="464"/>
    </row>
    <row r="814" spans="1:6" s="1222" customFormat="1" x14ac:dyDescent="0.25">
      <c r="A814" s="463"/>
      <c r="B814" s="464"/>
      <c r="C814" s="464"/>
      <c r="D814" s="464"/>
      <c r="E814" s="464"/>
      <c r="F814" s="464"/>
    </row>
    <row r="815" spans="1:6" s="1222" customFormat="1" x14ac:dyDescent="0.25">
      <c r="A815" s="463"/>
      <c r="B815" s="464"/>
      <c r="C815" s="464"/>
      <c r="D815" s="464"/>
      <c r="E815" s="464"/>
      <c r="F815" s="464"/>
    </row>
    <row r="816" spans="1:6" s="1222" customFormat="1" x14ac:dyDescent="0.25">
      <c r="A816" s="463"/>
      <c r="B816" s="464"/>
      <c r="C816" s="464"/>
      <c r="D816" s="464"/>
      <c r="E816" s="464"/>
      <c r="F816" s="464"/>
    </row>
    <row r="817" spans="1:6" s="1222" customFormat="1" x14ac:dyDescent="0.25">
      <c r="A817" s="463"/>
      <c r="B817" s="464"/>
      <c r="C817" s="464"/>
      <c r="D817" s="464"/>
      <c r="E817" s="464"/>
      <c r="F817" s="464"/>
    </row>
    <row r="818" spans="1:6" s="1222" customFormat="1" x14ac:dyDescent="0.25">
      <c r="A818" s="463"/>
      <c r="B818" s="464"/>
      <c r="C818" s="464"/>
      <c r="D818" s="464"/>
      <c r="E818" s="464"/>
      <c r="F818" s="464"/>
    </row>
    <row r="819" spans="1:6" s="1222" customFormat="1" x14ac:dyDescent="0.25">
      <c r="A819" s="463"/>
      <c r="B819" s="464"/>
      <c r="C819" s="464"/>
      <c r="D819" s="464"/>
      <c r="E819" s="464"/>
      <c r="F819" s="464"/>
    </row>
    <row r="820" spans="1:6" s="1222" customFormat="1" x14ac:dyDescent="0.25">
      <c r="A820" s="463"/>
      <c r="B820" s="464"/>
      <c r="C820" s="464"/>
      <c r="D820" s="464"/>
      <c r="E820" s="464"/>
      <c r="F820" s="464"/>
    </row>
    <row r="821" spans="1:6" s="1222" customFormat="1" x14ac:dyDescent="0.25">
      <c r="A821" s="463"/>
      <c r="B821" s="464"/>
      <c r="C821" s="464"/>
      <c r="D821" s="464"/>
      <c r="E821" s="464"/>
      <c r="F821" s="464"/>
    </row>
    <row r="822" spans="1:6" s="1222" customFormat="1" x14ac:dyDescent="0.25">
      <c r="A822" s="463"/>
      <c r="B822" s="464"/>
      <c r="C822" s="464"/>
      <c r="D822" s="464"/>
      <c r="E822" s="464"/>
      <c r="F822" s="464"/>
    </row>
    <row r="823" spans="1:6" s="1222" customFormat="1" x14ac:dyDescent="0.25">
      <c r="A823" s="463"/>
      <c r="B823" s="464"/>
      <c r="C823" s="464"/>
      <c r="D823" s="464"/>
      <c r="E823" s="464"/>
      <c r="F823" s="464"/>
    </row>
    <row r="824" spans="1:6" s="1222" customFormat="1" x14ac:dyDescent="0.25">
      <c r="A824" s="463"/>
      <c r="B824" s="464"/>
      <c r="C824" s="464"/>
      <c r="D824" s="464"/>
      <c r="E824" s="464"/>
      <c r="F824" s="464"/>
    </row>
    <row r="825" spans="1:6" s="1222" customFormat="1" x14ac:dyDescent="0.25">
      <c r="A825" s="463"/>
      <c r="B825" s="464"/>
      <c r="C825" s="464"/>
      <c r="D825" s="464"/>
      <c r="E825" s="464"/>
      <c r="F825" s="464"/>
    </row>
    <row r="826" spans="1:6" s="1222" customFormat="1" x14ac:dyDescent="0.25">
      <c r="A826" s="463"/>
      <c r="B826" s="464"/>
      <c r="C826" s="464"/>
      <c r="D826" s="464"/>
      <c r="E826" s="464"/>
      <c r="F826" s="464"/>
    </row>
    <row r="827" spans="1:6" s="1222" customFormat="1" x14ac:dyDescent="0.25">
      <c r="A827" s="463"/>
      <c r="B827" s="464"/>
      <c r="C827" s="464"/>
      <c r="D827" s="464"/>
      <c r="E827" s="464"/>
      <c r="F827" s="464"/>
    </row>
    <row r="828" spans="1:6" s="1222" customFormat="1" x14ac:dyDescent="0.25">
      <c r="A828" s="463"/>
      <c r="B828" s="464"/>
      <c r="C828" s="464"/>
      <c r="D828" s="464"/>
      <c r="E828" s="464"/>
      <c r="F828" s="464"/>
    </row>
    <row r="829" spans="1:6" s="1222" customFormat="1" x14ac:dyDescent="0.25">
      <c r="A829" s="463"/>
      <c r="B829" s="464"/>
      <c r="C829" s="464"/>
      <c r="D829" s="464"/>
      <c r="E829" s="464"/>
      <c r="F829" s="464"/>
    </row>
    <row r="830" spans="1:6" s="1222" customFormat="1" x14ac:dyDescent="0.25">
      <c r="A830" s="463"/>
      <c r="B830" s="464"/>
      <c r="C830" s="464"/>
      <c r="D830" s="464"/>
      <c r="E830" s="464"/>
      <c r="F830" s="464"/>
    </row>
    <row r="831" spans="1:6" s="1222" customFormat="1" x14ac:dyDescent="0.25">
      <c r="A831" s="463"/>
      <c r="B831" s="464"/>
      <c r="C831" s="464"/>
      <c r="D831" s="464"/>
      <c r="E831" s="464"/>
      <c r="F831" s="464"/>
    </row>
    <row r="832" spans="1:6" s="1222" customFormat="1" x14ac:dyDescent="0.25">
      <c r="A832" s="463"/>
      <c r="B832" s="464"/>
      <c r="C832" s="464"/>
      <c r="D832" s="464"/>
      <c r="E832" s="464"/>
      <c r="F832" s="464"/>
    </row>
    <row r="833" spans="1:6" s="1222" customFormat="1" x14ac:dyDescent="0.25">
      <c r="A833" s="463"/>
      <c r="B833" s="464"/>
      <c r="C833" s="464"/>
      <c r="D833" s="464"/>
      <c r="E833" s="464"/>
      <c r="F833" s="464"/>
    </row>
    <row r="834" spans="1:6" s="1222" customFormat="1" x14ac:dyDescent="0.25">
      <c r="A834" s="463"/>
      <c r="B834" s="464"/>
      <c r="C834" s="464"/>
      <c r="D834" s="464"/>
      <c r="E834" s="464"/>
      <c r="F834" s="464"/>
    </row>
    <row r="835" spans="1:6" s="1222" customFormat="1" x14ac:dyDescent="0.25">
      <c r="A835" s="463"/>
      <c r="B835" s="464"/>
      <c r="C835" s="464"/>
      <c r="D835" s="464"/>
      <c r="E835" s="464"/>
      <c r="F835" s="464"/>
    </row>
    <row r="836" spans="1:6" s="1222" customFormat="1" x14ac:dyDescent="0.25">
      <c r="A836" s="463"/>
      <c r="B836" s="464"/>
      <c r="C836" s="464"/>
      <c r="D836" s="464"/>
      <c r="E836" s="464"/>
      <c r="F836" s="464"/>
    </row>
    <row r="837" spans="1:6" s="1222" customFormat="1" x14ac:dyDescent="0.25">
      <c r="A837" s="463"/>
      <c r="B837" s="464"/>
      <c r="C837" s="464"/>
      <c r="D837" s="464"/>
      <c r="E837" s="464"/>
      <c r="F837" s="464"/>
    </row>
    <row r="838" spans="1:6" s="1222" customFormat="1" x14ac:dyDescent="0.25">
      <c r="A838" s="463"/>
      <c r="B838" s="464"/>
      <c r="C838" s="464"/>
      <c r="D838" s="464"/>
      <c r="E838" s="464"/>
      <c r="F838" s="464"/>
    </row>
    <row r="839" spans="1:6" s="1222" customFormat="1" x14ac:dyDescent="0.25">
      <c r="A839" s="463"/>
      <c r="B839" s="464"/>
      <c r="C839" s="464"/>
      <c r="D839" s="464"/>
      <c r="E839" s="464"/>
      <c r="F839" s="464"/>
    </row>
    <row r="840" spans="1:6" s="1222" customFormat="1" x14ac:dyDescent="0.25">
      <c r="A840" s="463"/>
      <c r="B840" s="464"/>
      <c r="C840" s="464"/>
      <c r="D840" s="464"/>
      <c r="E840" s="464"/>
      <c r="F840" s="464"/>
    </row>
    <row r="841" spans="1:6" s="1222" customFormat="1" x14ac:dyDescent="0.25">
      <c r="A841" s="463"/>
      <c r="B841" s="464"/>
      <c r="C841" s="464"/>
      <c r="D841" s="464"/>
      <c r="E841" s="464"/>
      <c r="F841" s="464"/>
    </row>
    <row r="842" spans="1:6" s="1222" customFormat="1" x14ac:dyDescent="0.25">
      <c r="A842" s="463"/>
      <c r="B842" s="464"/>
      <c r="C842" s="464"/>
      <c r="D842" s="464"/>
      <c r="E842" s="464"/>
      <c r="F842" s="464"/>
    </row>
    <row r="843" spans="1:6" s="1222" customFormat="1" x14ac:dyDescent="0.25">
      <c r="A843" s="463"/>
      <c r="B843" s="464"/>
      <c r="C843" s="464"/>
      <c r="D843" s="464"/>
      <c r="E843" s="464"/>
      <c r="F843" s="464"/>
    </row>
    <row r="844" spans="1:6" s="1222" customFormat="1" x14ac:dyDescent="0.25">
      <c r="A844" s="463"/>
      <c r="B844" s="464"/>
      <c r="C844" s="464"/>
      <c r="D844" s="464"/>
      <c r="E844" s="464"/>
      <c r="F844" s="464"/>
    </row>
    <row r="845" spans="1:6" s="1222" customFormat="1" x14ac:dyDescent="0.25">
      <c r="A845" s="463"/>
      <c r="B845" s="464"/>
      <c r="C845" s="464"/>
      <c r="D845" s="464"/>
      <c r="E845" s="464"/>
      <c r="F845" s="464"/>
    </row>
    <row r="846" spans="1:6" s="1222" customFormat="1" x14ac:dyDescent="0.25">
      <c r="A846" s="463"/>
      <c r="B846" s="464"/>
      <c r="C846" s="464"/>
      <c r="D846" s="464"/>
      <c r="E846" s="464"/>
      <c r="F846" s="464"/>
    </row>
    <row r="847" spans="1:6" s="1222" customFormat="1" x14ac:dyDescent="0.25">
      <c r="A847" s="463"/>
      <c r="B847" s="464"/>
      <c r="C847" s="464"/>
      <c r="D847" s="464"/>
      <c r="E847" s="464"/>
      <c r="F847" s="464"/>
    </row>
    <row r="848" spans="1:6" s="1222" customFormat="1" x14ac:dyDescent="0.25">
      <c r="A848" s="463"/>
      <c r="B848" s="464"/>
      <c r="C848" s="464"/>
      <c r="D848" s="464"/>
      <c r="E848" s="464"/>
      <c r="F848" s="464"/>
    </row>
    <row r="849" spans="1:6" s="1222" customFormat="1" x14ac:dyDescent="0.25">
      <c r="A849" s="463"/>
      <c r="B849" s="464"/>
      <c r="C849" s="464"/>
      <c r="D849" s="464"/>
      <c r="E849" s="464"/>
      <c r="F849" s="464"/>
    </row>
    <row r="850" spans="1:6" s="1222" customFormat="1" x14ac:dyDescent="0.25">
      <c r="A850" s="463"/>
      <c r="B850" s="464"/>
      <c r="C850" s="464"/>
      <c r="D850" s="464"/>
      <c r="E850" s="464"/>
      <c r="F850" s="464"/>
    </row>
    <row r="851" spans="1:6" s="1222" customFormat="1" x14ac:dyDescent="0.25">
      <c r="A851" s="463"/>
      <c r="B851" s="464"/>
      <c r="C851" s="464"/>
      <c r="D851" s="464"/>
      <c r="E851" s="464"/>
      <c r="F851" s="464"/>
    </row>
    <row r="852" spans="1:6" s="1222" customFormat="1" x14ac:dyDescent="0.25">
      <c r="A852" s="463"/>
      <c r="B852" s="464"/>
      <c r="C852" s="464"/>
      <c r="D852" s="464"/>
      <c r="E852" s="464"/>
      <c r="F852" s="464"/>
    </row>
    <row r="853" spans="1:6" s="1222" customFormat="1" x14ac:dyDescent="0.25">
      <c r="A853" s="463"/>
      <c r="B853" s="464"/>
      <c r="C853" s="464"/>
      <c r="D853" s="464"/>
      <c r="E853" s="464"/>
      <c r="F853" s="464"/>
    </row>
    <row r="854" spans="1:6" s="1222" customFormat="1" x14ac:dyDescent="0.25">
      <c r="A854" s="463"/>
      <c r="B854" s="464"/>
      <c r="C854" s="464"/>
      <c r="D854" s="464"/>
      <c r="E854" s="464"/>
      <c r="F854" s="464"/>
    </row>
    <row r="855" spans="1:6" s="1222" customFormat="1" x14ac:dyDescent="0.25">
      <c r="A855" s="463"/>
      <c r="B855" s="464"/>
      <c r="C855" s="464"/>
      <c r="D855" s="464"/>
      <c r="E855" s="464"/>
      <c r="F855" s="464"/>
    </row>
    <row r="856" spans="1:6" s="1222" customFormat="1" x14ac:dyDescent="0.25">
      <c r="A856" s="463"/>
      <c r="B856" s="464"/>
      <c r="C856" s="464"/>
      <c r="D856" s="464"/>
      <c r="E856" s="464"/>
      <c r="F856" s="464"/>
    </row>
    <row r="857" spans="1:6" s="1222" customFormat="1" x14ac:dyDescent="0.25">
      <c r="A857" s="463"/>
      <c r="B857" s="464"/>
      <c r="C857" s="464"/>
      <c r="D857" s="464"/>
      <c r="E857" s="464"/>
      <c r="F857" s="464"/>
    </row>
    <row r="858" spans="1:6" s="1222" customFormat="1" x14ac:dyDescent="0.25">
      <c r="A858" s="463"/>
      <c r="B858" s="464"/>
      <c r="C858" s="464"/>
      <c r="D858" s="464"/>
      <c r="E858" s="464"/>
      <c r="F858" s="464"/>
    </row>
    <row r="859" spans="1:6" s="1222" customFormat="1" x14ac:dyDescent="0.25">
      <c r="A859" s="463"/>
      <c r="B859" s="464"/>
      <c r="C859" s="464"/>
      <c r="D859" s="464"/>
      <c r="E859" s="464"/>
      <c r="F859" s="464"/>
    </row>
    <row r="860" spans="1:6" s="1222" customFormat="1" x14ac:dyDescent="0.25">
      <c r="A860" s="463"/>
      <c r="B860" s="464"/>
      <c r="C860" s="464"/>
      <c r="D860" s="464"/>
      <c r="E860" s="464"/>
      <c r="F860" s="464"/>
    </row>
    <row r="861" spans="1:6" s="1222" customFormat="1" x14ac:dyDescent="0.25">
      <c r="A861" s="463"/>
      <c r="B861" s="464"/>
      <c r="C861" s="464"/>
      <c r="D861" s="464"/>
      <c r="E861" s="464"/>
      <c r="F861" s="464"/>
    </row>
    <row r="862" spans="1:6" s="1222" customFormat="1" x14ac:dyDescent="0.25">
      <c r="A862" s="463"/>
      <c r="B862" s="464"/>
      <c r="C862" s="464"/>
      <c r="D862" s="464"/>
      <c r="E862" s="464"/>
      <c r="F862" s="464"/>
    </row>
    <row r="863" spans="1:6" s="1222" customFormat="1" x14ac:dyDescent="0.25">
      <c r="A863" s="463"/>
      <c r="B863" s="464"/>
      <c r="C863" s="464"/>
      <c r="D863" s="464"/>
      <c r="E863" s="464"/>
      <c r="F863" s="464"/>
    </row>
    <row r="864" spans="1:6" s="1222" customFormat="1" x14ac:dyDescent="0.25">
      <c r="A864" s="463"/>
      <c r="B864" s="464"/>
      <c r="C864" s="464"/>
      <c r="D864" s="464"/>
      <c r="E864" s="464"/>
      <c r="F864" s="464"/>
    </row>
    <row r="865" spans="1:6" s="1222" customFormat="1" x14ac:dyDescent="0.25">
      <c r="A865" s="463"/>
      <c r="B865" s="464"/>
      <c r="C865" s="464"/>
      <c r="D865" s="464"/>
      <c r="E865" s="464"/>
      <c r="F865" s="464"/>
    </row>
    <row r="866" spans="1:6" s="1222" customFormat="1" x14ac:dyDescent="0.25">
      <c r="A866" s="463"/>
      <c r="B866" s="464"/>
      <c r="C866" s="464"/>
      <c r="D866" s="464"/>
      <c r="E866" s="464"/>
      <c r="F866" s="464"/>
    </row>
    <row r="867" spans="1:6" s="1222" customFormat="1" x14ac:dyDescent="0.25">
      <c r="A867" s="463"/>
      <c r="B867" s="464"/>
      <c r="C867" s="464"/>
      <c r="D867" s="464"/>
      <c r="E867" s="464"/>
      <c r="F867" s="464"/>
    </row>
    <row r="868" spans="1:6" s="1222" customFormat="1" x14ac:dyDescent="0.25">
      <c r="A868" s="463"/>
      <c r="B868" s="464"/>
      <c r="C868" s="464"/>
      <c r="D868" s="464"/>
      <c r="E868" s="464"/>
      <c r="F868" s="464"/>
    </row>
    <row r="869" spans="1:6" s="1222" customFormat="1" x14ac:dyDescent="0.25">
      <c r="A869" s="463"/>
      <c r="B869" s="464"/>
      <c r="C869" s="464"/>
      <c r="D869" s="464"/>
      <c r="E869" s="464"/>
      <c r="F869" s="464"/>
    </row>
    <row r="870" spans="1:6" s="1222" customFormat="1" x14ac:dyDescent="0.25">
      <c r="A870" s="463"/>
      <c r="B870" s="464"/>
      <c r="C870" s="464"/>
      <c r="D870" s="464"/>
      <c r="E870" s="464"/>
      <c r="F870" s="464"/>
    </row>
    <row r="871" spans="1:6" s="1222" customFormat="1" x14ac:dyDescent="0.25">
      <c r="A871" s="463"/>
      <c r="B871" s="464"/>
      <c r="C871" s="464"/>
      <c r="D871" s="464"/>
      <c r="E871" s="464"/>
      <c r="F871" s="464"/>
    </row>
    <row r="872" spans="1:6" s="1222" customFormat="1" x14ac:dyDescent="0.25">
      <c r="A872" s="463"/>
      <c r="B872" s="464"/>
      <c r="C872" s="464"/>
      <c r="D872" s="464"/>
      <c r="E872" s="464"/>
      <c r="F872" s="464"/>
    </row>
    <row r="873" spans="1:6" s="1222" customFormat="1" x14ac:dyDescent="0.25">
      <c r="A873" s="463"/>
      <c r="B873" s="464"/>
      <c r="C873" s="464"/>
      <c r="D873" s="464"/>
      <c r="E873" s="464"/>
      <c r="F873" s="464"/>
    </row>
    <row r="874" spans="1:6" s="1222" customFormat="1" x14ac:dyDescent="0.25">
      <c r="A874" s="463"/>
      <c r="B874" s="464"/>
      <c r="C874" s="464"/>
      <c r="D874" s="464"/>
      <c r="E874" s="464"/>
      <c r="F874" s="464"/>
    </row>
    <row r="875" spans="1:6" s="1222" customFormat="1" x14ac:dyDescent="0.25">
      <c r="A875" s="463"/>
      <c r="B875" s="464"/>
      <c r="C875" s="464"/>
      <c r="D875" s="464"/>
      <c r="E875" s="464"/>
      <c r="F875" s="464"/>
    </row>
    <row r="876" spans="1:6" s="1222" customFormat="1" x14ac:dyDescent="0.25">
      <c r="A876" s="463"/>
      <c r="B876" s="464"/>
      <c r="C876" s="464"/>
      <c r="D876" s="464"/>
      <c r="E876" s="464"/>
      <c r="F876" s="464"/>
    </row>
    <row r="877" spans="1:6" s="1222" customFormat="1" x14ac:dyDescent="0.25">
      <c r="A877" s="463"/>
      <c r="B877" s="464"/>
      <c r="C877" s="464"/>
      <c r="D877" s="464"/>
      <c r="E877" s="464"/>
      <c r="F877" s="464"/>
    </row>
    <row r="878" spans="1:6" s="1222" customFormat="1" x14ac:dyDescent="0.25">
      <c r="A878" s="463"/>
      <c r="B878" s="464"/>
      <c r="C878" s="464"/>
      <c r="D878" s="464"/>
      <c r="E878" s="464"/>
      <c r="F878" s="464"/>
    </row>
    <row r="879" spans="1:6" s="1222" customFormat="1" x14ac:dyDescent="0.25">
      <c r="A879" s="463"/>
      <c r="B879" s="464"/>
      <c r="C879" s="464"/>
      <c r="D879" s="464"/>
      <c r="E879" s="464"/>
      <c r="F879" s="464"/>
    </row>
    <row r="880" spans="1:6" s="1222" customFormat="1" x14ac:dyDescent="0.25">
      <c r="A880" s="463"/>
      <c r="B880" s="464"/>
      <c r="C880" s="464"/>
      <c r="D880" s="464"/>
      <c r="E880" s="464"/>
      <c r="F880" s="464"/>
    </row>
    <row r="881" spans="1:6" s="1222" customFormat="1" x14ac:dyDescent="0.25">
      <c r="A881" s="463"/>
      <c r="B881" s="464"/>
      <c r="C881" s="464"/>
      <c r="D881" s="464"/>
      <c r="E881" s="464"/>
      <c r="F881" s="464"/>
    </row>
    <row r="882" spans="1:6" s="1222" customFormat="1" x14ac:dyDescent="0.25">
      <c r="A882" s="463"/>
      <c r="B882" s="464"/>
      <c r="C882" s="464"/>
      <c r="D882" s="464"/>
      <c r="E882" s="464"/>
      <c r="F882" s="464"/>
    </row>
    <row r="883" spans="1:6" s="1222" customFormat="1" x14ac:dyDescent="0.25">
      <c r="A883" s="463"/>
      <c r="B883" s="464"/>
      <c r="C883" s="464"/>
      <c r="D883" s="464"/>
      <c r="E883" s="464"/>
      <c r="F883" s="464"/>
    </row>
    <row r="884" spans="1:6" s="1222" customFormat="1" x14ac:dyDescent="0.25">
      <c r="A884" s="463"/>
      <c r="B884" s="464"/>
      <c r="C884" s="464"/>
      <c r="D884" s="464"/>
      <c r="E884" s="464"/>
      <c r="F884" s="464"/>
    </row>
    <row r="885" spans="1:6" s="1222" customFormat="1" x14ac:dyDescent="0.25">
      <c r="A885" s="463"/>
      <c r="B885" s="464"/>
      <c r="C885" s="464"/>
      <c r="D885" s="464"/>
      <c r="E885" s="464"/>
      <c r="F885" s="464"/>
    </row>
    <row r="886" spans="1:6" s="1222" customFormat="1" x14ac:dyDescent="0.25">
      <c r="A886" s="463"/>
      <c r="B886" s="464"/>
      <c r="C886" s="464"/>
      <c r="D886" s="464"/>
      <c r="E886" s="464"/>
      <c r="F886" s="464"/>
    </row>
    <row r="887" spans="1:6" s="1222" customFormat="1" x14ac:dyDescent="0.25">
      <c r="A887" s="463"/>
      <c r="B887" s="464"/>
      <c r="C887" s="464"/>
      <c r="D887" s="464"/>
      <c r="E887" s="464"/>
      <c r="F887" s="464"/>
    </row>
    <row r="888" spans="1:6" s="1222" customFormat="1" x14ac:dyDescent="0.25">
      <c r="A888" s="463"/>
      <c r="B888" s="464"/>
      <c r="C888" s="464"/>
      <c r="D888" s="464"/>
      <c r="E888" s="464"/>
      <c r="F888" s="464"/>
    </row>
    <row r="889" spans="1:6" s="1222" customFormat="1" x14ac:dyDescent="0.25">
      <c r="A889" s="463"/>
      <c r="B889" s="464"/>
      <c r="C889" s="464"/>
      <c r="D889" s="464"/>
      <c r="E889" s="464"/>
      <c r="F889" s="464"/>
    </row>
    <row r="890" spans="1:6" s="1222" customFormat="1" x14ac:dyDescent="0.25">
      <c r="A890" s="463"/>
      <c r="B890" s="464"/>
      <c r="C890" s="464"/>
      <c r="D890" s="464"/>
      <c r="E890" s="464"/>
      <c r="F890" s="464"/>
    </row>
    <row r="891" spans="1:6" s="1222" customFormat="1" x14ac:dyDescent="0.25">
      <c r="A891" s="463"/>
      <c r="B891" s="464"/>
      <c r="C891" s="464"/>
      <c r="D891" s="464"/>
      <c r="E891" s="464"/>
      <c r="F891" s="464"/>
    </row>
    <row r="892" spans="1:6" s="1222" customFormat="1" x14ac:dyDescent="0.25">
      <c r="A892" s="463"/>
      <c r="B892" s="464"/>
      <c r="C892" s="464"/>
      <c r="D892" s="464"/>
      <c r="E892" s="464"/>
      <c r="F892" s="464"/>
    </row>
    <row r="893" spans="1:6" s="1222" customFormat="1" x14ac:dyDescent="0.25">
      <c r="A893" s="463"/>
      <c r="B893" s="464"/>
      <c r="C893" s="464"/>
      <c r="D893" s="464"/>
      <c r="E893" s="464"/>
      <c r="F893" s="464"/>
    </row>
    <row r="894" spans="1:6" s="1222" customFormat="1" x14ac:dyDescent="0.25">
      <c r="A894" s="463"/>
      <c r="B894" s="464"/>
      <c r="C894" s="464"/>
      <c r="D894" s="464"/>
      <c r="E894" s="464"/>
      <c r="F894" s="464"/>
    </row>
    <row r="895" spans="1:6" s="1222" customFormat="1" x14ac:dyDescent="0.25">
      <c r="A895" s="463"/>
      <c r="B895" s="464"/>
      <c r="C895" s="464"/>
      <c r="D895" s="464"/>
      <c r="E895" s="464"/>
      <c r="F895" s="464"/>
    </row>
    <row r="896" spans="1:6" s="1222" customFormat="1" x14ac:dyDescent="0.25">
      <c r="A896" s="463"/>
      <c r="B896" s="464"/>
      <c r="C896" s="464"/>
      <c r="D896" s="464"/>
      <c r="E896" s="464"/>
      <c r="F896" s="464"/>
    </row>
    <row r="897" spans="1:6" s="1222" customFormat="1" x14ac:dyDescent="0.25">
      <c r="A897" s="463"/>
      <c r="B897" s="464"/>
      <c r="C897" s="464"/>
      <c r="D897" s="464"/>
      <c r="E897" s="464"/>
      <c r="F897" s="464"/>
    </row>
    <row r="898" spans="1:6" s="1222" customFormat="1" x14ac:dyDescent="0.25">
      <c r="A898" s="463"/>
      <c r="B898" s="464"/>
      <c r="C898" s="464"/>
      <c r="D898" s="464"/>
      <c r="E898" s="464"/>
      <c r="F898" s="464"/>
    </row>
    <row r="899" spans="1:6" s="1222" customFormat="1" x14ac:dyDescent="0.25">
      <c r="A899" s="463"/>
      <c r="B899" s="464"/>
      <c r="C899" s="464"/>
      <c r="D899" s="464"/>
      <c r="E899" s="464"/>
      <c r="F899" s="464"/>
    </row>
    <row r="900" spans="1:6" s="1222" customFormat="1" x14ac:dyDescent="0.25">
      <c r="A900" s="463"/>
      <c r="B900" s="464"/>
      <c r="C900" s="464"/>
      <c r="D900" s="464"/>
      <c r="E900" s="464"/>
      <c r="F900" s="464"/>
    </row>
    <row r="901" spans="1:6" s="1222" customFormat="1" x14ac:dyDescent="0.25">
      <c r="A901" s="463"/>
      <c r="B901" s="464"/>
      <c r="C901" s="464"/>
      <c r="D901" s="464"/>
      <c r="E901" s="464"/>
      <c r="F901" s="464"/>
    </row>
    <row r="902" spans="1:6" s="1222" customFormat="1" x14ac:dyDescent="0.25">
      <c r="A902" s="463"/>
      <c r="B902" s="464"/>
      <c r="C902" s="464"/>
      <c r="D902" s="464"/>
      <c r="E902" s="464"/>
      <c r="F902" s="464"/>
    </row>
    <row r="903" spans="1:6" s="1222" customFormat="1" x14ac:dyDescent="0.25">
      <c r="A903" s="463"/>
      <c r="B903" s="464"/>
      <c r="C903" s="464"/>
      <c r="D903" s="464"/>
      <c r="E903" s="464"/>
      <c r="F903" s="464"/>
    </row>
    <row r="904" spans="1:6" s="1222" customFormat="1" x14ac:dyDescent="0.25">
      <c r="A904" s="463"/>
      <c r="B904" s="464"/>
      <c r="C904" s="464"/>
      <c r="D904" s="464"/>
      <c r="E904" s="464"/>
      <c r="F904" s="464"/>
    </row>
    <row r="905" spans="1:6" s="1222" customFormat="1" x14ac:dyDescent="0.25">
      <c r="A905" s="463"/>
      <c r="B905" s="464"/>
      <c r="C905" s="464"/>
      <c r="D905" s="464"/>
      <c r="E905" s="464"/>
      <c r="F905" s="464"/>
    </row>
    <row r="906" spans="1:6" s="1222" customFormat="1" x14ac:dyDescent="0.25">
      <c r="A906" s="463"/>
      <c r="B906" s="464"/>
      <c r="C906" s="464"/>
      <c r="D906" s="464"/>
      <c r="E906" s="464"/>
      <c r="F906" s="464"/>
    </row>
    <row r="907" spans="1:6" s="1222" customFormat="1" x14ac:dyDescent="0.25">
      <c r="A907" s="463"/>
      <c r="B907" s="464"/>
      <c r="C907" s="464"/>
      <c r="D907" s="464"/>
      <c r="E907" s="464"/>
      <c r="F907" s="464"/>
    </row>
    <row r="908" spans="1:6" s="1222" customFormat="1" x14ac:dyDescent="0.25">
      <c r="A908" s="463"/>
      <c r="B908" s="464"/>
      <c r="C908" s="464"/>
      <c r="D908" s="464"/>
      <c r="E908" s="464"/>
      <c r="F908" s="464"/>
    </row>
    <row r="909" spans="1:6" s="1222" customFormat="1" x14ac:dyDescent="0.25">
      <c r="A909" s="463"/>
      <c r="B909" s="464"/>
      <c r="C909" s="464"/>
      <c r="D909" s="464"/>
      <c r="E909" s="464"/>
      <c r="F909" s="464"/>
    </row>
    <row r="910" spans="1:6" s="1222" customFormat="1" x14ac:dyDescent="0.25">
      <c r="A910" s="463"/>
      <c r="B910" s="464"/>
      <c r="C910" s="464"/>
      <c r="D910" s="464"/>
      <c r="E910" s="464"/>
      <c r="F910" s="464"/>
    </row>
    <row r="911" spans="1:6" s="1222" customFormat="1" x14ac:dyDescent="0.25">
      <c r="A911" s="463"/>
      <c r="B911" s="464"/>
      <c r="C911" s="464"/>
      <c r="D911" s="464"/>
      <c r="E911" s="464"/>
      <c r="F911" s="464"/>
    </row>
    <row r="912" spans="1:6" s="1222" customFormat="1" x14ac:dyDescent="0.25">
      <c r="A912" s="463"/>
      <c r="B912" s="464"/>
      <c r="C912" s="464"/>
      <c r="D912" s="464"/>
      <c r="E912" s="464"/>
      <c r="F912" s="464"/>
    </row>
    <row r="913" spans="1:6" s="1222" customFormat="1" x14ac:dyDescent="0.25">
      <c r="A913" s="463"/>
      <c r="B913" s="464"/>
      <c r="C913" s="464"/>
      <c r="D913" s="464"/>
      <c r="E913" s="464"/>
      <c r="F913" s="464"/>
    </row>
    <row r="914" spans="1:6" s="1222" customFormat="1" x14ac:dyDescent="0.25">
      <c r="A914" s="463"/>
      <c r="B914" s="464"/>
      <c r="C914" s="464"/>
      <c r="D914" s="464"/>
      <c r="E914" s="464"/>
      <c r="F914" s="464"/>
    </row>
    <row r="915" spans="1:6" s="1222" customFormat="1" x14ac:dyDescent="0.25">
      <c r="A915" s="463"/>
      <c r="B915" s="464"/>
      <c r="C915" s="464"/>
      <c r="D915" s="464"/>
      <c r="E915" s="464"/>
      <c r="F915" s="464"/>
    </row>
    <row r="916" spans="1:6" s="1222" customFormat="1" x14ac:dyDescent="0.25">
      <c r="A916" s="463"/>
      <c r="B916" s="464"/>
      <c r="C916" s="464"/>
      <c r="D916" s="464"/>
      <c r="E916" s="464"/>
      <c r="F916" s="464"/>
    </row>
    <row r="917" spans="1:6" s="1222" customFormat="1" x14ac:dyDescent="0.25">
      <c r="A917" s="463"/>
      <c r="B917" s="464"/>
      <c r="C917" s="464"/>
      <c r="D917" s="464"/>
      <c r="E917" s="464"/>
      <c r="F917" s="464"/>
    </row>
    <row r="918" spans="1:6" s="1222" customFormat="1" x14ac:dyDescent="0.25">
      <c r="A918" s="463"/>
      <c r="B918" s="464"/>
      <c r="C918" s="464"/>
      <c r="D918" s="464"/>
      <c r="E918" s="464"/>
      <c r="F918" s="464"/>
    </row>
    <row r="919" spans="1:6" s="1222" customFormat="1" x14ac:dyDescent="0.25">
      <c r="A919" s="463"/>
      <c r="B919" s="464"/>
      <c r="C919" s="464"/>
      <c r="D919" s="464"/>
      <c r="E919" s="464"/>
      <c r="F919" s="464"/>
    </row>
    <row r="920" spans="1:6" s="1222" customFormat="1" x14ac:dyDescent="0.25">
      <c r="A920" s="463"/>
      <c r="B920" s="464"/>
      <c r="C920" s="464"/>
      <c r="D920" s="464"/>
      <c r="E920" s="464"/>
      <c r="F920" s="464"/>
    </row>
    <row r="921" spans="1:6" s="1222" customFormat="1" x14ac:dyDescent="0.25">
      <c r="A921" s="463"/>
      <c r="B921" s="464"/>
      <c r="C921" s="464"/>
      <c r="D921" s="464"/>
      <c r="E921" s="464"/>
      <c r="F921" s="464"/>
    </row>
    <row r="922" spans="1:6" s="1222" customFormat="1" x14ac:dyDescent="0.25">
      <c r="A922" s="463"/>
      <c r="B922" s="464"/>
      <c r="C922" s="464"/>
      <c r="D922" s="464"/>
      <c r="E922" s="464"/>
      <c r="F922" s="464"/>
    </row>
    <row r="923" spans="1:6" s="1222" customFormat="1" x14ac:dyDescent="0.25">
      <c r="A923" s="463"/>
      <c r="B923" s="464"/>
      <c r="C923" s="464"/>
      <c r="D923" s="464"/>
      <c r="E923" s="464"/>
      <c r="F923" s="464"/>
    </row>
    <row r="924" spans="1:6" s="1222" customFormat="1" x14ac:dyDescent="0.25">
      <c r="A924" s="463"/>
      <c r="B924" s="464"/>
      <c r="C924" s="464"/>
      <c r="D924" s="464"/>
      <c r="E924" s="464"/>
      <c r="F924" s="464"/>
    </row>
    <row r="925" spans="1:6" s="1222" customFormat="1" x14ac:dyDescent="0.25">
      <c r="A925" s="463"/>
      <c r="B925" s="464"/>
      <c r="C925" s="464"/>
      <c r="D925" s="464"/>
      <c r="E925" s="464"/>
      <c r="F925" s="464"/>
    </row>
    <row r="926" spans="1:6" s="1222" customFormat="1" x14ac:dyDescent="0.25">
      <c r="A926" s="463"/>
      <c r="B926" s="464"/>
      <c r="C926" s="464"/>
      <c r="D926" s="464"/>
      <c r="E926" s="464"/>
      <c r="F926" s="464"/>
    </row>
    <row r="927" spans="1:6" s="1222" customFormat="1" x14ac:dyDescent="0.25">
      <c r="A927" s="463"/>
      <c r="B927" s="464"/>
      <c r="C927" s="464"/>
      <c r="D927" s="464"/>
      <c r="E927" s="464"/>
      <c r="F927" s="464"/>
    </row>
    <row r="928" spans="1:6" s="1222" customFormat="1" x14ac:dyDescent="0.25">
      <c r="A928" s="463"/>
      <c r="B928" s="464"/>
      <c r="C928" s="464"/>
      <c r="D928" s="464"/>
      <c r="E928" s="464"/>
      <c r="F928" s="464"/>
    </row>
    <row r="929" spans="1:6" s="1222" customFormat="1" x14ac:dyDescent="0.25">
      <c r="A929" s="463"/>
      <c r="B929" s="464"/>
      <c r="C929" s="464"/>
      <c r="D929" s="464"/>
      <c r="E929" s="464"/>
      <c r="F929" s="464"/>
    </row>
    <row r="930" spans="1:6" s="1222" customFormat="1" x14ac:dyDescent="0.25">
      <c r="A930" s="463"/>
      <c r="B930" s="464"/>
      <c r="C930" s="464"/>
      <c r="D930" s="464"/>
      <c r="E930" s="464"/>
      <c r="F930" s="464"/>
    </row>
    <row r="931" spans="1:6" s="1222" customFormat="1" x14ac:dyDescent="0.25">
      <c r="A931" s="463"/>
      <c r="B931" s="464"/>
      <c r="C931" s="464"/>
      <c r="D931" s="464"/>
      <c r="E931" s="464"/>
      <c r="F931" s="464"/>
    </row>
    <row r="932" spans="1:6" s="1222" customFormat="1" x14ac:dyDescent="0.25">
      <c r="A932" s="463"/>
      <c r="B932" s="464"/>
      <c r="C932" s="464"/>
      <c r="D932" s="464"/>
      <c r="E932" s="464"/>
      <c r="F932" s="464"/>
    </row>
    <row r="933" spans="1:6" s="1222" customFormat="1" x14ac:dyDescent="0.25">
      <c r="A933" s="463"/>
      <c r="B933" s="464"/>
      <c r="C933" s="464"/>
      <c r="D933" s="464"/>
      <c r="E933" s="464"/>
      <c r="F933" s="464"/>
    </row>
    <row r="934" spans="1:6" s="1222" customFormat="1" x14ac:dyDescent="0.25">
      <c r="A934" s="463"/>
      <c r="B934" s="464"/>
      <c r="C934" s="464"/>
      <c r="D934" s="464"/>
      <c r="E934" s="464"/>
      <c r="F934" s="464"/>
    </row>
    <row r="935" spans="1:6" s="1222" customFormat="1" x14ac:dyDescent="0.25">
      <c r="A935" s="463"/>
      <c r="B935" s="464"/>
      <c r="C935" s="464"/>
      <c r="D935" s="464"/>
      <c r="E935" s="464"/>
      <c r="F935" s="464"/>
    </row>
    <row r="936" spans="1:6" s="1222" customFormat="1" x14ac:dyDescent="0.25">
      <c r="A936" s="463"/>
      <c r="B936" s="464"/>
      <c r="C936" s="464"/>
      <c r="D936" s="464"/>
      <c r="E936" s="464"/>
      <c r="F936" s="464"/>
    </row>
    <row r="937" spans="1:6" s="1222" customFormat="1" x14ac:dyDescent="0.25">
      <c r="A937" s="463"/>
      <c r="B937" s="464"/>
      <c r="C937" s="464"/>
      <c r="D937" s="464"/>
      <c r="E937" s="464"/>
      <c r="F937" s="464"/>
    </row>
    <row r="938" spans="1:6" s="1222" customFormat="1" x14ac:dyDescent="0.25">
      <c r="A938" s="463"/>
      <c r="B938" s="464"/>
      <c r="C938" s="464"/>
      <c r="D938" s="464"/>
      <c r="E938" s="464"/>
      <c r="F938" s="464"/>
    </row>
    <row r="939" spans="1:6" s="1222" customFormat="1" x14ac:dyDescent="0.25">
      <c r="A939" s="463"/>
      <c r="B939" s="464"/>
      <c r="C939" s="464"/>
      <c r="D939" s="464"/>
      <c r="E939" s="464"/>
      <c r="F939" s="464"/>
    </row>
    <row r="940" spans="1:6" s="1222" customFormat="1" x14ac:dyDescent="0.25">
      <c r="A940" s="463"/>
      <c r="B940" s="464"/>
      <c r="C940" s="464"/>
      <c r="D940" s="464"/>
      <c r="E940" s="464"/>
      <c r="F940" s="464"/>
    </row>
    <row r="941" spans="1:6" s="1222" customFormat="1" x14ac:dyDescent="0.25">
      <c r="A941" s="463"/>
      <c r="B941" s="464"/>
      <c r="C941" s="464"/>
      <c r="D941" s="464"/>
      <c r="E941" s="464"/>
      <c r="F941" s="464"/>
    </row>
    <row r="942" spans="1:6" s="1222" customFormat="1" x14ac:dyDescent="0.25">
      <c r="A942" s="463"/>
      <c r="B942" s="464"/>
      <c r="C942" s="464"/>
      <c r="D942" s="464"/>
      <c r="E942" s="464"/>
      <c r="F942" s="464"/>
    </row>
    <row r="943" spans="1:6" s="1222" customFormat="1" x14ac:dyDescent="0.25">
      <c r="A943" s="463"/>
      <c r="B943" s="464"/>
      <c r="C943" s="464"/>
      <c r="D943" s="464"/>
      <c r="E943" s="464"/>
      <c r="F943" s="464"/>
    </row>
    <row r="944" spans="1:6" s="1222" customFormat="1" x14ac:dyDescent="0.25">
      <c r="A944" s="463"/>
      <c r="B944" s="464"/>
      <c r="C944" s="464"/>
      <c r="D944" s="464"/>
      <c r="E944" s="464"/>
      <c r="F944" s="464"/>
    </row>
    <row r="945" spans="1:6" s="1222" customFormat="1" x14ac:dyDescent="0.25">
      <c r="A945" s="463"/>
      <c r="B945" s="464"/>
      <c r="C945" s="464"/>
      <c r="D945" s="464"/>
      <c r="E945" s="464"/>
      <c r="F945" s="464"/>
    </row>
    <row r="946" spans="1:6" s="1222" customFormat="1" x14ac:dyDescent="0.25">
      <c r="A946" s="463"/>
      <c r="B946" s="464"/>
      <c r="C946" s="464"/>
      <c r="D946" s="464"/>
      <c r="E946" s="464"/>
      <c r="F946" s="464"/>
    </row>
    <row r="947" spans="1:6" s="1222" customFormat="1" x14ac:dyDescent="0.25">
      <c r="A947" s="463"/>
      <c r="B947" s="464"/>
      <c r="C947" s="464"/>
      <c r="D947" s="464"/>
      <c r="E947" s="464"/>
      <c r="F947" s="464"/>
    </row>
    <row r="948" spans="1:6" s="1222" customFormat="1" x14ac:dyDescent="0.25">
      <c r="A948" s="463"/>
      <c r="B948" s="464"/>
      <c r="C948" s="464"/>
      <c r="D948" s="464"/>
      <c r="E948" s="464"/>
      <c r="F948" s="464"/>
    </row>
    <row r="949" spans="1:6" s="1222" customFormat="1" x14ac:dyDescent="0.25">
      <c r="A949" s="463"/>
      <c r="B949" s="464"/>
      <c r="C949" s="464"/>
      <c r="D949" s="464"/>
      <c r="E949" s="464"/>
      <c r="F949" s="464"/>
    </row>
    <row r="950" spans="1:6" s="1222" customFormat="1" x14ac:dyDescent="0.25">
      <c r="A950" s="463"/>
      <c r="B950" s="464"/>
      <c r="C950" s="464"/>
      <c r="D950" s="464"/>
      <c r="E950" s="464"/>
      <c r="F950" s="464"/>
    </row>
    <row r="951" spans="1:6" s="1222" customFormat="1" x14ac:dyDescent="0.25">
      <c r="A951" s="463"/>
      <c r="B951" s="464"/>
      <c r="C951" s="464"/>
      <c r="D951" s="464"/>
      <c r="E951" s="464"/>
      <c r="F951" s="464"/>
    </row>
    <row r="952" spans="1:6" s="1222" customFormat="1" x14ac:dyDescent="0.25">
      <c r="A952" s="463"/>
      <c r="B952" s="464"/>
      <c r="C952" s="464"/>
      <c r="D952" s="464"/>
      <c r="E952" s="464"/>
      <c r="F952" s="464"/>
    </row>
    <row r="953" spans="1:6" s="1222" customFormat="1" x14ac:dyDescent="0.25">
      <c r="A953" s="463"/>
      <c r="B953" s="464"/>
      <c r="C953" s="464"/>
      <c r="D953" s="464"/>
      <c r="E953" s="464"/>
      <c r="F953" s="464"/>
    </row>
    <row r="954" spans="1:6" s="1222" customFormat="1" x14ac:dyDescent="0.25">
      <c r="A954" s="463"/>
      <c r="B954" s="464"/>
      <c r="C954" s="464"/>
      <c r="D954" s="464"/>
      <c r="E954" s="464"/>
      <c r="F954" s="464"/>
    </row>
    <row r="955" spans="1:6" s="1222" customFormat="1" x14ac:dyDescent="0.25">
      <c r="A955" s="463"/>
      <c r="B955" s="464"/>
      <c r="C955" s="464"/>
      <c r="D955" s="464"/>
      <c r="E955" s="464"/>
      <c r="F955" s="464"/>
    </row>
    <row r="956" spans="1:6" s="1222" customFormat="1" x14ac:dyDescent="0.25">
      <c r="A956" s="463"/>
      <c r="B956" s="464"/>
      <c r="C956" s="464"/>
      <c r="D956" s="464"/>
      <c r="E956" s="464"/>
      <c r="F956" s="464"/>
    </row>
    <row r="957" spans="1:6" s="1222" customFormat="1" x14ac:dyDescent="0.25">
      <c r="A957" s="463"/>
      <c r="B957" s="464"/>
      <c r="C957" s="464"/>
      <c r="D957" s="464"/>
      <c r="E957" s="464"/>
      <c r="F957" s="464"/>
    </row>
    <row r="958" spans="1:6" s="1222" customFormat="1" x14ac:dyDescent="0.25">
      <c r="A958" s="463"/>
      <c r="B958" s="464"/>
      <c r="C958" s="464"/>
      <c r="D958" s="464"/>
      <c r="E958" s="464"/>
      <c r="F958" s="464"/>
    </row>
    <row r="959" spans="1:6" s="1222" customFormat="1" x14ac:dyDescent="0.25">
      <c r="A959" s="463"/>
      <c r="B959" s="464"/>
      <c r="C959" s="464"/>
      <c r="D959" s="464"/>
      <c r="E959" s="464"/>
      <c r="F959" s="464"/>
    </row>
    <row r="960" spans="1:6" s="1222" customFormat="1" x14ac:dyDescent="0.25">
      <c r="A960" s="463"/>
      <c r="B960" s="464"/>
      <c r="C960" s="464"/>
      <c r="D960" s="464"/>
      <c r="E960" s="464"/>
      <c r="F960" s="464"/>
    </row>
    <row r="961" spans="1:6" s="1222" customFormat="1" x14ac:dyDescent="0.25">
      <c r="A961" s="463"/>
      <c r="B961" s="464"/>
      <c r="C961" s="464"/>
      <c r="D961" s="464"/>
      <c r="E961" s="464"/>
      <c r="F961" s="464"/>
    </row>
    <row r="962" spans="1:6" s="1222" customFormat="1" x14ac:dyDescent="0.25">
      <c r="A962" s="463"/>
      <c r="B962" s="464"/>
      <c r="C962" s="464"/>
      <c r="D962" s="464"/>
      <c r="E962" s="464"/>
      <c r="F962" s="464"/>
    </row>
    <row r="963" spans="1:6" s="1222" customFormat="1" x14ac:dyDescent="0.25">
      <c r="A963" s="463"/>
      <c r="B963" s="464"/>
      <c r="C963" s="464"/>
      <c r="D963" s="464"/>
      <c r="E963" s="464"/>
      <c r="F963" s="464"/>
    </row>
    <row r="964" spans="1:6" s="1222" customFormat="1" x14ac:dyDescent="0.25">
      <c r="A964" s="463"/>
      <c r="B964" s="464"/>
      <c r="C964" s="464"/>
      <c r="D964" s="464"/>
      <c r="E964" s="464"/>
      <c r="F964" s="464"/>
    </row>
    <row r="965" spans="1:6" s="1222" customFormat="1" x14ac:dyDescent="0.25">
      <c r="A965" s="463"/>
      <c r="B965" s="464"/>
      <c r="C965" s="464"/>
      <c r="D965" s="464"/>
      <c r="E965" s="464"/>
      <c r="F965" s="464"/>
    </row>
    <row r="966" spans="1:6" s="1222" customFormat="1" x14ac:dyDescent="0.25">
      <c r="A966" s="463"/>
      <c r="B966" s="464"/>
      <c r="C966" s="464"/>
      <c r="D966" s="464"/>
      <c r="E966" s="464"/>
      <c r="F966" s="464"/>
    </row>
    <row r="967" spans="1:6" s="1222" customFormat="1" x14ac:dyDescent="0.25">
      <c r="A967" s="463"/>
      <c r="B967" s="464"/>
      <c r="C967" s="464"/>
      <c r="D967" s="464"/>
      <c r="E967" s="464"/>
      <c r="F967" s="464"/>
    </row>
    <row r="968" spans="1:6" s="1222" customFormat="1" x14ac:dyDescent="0.25">
      <c r="A968" s="463"/>
      <c r="B968" s="464"/>
      <c r="C968" s="464"/>
      <c r="D968" s="464"/>
      <c r="E968" s="464"/>
      <c r="F968" s="464"/>
    </row>
    <row r="969" spans="1:6" s="1222" customFormat="1" x14ac:dyDescent="0.25">
      <c r="A969" s="463"/>
      <c r="B969" s="464"/>
      <c r="C969" s="464"/>
      <c r="D969" s="464"/>
      <c r="E969" s="464"/>
      <c r="F969" s="464"/>
    </row>
    <row r="970" spans="1:6" s="1222" customFormat="1" x14ac:dyDescent="0.25">
      <c r="A970" s="463"/>
      <c r="B970" s="464"/>
      <c r="C970" s="464"/>
      <c r="D970" s="464"/>
      <c r="E970" s="464"/>
      <c r="F970" s="464"/>
    </row>
    <row r="971" spans="1:6" s="1222" customFormat="1" x14ac:dyDescent="0.25">
      <c r="A971" s="463"/>
      <c r="B971" s="464"/>
      <c r="C971" s="464"/>
      <c r="D971" s="464"/>
      <c r="E971" s="464"/>
      <c r="F971" s="464"/>
    </row>
    <row r="972" spans="1:6" s="1222" customFormat="1" x14ac:dyDescent="0.25">
      <c r="A972" s="463"/>
      <c r="B972" s="464"/>
      <c r="C972" s="464"/>
      <c r="D972" s="464"/>
      <c r="E972" s="464"/>
      <c r="F972" s="464"/>
    </row>
    <row r="973" spans="1:6" s="1222" customFormat="1" x14ac:dyDescent="0.25">
      <c r="A973" s="463"/>
      <c r="B973" s="464"/>
      <c r="C973" s="464"/>
      <c r="D973" s="464"/>
      <c r="E973" s="464"/>
      <c r="F973" s="464"/>
    </row>
    <row r="974" spans="1:6" s="1222" customFormat="1" x14ac:dyDescent="0.25">
      <c r="A974" s="463"/>
      <c r="B974" s="464"/>
      <c r="C974" s="464"/>
      <c r="D974" s="464"/>
      <c r="E974" s="464"/>
      <c r="F974" s="464"/>
    </row>
    <row r="975" spans="1:6" s="1222" customFormat="1" x14ac:dyDescent="0.25">
      <c r="A975" s="463"/>
      <c r="B975" s="464"/>
      <c r="C975" s="464"/>
      <c r="D975" s="464"/>
      <c r="E975" s="464"/>
      <c r="F975" s="464"/>
    </row>
    <row r="976" spans="1:6" s="1222" customFormat="1" x14ac:dyDescent="0.25">
      <c r="A976" s="463"/>
      <c r="B976" s="464"/>
      <c r="C976" s="464"/>
      <c r="D976" s="464"/>
      <c r="E976" s="464"/>
      <c r="F976" s="464"/>
    </row>
    <row r="977" spans="1:6" s="1222" customFormat="1" x14ac:dyDescent="0.25">
      <c r="A977" s="463"/>
      <c r="B977" s="464"/>
      <c r="C977" s="464"/>
      <c r="D977" s="464"/>
      <c r="E977" s="464"/>
      <c r="F977" s="464"/>
    </row>
    <row r="978" spans="1:6" s="1222" customFormat="1" x14ac:dyDescent="0.25">
      <c r="A978" s="463"/>
      <c r="B978" s="464"/>
      <c r="C978" s="464"/>
      <c r="D978" s="464"/>
      <c r="E978" s="464"/>
      <c r="F978" s="464"/>
    </row>
    <row r="979" spans="1:6" s="1222" customFormat="1" x14ac:dyDescent="0.25">
      <c r="A979" s="463"/>
      <c r="B979" s="464"/>
      <c r="C979" s="464"/>
      <c r="D979" s="464"/>
      <c r="E979" s="464"/>
      <c r="F979" s="464"/>
    </row>
    <row r="980" spans="1:6" s="1222" customFormat="1" x14ac:dyDescent="0.25">
      <c r="A980" s="463"/>
      <c r="B980" s="464"/>
      <c r="C980" s="464"/>
      <c r="D980" s="464"/>
      <c r="E980" s="464"/>
      <c r="F980" s="464"/>
    </row>
    <row r="981" spans="1:6" s="1222" customFormat="1" x14ac:dyDescent="0.25">
      <c r="A981" s="463"/>
      <c r="B981" s="464"/>
      <c r="C981" s="464"/>
      <c r="D981" s="464"/>
      <c r="E981" s="464"/>
      <c r="F981" s="464"/>
    </row>
    <row r="982" spans="1:6" s="1222" customFormat="1" x14ac:dyDescent="0.25">
      <c r="A982" s="463"/>
      <c r="B982" s="464"/>
      <c r="C982" s="464"/>
      <c r="D982" s="464"/>
      <c r="E982" s="464"/>
      <c r="F982" s="464"/>
    </row>
    <row r="983" spans="1:6" s="1222" customFormat="1" x14ac:dyDescent="0.25">
      <c r="A983" s="463"/>
      <c r="B983" s="464"/>
      <c r="C983" s="464"/>
      <c r="D983" s="464"/>
      <c r="E983" s="464"/>
      <c r="F983" s="464"/>
    </row>
    <row r="984" spans="1:6" s="1222" customFormat="1" x14ac:dyDescent="0.25">
      <c r="A984" s="463"/>
      <c r="B984" s="464"/>
      <c r="C984" s="464"/>
      <c r="D984" s="464"/>
      <c r="E984" s="464"/>
      <c r="F984" s="464"/>
    </row>
    <row r="985" spans="1:6" s="1222" customFormat="1" x14ac:dyDescent="0.25">
      <c r="A985" s="463"/>
      <c r="B985" s="464"/>
      <c r="C985" s="464"/>
      <c r="D985" s="464"/>
      <c r="E985" s="464"/>
      <c r="F985" s="464"/>
    </row>
    <row r="986" spans="1:6" s="1222" customFormat="1" x14ac:dyDescent="0.25">
      <c r="A986" s="463"/>
      <c r="B986" s="464"/>
      <c r="C986" s="464"/>
      <c r="D986" s="464"/>
      <c r="E986" s="464"/>
      <c r="F986" s="464"/>
    </row>
    <row r="987" spans="1:6" s="1222" customFormat="1" x14ac:dyDescent="0.25">
      <c r="A987" s="463"/>
      <c r="B987" s="464"/>
      <c r="C987" s="464"/>
      <c r="D987" s="464"/>
      <c r="E987" s="464"/>
      <c r="F987" s="464"/>
    </row>
    <row r="988" spans="1:6" s="1222" customFormat="1" x14ac:dyDescent="0.25">
      <c r="A988" s="463"/>
      <c r="B988" s="464"/>
      <c r="C988" s="464"/>
      <c r="D988" s="464"/>
      <c r="E988" s="464"/>
      <c r="F988" s="464"/>
    </row>
    <row r="989" spans="1:6" s="1222" customFormat="1" x14ac:dyDescent="0.25">
      <c r="A989" s="463"/>
      <c r="B989" s="464"/>
      <c r="C989" s="464"/>
      <c r="D989" s="464"/>
      <c r="E989" s="464"/>
      <c r="F989" s="464"/>
    </row>
    <row r="990" spans="1:6" s="1222" customFormat="1" x14ac:dyDescent="0.25">
      <c r="A990" s="463"/>
      <c r="B990" s="464"/>
      <c r="C990" s="464"/>
      <c r="D990" s="464"/>
      <c r="E990" s="464"/>
      <c r="F990" s="464"/>
    </row>
    <row r="991" spans="1:6" s="1222" customFormat="1" x14ac:dyDescent="0.25">
      <c r="A991" s="463"/>
      <c r="B991" s="464"/>
      <c r="C991" s="464"/>
      <c r="D991" s="464"/>
      <c r="E991" s="464"/>
      <c r="F991" s="464"/>
    </row>
    <row r="992" spans="1:6" s="1222" customFormat="1" x14ac:dyDescent="0.25">
      <c r="A992" s="463"/>
      <c r="B992" s="464"/>
      <c r="C992" s="464"/>
      <c r="D992" s="464"/>
      <c r="E992" s="464"/>
      <c r="F992" s="464"/>
    </row>
    <row r="993" spans="1:6" s="1222" customFormat="1" x14ac:dyDescent="0.25">
      <c r="A993" s="463"/>
      <c r="B993" s="464"/>
      <c r="C993" s="464"/>
      <c r="D993" s="464"/>
      <c r="E993" s="464"/>
      <c r="F993" s="464"/>
    </row>
    <row r="994" spans="1:6" s="1222" customFormat="1" x14ac:dyDescent="0.25">
      <c r="A994" s="463"/>
      <c r="B994" s="464"/>
      <c r="C994" s="464"/>
      <c r="D994" s="464"/>
      <c r="E994" s="464"/>
      <c r="F994" s="464"/>
    </row>
    <row r="995" spans="1:6" s="1222" customFormat="1" x14ac:dyDescent="0.25">
      <c r="A995" s="463"/>
      <c r="B995" s="464"/>
      <c r="C995" s="464"/>
      <c r="D995" s="464"/>
      <c r="E995" s="464"/>
      <c r="F995" s="464"/>
    </row>
    <row r="996" spans="1:6" s="1222" customFormat="1" x14ac:dyDescent="0.25">
      <c r="A996" s="463"/>
      <c r="B996" s="464"/>
      <c r="C996" s="464"/>
      <c r="D996" s="464"/>
      <c r="E996" s="464"/>
      <c r="F996" s="464"/>
    </row>
    <row r="997" spans="1:6" s="1222" customFormat="1" x14ac:dyDescent="0.25">
      <c r="A997" s="463"/>
      <c r="B997" s="464"/>
      <c r="C997" s="464"/>
      <c r="D997" s="464"/>
      <c r="E997" s="464"/>
      <c r="F997" s="464"/>
    </row>
    <row r="998" spans="1:6" s="1222" customFormat="1" x14ac:dyDescent="0.25">
      <c r="A998" s="463"/>
      <c r="B998" s="464"/>
      <c r="C998" s="464"/>
      <c r="D998" s="464"/>
      <c r="E998" s="464"/>
      <c r="F998" s="464"/>
    </row>
    <row r="999" spans="1:6" s="1222" customFormat="1" x14ac:dyDescent="0.25">
      <c r="A999" s="463"/>
      <c r="B999" s="464"/>
      <c r="C999" s="464"/>
      <c r="D999" s="464"/>
      <c r="E999" s="464"/>
      <c r="F999" s="464"/>
    </row>
    <row r="1000" spans="1:6" s="1222" customFormat="1" x14ac:dyDescent="0.25">
      <c r="A1000" s="463"/>
      <c r="B1000" s="464"/>
      <c r="C1000" s="464"/>
      <c r="D1000" s="464"/>
      <c r="E1000" s="464"/>
      <c r="F1000" s="464"/>
    </row>
    <row r="1001" spans="1:6" s="1222" customFormat="1" x14ac:dyDescent="0.25">
      <c r="A1001" s="463"/>
      <c r="B1001" s="464"/>
      <c r="C1001" s="464"/>
      <c r="D1001" s="464"/>
      <c r="E1001" s="464"/>
      <c r="F1001" s="464"/>
    </row>
    <row r="1002" spans="1:6" s="1222" customFormat="1" x14ac:dyDescent="0.25">
      <c r="A1002" s="463"/>
      <c r="B1002" s="464"/>
      <c r="C1002" s="464"/>
      <c r="D1002" s="464"/>
      <c r="E1002" s="464"/>
      <c r="F1002" s="464"/>
    </row>
    <row r="1003" spans="1:6" s="1222" customFormat="1" x14ac:dyDescent="0.25">
      <c r="A1003" s="463"/>
      <c r="B1003" s="464"/>
      <c r="C1003" s="464"/>
      <c r="D1003" s="464"/>
      <c r="E1003" s="464"/>
      <c r="F1003" s="464"/>
    </row>
    <row r="1004" spans="1:6" s="1222" customFormat="1" x14ac:dyDescent="0.25">
      <c r="A1004" s="463"/>
      <c r="B1004" s="464"/>
      <c r="C1004" s="464"/>
      <c r="D1004" s="464"/>
      <c r="E1004" s="464"/>
      <c r="F1004" s="464"/>
    </row>
    <row r="1005" spans="1:6" s="1222" customFormat="1" x14ac:dyDescent="0.25">
      <c r="A1005" s="463"/>
      <c r="B1005" s="464"/>
      <c r="C1005" s="464"/>
      <c r="D1005" s="464"/>
      <c r="E1005" s="464"/>
      <c r="F1005" s="464"/>
    </row>
    <row r="1006" spans="1:6" s="1222" customFormat="1" x14ac:dyDescent="0.25">
      <c r="A1006" s="463"/>
      <c r="B1006" s="464"/>
      <c r="C1006" s="464"/>
      <c r="D1006" s="464"/>
      <c r="E1006" s="464"/>
      <c r="F1006" s="464"/>
    </row>
    <row r="1007" spans="1:6" s="1222" customFormat="1" x14ac:dyDescent="0.25">
      <c r="A1007" s="463"/>
      <c r="B1007" s="464"/>
      <c r="C1007" s="464"/>
      <c r="D1007" s="464"/>
      <c r="E1007" s="464"/>
      <c r="F1007" s="464"/>
    </row>
    <row r="1008" spans="1:6" s="1222" customFormat="1" x14ac:dyDescent="0.25">
      <c r="A1008" s="463"/>
      <c r="B1008" s="464"/>
      <c r="C1008" s="464"/>
      <c r="D1008" s="464"/>
      <c r="E1008" s="464"/>
      <c r="F1008" s="464"/>
    </row>
    <row r="1009" spans="1:6" s="1222" customFormat="1" x14ac:dyDescent="0.25">
      <c r="A1009" s="463"/>
      <c r="B1009" s="464"/>
      <c r="C1009" s="464"/>
      <c r="D1009" s="464"/>
      <c r="E1009" s="464"/>
      <c r="F1009" s="464"/>
    </row>
    <row r="1010" spans="1:6" s="1222" customFormat="1" x14ac:dyDescent="0.25">
      <c r="A1010" s="463"/>
      <c r="B1010" s="464"/>
      <c r="C1010" s="464"/>
      <c r="D1010" s="464"/>
      <c r="E1010" s="464"/>
      <c r="F1010" s="464"/>
    </row>
    <row r="1011" spans="1:6" s="1222" customFormat="1" x14ac:dyDescent="0.25">
      <c r="A1011" s="463"/>
      <c r="B1011" s="464"/>
      <c r="C1011" s="464"/>
      <c r="D1011" s="464"/>
      <c r="E1011" s="464"/>
      <c r="F1011" s="464"/>
    </row>
    <row r="1012" spans="1:6" s="1222" customFormat="1" x14ac:dyDescent="0.25">
      <c r="A1012" s="463"/>
      <c r="B1012" s="464"/>
      <c r="C1012" s="464"/>
      <c r="D1012" s="464"/>
      <c r="E1012" s="464"/>
      <c r="F1012" s="464"/>
    </row>
    <row r="1013" spans="1:6" s="1222" customFormat="1" x14ac:dyDescent="0.25">
      <c r="A1013" s="463"/>
      <c r="B1013" s="464"/>
      <c r="C1013" s="464"/>
      <c r="D1013" s="464"/>
      <c r="E1013" s="464"/>
      <c r="F1013" s="464"/>
    </row>
    <row r="1014" spans="1:6" s="1222" customFormat="1" x14ac:dyDescent="0.25">
      <c r="A1014" s="463"/>
      <c r="B1014" s="464"/>
      <c r="C1014" s="464"/>
      <c r="D1014" s="464"/>
      <c r="E1014" s="464"/>
      <c r="F1014" s="464"/>
    </row>
    <row r="1015" spans="1:6" s="1222" customFormat="1" x14ac:dyDescent="0.25">
      <c r="A1015" s="463"/>
      <c r="B1015" s="464"/>
      <c r="C1015" s="464"/>
      <c r="D1015" s="464"/>
      <c r="E1015" s="464"/>
      <c r="F1015" s="464"/>
    </row>
    <row r="1016" spans="1:6" s="1222" customFormat="1" x14ac:dyDescent="0.25">
      <c r="A1016" s="463"/>
      <c r="B1016" s="464"/>
      <c r="C1016" s="464"/>
      <c r="D1016" s="464"/>
      <c r="E1016" s="464"/>
      <c r="F1016" s="464"/>
    </row>
    <row r="1017" spans="1:6" s="1222" customFormat="1" x14ac:dyDescent="0.25">
      <c r="A1017" s="463"/>
      <c r="B1017" s="464"/>
      <c r="C1017" s="464"/>
      <c r="D1017" s="464"/>
      <c r="E1017" s="464"/>
      <c r="F1017" s="464"/>
    </row>
    <row r="1018" spans="1:6" s="1222" customFormat="1" x14ac:dyDescent="0.25">
      <c r="A1018" s="463"/>
      <c r="B1018" s="464"/>
      <c r="C1018" s="464"/>
      <c r="D1018" s="464"/>
      <c r="E1018" s="464"/>
      <c r="F1018" s="464"/>
    </row>
    <row r="1019" spans="1:6" s="1222" customFormat="1" x14ac:dyDescent="0.25">
      <c r="A1019" s="463"/>
      <c r="B1019" s="464"/>
      <c r="C1019" s="464"/>
      <c r="D1019" s="464"/>
      <c r="E1019" s="464"/>
      <c r="F1019" s="464"/>
    </row>
    <row r="1020" spans="1:6" s="1222" customFormat="1" x14ac:dyDescent="0.25">
      <c r="A1020" s="463"/>
      <c r="B1020" s="464"/>
      <c r="C1020" s="464"/>
      <c r="D1020" s="464"/>
      <c r="E1020" s="464"/>
      <c r="F1020" s="464"/>
    </row>
    <row r="1021" spans="1:6" s="1222" customFormat="1" x14ac:dyDescent="0.25">
      <c r="A1021" s="463"/>
      <c r="B1021" s="464"/>
      <c r="C1021" s="464"/>
      <c r="D1021" s="464"/>
      <c r="E1021" s="464"/>
      <c r="F1021" s="464"/>
    </row>
    <row r="1022" spans="1:6" s="1222" customFormat="1" x14ac:dyDescent="0.25">
      <c r="A1022" s="463"/>
      <c r="B1022" s="464"/>
      <c r="C1022" s="464"/>
      <c r="D1022" s="464"/>
      <c r="E1022" s="464"/>
      <c r="F1022" s="464"/>
    </row>
    <row r="1023" spans="1:6" s="1222" customFormat="1" x14ac:dyDescent="0.25">
      <c r="A1023" s="463"/>
      <c r="B1023" s="464"/>
      <c r="C1023" s="464"/>
      <c r="D1023" s="464"/>
      <c r="E1023" s="464"/>
      <c r="F1023" s="464"/>
    </row>
    <row r="1024" spans="1:6" s="1222" customFormat="1" x14ac:dyDescent="0.25">
      <c r="A1024" s="463"/>
      <c r="B1024" s="464"/>
      <c r="C1024" s="464"/>
      <c r="D1024" s="464"/>
      <c r="E1024" s="464"/>
      <c r="F1024" s="464"/>
    </row>
    <row r="1025" spans="1:6" s="1222" customFormat="1" x14ac:dyDescent="0.25">
      <c r="A1025" s="463"/>
      <c r="B1025" s="464"/>
      <c r="C1025" s="464"/>
      <c r="D1025" s="464"/>
      <c r="E1025" s="464"/>
      <c r="F1025" s="464"/>
    </row>
    <row r="1026" spans="1:6" s="1222" customFormat="1" x14ac:dyDescent="0.25">
      <c r="A1026" s="463"/>
      <c r="B1026" s="464"/>
      <c r="C1026" s="464"/>
      <c r="D1026" s="464"/>
      <c r="E1026" s="464"/>
      <c r="F1026" s="464"/>
    </row>
    <row r="1027" spans="1:6" s="1222" customFormat="1" x14ac:dyDescent="0.25">
      <c r="A1027" s="463"/>
      <c r="B1027" s="464"/>
      <c r="C1027" s="464"/>
      <c r="D1027" s="464"/>
      <c r="E1027" s="464"/>
      <c r="F1027" s="464"/>
    </row>
    <row r="1028" spans="1:6" s="1222" customFormat="1" x14ac:dyDescent="0.25">
      <c r="A1028" s="463"/>
      <c r="B1028" s="464"/>
      <c r="C1028" s="464"/>
      <c r="D1028" s="464"/>
      <c r="E1028" s="464"/>
      <c r="F1028" s="464"/>
    </row>
    <row r="1029" spans="1:6" s="1222" customFormat="1" x14ac:dyDescent="0.25">
      <c r="A1029" s="463"/>
      <c r="B1029" s="464"/>
      <c r="C1029" s="464"/>
      <c r="D1029" s="464"/>
      <c r="E1029" s="464"/>
      <c r="F1029" s="464"/>
    </row>
    <row r="1030" spans="1:6" s="1222" customFormat="1" x14ac:dyDescent="0.25">
      <c r="A1030" s="463"/>
      <c r="B1030" s="464"/>
      <c r="C1030" s="464"/>
      <c r="D1030" s="464"/>
      <c r="E1030" s="464"/>
      <c r="F1030" s="464"/>
    </row>
    <row r="1031" spans="1:6" s="1222" customFormat="1" x14ac:dyDescent="0.25">
      <c r="A1031" s="463"/>
      <c r="B1031" s="464"/>
      <c r="C1031" s="464"/>
      <c r="D1031" s="464"/>
      <c r="E1031" s="464"/>
      <c r="F1031" s="464"/>
    </row>
    <row r="1032" spans="1:6" s="1222" customFormat="1" x14ac:dyDescent="0.25">
      <c r="A1032" s="463"/>
      <c r="B1032" s="464"/>
      <c r="C1032" s="464"/>
      <c r="D1032" s="464"/>
      <c r="E1032" s="464"/>
      <c r="F1032" s="464"/>
    </row>
    <row r="1033" spans="1:6" s="1222" customFormat="1" x14ac:dyDescent="0.25">
      <c r="A1033" s="463"/>
      <c r="B1033" s="464"/>
      <c r="C1033" s="464"/>
      <c r="D1033" s="464"/>
      <c r="E1033" s="464"/>
      <c r="F1033" s="464"/>
    </row>
    <row r="1034" spans="1:6" s="1222" customFormat="1" x14ac:dyDescent="0.25">
      <c r="A1034" s="463"/>
      <c r="B1034" s="464"/>
      <c r="C1034" s="464"/>
      <c r="D1034" s="464"/>
      <c r="E1034" s="464"/>
      <c r="F1034" s="464"/>
    </row>
    <row r="1035" spans="1:6" s="1222" customFormat="1" x14ac:dyDescent="0.25">
      <c r="A1035" s="463"/>
      <c r="B1035" s="464"/>
      <c r="C1035" s="464"/>
      <c r="D1035" s="464"/>
      <c r="E1035" s="464"/>
      <c r="F1035" s="464"/>
    </row>
    <row r="1036" spans="1:6" s="1222" customFormat="1" x14ac:dyDescent="0.25">
      <c r="A1036" s="463"/>
      <c r="B1036" s="464"/>
      <c r="C1036" s="464"/>
      <c r="D1036" s="464"/>
      <c r="E1036" s="464"/>
      <c r="F1036" s="464"/>
    </row>
    <row r="1037" spans="1:6" s="1222" customFormat="1" x14ac:dyDescent="0.25">
      <c r="A1037" s="463"/>
      <c r="B1037" s="464"/>
      <c r="C1037" s="464"/>
      <c r="D1037" s="464"/>
      <c r="E1037" s="464"/>
      <c r="F1037" s="464"/>
    </row>
    <row r="1038" spans="1:6" s="1222" customFormat="1" x14ac:dyDescent="0.25">
      <c r="A1038" s="463"/>
      <c r="B1038" s="464"/>
      <c r="C1038" s="464"/>
      <c r="D1038" s="464"/>
      <c r="E1038" s="464"/>
      <c r="F1038" s="464"/>
    </row>
    <row r="1039" spans="1:6" s="1222" customFormat="1" x14ac:dyDescent="0.25">
      <c r="A1039" s="463"/>
      <c r="B1039" s="464"/>
      <c r="C1039" s="464"/>
      <c r="D1039" s="464"/>
      <c r="E1039" s="464"/>
      <c r="F1039" s="464"/>
    </row>
    <row r="1040" spans="1:6" s="1222" customFormat="1" x14ac:dyDescent="0.25">
      <c r="A1040" s="463"/>
      <c r="B1040" s="464"/>
      <c r="C1040" s="464"/>
      <c r="D1040" s="464"/>
      <c r="E1040" s="464"/>
      <c r="F1040" s="464"/>
    </row>
    <row r="1041" spans="1:6" s="1222" customFormat="1" x14ac:dyDescent="0.25">
      <c r="A1041" s="463"/>
      <c r="B1041" s="464"/>
      <c r="C1041" s="464"/>
      <c r="D1041" s="464"/>
      <c r="E1041" s="464"/>
      <c r="F1041" s="464"/>
    </row>
    <row r="1042" spans="1:6" s="1222" customFormat="1" x14ac:dyDescent="0.25">
      <c r="A1042" s="463"/>
      <c r="B1042" s="464"/>
      <c r="C1042" s="464"/>
      <c r="D1042" s="464"/>
      <c r="E1042" s="464"/>
      <c r="F1042" s="464"/>
    </row>
    <row r="1043" spans="1:6" s="1222" customFormat="1" x14ac:dyDescent="0.25">
      <c r="A1043" s="463"/>
      <c r="B1043" s="464"/>
      <c r="C1043" s="464"/>
      <c r="D1043" s="464"/>
      <c r="E1043" s="464"/>
      <c r="F1043" s="464"/>
    </row>
    <row r="1044" spans="1:6" s="1222" customFormat="1" x14ac:dyDescent="0.25">
      <c r="A1044" s="463"/>
      <c r="B1044" s="464"/>
      <c r="C1044" s="464"/>
      <c r="D1044" s="464"/>
      <c r="E1044" s="464"/>
      <c r="F1044" s="464"/>
    </row>
    <row r="1045" spans="1:6" s="1222" customFormat="1" x14ac:dyDescent="0.25">
      <c r="A1045" s="463"/>
      <c r="B1045" s="464"/>
      <c r="C1045" s="464"/>
      <c r="D1045" s="464"/>
      <c r="E1045" s="464"/>
      <c r="F1045" s="464"/>
    </row>
    <row r="1046" spans="1:6" s="1222" customFormat="1" x14ac:dyDescent="0.25">
      <c r="A1046" s="463"/>
      <c r="B1046" s="464"/>
      <c r="C1046" s="464"/>
      <c r="D1046" s="464"/>
      <c r="E1046" s="464"/>
      <c r="F1046" s="464"/>
    </row>
    <row r="1047" spans="1:6" s="1222" customFormat="1" x14ac:dyDescent="0.25">
      <c r="A1047" s="463"/>
      <c r="B1047" s="464"/>
      <c r="C1047" s="464"/>
      <c r="D1047" s="464"/>
      <c r="E1047" s="464"/>
      <c r="F1047" s="464"/>
    </row>
    <row r="1048" spans="1:6" s="1222" customFormat="1" x14ac:dyDescent="0.25">
      <c r="A1048" s="463"/>
      <c r="B1048" s="464"/>
      <c r="C1048" s="464"/>
      <c r="D1048" s="464"/>
      <c r="E1048" s="464"/>
      <c r="F1048" s="464"/>
    </row>
    <row r="1049" spans="1:6" s="1222" customFormat="1" x14ac:dyDescent="0.25">
      <c r="A1049" s="463"/>
      <c r="B1049" s="464"/>
      <c r="C1049" s="464"/>
      <c r="D1049" s="464"/>
      <c r="E1049" s="464"/>
      <c r="F1049" s="464"/>
    </row>
    <row r="1050" spans="1:6" s="1222" customFormat="1" x14ac:dyDescent="0.25">
      <c r="A1050" s="463"/>
      <c r="B1050" s="464"/>
      <c r="C1050" s="464"/>
      <c r="D1050" s="464"/>
      <c r="E1050" s="464"/>
      <c r="F1050" s="464"/>
    </row>
    <row r="1051" spans="1:6" s="1222" customFormat="1" x14ac:dyDescent="0.25">
      <c r="A1051" s="463"/>
      <c r="B1051" s="464"/>
      <c r="C1051" s="464"/>
      <c r="D1051" s="464"/>
      <c r="E1051" s="464"/>
      <c r="F1051" s="464"/>
    </row>
    <row r="1052" spans="1:6" s="1222" customFormat="1" x14ac:dyDescent="0.25">
      <c r="A1052" s="463"/>
      <c r="B1052" s="464"/>
      <c r="C1052" s="464"/>
      <c r="D1052" s="464"/>
      <c r="E1052" s="464"/>
      <c r="F1052" s="464"/>
    </row>
    <row r="1053" spans="1:6" s="1222" customFormat="1" x14ac:dyDescent="0.25">
      <c r="A1053" s="463"/>
      <c r="B1053" s="464"/>
      <c r="C1053" s="464"/>
      <c r="D1053" s="464"/>
      <c r="E1053" s="464"/>
      <c r="F1053" s="464"/>
    </row>
    <row r="1054" spans="1:6" s="1222" customFormat="1" x14ac:dyDescent="0.25">
      <c r="A1054" s="463"/>
      <c r="B1054" s="464"/>
      <c r="C1054" s="464"/>
      <c r="D1054" s="464"/>
      <c r="E1054" s="464"/>
      <c r="F1054" s="464"/>
    </row>
    <row r="1055" spans="1:6" s="1222" customFormat="1" x14ac:dyDescent="0.25">
      <c r="A1055" s="463"/>
      <c r="B1055" s="464"/>
      <c r="C1055" s="464"/>
      <c r="D1055" s="464"/>
      <c r="E1055" s="464"/>
      <c r="F1055" s="464"/>
    </row>
    <row r="1056" spans="1:6" s="1222" customFormat="1" x14ac:dyDescent="0.25">
      <c r="A1056" s="463"/>
      <c r="B1056" s="464"/>
      <c r="C1056" s="464"/>
      <c r="D1056" s="464"/>
      <c r="E1056" s="464"/>
      <c r="F1056" s="464"/>
    </row>
    <row r="1057" spans="1:6" s="1222" customFormat="1" x14ac:dyDescent="0.25">
      <c r="A1057" s="463"/>
      <c r="B1057" s="464"/>
      <c r="C1057" s="464"/>
      <c r="D1057" s="464"/>
      <c r="E1057" s="464"/>
      <c r="F1057" s="464"/>
    </row>
    <row r="1058" spans="1:6" s="1222" customFormat="1" x14ac:dyDescent="0.25">
      <c r="A1058" s="463"/>
      <c r="B1058" s="464"/>
      <c r="C1058" s="464"/>
      <c r="D1058" s="464"/>
      <c r="E1058" s="464"/>
      <c r="F1058" s="464"/>
    </row>
    <row r="1059" spans="1:6" s="1222" customFormat="1" x14ac:dyDescent="0.25">
      <c r="A1059" s="463"/>
      <c r="B1059" s="464"/>
      <c r="C1059" s="464"/>
      <c r="D1059" s="464"/>
      <c r="E1059" s="464"/>
      <c r="F1059" s="464"/>
    </row>
    <row r="1060" spans="1:6" s="1222" customFormat="1" x14ac:dyDescent="0.25">
      <c r="A1060" s="463"/>
      <c r="B1060" s="464"/>
      <c r="C1060" s="464"/>
      <c r="D1060" s="464"/>
      <c r="E1060" s="464"/>
      <c r="F1060" s="464"/>
    </row>
    <row r="1061" spans="1:6" s="1222" customFormat="1" x14ac:dyDescent="0.25">
      <c r="A1061" s="463"/>
      <c r="B1061" s="464"/>
      <c r="C1061" s="464"/>
      <c r="D1061" s="464"/>
      <c r="E1061" s="464"/>
      <c r="F1061" s="464"/>
    </row>
    <row r="1062" spans="1:6" s="1222" customFormat="1" x14ac:dyDescent="0.25">
      <c r="A1062" s="463"/>
      <c r="B1062" s="464"/>
      <c r="C1062" s="464"/>
      <c r="D1062" s="464"/>
      <c r="E1062" s="464"/>
      <c r="F1062" s="464"/>
    </row>
    <row r="1063" spans="1:6" s="1222" customFormat="1" x14ac:dyDescent="0.25">
      <c r="A1063" s="463"/>
      <c r="B1063" s="464"/>
      <c r="C1063" s="464"/>
      <c r="D1063" s="464"/>
      <c r="E1063" s="464"/>
      <c r="F1063" s="464"/>
    </row>
    <row r="1064" spans="1:6" s="1222" customFormat="1" x14ac:dyDescent="0.25">
      <c r="A1064" s="463"/>
      <c r="B1064" s="464"/>
      <c r="C1064" s="464"/>
      <c r="D1064" s="464"/>
      <c r="E1064" s="464"/>
      <c r="F1064" s="464"/>
    </row>
    <row r="1065" spans="1:6" s="1222" customFormat="1" x14ac:dyDescent="0.25">
      <c r="A1065" s="463"/>
      <c r="B1065" s="464"/>
      <c r="C1065" s="464"/>
      <c r="D1065" s="464"/>
      <c r="E1065" s="464"/>
      <c r="F1065" s="464"/>
    </row>
    <row r="1066" spans="1:6" s="1222" customFormat="1" x14ac:dyDescent="0.25">
      <c r="A1066" s="463"/>
      <c r="B1066" s="464"/>
      <c r="C1066" s="464"/>
      <c r="D1066" s="464"/>
      <c r="E1066" s="464"/>
      <c r="F1066" s="464"/>
    </row>
    <row r="1067" spans="1:6" s="1222" customFormat="1" x14ac:dyDescent="0.25">
      <c r="A1067" s="463"/>
      <c r="B1067" s="464"/>
      <c r="C1067" s="464"/>
      <c r="D1067" s="464"/>
      <c r="E1067" s="464"/>
      <c r="F1067" s="464"/>
    </row>
    <row r="1068" spans="1:6" s="1222" customFormat="1" x14ac:dyDescent="0.25">
      <c r="A1068" s="463"/>
      <c r="B1068" s="464"/>
      <c r="C1068" s="464"/>
      <c r="D1068" s="464"/>
      <c r="E1068" s="464"/>
      <c r="F1068" s="464"/>
    </row>
    <row r="1069" spans="1:6" s="1222" customFormat="1" x14ac:dyDescent="0.25">
      <c r="A1069" s="463"/>
      <c r="B1069" s="464"/>
      <c r="C1069" s="464"/>
      <c r="D1069" s="464"/>
      <c r="E1069" s="464"/>
      <c r="F1069" s="464"/>
    </row>
    <row r="1070" spans="1:6" s="1222" customFormat="1" x14ac:dyDescent="0.25">
      <c r="A1070" s="463"/>
      <c r="B1070" s="464"/>
      <c r="C1070" s="464"/>
      <c r="D1070" s="464"/>
      <c r="E1070" s="464"/>
      <c r="F1070" s="464"/>
    </row>
    <row r="1071" spans="1:6" s="1222" customFormat="1" x14ac:dyDescent="0.25">
      <c r="A1071" s="463"/>
      <c r="B1071" s="464"/>
      <c r="C1071" s="464"/>
      <c r="D1071" s="464"/>
      <c r="E1071" s="464"/>
      <c r="F1071" s="464"/>
    </row>
    <row r="1072" spans="1:6" s="1222" customFormat="1" x14ac:dyDescent="0.25">
      <c r="A1072" s="463"/>
      <c r="B1072" s="464"/>
      <c r="C1072" s="464"/>
      <c r="D1072" s="464"/>
      <c r="E1072" s="464"/>
      <c r="F1072" s="464"/>
    </row>
    <row r="1073" spans="1:6" s="1222" customFormat="1" x14ac:dyDescent="0.25">
      <c r="A1073" s="463"/>
      <c r="B1073" s="464"/>
      <c r="C1073" s="464"/>
      <c r="D1073" s="464"/>
      <c r="E1073" s="464"/>
      <c r="F1073" s="464"/>
    </row>
    <row r="1074" spans="1:6" s="1222" customFormat="1" x14ac:dyDescent="0.25">
      <c r="A1074" s="463"/>
      <c r="B1074" s="464"/>
      <c r="C1074" s="464"/>
      <c r="D1074" s="464"/>
      <c r="E1074" s="464"/>
      <c r="F1074" s="464"/>
    </row>
    <row r="1075" spans="1:6" s="1222" customFormat="1" x14ac:dyDescent="0.25">
      <c r="A1075" s="463"/>
      <c r="B1075" s="464"/>
      <c r="C1075" s="464"/>
      <c r="D1075" s="464"/>
      <c r="E1075" s="464"/>
      <c r="F1075" s="464"/>
    </row>
    <row r="1076" spans="1:6" s="1222" customFormat="1" x14ac:dyDescent="0.25">
      <c r="A1076" s="463"/>
      <c r="B1076" s="464"/>
      <c r="C1076" s="464"/>
      <c r="D1076" s="464"/>
      <c r="E1076" s="464"/>
      <c r="F1076" s="464"/>
    </row>
    <row r="1077" spans="1:6" s="1222" customFormat="1" x14ac:dyDescent="0.25">
      <c r="A1077" s="463"/>
      <c r="B1077" s="464"/>
      <c r="C1077" s="464"/>
      <c r="D1077" s="464"/>
      <c r="E1077" s="464"/>
      <c r="F1077" s="464"/>
    </row>
    <row r="1078" spans="1:6" s="1222" customFormat="1" x14ac:dyDescent="0.25">
      <c r="A1078" s="463"/>
      <c r="B1078" s="464"/>
      <c r="C1078" s="464"/>
      <c r="D1078" s="464"/>
      <c r="E1078" s="464"/>
      <c r="F1078" s="464"/>
    </row>
    <row r="1079" spans="1:6" s="1222" customFormat="1" x14ac:dyDescent="0.25">
      <c r="A1079" s="463"/>
      <c r="B1079" s="464"/>
      <c r="C1079" s="464"/>
      <c r="D1079" s="464"/>
      <c r="E1079" s="464"/>
      <c r="F1079" s="464"/>
    </row>
    <row r="1080" spans="1:6" s="1222" customFormat="1" x14ac:dyDescent="0.25">
      <c r="A1080" s="463"/>
      <c r="B1080" s="464"/>
      <c r="C1080" s="464"/>
      <c r="D1080" s="464"/>
      <c r="E1080" s="464"/>
      <c r="F1080" s="464"/>
    </row>
    <row r="1081" spans="1:6" s="1222" customFormat="1" x14ac:dyDescent="0.25">
      <c r="A1081" s="463"/>
      <c r="B1081" s="464"/>
      <c r="C1081" s="464"/>
      <c r="D1081" s="464"/>
      <c r="E1081" s="464"/>
      <c r="F1081" s="464"/>
    </row>
    <row r="1082" spans="1:6" s="1222" customFormat="1" x14ac:dyDescent="0.25">
      <c r="A1082" s="463"/>
      <c r="B1082" s="464"/>
      <c r="C1082" s="464"/>
      <c r="D1082" s="464"/>
      <c r="E1082" s="464"/>
      <c r="F1082" s="464"/>
    </row>
    <row r="1083" spans="1:6" s="1222" customFormat="1" x14ac:dyDescent="0.25">
      <c r="A1083" s="463"/>
      <c r="B1083" s="464"/>
      <c r="C1083" s="464"/>
      <c r="D1083" s="464"/>
      <c r="E1083" s="464"/>
      <c r="F1083" s="464"/>
    </row>
    <row r="1084" spans="1:6" s="1222" customFormat="1" x14ac:dyDescent="0.25">
      <c r="A1084" s="463"/>
      <c r="B1084" s="464"/>
      <c r="C1084" s="464"/>
      <c r="D1084" s="464"/>
      <c r="E1084" s="464"/>
      <c r="F1084" s="464"/>
    </row>
    <row r="1085" spans="1:6" s="1222" customFormat="1" x14ac:dyDescent="0.25">
      <c r="A1085" s="463"/>
      <c r="B1085" s="464"/>
      <c r="C1085" s="464"/>
      <c r="D1085" s="464"/>
      <c r="E1085" s="464"/>
      <c r="F1085" s="464"/>
    </row>
    <row r="1086" spans="1:6" s="1222" customFormat="1" x14ac:dyDescent="0.25">
      <c r="A1086" s="463"/>
      <c r="B1086" s="464"/>
      <c r="C1086" s="464"/>
      <c r="D1086" s="464"/>
      <c r="E1086" s="464"/>
      <c r="F1086" s="464"/>
    </row>
    <row r="1087" spans="1:6" s="1222" customFormat="1" x14ac:dyDescent="0.25">
      <c r="A1087" s="463"/>
      <c r="B1087" s="464"/>
      <c r="C1087" s="464"/>
      <c r="D1087" s="464"/>
      <c r="E1087" s="464"/>
      <c r="F1087" s="464"/>
    </row>
    <row r="1088" spans="1:6" s="1222" customFormat="1" x14ac:dyDescent="0.25">
      <c r="A1088" s="463"/>
      <c r="B1088" s="464"/>
      <c r="C1088" s="464"/>
      <c r="D1088" s="464"/>
      <c r="E1088" s="464"/>
      <c r="F1088" s="464"/>
    </row>
    <row r="1089" spans="1:6" s="1222" customFormat="1" x14ac:dyDescent="0.25">
      <c r="A1089" s="463"/>
      <c r="B1089" s="464"/>
      <c r="C1089" s="464"/>
      <c r="D1089" s="464"/>
      <c r="E1089" s="464"/>
      <c r="F1089" s="464"/>
    </row>
    <row r="1090" spans="1:6" s="1222" customFormat="1" x14ac:dyDescent="0.25">
      <c r="A1090" s="463"/>
      <c r="B1090" s="464"/>
      <c r="C1090" s="464"/>
      <c r="D1090" s="464"/>
      <c r="E1090" s="464"/>
      <c r="F1090" s="464"/>
    </row>
    <row r="1091" spans="1:6" s="1222" customFormat="1" x14ac:dyDescent="0.25">
      <c r="A1091" s="463"/>
      <c r="B1091" s="464"/>
      <c r="C1091" s="464"/>
      <c r="D1091" s="464"/>
      <c r="E1091" s="464"/>
      <c r="F1091" s="464"/>
    </row>
    <row r="1092" spans="1:6" s="1222" customFormat="1" x14ac:dyDescent="0.25">
      <c r="A1092" s="463"/>
      <c r="B1092" s="464"/>
      <c r="C1092" s="464"/>
      <c r="D1092" s="464"/>
      <c r="E1092" s="464"/>
      <c r="F1092" s="464"/>
    </row>
    <row r="1093" spans="1:6" s="1222" customFormat="1" x14ac:dyDescent="0.25">
      <c r="A1093" s="463"/>
      <c r="B1093" s="464"/>
      <c r="C1093" s="464"/>
      <c r="D1093" s="464"/>
      <c r="E1093" s="464"/>
      <c r="F1093" s="464"/>
    </row>
    <row r="1094" spans="1:6" s="1222" customFormat="1" x14ac:dyDescent="0.25">
      <c r="A1094" s="463"/>
      <c r="B1094" s="464"/>
      <c r="C1094" s="464"/>
      <c r="D1094" s="464"/>
      <c r="E1094" s="464"/>
      <c r="F1094" s="464"/>
    </row>
    <row r="1095" spans="1:6" s="1222" customFormat="1" x14ac:dyDescent="0.25">
      <c r="A1095" s="463"/>
      <c r="B1095" s="464"/>
      <c r="C1095" s="464"/>
      <c r="D1095" s="464"/>
      <c r="E1095" s="464"/>
      <c r="F1095" s="464"/>
    </row>
    <row r="1096" spans="1:6" s="1222" customFormat="1" x14ac:dyDescent="0.25">
      <c r="A1096" s="463"/>
      <c r="B1096" s="464"/>
      <c r="C1096" s="464"/>
      <c r="D1096" s="464"/>
      <c r="E1096" s="464"/>
      <c r="F1096" s="464"/>
    </row>
    <row r="1097" spans="1:6" s="1222" customFormat="1" x14ac:dyDescent="0.25">
      <c r="A1097" s="463"/>
      <c r="B1097" s="464"/>
      <c r="C1097" s="464"/>
      <c r="D1097" s="464"/>
      <c r="E1097" s="464"/>
      <c r="F1097" s="464"/>
    </row>
    <row r="1098" spans="1:6" s="1222" customFormat="1" x14ac:dyDescent="0.25">
      <c r="A1098" s="463"/>
      <c r="B1098" s="464"/>
      <c r="C1098" s="464"/>
      <c r="D1098" s="464"/>
      <c r="E1098" s="464"/>
      <c r="F1098" s="464"/>
    </row>
    <row r="1099" spans="1:6" s="1222" customFormat="1" x14ac:dyDescent="0.25">
      <c r="A1099" s="463"/>
      <c r="B1099" s="464"/>
      <c r="C1099" s="464"/>
      <c r="D1099" s="464"/>
      <c r="E1099" s="464"/>
      <c r="F1099" s="464"/>
    </row>
    <row r="1100" spans="1:6" s="1222" customFormat="1" x14ac:dyDescent="0.25">
      <c r="A1100" s="463"/>
      <c r="B1100" s="464"/>
      <c r="C1100" s="464"/>
      <c r="D1100" s="464"/>
      <c r="E1100" s="464"/>
      <c r="F1100" s="464"/>
    </row>
    <row r="1101" spans="1:6" s="1222" customFormat="1" x14ac:dyDescent="0.25">
      <c r="A1101" s="463"/>
      <c r="B1101" s="464"/>
      <c r="C1101" s="464"/>
      <c r="D1101" s="464"/>
      <c r="E1101" s="464"/>
      <c r="F1101" s="464"/>
    </row>
    <row r="1102" spans="1:6" s="1222" customFormat="1" x14ac:dyDescent="0.25">
      <c r="A1102" s="463"/>
      <c r="B1102" s="464"/>
      <c r="C1102" s="464"/>
      <c r="D1102" s="464"/>
      <c r="E1102" s="464"/>
      <c r="F1102" s="464"/>
    </row>
    <row r="1103" spans="1:6" s="1222" customFormat="1" x14ac:dyDescent="0.25">
      <c r="A1103" s="463"/>
      <c r="B1103" s="464"/>
      <c r="C1103" s="464"/>
      <c r="D1103" s="464"/>
      <c r="E1103" s="464"/>
      <c r="F1103" s="464"/>
    </row>
    <row r="1104" spans="1:6" s="1222" customFormat="1" x14ac:dyDescent="0.25">
      <c r="A1104" s="463"/>
      <c r="B1104" s="464"/>
      <c r="C1104" s="464"/>
      <c r="D1104" s="464"/>
      <c r="E1104" s="464"/>
      <c r="F1104" s="464"/>
    </row>
    <row r="1105" spans="1:6" s="1222" customFormat="1" x14ac:dyDescent="0.25">
      <c r="A1105" s="463"/>
      <c r="B1105" s="464"/>
      <c r="C1105" s="464"/>
      <c r="D1105" s="464"/>
      <c r="E1105" s="464"/>
      <c r="F1105" s="464"/>
    </row>
    <row r="1106" spans="1:6" s="1222" customFormat="1" x14ac:dyDescent="0.25">
      <c r="A1106" s="463"/>
      <c r="B1106" s="464"/>
      <c r="C1106" s="464"/>
      <c r="D1106" s="464"/>
      <c r="E1106" s="464"/>
      <c r="F1106" s="464"/>
    </row>
    <row r="1107" spans="1:6" s="1222" customFormat="1" x14ac:dyDescent="0.25">
      <c r="A1107" s="463"/>
      <c r="B1107" s="464"/>
      <c r="C1107" s="464"/>
      <c r="D1107" s="464"/>
      <c r="E1107" s="464"/>
      <c r="F1107" s="464"/>
    </row>
    <row r="1108" spans="1:6" s="1222" customFormat="1" x14ac:dyDescent="0.25">
      <c r="A1108" s="463"/>
      <c r="B1108" s="464"/>
      <c r="C1108" s="464"/>
      <c r="D1108" s="464"/>
      <c r="E1108" s="464"/>
      <c r="F1108" s="464"/>
    </row>
    <row r="1109" spans="1:6" s="1222" customFormat="1" x14ac:dyDescent="0.25">
      <c r="A1109" s="463"/>
      <c r="B1109" s="464"/>
      <c r="C1109" s="464"/>
      <c r="D1109" s="464"/>
      <c r="E1109" s="464"/>
      <c r="F1109" s="464"/>
    </row>
    <row r="1110" spans="1:6" s="1222" customFormat="1" x14ac:dyDescent="0.25">
      <c r="A1110" s="463"/>
      <c r="B1110" s="464"/>
      <c r="C1110" s="464"/>
      <c r="D1110" s="464"/>
      <c r="E1110" s="464"/>
      <c r="F1110" s="464"/>
    </row>
    <row r="1111" spans="1:6" s="1222" customFormat="1" x14ac:dyDescent="0.25">
      <c r="A1111" s="463"/>
      <c r="B1111" s="464"/>
      <c r="C1111" s="464"/>
      <c r="D1111" s="464"/>
      <c r="E1111" s="464"/>
      <c r="F1111" s="464"/>
    </row>
    <row r="1112" spans="1:6" s="1222" customFormat="1" x14ac:dyDescent="0.25">
      <c r="A1112" s="463"/>
      <c r="B1112" s="464"/>
      <c r="C1112" s="464"/>
      <c r="D1112" s="464"/>
      <c r="E1112" s="464"/>
      <c r="F1112" s="464"/>
    </row>
    <row r="1113" spans="1:6" s="1222" customFormat="1" x14ac:dyDescent="0.25">
      <c r="A1113" s="463"/>
      <c r="B1113" s="464"/>
      <c r="C1113" s="464"/>
      <c r="D1113" s="464"/>
      <c r="E1113" s="464"/>
      <c r="F1113" s="464"/>
    </row>
    <row r="1114" spans="1:6" s="1222" customFormat="1" x14ac:dyDescent="0.25">
      <c r="A1114" s="463"/>
      <c r="B1114" s="464"/>
      <c r="C1114" s="464"/>
      <c r="D1114" s="464"/>
      <c r="E1114" s="464"/>
      <c r="F1114" s="464"/>
    </row>
    <row r="1115" spans="1:6" s="1222" customFormat="1" x14ac:dyDescent="0.25">
      <c r="A1115" s="463"/>
      <c r="B1115" s="464"/>
      <c r="C1115" s="464"/>
      <c r="D1115" s="464"/>
      <c r="E1115" s="464"/>
      <c r="F1115" s="464"/>
    </row>
    <row r="1116" spans="1:6" s="1222" customFormat="1" x14ac:dyDescent="0.25">
      <c r="A1116" s="463"/>
      <c r="B1116" s="464"/>
      <c r="C1116" s="464"/>
      <c r="D1116" s="464"/>
      <c r="E1116" s="464"/>
      <c r="F1116" s="464"/>
    </row>
    <row r="1117" spans="1:6" s="1222" customFormat="1" x14ac:dyDescent="0.25">
      <c r="A1117" s="463"/>
      <c r="B1117" s="464"/>
      <c r="C1117" s="464"/>
      <c r="D1117" s="464"/>
      <c r="E1117" s="464"/>
      <c r="F1117" s="464"/>
    </row>
    <row r="1118" spans="1:6" s="1222" customFormat="1" x14ac:dyDescent="0.25">
      <c r="A1118" s="463"/>
      <c r="B1118" s="464"/>
      <c r="C1118" s="464"/>
      <c r="D1118" s="464"/>
      <c r="E1118" s="464"/>
      <c r="F1118" s="464"/>
    </row>
    <row r="1119" spans="1:6" s="1222" customFormat="1" x14ac:dyDescent="0.25">
      <c r="A1119" s="463"/>
      <c r="B1119" s="464"/>
      <c r="C1119" s="464"/>
      <c r="D1119" s="464"/>
      <c r="E1119" s="464"/>
      <c r="F1119" s="464"/>
    </row>
    <row r="1120" spans="1:6" s="1222" customFormat="1" x14ac:dyDescent="0.25">
      <c r="A1120" s="463"/>
      <c r="B1120" s="464"/>
      <c r="C1120" s="464"/>
      <c r="D1120" s="464"/>
      <c r="E1120" s="464"/>
      <c r="F1120" s="464"/>
    </row>
    <row r="1121" spans="1:6" s="1222" customFormat="1" x14ac:dyDescent="0.25">
      <c r="A1121" s="463"/>
      <c r="B1121" s="464"/>
      <c r="C1121" s="464"/>
      <c r="D1121" s="464"/>
      <c r="E1121" s="464"/>
      <c r="F1121" s="464"/>
    </row>
    <row r="1122" spans="1:6" s="1222" customFormat="1" x14ac:dyDescent="0.25">
      <c r="A1122" s="463"/>
      <c r="B1122" s="464"/>
      <c r="C1122" s="464"/>
      <c r="D1122" s="464"/>
      <c r="E1122" s="464"/>
      <c r="F1122" s="464"/>
    </row>
    <row r="1123" spans="1:6" s="1222" customFormat="1" x14ac:dyDescent="0.25">
      <c r="A1123" s="463"/>
      <c r="B1123" s="464"/>
      <c r="C1123" s="464"/>
      <c r="D1123" s="464"/>
      <c r="E1123" s="464"/>
      <c r="F1123" s="464"/>
    </row>
    <row r="1124" spans="1:6" s="1222" customFormat="1" x14ac:dyDescent="0.25">
      <c r="A1124" s="463"/>
      <c r="B1124" s="464"/>
      <c r="C1124" s="464"/>
      <c r="D1124" s="464"/>
      <c r="E1124" s="464"/>
      <c r="F1124" s="464"/>
    </row>
    <row r="1125" spans="1:6" s="1222" customFormat="1" x14ac:dyDescent="0.25">
      <c r="A1125" s="463"/>
      <c r="B1125" s="464"/>
      <c r="C1125" s="464"/>
      <c r="D1125" s="464"/>
      <c r="E1125" s="464"/>
      <c r="F1125" s="464"/>
    </row>
    <row r="1126" spans="1:6" s="1222" customFormat="1" x14ac:dyDescent="0.25">
      <c r="A1126" s="463"/>
      <c r="B1126" s="464"/>
      <c r="C1126" s="464"/>
      <c r="D1126" s="464"/>
      <c r="E1126" s="464"/>
      <c r="F1126" s="464"/>
    </row>
    <row r="1127" spans="1:6" s="1222" customFormat="1" x14ac:dyDescent="0.25">
      <c r="A1127" s="463"/>
      <c r="B1127" s="464"/>
      <c r="C1127" s="464"/>
      <c r="D1127" s="464"/>
      <c r="E1127" s="464"/>
      <c r="F1127" s="464"/>
    </row>
    <row r="1128" spans="1:6" s="1222" customFormat="1" x14ac:dyDescent="0.25">
      <c r="A1128" s="463"/>
      <c r="B1128" s="464"/>
      <c r="C1128" s="464"/>
      <c r="D1128" s="464"/>
      <c r="E1128" s="464"/>
      <c r="F1128" s="464"/>
    </row>
    <row r="1129" spans="1:6" s="1222" customFormat="1" x14ac:dyDescent="0.25">
      <c r="A1129" s="463"/>
      <c r="B1129" s="464"/>
      <c r="C1129" s="464"/>
      <c r="D1129" s="464"/>
      <c r="E1129" s="464"/>
      <c r="F1129" s="464"/>
    </row>
    <row r="1130" spans="1:6" s="1222" customFormat="1" x14ac:dyDescent="0.25">
      <c r="A1130" s="463"/>
      <c r="B1130" s="464"/>
      <c r="C1130" s="464"/>
      <c r="D1130" s="464"/>
      <c r="E1130" s="464"/>
      <c r="F1130" s="464"/>
    </row>
    <row r="1131" spans="1:6" s="1222" customFormat="1" x14ac:dyDescent="0.25">
      <c r="A1131" s="463"/>
      <c r="B1131" s="464"/>
      <c r="C1131" s="464"/>
      <c r="D1131" s="464"/>
      <c r="E1131" s="464"/>
      <c r="F1131" s="464"/>
    </row>
    <row r="1132" spans="1:6" s="1222" customFormat="1" x14ac:dyDescent="0.25">
      <c r="A1132" s="463"/>
      <c r="B1132" s="464"/>
      <c r="C1132" s="464"/>
      <c r="D1132" s="464"/>
      <c r="E1132" s="464"/>
      <c r="F1132" s="464"/>
    </row>
    <row r="1133" spans="1:6" s="1222" customFormat="1" x14ac:dyDescent="0.25">
      <c r="A1133" s="463"/>
      <c r="B1133" s="464"/>
      <c r="C1133" s="464"/>
      <c r="D1133" s="464"/>
      <c r="E1133" s="464"/>
      <c r="F1133" s="464"/>
    </row>
    <row r="1134" spans="1:6" s="1222" customFormat="1" x14ac:dyDescent="0.25">
      <c r="A1134" s="463"/>
      <c r="B1134" s="464"/>
      <c r="C1134" s="464"/>
      <c r="D1134" s="464"/>
      <c r="E1134" s="464"/>
      <c r="F1134" s="464"/>
    </row>
    <row r="1135" spans="1:6" s="1222" customFormat="1" x14ac:dyDescent="0.25">
      <c r="A1135" s="463"/>
      <c r="B1135" s="464"/>
      <c r="C1135" s="464"/>
      <c r="D1135" s="464"/>
      <c r="E1135" s="464"/>
      <c r="F1135" s="464"/>
    </row>
    <row r="1136" spans="1:6" s="1222" customFormat="1" x14ac:dyDescent="0.25">
      <c r="A1136" s="463"/>
      <c r="B1136" s="464"/>
      <c r="C1136" s="464"/>
      <c r="D1136" s="464"/>
      <c r="E1136" s="464"/>
      <c r="F1136" s="464"/>
    </row>
    <row r="1137" spans="1:6" s="1222" customFormat="1" x14ac:dyDescent="0.25">
      <c r="A1137" s="463"/>
      <c r="B1137" s="464"/>
      <c r="C1137" s="464"/>
      <c r="D1137" s="464"/>
      <c r="E1137" s="464"/>
      <c r="F1137" s="464"/>
    </row>
    <row r="1138" spans="1:6" s="1222" customFormat="1" x14ac:dyDescent="0.25">
      <c r="A1138" s="463"/>
      <c r="B1138" s="464"/>
      <c r="C1138" s="464"/>
      <c r="D1138" s="464"/>
      <c r="E1138" s="464"/>
      <c r="F1138" s="464"/>
    </row>
    <row r="1139" spans="1:6" s="1222" customFormat="1" x14ac:dyDescent="0.25">
      <c r="A1139" s="463"/>
      <c r="B1139" s="464"/>
      <c r="C1139" s="464"/>
      <c r="D1139" s="464"/>
      <c r="E1139" s="464"/>
      <c r="F1139" s="464"/>
    </row>
    <row r="1140" spans="1:6" s="1222" customFormat="1" x14ac:dyDescent="0.25">
      <c r="A1140" s="463"/>
      <c r="B1140" s="464"/>
      <c r="C1140" s="464"/>
      <c r="D1140" s="464"/>
      <c r="E1140" s="464"/>
      <c r="F1140" s="464"/>
    </row>
    <row r="1141" spans="1:6" s="1222" customFormat="1" x14ac:dyDescent="0.25">
      <c r="A1141" s="463"/>
      <c r="B1141" s="464"/>
      <c r="C1141" s="464"/>
      <c r="D1141" s="464"/>
      <c r="E1141" s="464"/>
      <c r="F1141" s="464"/>
    </row>
    <row r="1142" spans="1:6" s="1222" customFormat="1" x14ac:dyDescent="0.25">
      <c r="A1142" s="463"/>
      <c r="B1142" s="464"/>
      <c r="C1142" s="464"/>
      <c r="D1142" s="464"/>
      <c r="E1142" s="464"/>
      <c r="F1142" s="464"/>
    </row>
    <row r="1143" spans="1:6" s="1222" customFormat="1" x14ac:dyDescent="0.25">
      <c r="A1143" s="463"/>
      <c r="B1143" s="464"/>
      <c r="C1143" s="464"/>
      <c r="D1143" s="464"/>
      <c r="E1143" s="464"/>
      <c r="F1143" s="464"/>
    </row>
    <row r="1144" spans="1:6" s="1222" customFormat="1" x14ac:dyDescent="0.25">
      <c r="A1144" s="463"/>
      <c r="B1144" s="464"/>
      <c r="C1144" s="464"/>
      <c r="D1144" s="464"/>
      <c r="E1144" s="464"/>
      <c r="F1144" s="464"/>
    </row>
    <row r="1145" spans="1:6" s="1222" customFormat="1" x14ac:dyDescent="0.25">
      <c r="A1145" s="463"/>
      <c r="B1145" s="464"/>
      <c r="C1145" s="464"/>
      <c r="D1145" s="464"/>
      <c r="E1145" s="464"/>
      <c r="F1145" s="464"/>
    </row>
    <row r="1146" spans="1:6" s="1222" customFormat="1" x14ac:dyDescent="0.25">
      <c r="A1146" s="463"/>
      <c r="B1146" s="464"/>
      <c r="C1146" s="464"/>
      <c r="D1146" s="464"/>
      <c r="E1146" s="464"/>
      <c r="F1146" s="464"/>
    </row>
    <row r="1147" spans="1:6" s="1222" customFormat="1" x14ac:dyDescent="0.25">
      <c r="A1147" s="463"/>
      <c r="B1147" s="464"/>
      <c r="C1147" s="464"/>
      <c r="D1147" s="464"/>
      <c r="E1147" s="464"/>
      <c r="F1147" s="464"/>
    </row>
    <row r="1148" spans="1:6" s="1222" customFormat="1" x14ac:dyDescent="0.25">
      <c r="A1148" s="463"/>
      <c r="B1148" s="464"/>
      <c r="C1148" s="464"/>
      <c r="D1148" s="464"/>
      <c r="E1148" s="464"/>
      <c r="F1148" s="464"/>
    </row>
    <row r="1149" spans="1:6" s="1222" customFormat="1" x14ac:dyDescent="0.25">
      <c r="A1149" s="463"/>
      <c r="B1149" s="464"/>
      <c r="C1149" s="464"/>
      <c r="D1149" s="464"/>
      <c r="E1149" s="464"/>
      <c r="F1149" s="464"/>
    </row>
    <row r="1150" spans="1:6" s="1222" customFormat="1" x14ac:dyDescent="0.25">
      <c r="A1150" s="463"/>
      <c r="B1150" s="464"/>
      <c r="C1150" s="464"/>
      <c r="D1150" s="464"/>
      <c r="E1150" s="464"/>
      <c r="F1150" s="464"/>
    </row>
    <row r="1151" spans="1:6" s="1222" customFormat="1" x14ac:dyDescent="0.25">
      <c r="A1151" s="463"/>
      <c r="B1151" s="464"/>
      <c r="C1151" s="464"/>
      <c r="D1151" s="464"/>
      <c r="E1151" s="464"/>
      <c r="F1151" s="464"/>
    </row>
    <row r="1152" spans="1:6" s="1222" customFormat="1" x14ac:dyDescent="0.25">
      <c r="A1152" s="463"/>
      <c r="B1152" s="464"/>
      <c r="C1152" s="464"/>
      <c r="D1152" s="464"/>
      <c r="E1152" s="464"/>
      <c r="F1152" s="464"/>
    </row>
    <row r="1153" spans="1:6" s="1222" customFormat="1" x14ac:dyDescent="0.25">
      <c r="A1153" s="463"/>
      <c r="B1153" s="464"/>
      <c r="C1153" s="464"/>
      <c r="D1153" s="464"/>
      <c r="E1153" s="464"/>
      <c r="F1153" s="464"/>
    </row>
    <row r="1154" spans="1:6" s="1222" customFormat="1" x14ac:dyDescent="0.25">
      <c r="A1154" s="463"/>
      <c r="B1154" s="464"/>
      <c r="C1154" s="464"/>
      <c r="D1154" s="464"/>
      <c r="E1154" s="464"/>
      <c r="F1154" s="464"/>
    </row>
    <row r="1155" spans="1:6" s="1222" customFormat="1" x14ac:dyDescent="0.25">
      <c r="A1155" s="463"/>
      <c r="B1155" s="464"/>
      <c r="C1155" s="464"/>
      <c r="D1155" s="464"/>
      <c r="E1155" s="464"/>
      <c r="F1155" s="464"/>
    </row>
    <row r="1156" spans="1:6" s="1222" customFormat="1" x14ac:dyDescent="0.25">
      <c r="A1156" s="463"/>
      <c r="B1156" s="464"/>
      <c r="C1156" s="464"/>
      <c r="D1156" s="464"/>
      <c r="E1156" s="464"/>
      <c r="F1156" s="464"/>
    </row>
    <row r="1157" spans="1:6" s="1222" customFormat="1" x14ac:dyDescent="0.25">
      <c r="A1157" s="463"/>
      <c r="B1157" s="464"/>
      <c r="C1157" s="464"/>
      <c r="D1157" s="464"/>
      <c r="E1157" s="464"/>
      <c r="F1157" s="464"/>
    </row>
    <row r="1158" spans="1:6" s="1222" customFormat="1" x14ac:dyDescent="0.25">
      <c r="A1158" s="463"/>
      <c r="B1158" s="464"/>
      <c r="C1158" s="464"/>
      <c r="D1158" s="464"/>
      <c r="E1158" s="464"/>
      <c r="F1158" s="464"/>
    </row>
    <row r="1159" spans="1:6" s="1222" customFormat="1" x14ac:dyDescent="0.25">
      <c r="A1159" s="463"/>
      <c r="B1159" s="464"/>
      <c r="C1159" s="464"/>
      <c r="D1159" s="464"/>
      <c r="E1159" s="464"/>
      <c r="F1159" s="464"/>
    </row>
    <row r="1160" spans="1:6" s="1222" customFormat="1" x14ac:dyDescent="0.25">
      <c r="A1160" s="463"/>
      <c r="B1160" s="464"/>
      <c r="C1160" s="464"/>
      <c r="D1160" s="464"/>
      <c r="E1160" s="464"/>
      <c r="F1160" s="464"/>
    </row>
    <row r="1161" spans="1:6" s="1222" customFormat="1" x14ac:dyDescent="0.25">
      <c r="A1161" s="463"/>
      <c r="B1161" s="464"/>
      <c r="C1161" s="464"/>
      <c r="D1161" s="464"/>
      <c r="E1161" s="464"/>
      <c r="F1161" s="464"/>
    </row>
    <row r="1162" spans="1:6" s="1222" customFormat="1" x14ac:dyDescent="0.25">
      <c r="A1162" s="463"/>
      <c r="B1162" s="464"/>
      <c r="C1162" s="464"/>
      <c r="D1162" s="464"/>
      <c r="E1162" s="464"/>
      <c r="F1162" s="464"/>
    </row>
    <row r="1163" spans="1:6" s="1222" customFormat="1" x14ac:dyDescent="0.25">
      <c r="A1163" s="463"/>
      <c r="B1163" s="464"/>
      <c r="C1163" s="464"/>
      <c r="D1163" s="464"/>
      <c r="E1163" s="464"/>
      <c r="F1163" s="464"/>
    </row>
    <row r="1164" spans="1:6" s="1222" customFormat="1" x14ac:dyDescent="0.25">
      <c r="A1164" s="463"/>
      <c r="B1164" s="464"/>
      <c r="C1164" s="464"/>
      <c r="D1164" s="464"/>
      <c r="E1164" s="464"/>
      <c r="F1164" s="464"/>
    </row>
    <row r="1165" spans="1:6" s="1222" customFormat="1" x14ac:dyDescent="0.25">
      <c r="A1165" s="463"/>
      <c r="B1165" s="464"/>
      <c r="C1165" s="464"/>
      <c r="D1165" s="464"/>
      <c r="E1165" s="464"/>
      <c r="F1165" s="464"/>
    </row>
    <row r="1166" spans="1:6" s="1222" customFormat="1" x14ac:dyDescent="0.25">
      <c r="A1166" s="463"/>
      <c r="B1166" s="464"/>
      <c r="C1166" s="464"/>
      <c r="D1166" s="464"/>
      <c r="E1166" s="464"/>
      <c r="F1166" s="464"/>
    </row>
    <row r="1167" spans="1:6" s="1222" customFormat="1" x14ac:dyDescent="0.25">
      <c r="A1167" s="463"/>
      <c r="B1167" s="464"/>
      <c r="C1167" s="464"/>
      <c r="D1167" s="464"/>
      <c r="E1167" s="464"/>
      <c r="F1167" s="464"/>
    </row>
    <row r="1168" spans="1:6" s="1222" customFormat="1" x14ac:dyDescent="0.25">
      <c r="A1168" s="463"/>
      <c r="B1168" s="464"/>
      <c r="C1168" s="464"/>
      <c r="D1168" s="464"/>
      <c r="E1168" s="464"/>
      <c r="F1168" s="464"/>
    </row>
    <row r="1169" spans="1:6" s="1222" customFormat="1" x14ac:dyDescent="0.25">
      <c r="A1169" s="463"/>
      <c r="B1169" s="464"/>
      <c r="C1169" s="464"/>
      <c r="D1169" s="464"/>
      <c r="E1169" s="464"/>
      <c r="F1169" s="464"/>
    </row>
    <row r="1170" spans="1:6" s="1222" customFormat="1" x14ac:dyDescent="0.25">
      <c r="A1170" s="463"/>
      <c r="B1170" s="464"/>
      <c r="C1170" s="464"/>
      <c r="D1170" s="464"/>
      <c r="E1170" s="464"/>
      <c r="F1170" s="464"/>
    </row>
    <row r="1171" spans="1:6" s="1222" customFormat="1" x14ac:dyDescent="0.25">
      <c r="A1171" s="463"/>
      <c r="B1171" s="464"/>
      <c r="C1171" s="464"/>
      <c r="D1171" s="464"/>
      <c r="E1171" s="464"/>
      <c r="F1171" s="464"/>
    </row>
    <row r="1172" spans="1:6" s="1222" customFormat="1" x14ac:dyDescent="0.25">
      <c r="A1172" s="463"/>
      <c r="B1172" s="464"/>
      <c r="C1172" s="464"/>
      <c r="D1172" s="464"/>
      <c r="E1172" s="464"/>
      <c r="F1172" s="464"/>
    </row>
    <row r="1173" spans="1:6" s="1222" customFormat="1" x14ac:dyDescent="0.25">
      <c r="A1173" s="463"/>
      <c r="B1173" s="464"/>
      <c r="C1173" s="464"/>
      <c r="D1173" s="464"/>
      <c r="E1173" s="464"/>
      <c r="F1173" s="464"/>
    </row>
    <row r="1174" spans="1:6" s="1222" customFormat="1" x14ac:dyDescent="0.25">
      <c r="A1174" s="463"/>
      <c r="B1174" s="464"/>
      <c r="C1174" s="464"/>
      <c r="D1174" s="464"/>
      <c r="E1174" s="464"/>
      <c r="F1174" s="464"/>
    </row>
    <row r="1175" spans="1:6" s="1222" customFormat="1" x14ac:dyDescent="0.25">
      <c r="A1175" s="463"/>
      <c r="B1175" s="464"/>
      <c r="C1175" s="464"/>
      <c r="D1175" s="464"/>
      <c r="E1175" s="464"/>
      <c r="F1175" s="464"/>
    </row>
    <row r="1176" spans="1:6" s="1222" customFormat="1" x14ac:dyDescent="0.25">
      <c r="A1176" s="463"/>
      <c r="B1176" s="464"/>
      <c r="C1176" s="464"/>
      <c r="D1176" s="464"/>
      <c r="E1176" s="464"/>
      <c r="F1176" s="464"/>
    </row>
    <row r="1177" spans="1:6" s="1222" customFormat="1" x14ac:dyDescent="0.25">
      <c r="A1177" s="463"/>
      <c r="B1177" s="464"/>
      <c r="C1177" s="464"/>
      <c r="D1177" s="464"/>
      <c r="E1177" s="464"/>
      <c r="F1177" s="464"/>
    </row>
    <row r="1178" spans="1:6" s="1222" customFormat="1" x14ac:dyDescent="0.25">
      <c r="A1178" s="463"/>
      <c r="B1178" s="464"/>
      <c r="C1178" s="464"/>
      <c r="D1178" s="464"/>
      <c r="E1178" s="464"/>
      <c r="F1178" s="464"/>
    </row>
    <row r="1179" spans="1:6" s="1222" customFormat="1" x14ac:dyDescent="0.25">
      <c r="A1179" s="463"/>
      <c r="B1179" s="464"/>
      <c r="C1179" s="464"/>
      <c r="D1179" s="464"/>
      <c r="E1179" s="464"/>
      <c r="F1179" s="464"/>
    </row>
    <row r="1180" spans="1:6" s="1222" customFormat="1" x14ac:dyDescent="0.25">
      <c r="A1180" s="463"/>
      <c r="B1180" s="464"/>
      <c r="C1180" s="464"/>
      <c r="D1180" s="464"/>
      <c r="E1180" s="464"/>
      <c r="F1180" s="464"/>
    </row>
    <row r="1181" spans="1:6" s="1222" customFormat="1" x14ac:dyDescent="0.25">
      <c r="A1181" s="463"/>
      <c r="B1181" s="464"/>
      <c r="C1181" s="464"/>
      <c r="D1181" s="464"/>
      <c r="E1181" s="464"/>
      <c r="F1181" s="464"/>
    </row>
    <row r="1182" spans="1:6" s="1222" customFormat="1" x14ac:dyDescent="0.25">
      <c r="A1182" s="463"/>
      <c r="B1182" s="464"/>
      <c r="C1182" s="464"/>
      <c r="D1182" s="464"/>
      <c r="E1182" s="464"/>
      <c r="F1182" s="464"/>
    </row>
    <row r="1183" spans="1:6" s="1222" customFormat="1" x14ac:dyDescent="0.25">
      <c r="A1183" s="463"/>
      <c r="B1183" s="464"/>
      <c r="C1183" s="464"/>
      <c r="D1183" s="464"/>
      <c r="E1183" s="464"/>
      <c r="F1183" s="464"/>
    </row>
    <row r="1184" spans="1:6" s="1222" customFormat="1" x14ac:dyDescent="0.25">
      <c r="A1184" s="463"/>
      <c r="B1184" s="464"/>
      <c r="C1184" s="464"/>
      <c r="D1184" s="464"/>
      <c r="E1184" s="464"/>
      <c r="F1184" s="464"/>
    </row>
    <row r="1185" spans="1:6" s="1222" customFormat="1" x14ac:dyDescent="0.25">
      <c r="A1185" s="463"/>
      <c r="B1185" s="464"/>
      <c r="C1185" s="464"/>
      <c r="D1185" s="464"/>
      <c r="E1185" s="464"/>
      <c r="F1185" s="464"/>
    </row>
    <row r="1186" spans="1:6" s="1222" customFormat="1" x14ac:dyDescent="0.25">
      <c r="A1186" s="463"/>
      <c r="B1186" s="464"/>
      <c r="C1186" s="464"/>
      <c r="D1186" s="464"/>
      <c r="E1186" s="464"/>
      <c r="F1186" s="464"/>
    </row>
    <row r="1187" spans="1:6" s="1222" customFormat="1" x14ac:dyDescent="0.25">
      <c r="A1187" s="463"/>
      <c r="B1187" s="464"/>
      <c r="C1187" s="464"/>
      <c r="D1187" s="464"/>
      <c r="E1187" s="464"/>
      <c r="F1187" s="464"/>
    </row>
    <row r="1188" spans="1:6" s="1222" customFormat="1" x14ac:dyDescent="0.25">
      <c r="A1188" s="463"/>
      <c r="B1188" s="464"/>
      <c r="C1188" s="464"/>
      <c r="D1188" s="464"/>
      <c r="E1188" s="464"/>
      <c r="F1188" s="464"/>
    </row>
    <row r="1189" spans="1:6" s="1222" customFormat="1" x14ac:dyDescent="0.25">
      <c r="A1189" s="463"/>
      <c r="B1189" s="464"/>
      <c r="C1189" s="464"/>
      <c r="D1189" s="464"/>
      <c r="E1189" s="464"/>
      <c r="F1189" s="464"/>
    </row>
    <row r="1190" spans="1:6" s="1222" customFormat="1" x14ac:dyDescent="0.25">
      <c r="A1190" s="463"/>
      <c r="B1190" s="464"/>
      <c r="C1190" s="464"/>
      <c r="D1190" s="464"/>
      <c r="E1190" s="464"/>
      <c r="F1190" s="464"/>
    </row>
    <row r="1191" spans="1:6" s="1222" customFormat="1" x14ac:dyDescent="0.25">
      <c r="A1191" s="463"/>
      <c r="B1191" s="464"/>
      <c r="C1191" s="464"/>
      <c r="D1191" s="464"/>
      <c r="E1191" s="464"/>
      <c r="F1191" s="464"/>
    </row>
    <row r="1192" spans="1:6" s="1222" customFormat="1" x14ac:dyDescent="0.25">
      <c r="A1192" s="463"/>
      <c r="B1192" s="464"/>
      <c r="C1192" s="464"/>
      <c r="D1192" s="464"/>
      <c r="E1192" s="464"/>
      <c r="F1192" s="464"/>
    </row>
    <row r="1193" spans="1:6" s="1222" customFormat="1" x14ac:dyDescent="0.25">
      <c r="A1193" s="463"/>
      <c r="B1193" s="464"/>
      <c r="C1193" s="464"/>
      <c r="D1193" s="464"/>
      <c r="E1193" s="464"/>
      <c r="F1193" s="464"/>
    </row>
    <row r="1194" spans="1:6" s="1222" customFormat="1" x14ac:dyDescent="0.25">
      <c r="A1194" s="463"/>
      <c r="B1194" s="464"/>
      <c r="C1194" s="464"/>
      <c r="D1194" s="464"/>
      <c r="E1194" s="464"/>
      <c r="F1194" s="464"/>
    </row>
    <row r="1195" spans="1:6" s="1222" customFormat="1" x14ac:dyDescent="0.25">
      <c r="A1195" s="463"/>
      <c r="B1195" s="464"/>
      <c r="C1195" s="464"/>
      <c r="D1195" s="464"/>
      <c r="E1195" s="464"/>
      <c r="F1195" s="464"/>
    </row>
    <row r="1196" spans="1:6" s="1222" customFormat="1" x14ac:dyDescent="0.25">
      <c r="A1196" s="463"/>
      <c r="B1196" s="464"/>
      <c r="C1196" s="464"/>
      <c r="D1196" s="464"/>
      <c r="E1196" s="464"/>
      <c r="F1196" s="464"/>
    </row>
    <row r="1197" spans="1:6" s="1222" customFormat="1" x14ac:dyDescent="0.25">
      <c r="A1197" s="463"/>
      <c r="B1197" s="464"/>
      <c r="C1197" s="464"/>
      <c r="D1197" s="464"/>
      <c r="E1197" s="464"/>
      <c r="F1197" s="464"/>
    </row>
    <row r="1198" spans="1:6" s="1222" customFormat="1" x14ac:dyDescent="0.25">
      <c r="A1198" s="463"/>
      <c r="B1198" s="464"/>
      <c r="C1198" s="464"/>
      <c r="D1198" s="464"/>
      <c r="E1198" s="464"/>
      <c r="F1198" s="464"/>
    </row>
    <row r="1199" spans="1:6" s="1222" customFormat="1" x14ac:dyDescent="0.25">
      <c r="A1199" s="463"/>
      <c r="B1199" s="464"/>
      <c r="C1199" s="464"/>
      <c r="D1199" s="464"/>
      <c r="E1199" s="464"/>
      <c r="F1199" s="464"/>
    </row>
    <row r="1200" spans="1:6" s="1222" customFormat="1" x14ac:dyDescent="0.25">
      <c r="A1200" s="463"/>
      <c r="B1200" s="464"/>
      <c r="C1200" s="464"/>
      <c r="D1200" s="464"/>
      <c r="E1200" s="464"/>
      <c r="F1200" s="464"/>
    </row>
    <row r="1201" spans="1:6" s="1222" customFormat="1" x14ac:dyDescent="0.25">
      <c r="A1201" s="463"/>
      <c r="B1201" s="464"/>
      <c r="C1201" s="464"/>
      <c r="D1201" s="464"/>
      <c r="E1201" s="464"/>
      <c r="F1201" s="464"/>
    </row>
    <row r="1202" spans="1:6" s="1222" customFormat="1" x14ac:dyDescent="0.25">
      <c r="A1202" s="463"/>
      <c r="B1202" s="464"/>
      <c r="C1202" s="464"/>
      <c r="D1202" s="464"/>
      <c r="E1202" s="464"/>
      <c r="F1202" s="464"/>
    </row>
    <row r="1203" spans="1:6" s="1222" customFormat="1" x14ac:dyDescent="0.25">
      <c r="A1203" s="463"/>
      <c r="B1203" s="464"/>
      <c r="C1203" s="464"/>
      <c r="D1203" s="464"/>
      <c r="E1203" s="464"/>
      <c r="F1203" s="464"/>
    </row>
    <row r="1204" spans="1:6" s="1222" customFormat="1" x14ac:dyDescent="0.25">
      <c r="A1204" s="463"/>
      <c r="B1204" s="464"/>
      <c r="C1204" s="464"/>
      <c r="D1204" s="464"/>
      <c r="E1204" s="464"/>
      <c r="F1204" s="464"/>
    </row>
    <row r="1205" spans="1:6" s="1222" customFormat="1" x14ac:dyDescent="0.25">
      <c r="A1205" s="463"/>
      <c r="B1205" s="464"/>
      <c r="C1205" s="464"/>
      <c r="D1205" s="464"/>
      <c r="E1205" s="464"/>
      <c r="F1205" s="464"/>
    </row>
    <row r="1206" spans="1:6" s="1222" customFormat="1" x14ac:dyDescent="0.25">
      <c r="A1206" s="463"/>
      <c r="B1206" s="464"/>
      <c r="C1206" s="464"/>
      <c r="D1206" s="464"/>
      <c r="E1206" s="464"/>
      <c r="F1206" s="464"/>
    </row>
    <row r="1207" spans="1:6" s="1222" customFormat="1" x14ac:dyDescent="0.25">
      <c r="A1207" s="463"/>
      <c r="B1207" s="464"/>
      <c r="C1207" s="464"/>
      <c r="D1207" s="464"/>
      <c r="E1207" s="464"/>
      <c r="F1207" s="464"/>
    </row>
    <row r="1208" spans="1:6" s="1222" customFormat="1" x14ac:dyDescent="0.25">
      <c r="A1208" s="463"/>
      <c r="B1208" s="464"/>
      <c r="C1208" s="464"/>
      <c r="D1208" s="464"/>
      <c r="E1208" s="464"/>
      <c r="F1208" s="464"/>
    </row>
    <row r="1209" spans="1:6" s="1222" customFormat="1" x14ac:dyDescent="0.25">
      <c r="A1209" s="463"/>
      <c r="B1209" s="464"/>
      <c r="C1209" s="464"/>
      <c r="D1209" s="464"/>
      <c r="E1209" s="464"/>
      <c r="F1209" s="464"/>
    </row>
    <row r="1210" spans="1:6" s="1222" customFormat="1" x14ac:dyDescent="0.25">
      <c r="A1210" s="463"/>
      <c r="B1210" s="464"/>
      <c r="C1210" s="464"/>
      <c r="D1210" s="464"/>
      <c r="E1210" s="464"/>
      <c r="F1210" s="464"/>
    </row>
    <row r="1211" spans="1:6" s="1222" customFormat="1" x14ac:dyDescent="0.25">
      <c r="A1211" s="463"/>
      <c r="B1211" s="464"/>
      <c r="C1211" s="464"/>
      <c r="D1211" s="464"/>
      <c r="E1211" s="464"/>
      <c r="F1211" s="464"/>
    </row>
    <row r="1212" spans="1:6" s="1222" customFormat="1" x14ac:dyDescent="0.25">
      <c r="A1212" s="463"/>
      <c r="B1212" s="464"/>
      <c r="C1212" s="464"/>
      <c r="D1212" s="464"/>
      <c r="E1212" s="464"/>
      <c r="F1212" s="464"/>
    </row>
    <row r="1213" spans="1:6" s="1222" customFormat="1" x14ac:dyDescent="0.25">
      <c r="A1213" s="463"/>
      <c r="B1213" s="464"/>
      <c r="C1213" s="464"/>
      <c r="D1213" s="464"/>
      <c r="E1213" s="464"/>
      <c r="F1213" s="464"/>
    </row>
    <row r="1214" spans="1:6" s="1222" customFormat="1" x14ac:dyDescent="0.25">
      <c r="A1214" s="463"/>
      <c r="B1214" s="464"/>
      <c r="C1214" s="464"/>
      <c r="D1214" s="464"/>
      <c r="E1214" s="464"/>
      <c r="F1214" s="464"/>
    </row>
    <row r="1215" spans="1:6" s="1222" customFormat="1" x14ac:dyDescent="0.25">
      <c r="A1215" s="463"/>
      <c r="B1215" s="464"/>
      <c r="C1215" s="464"/>
      <c r="D1215" s="464"/>
      <c r="E1215" s="464"/>
      <c r="F1215" s="464"/>
    </row>
    <row r="1216" spans="1:6" s="1222" customFormat="1" x14ac:dyDescent="0.25">
      <c r="A1216" s="463"/>
      <c r="B1216" s="464"/>
      <c r="C1216" s="464"/>
      <c r="D1216" s="464"/>
      <c r="E1216" s="464"/>
      <c r="F1216" s="464"/>
    </row>
    <row r="1217" spans="1:6" s="1222" customFormat="1" x14ac:dyDescent="0.25">
      <c r="A1217" s="463"/>
      <c r="B1217" s="464"/>
      <c r="C1217" s="464"/>
      <c r="D1217" s="464"/>
      <c r="E1217" s="464"/>
      <c r="F1217" s="464"/>
    </row>
    <row r="1218" spans="1:6" s="1222" customFormat="1" x14ac:dyDescent="0.25">
      <c r="A1218" s="463"/>
      <c r="B1218" s="464"/>
      <c r="C1218" s="464"/>
      <c r="D1218" s="464"/>
      <c r="E1218" s="464"/>
      <c r="F1218" s="464"/>
    </row>
    <row r="1219" spans="1:6" s="1222" customFormat="1" x14ac:dyDescent="0.25">
      <c r="A1219" s="463"/>
      <c r="B1219" s="464"/>
      <c r="C1219" s="464"/>
      <c r="D1219" s="464"/>
      <c r="E1219" s="464"/>
      <c r="F1219" s="464"/>
    </row>
    <row r="1220" spans="1:6" s="1222" customFormat="1" x14ac:dyDescent="0.25">
      <c r="A1220" s="463"/>
      <c r="B1220" s="464"/>
      <c r="C1220" s="464"/>
      <c r="D1220" s="464"/>
      <c r="E1220" s="464"/>
      <c r="F1220" s="464"/>
    </row>
    <row r="1221" spans="1:6" s="1222" customFormat="1" x14ac:dyDescent="0.25">
      <c r="A1221" s="463"/>
      <c r="B1221" s="464"/>
      <c r="C1221" s="464"/>
      <c r="D1221" s="464"/>
      <c r="E1221" s="464"/>
      <c r="F1221" s="464"/>
    </row>
    <row r="1222" spans="1:6" s="1222" customFormat="1" x14ac:dyDescent="0.25">
      <c r="A1222" s="463"/>
      <c r="B1222" s="464"/>
      <c r="C1222" s="464"/>
      <c r="D1222" s="464"/>
      <c r="E1222" s="464"/>
      <c r="F1222" s="464"/>
    </row>
    <row r="1223" spans="1:6" s="1222" customFormat="1" x14ac:dyDescent="0.25">
      <c r="A1223" s="463"/>
      <c r="B1223" s="464"/>
      <c r="C1223" s="464"/>
      <c r="D1223" s="464"/>
      <c r="E1223" s="464"/>
      <c r="F1223" s="464"/>
    </row>
    <row r="1224" spans="1:6" s="1222" customFormat="1" x14ac:dyDescent="0.25">
      <c r="A1224" s="463"/>
      <c r="B1224" s="464"/>
      <c r="C1224" s="464"/>
      <c r="D1224" s="464"/>
      <c r="E1224" s="464"/>
      <c r="F1224" s="464"/>
    </row>
    <row r="1225" spans="1:6" s="1222" customFormat="1" x14ac:dyDescent="0.25">
      <c r="A1225" s="463"/>
      <c r="B1225" s="464"/>
      <c r="C1225" s="464"/>
      <c r="D1225" s="464"/>
      <c r="E1225" s="464"/>
      <c r="F1225" s="464"/>
    </row>
    <row r="1226" spans="1:6" s="1222" customFormat="1" x14ac:dyDescent="0.25">
      <c r="A1226" s="463"/>
      <c r="B1226" s="464"/>
      <c r="C1226" s="464"/>
      <c r="D1226" s="464"/>
      <c r="E1226" s="464"/>
      <c r="F1226" s="464"/>
    </row>
    <row r="1227" spans="1:6" s="1222" customFormat="1" x14ac:dyDescent="0.25">
      <c r="A1227" s="463"/>
      <c r="B1227" s="464"/>
      <c r="C1227" s="464"/>
      <c r="D1227" s="464"/>
      <c r="E1227" s="464"/>
      <c r="F1227" s="464"/>
    </row>
    <row r="1228" spans="1:6" s="1222" customFormat="1" x14ac:dyDescent="0.25">
      <c r="A1228" s="463"/>
      <c r="B1228" s="464"/>
      <c r="C1228" s="464"/>
      <c r="D1228" s="464"/>
      <c r="E1228" s="464"/>
      <c r="F1228" s="464"/>
    </row>
    <row r="1229" spans="1:6" s="1222" customFormat="1" x14ac:dyDescent="0.25">
      <c r="A1229" s="463"/>
      <c r="B1229" s="464"/>
      <c r="C1229" s="464"/>
      <c r="D1229" s="464"/>
      <c r="E1229" s="464"/>
      <c r="F1229" s="464"/>
    </row>
    <row r="1230" spans="1:6" s="1222" customFormat="1" x14ac:dyDescent="0.25">
      <c r="A1230" s="463"/>
      <c r="B1230" s="464"/>
      <c r="C1230" s="464"/>
      <c r="D1230" s="464"/>
      <c r="E1230" s="464"/>
      <c r="F1230" s="464"/>
    </row>
    <row r="1231" spans="1:6" s="1222" customFormat="1" x14ac:dyDescent="0.25">
      <c r="A1231" s="463"/>
      <c r="B1231" s="464"/>
      <c r="C1231" s="464"/>
      <c r="D1231" s="464"/>
      <c r="E1231" s="464"/>
      <c r="F1231" s="464"/>
    </row>
    <row r="1232" spans="1:6" s="1222" customFormat="1" x14ac:dyDescent="0.25">
      <c r="A1232" s="463"/>
      <c r="B1232" s="464"/>
      <c r="C1232" s="464"/>
      <c r="D1232" s="464"/>
      <c r="E1232" s="464"/>
      <c r="F1232" s="464"/>
    </row>
    <row r="1233" spans="1:6" s="1222" customFormat="1" x14ac:dyDescent="0.25">
      <c r="A1233" s="463"/>
      <c r="B1233" s="464"/>
      <c r="C1233" s="464"/>
      <c r="D1233" s="464"/>
      <c r="E1233" s="464"/>
      <c r="F1233" s="464"/>
    </row>
    <row r="1234" spans="1:6" s="1222" customFormat="1" x14ac:dyDescent="0.25">
      <c r="A1234" s="463"/>
      <c r="B1234" s="464"/>
      <c r="C1234" s="464"/>
      <c r="D1234" s="464"/>
      <c r="E1234" s="464"/>
      <c r="F1234" s="464"/>
    </row>
    <row r="1235" spans="1:6" s="1222" customFormat="1" x14ac:dyDescent="0.25">
      <c r="A1235" s="463"/>
      <c r="B1235" s="464"/>
      <c r="C1235" s="464"/>
      <c r="D1235" s="464"/>
      <c r="E1235" s="464"/>
      <c r="F1235" s="464"/>
    </row>
    <row r="1236" spans="1:6" s="1222" customFormat="1" x14ac:dyDescent="0.25">
      <c r="A1236" s="463"/>
      <c r="B1236" s="464"/>
      <c r="C1236" s="464"/>
      <c r="D1236" s="464"/>
      <c r="E1236" s="464"/>
      <c r="F1236" s="464"/>
    </row>
    <row r="1237" spans="1:6" s="1222" customFormat="1" x14ac:dyDescent="0.25">
      <c r="A1237" s="463"/>
      <c r="B1237" s="464"/>
      <c r="C1237" s="464"/>
      <c r="D1237" s="464"/>
      <c r="E1237" s="464"/>
      <c r="F1237" s="464"/>
    </row>
    <row r="1238" spans="1:6" s="1222" customFormat="1" x14ac:dyDescent="0.25">
      <c r="A1238" s="463"/>
      <c r="B1238" s="464"/>
      <c r="C1238" s="464"/>
      <c r="D1238" s="464"/>
      <c r="E1238" s="464"/>
      <c r="F1238" s="464"/>
    </row>
    <row r="1239" spans="1:6" s="1222" customFormat="1" x14ac:dyDescent="0.25">
      <c r="A1239" s="463"/>
      <c r="B1239" s="464"/>
      <c r="C1239" s="464"/>
      <c r="D1239" s="464"/>
      <c r="E1239" s="464"/>
      <c r="F1239" s="464"/>
    </row>
    <row r="1240" spans="1:6" s="1222" customFormat="1" x14ac:dyDescent="0.25">
      <c r="A1240" s="463"/>
      <c r="B1240" s="464"/>
      <c r="C1240" s="464"/>
      <c r="D1240" s="464"/>
      <c r="E1240" s="464"/>
      <c r="F1240" s="464"/>
    </row>
    <row r="1241" spans="1:6" s="1222" customFormat="1" x14ac:dyDescent="0.25">
      <c r="A1241" s="463"/>
      <c r="B1241" s="464"/>
      <c r="C1241" s="464"/>
      <c r="D1241" s="464"/>
      <c r="E1241" s="464"/>
      <c r="F1241" s="464"/>
    </row>
    <row r="1242" spans="1:6" s="1222" customFormat="1" x14ac:dyDescent="0.25">
      <c r="A1242" s="463"/>
      <c r="B1242" s="464"/>
      <c r="C1242" s="464"/>
      <c r="D1242" s="464"/>
      <c r="E1242" s="464"/>
      <c r="F1242" s="464"/>
    </row>
    <row r="1243" spans="1:6" s="1222" customFormat="1" x14ac:dyDescent="0.25">
      <c r="A1243" s="463"/>
      <c r="B1243" s="464"/>
      <c r="C1243" s="464"/>
      <c r="D1243" s="464"/>
      <c r="E1243" s="464"/>
      <c r="F1243" s="464"/>
    </row>
    <row r="1244" spans="1:6" s="1222" customFormat="1" x14ac:dyDescent="0.25">
      <c r="A1244" s="463"/>
      <c r="B1244" s="464"/>
      <c r="C1244" s="464"/>
      <c r="D1244" s="464"/>
      <c r="E1244" s="464"/>
      <c r="F1244" s="464"/>
    </row>
    <row r="1245" spans="1:6" s="1222" customFormat="1" x14ac:dyDescent="0.25">
      <c r="A1245" s="463"/>
      <c r="B1245" s="464"/>
      <c r="C1245" s="464"/>
      <c r="D1245" s="464"/>
      <c r="E1245" s="464"/>
      <c r="F1245" s="464"/>
    </row>
    <row r="1246" spans="1:6" s="1222" customFormat="1" x14ac:dyDescent="0.25">
      <c r="A1246" s="463"/>
      <c r="B1246" s="464"/>
      <c r="C1246" s="464"/>
      <c r="D1246" s="464"/>
      <c r="E1246" s="464"/>
      <c r="F1246" s="464"/>
    </row>
    <row r="1247" spans="1:6" s="1222" customFormat="1" x14ac:dyDescent="0.25">
      <c r="A1247" s="463"/>
      <c r="B1247" s="464"/>
      <c r="C1247" s="464"/>
      <c r="D1247" s="464"/>
      <c r="E1247" s="464"/>
      <c r="F1247" s="464"/>
    </row>
    <row r="1248" spans="1:6" s="1222" customFormat="1" x14ac:dyDescent="0.25">
      <c r="A1248" s="463"/>
      <c r="B1248" s="464"/>
      <c r="C1248" s="464"/>
      <c r="D1248" s="464"/>
      <c r="E1248" s="464"/>
      <c r="F1248" s="464"/>
    </row>
    <row r="1249" spans="1:6" s="1222" customFormat="1" x14ac:dyDescent="0.25">
      <c r="A1249" s="463"/>
      <c r="B1249" s="464"/>
      <c r="C1249" s="464"/>
      <c r="D1249" s="464"/>
      <c r="E1249" s="464"/>
      <c r="F1249" s="464"/>
    </row>
    <row r="1250" spans="1:6" s="1222" customFormat="1" x14ac:dyDescent="0.25">
      <c r="A1250" s="463"/>
      <c r="B1250" s="464"/>
      <c r="C1250" s="464"/>
      <c r="D1250" s="464"/>
      <c r="E1250" s="464"/>
      <c r="F1250" s="464"/>
    </row>
    <row r="1251" spans="1:6" s="1222" customFormat="1" x14ac:dyDescent="0.25">
      <c r="A1251" s="463"/>
      <c r="B1251" s="464"/>
      <c r="C1251" s="464"/>
      <c r="D1251" s="464"/>
      <c r="E1251" s="464"/>
      <c r="F1251" s="464"/>
    </row>
    <row r="1252" spans="1:6" s="1222" customFormat="1" x14ac:dyDescent="0.25">
      <c r="A1252" s="463"/>
      <c r="B1252" s="464"/>
      <c r="C1252" s="464"/>
      <c r="D1252" s="464"/>
      <c r="E1252" s="464"/>
      <c r="F1252" s="464"/>
    </row>
    <row r="1253" spans="1:6" s="1222" customFormat="1" x14ac:dyDescent="0.25">
      <c r="A1253" s="463"/>
      <c r="B1253" s="464"/>
      <c r="C1253" s="464"/>
      <c r="D1253" s="464"/>
      <c r="E1253" s="464"/>
      <c r="F1253" s="464"/>
    </row>
    <row r="1254" spans="1:6" s="1222" customFormat="1" x14ac:dyDescent="0.25">
      <c r="A1254" s="463"/>
      <c r="B1254" s="464"/>
      <c r="C1254" s="464"/>
      <c r="D1254" s="464"/>
      <c r="E1254" s="464"/>
      <c r="F1254" s="464"/>
    </row>
    <row r="1255" spans="1:6" s="1222" customFormat="1" x14ac:dyDescent="0.25">
      <c r="A1255" s="463"/>
      <c r="B1255" s="464"/>
      <c r="C1255" s="464"/>
      <c r="D1255" s="464"/>
      <c r="E1255" s="464"/>
      <c r="F1255" s="464"/>
    </row>
    <row r="1256" spans="1:6" s="1222" customFormat="1" x14ac:dyDescent="0.25">
      <c r="A1256" s="463"/>
      <c r="B1256" s="464"/>
      <c r="C1256" s="464"/>
      <c r="D1256" s="464"/>
      <c r="E1256" s="464"/>
      <c r="F1256" s="464"/>
    </row>
    <row r="1257" spans="1:6" s="1222" customFormat="1" x14ac:dyDescent="0.25">
      <c r="A1257" s="463"/>
      <c r="B1257" s="464"/>
      <c r="C1257" s="464"/>
      <c r="D1257" s="464"/>
      <c r="E1257" s="464"/>
      <c r="F1257" s="464"/>
    </row>
    <row r="1258" spans="1:6" s="1222" customFormat="1" x14ac:dyDescent="0.25">
      <c r="A1258" s="463"/>
      <c r="B1258" s="464"/>
      <c r="C1258" s="464"/>
      <c r="D1258" s="464"/>
      <c r="E1258" s="464"/>
      <c r="F1258" s="464"/>
    </row>
    <row r="1259" spans="1:6" s="1222" customFormat="1" x14ac:dyDescent="0.25">
      <c r="A1259" s="463"/>
      <c r="B1259" s="464"/>
      <c r="C1259" s="464"/>
      <c r="D1259" s="464"/>
      <c r="E1259" s="464"/>
      <c r="F1259" s="464"/>
    </row>
    <row r="1260" spans="1:6" s="1222" customFormat="1" x14ac:dyDescent="0.25">
      <c r="A1260" s="463"/>
      <c r="B1260" s="464"/>
      <c r="C1260" s="464"/>
      <c r="D1260" s="464"/>
      <c r="E1260" s="464"/>
      <c r="F1260" s="464"/>
    </row>
    <row r="1261" spans="1:6" s="1222" customFormat="1" x14ac:dyDescent="0.25">
      <c r="A1261" s="463"/>
      <c r="B1261" s="464"/>
      <c r="C1261" s="464"/>
      <c r="D1261" s="464"/>
      <c r="E1261" s="464"/>
      <c r="F1261" s="464"/>
    </row>
    <row r="1262" spans="1:6" s="1222" customFormat="1" x14ac:dyDescent="0.25">
      <c r="A1262" s="463"/>
      <c r="B1262" s="464"/>
      <c r="C1262" s="464"/>
      <c r="D1262" s="464"/>
      <c r="E1262" s="464"/>
      <c r="F1262" s="464"/>
    </row>
    <row r="1263" spans="1:6" s="1222" customFormat="1" x14ac:dyDescent="0.25">
      <c r="A1263" s="463"/>
      <c r="B1263" s="464"/>
      <c r="C1263" s="464"/>
      <c r="D1263" s="464"/>
      <c r="E1263" s="464"/>
      <c r="F1263" s="464"/>
    </row>
    <row r="1264" spans="1:6" s="1222" customFormat="1" x14ac:dyDescent="0.25">
      <c r="A1264" s="463"/>
      <c r="B1264" s="464"/>
      <c r="C1264" s="464"/>
      <c r="D1264" s="464"/>
      <c r="E1264" s="464"/>
      <c r="F1264" s="464"/>
    </row>
    <row r="1265" spans="1:6" s="1222" customFormat="1" x14ac:dyDescent="0.25">
      <c r="A1265" s="463"/>
      <c r="B1265" s="464"/>
      <c r="C1265" s="464"/>
      <c r="D1265" s="464"/>
      <c r="E1265" s="464"/>
      <c r="F1265" s="464"/>
    </row>
    <row r="1266" spans="1:6" s="1222" customFormat="1" x14ac:dyDescent="0.25">
      <c r="A1266" s="463"/>
      <c r="B1266" s="464"/>
      <c r="C1266" s="464"/>
      <c r="D1266" s="464"/>
      <c r="E1266" s="464"/>
      <c r="F1266" s="464"/>
    </row>
    <row r="1267" spans="1:6" s="1222" customFormat="1" x14ac:dyDescent="0.25">
      <c r="A1267" s="463"/>
      <c r="B1267" s="464"/>
      <c r="C1267" s="464"/>
      <c r="D1267" s="464"/>
      <c r="E1267" s="464"/>
      <c r="F1267" s="464"/>
    </row>
    <row r="1268" spans="1:6" s="1222" customFormat="1" x14ac:dyDescent="0.25">
      <c r="A1268" s="463"/>
      <c r="B1268" s="464"/>
      <c r="C1268" s="464"/>
      <c r="D1268" s="464"/>
      <c r="E1268" s="464"/>
      <c r="F1268" s="464"/>
    </row>
    <row r="1269" spans="1:6" s="1222" customFormat="1" x14ac:dyDescent="0.25">
      <c r="A1269" s="463"/>
      <c r="B1269" s="464"/>
      <c r="C1269" s="464"/>
      <c r="D1269" s="464"/>
      <c r="E1269" s="464"/>
      <c r="F1269" s="464"/>
    </row>
    <row r="1270" spans="1:6" s="1222" customFormat="1" x14ac:dyDescent="0.25">
      <c r="A1270" s="463"/>
      <c r="B1270" s="464"/>
      <c r="C1270" s="464"/>
      <c r="D1270" s="464"/>
      <c r="E1270" s="464"/>
      <c r="F1270" s="464"/>
    </row>
    <row r="1271" spans="1:6" s="1222" customFormat="1" x14ac:dyDescent="0.25">
      <c r="A1271" s="463"/>
      <c r="B1271" s="464"/>
      <c r="C1271" s="464"/>
      <c r="D1271" s="464"/>
      <c r="E1271" s="464"/>
      <c r="F1271" s="464"/>
    </row>
    <row r="1272" spans="1:6" s="1222" customFormat="1" x14ac:dyDescent="0.25">
      <c r="A1272" s="463"/>
      <c r="B1272" s="464"/>
      <c r="C1272" s="464"/>
      <c r="D1272" s="464"/>
      <c r="E1272" s="464"/>
      <c r="F1272" s="464"/>
    </row>
    <row r="1273" spans="1:6" s="1222" customFormat="1" x14ac:dyDescent="0.25">
      <c r="A1273" s="463"/>
      <c r="B1273" s="464"/>
      <c r="C1273" s="464"/>
      <c r="D1273" s="464"/>
      <c r="E1273" s="464"/>
      <c r="F1273" s="464"/>
    </row>
    <row r="1274" spans="1:6" s="1222" customFormat="1" x14ac:dyDescent="0.25">
      <c r="A1274" s="463"/>
      <c r="B1274" s="464"/>
      <c r="C1274" s="464"/>
      <c r="D1274" s="464"/>
      <c r="E1274" s="464"/>
      <c r="F1274" s="464"/>
    </row>
    <row r="1275" spans="1:6" s="1222" customFormat="1" x14ac:dyDescent="0.25">
      <c r="A1275" s="463"/>
      <c r="B1275" s="464"/>
      <c r="C1275" s="464"/>
      <c r="D1275" s="464"/>
      <c r="E1275" s="464"/>
      <c r="F1275" s="464"/>
    </row>
    <row r="1276" spans="1:6" s="1222" customFormat="1" x14ac:dyDescent="0.25">
      <c r="A1276" s="463"/>
      <c r="B1276" s="464"/>
      <c r="C1276" s="464"/>
      <c r="D1276" s="464"/>
      <c r="E1276" s="464"/>
      <c r="F1276" s="464"/>
    </row>
    <row r="1277" spans="1:6" s="1222" customFormat="1" x14ac:dyDescent="0.25">
      <c r="A1277" s="463"/>
      <c r="B1277" s="464"/>
      <c r="C1277" s="464"/>
      <c r="D1277" s="464"/>
      <c r="E1277" s="464"/>
      <c r="F1277" s="464"/>
    </row>
    <row r="1278" spans="1:6" s="1222" customFormat="1" x14ac:dyDescent="0.25">
      <c r="A1278" s="463"/>
      <c r="B1278" s="464"/>
      <c r="C1278" s="464"/>
      <c r="D1278" s="464"/>
      <c r="E1278" s="464"/>
      <c r="F1278" s="464"/>
    </row>
    <row r="1279" spans="1:6" s="1222" customFormat="1" x14ac:dyDescent="0.25">
      <c r="A1279" s="463"/>
      <c r="B1279" s="464"/>
      <c r="C1279" s="464"/>
      <c r="D1279" s="464"/>
      <c r="E1279" s="464"/>
      <c r="F1279" s="464"/>
    </row>
    <row r="1280" spans="1:6" s="1222" customFormat="1" x14ac:dyDescent="0.25">
      <c r="A1280" s="463"/>
      <c r="B1280" s="464"/>
      <c r="C1280" s="464"/>
      <c r="D1280" s="464"/>
      <c r="E1280" s="464"/>
      <c r="F1280" s="464"/>
    </row>
    <row r="1281" spans="1:6" s="1222" customFormat="1" x14ac:dyDescent="0.25">
      <c r="A1281" s="463"/>
      <c r="B1281" s="464"/>
      <c r="C1281" s="464"/>
      <c r="D1281" s="464"/>
      <c r="E1281" s="464"/>
      <c r="F1281" s="464"/>
    </row>
    <row r="1282" spans="1:6" s="1222" customFormat="1" x14ac:dyDescent="0.25">
      <c r="A1282" s="463"/>
      <c r="B1282" s="464"/>
      <c r="C1282" s="464"/>
      <c r="D1282" s="464"/>
      <c r="E1282" s="464"/>
      <c r="F1282" s="464"/>
    </row>
    <row r="1283" spans="1:6" s="1222" customFormat="1" x14ac:dyDescent="0.25">
      <c r="A1283" s="463"/>
      <c r="B1283" s="464"/>
      <c r="C1283" s="464"/>
      <c r="D1283" s="464"/>
      <c r="E1283" s="464"/>
      <c r="F1283" s="464"/>
    </row>
    <row r="1284" spans="1:6" s="1222" customFormat="1" x14ac:dyDescent="0.25">
      <c r="A1284" s="463"/>
      <c r="B1284" s="464"/>
      <c r="C1284" s="464"/>
      <c r="D1284" s="464"/>
      <c r="E1284" s="464"/>
      <c r="F1284" s="464"/>
    </row>
    <row r="1285" spans="1:6" s="1222" customFormat="1" x14ac:dyDescent="0.25">
      <c r="A1285" s="463"/>
      <c r="B1285" s="464"/>
      <c r="C1285" s="464"/>
      <c r="D1285" s="464"/>
      <c r="E1285" s="464"/>
      <c r="F1285" s="464"/>
    </row>
    <row r="1286" spans="1:6" s="1222" customFormat="1" x14ac:dyDescent="0.25">
      <c r="A1286" s="463"/>
      <c r="B1286" s="464"/>
      <c r="C1286" s="464"/>
      <c r="D1286" s="464"/>
      <c r="E1286" s="464"/>
      <c r="F1286" s="464"/>
    </row>
    <row r="1287" spans="1:6" s="1222" customFormat="1" x14ac:dyDescent="0.25">
      <c r="A1287" s="463"/>
      <c r="B1287" s="464"/>
      <c r="C1287" s="464"/>
      <c r="D1287" s="464"/>
      <c r="E1287" s="464"/>
      <c r="F1287" s="464"/>
    </row>
    <row r="1288" spans="1:6" s="1222" customFormat="1" x14ac:dyDescent="0.25">
      <c r="A1288" s="463"/>
      <c r="B1288" s="464"/>
      <c r="C1288" s="464"/>
      <c r="D1288" s="464"/>
      <c r="E1288" s="464"/>
      <c r="F1288" s="464"/>
    </row>
    <row r="1289" spans="1:6" s="1222" customFormat="1" x14ac:dyDescent="0.25">
      <c r="A1289" s="463"/>
      <c r="B1289" s="464"/>
      <c r="C1289" s="464"/>
      <c r="D1289" s="464"/>
      <c r="E1289" s="464"/>
      <c r="F1289" s="464"/>
    </row>
    <row r="1290" spans="1:6" s="1222" customFormat="1" x14ac:dyDescent="0.25">
      <c r="A1290" s="463"/>
      <c r="B1290" s="464"/>
      <c r="C1290" s="464"/>
      <c r="D1290" s="464"/>
      <c r="E1290" s="464"/>
      <c r="F1290" s="464"/>
    </row>
    <row r="1291" spans="1:6" s="1222" customFormat="1" x14ac:dyDescent="0.25">
      <c r="A1291" s="463"/>
      <c r="B1291" s="464"/>
      <c r="C1291" s="464"/>
      <c r="D1291" s="464"/>
      <c r="E1291" s="464"/>
      <c r="F1291" s="464"/>
    </row>
    <row r="1292" spans="1:6" s="1222" customFormat="1" x14ac:dyDescent="0.25">
      <c r="A1292" s="463"/>
      <c r="B1292" s="464"/>
      <c r="C1292" s="464"/>
      <c r="D1292" s="464"/>
      <c r="E1292" s="464"/>
      <c r="F1292" s="464"/>
    </row>
    <row r="1293" spans="1:6" s="1222" customFormat="1" x14ac:dyDescent="0.25">
      <c r="A1293" s="463"/>
      <c r="B1293" s="464"/>
      <c r="C1293" s="464"/>
      <c r="D1293" s="464"/>
      <c r="E1293" s="464"/>
      <c r="F1293" s="464"/>
    </row>
    <row r="1294" spans="1:6" s="1222" customFormat="1" x14ac:dyDescent="0.25">
      <c r="A1294" s="463"/>
      <c r="B1294" s="464"/>
      <c r="C1294" s="464"/>
      <c r="D1294" s="464"/>
      <c r="E1294" s="464"/>
      <c r="F1294" s="464"/>
    </row>
    <row r="1295" spans="1:6" s="1222" customFormat="1" x14ac:dyDescent="0.25">
      <c r="A1295" s="463"/>
      <c r="B1295" s="464"/>
      <c r="C1295" s="464"/>
      <c r="D1295" s="464"/>
      <c r="E1295" s="464"/>
      <c r="F1295" s="464"/>
    </row>
    <row r="1296" spans="1:6" s="1222" customFormat="1" x14ac:dyDescent="0.25">
      <c r="A1296" s="463"/>
      <c r="B1296" s="464"/>
      <c r="C1296" s="464"/>
      <c r="D1296" s="464"/>
      <c r="E1296" s="464"/>
      <c r="F1296" s="464"/>
    </row>
    <row r="1297" spans="1:6" s="1222" customFormat="1" x14ac:dyDescent="0.25">
      <c r="A1297" s="463"/>
      <c r="B1297" s="464"/>
      <c r="C1297" s="464"/>
      <c r="D1297" s="464"/>
      <c r="E1297" s="464"/>
      <c r="F1297" s="464"/>
    </row>
    <row r="1298" spans="1:6" s="1222" customFormat="1" x14ac:dyDescent="0.25">
      <c r="A1298" s="463"/>
      <c r="B1298" s="464"/>
      <c r="C1298" s="464"/>
      <c r="D1298" s="464"/>
      <c r="E1298" s="464"/>
      <c r="F1298" s="464"/>
    </row>
    <row r="1299" spans="1:6" s="1222" customFormat="1" x14ac:dyDescent="0.25">
      <c r="A1299" s="463"/>
      <c r="B1299" s="464"/>
      <c r="C1299" s="464"/>
      <c r="D1299" s="464"/>
      <c r="E1299" s="464"/>
      <c r="F1299" s="464"/>
    </row>
    <row r="1300" spans="1:6" s="1222" customFormat="1" x14ac:dyDescent="0.25">
      <c r="A1300" s="463"/>
      <c r="B1300" s="464"/>
      <c r="C1300" s="464"/>
      <c r="D1300" s="464"/>
      <c r="E1300" s="464"/>
      <c r="F1300" s="464"/>
    </row>
    <row r="1301" spans="1:6" s="1222" customFormat="1" x14ac:dyDescent="0.25">
      <c r="A1301" s="463"/>
      <c r="B1301" s="464"/>
      <c r="C1301" s="464"/>
      <c r="D1301" s="464"/>
      <c r="E1301" s="464"/>
      <c r="F1301" s="464"/>
    </row>
    <row r="1302" spans="1:6" s="1222" customFormat="1" x14ac:dyDescent="0.25">
      <c r="A1302" s="463"/>
      <c r="B1302" s="464"/>
      <c r="C1302" s="464"/>
      <c r="D1302" s="464"/>
      <c r="E1302" s="464"/>
      <c r="F1302" s="464"/>
    </row>
    <row r="1303" spans="1:6" s="1222" customFormat="1" x14ac:dyDescent="0.25">
      <c r="A1303" s="463"/>
      <c r="B1303" s="464"/>
      <c r="C1303" s="464"/>
      <c r="D1303" s="464"/>
      <c r="E1303" s="464"/>
      <c r="F1303" s="464"/>
    </row>
    <row r="1304" spans="1:6" s="1222" customFormat="1" x14ac:dyDescent="0.25">
      <c r="A1304" s="463"/>
      <c r="B1304" s="464"/>
      <c r="C1304" s="464"/>
      <c r="D1304" s="464"/>
      <c r="E1304" s="464"/>
      <c r="F1304" s="464"/>
    </row>
    <row r="1305" spans="1:6" s="1222" customFormat="1" x14ac:dyDescent="0.25">
      <c r="A1305" s="463"/>
      <c r="B1305" s="464"/>
      <c r="C1305" s="464"/>
      <c r="D1305" s="464"/>
      <c r="E1305" s="464"/>
      <c r="F1305" s="464"/>
    </row>
    <row r="1306" spans="1:6" s="1222" customFormat="1" x14ac:dyDescent="0.25">
      <c r="A1306" s="463"/>
      <c r="B1306" s="464"/>
      <c r="C1306" s="464"/>
      <c r="D1306" s="464"/>
      <c r="E1306" s="464"/>
      <c r="F1306" s="464"/>
    </row>
    <row r="1307" spans="1:6" s="1222" customFormat="1" x14ac:dyDescent="0.25">
      <c r="A1307" s="463"/>
      <c r="B1307" s="464"/>
      <c r="C1307" s="464"/>
      <c r="D1307" s="464"/>
      <c r="E1307" s="464"/>
      <c r="F1307" s="464"/>
    </row>
    <row r="1308" spans="1:6" s="1222" customFormat="1" x14ac:dyDescent="0.25">
      <c r="A1308" s="463"/>
      <c r="B1308" s="464"/>
      <c r="C1308" s="464"/>
      <c r="D1308" s="464"/>
      <c r="E1308" s="464"/>
      <c r="F1308" s="464"/>
    </row>
    <row r="1309" spans="1:6" s="1222" customFormat="1" x14ac:dyDescent="0.25">
      <c r="A1309" s="463"/>
      <c r="B1309" s="464"/>
      <c r="C1309" s="464"/>
      <c r="D1309" s="464"/>
      <c r="E1309" s="464"/>
      <c r="F1309" s="464"/>
    </row>
    <row r="1310" spans="1:6" s="1222" customFormat="1" x14ac:dyDescent="0.25">
      <c r="A1310" s="463"/>
      <c r="B1310" s="464"/>
      <c r="C1310" s="464"/>
      <c r="D1310" s="464"/>
      <c r="E1310" s="464"/>
      <c r="F1310" s="464"/>
    </row>
    <row r="1311" spans="1:6" s="1222" customFormat="1" x14ac:dyDescent="0.25">
      <c r="A1311" s="463"/>
      <c r="B1311" s="464"/>
      <c r="C1311" s="464"/>
      <c r="D1311" s="464"/>
      <c r="E1311" s="464"/>
      <c r="F1311" s="464"/>
    </row>
    <row r="1312" spans="1:6" s="1222" customFormat="1" x14ac:dyDescent="0.25">
      <c r="A1312" s="463"/>
      <c r="B1312" s="464"/>
      <c r="C1312" s="464"/>
      <c r="D1312" s="464"/>
      <c r="E1312" s="464"/>
      <c r="F1312" s="464"/>
    </row>
    <row r="1313" spans="1:6" s="1222" customFormat="1" x14ac:dyDescent="0.25">
      <c r="A1313" s="463"/>
      <c r="B1313" s="464"/>
      <c r="C1313" s="464"/>
      <c r="D1313" s="464"/>
      <c r="E1313" s="464"/>
      <c r="F1313" s="464"/>
    </row>
    <row r="1314" spans="1:6" s="1222" customFormat="1" x14ac:dyDescent="0.25">
      <c r="A1314" s="463"/>
      <c r="B1314" s="464"/>
      <c r="C1314" s="464"/>
      <c r="D1314" s="464"/>
      <c r="E1314" s="464"/>
      <c r="F1314" s="464"/>
    </row>
    <row r="1315" spans="1:6" s="1222" customFormat="1" x14ac:dyDescent="0.25">
      <c r="A1315" s="463"/>
      <c r="B1315" s="464"/>
      <c r="C1315" s="464"/>
      <c r="D1315" s="464"/>
      <c r="E1315" s="464"/>
      <c r="F1315" s="464"/>
    </row>
    <row r="1316" spans="1:6" s="1222" customFormat="1" x14ac:dyDescent="0.25">
      <c r="A1316" s="463"/>
      <c r="B1316" s="464"/>
      <c r="C1316" s="464"/>
      <c r="D1316" s="464"/>
      <c r="E1316" s="464"/>
      <c r="F1316" s="464"/>
    </row>
    <row r="1317" spans="1:6" s="1222" customFormat="1" x14ac:dyDescent="0.25">
      <c r="A1317" s="463"/>
      <c r="B1317" s="464"/>
      <c r="C1317" s="464"/>
      <c r="D1317" s="464"/>
      <c r="E1317" s="464"/>
      <c r="F1317" s="464"/>
    </row>
    <row r="1318" spans="1:6" s="1222" customFormat="1" x14ac:dyDescent="0.25">
      <c r="A1318" s="463"/>
      <c r="B1318" s="464"/>
      <c r="C1318" s="464"/>
      <c r="D1318" s="464"/>
      <c r="E1318" s="464"/>
      <c r="F1318" s="464"/>
    </row>
    <row r="1319" spans="1:6" s="1222" customFormat="1" x14ac:dyDescent="0.25">
      <c r="A1319" s="463"/>
      <c r="B1319" s="464"/>
      <c r="C1319" s="464"/>
      <c r="D1319" s="464"/>
      <c r="E1319" s="464"/>
      <c r="F1319" s="464"/>
    </row>
    <row r="1320" spans="1:6" s="1222" customFormat="1" x14ac:dyDescent="0.25">
      <c r="A1320" s="463"/>
      <c r="B1320" s="464"/>
      <c r="C1320" s="464"/>
      <c r="D1320" s="464"/>
      <c r="E1320" s="464"/>
      <c r="F1320" s="464"/>
    </row>
    <row r="1321" spans="1:6" s="1222" customFormat="1" x14ac:dyDescent="0.25">
      <c r="A1321" s="463"/>
      <c r="B1321" s="464"/>
      <c r="C1321" s="464"/>
      <c r="D1321" s="464"/>
      <c r="E1321" s="464"/>
      <c r="F1321" s="464"/>
    </row>
    <row r="1322" spans="1:6" s="1222" customFormat="1" x14ac:dyDescent="0.25">
      <c r="A1322" s="463"/>
      <c r="B1322" s="464"/>
      <c r="C1322" s="464"/>
      <c r="D1322" s="464"/>
      <c r="E1322" s="464"/>
      <c r="F1322" s="464"/>
    </row>
    <row r="1323" spans="1:6" s="1222" customFormat="1" x14ac:dyDescent="0.25">
      <c r="A1323" s="463"/>
      <c r="B1323" s="464"/>
      <c r="C1323" s="464"/>
      <c r="D1323" s="464"/>
      <c r="E1323" s="464"/>
      <c r="F1323" s="464"/>
    </row>
    <row r="1324" spans="1:6" s="1222" customFormat="1" x14ac:dyDescent="0.25">
      <c r="A1324" s="463"/>
      <c r="B1324" s="464"/>
      <c r="C1324" s="464"/>
      <c r="D1324" s="464"/>
      <c r="E1324" s="464"/>
      <c r="F1324" s="464"/>
    </row>
    <row r="1325" spans="1:6" s="1222" customFormat="1" x14ac:dyDescent="0.25">
      <c r="A1325" s="463"/>
      <c r="B1325" s="464"/>
      <c r="C1325" s="464"/>
      <c r="D1325" s="464"/>
      <c r="E1325" s="464"/>
      <c r="F1325" s="464"/>
    </row>
    <row r="1326" spans="1:6" s="1222" customFormat="1" x14ac:dyDescent="0.25">
      <c r="A1326" s="463"/>
      <c r="B1326" s="464"/>
      <c r="C1326" s="464"/>
      <c r="D1326" s="464"/>
      <c r="E1326" s="464"/>
      <c r="F1326" s="464"/>
    </row>
    <row r="1327" spans="1:6" s="1222" customFormat="1" x14ac:dyDescent="0.25">
      <c r="A1327" s="463"/>
      <c r="B1327" s="464"/>
      <c r="C1327" s="464"/>
      <c r="D1327" s="464"/>
      <c r="E1327" s="464"/>
      <c r="F1327" s="464"/>
    </row>
    <row r="1328" spans="1:6" s="1222" customFormat="1" x14ac:dyDescent="0.25">
      <c r="A1328" s="463"/>
      <c r="B1328" s="464"/>
      <c r="C1328" s="464"/>
      <c r="D1328" s="464"/>
      <c r="E1328" s="464"/>
      <c r="F1328" s="464"/>
    </row>
    <row r="1329" spans="1:6" s="1222" customFormat="1" x14ac:dyDescent="0.25">
      <c r="A1329" s="463"/>
      <c r="B1329" s="464"/>
      <c r="C1329" s="464"/>
      <c r="D1329" s="464"/>
      <c r="E1329" s="464"/>
      <c r="F1329" s="464"/>
    </row>
    <row r="1330" spans="1:6" s="1222" customFormat="1" x14ac:dyDescent="0.25">
      <c r="A1330" s="463"/>
      <c r="B1330" s="464"/>
      <c r="C1330" s="464"/>
      <c r="D1330" s="464"/>
      <c r="E1330" s="464"/>
      <c r="F1330" s="464"/>
    </row>
    <row r="1331" spans="1:6" s="1222" customFormat="1" x14ac:dyDescent="0.25">
      <c r="A1331" s="463"/>
      <c r="B1331" s="464"/>
      <c r="C1331" s="464"/>
      <c r="D1331" s="464"/>
      <c r="E1331" s="464"/>
      <c r="F1331" s="464"/>
    </row>
    <row r="1332" spans="1:6" s="1222" customFormat="1" x14ac:dyDescent="0.25">
      <c r="A1332" s="463"/>
      <c r="B1332" s="464"/>
      <c r="C1332" s="464"/>
      <c r="D1332" s="464"/>
      <c r="E1332" s="464"/>
      <c r="F1332" s="464"/>
    </row>
    <row r="1333" spans="1:6" s="1222" customFormat="1" x14ac:dyDescent="0.25">
      <c r="A1333" s="463"/>
      <c r="B1333" s="464"/>
      <c r="C1333" s="464"/>
      <c r="D1333" s="464"/>
      <c r="E1333" s="464"/>
      <c r="F1333" s="464"/>
    </row>
    <row r="1334" spans="1:6" s="1222" customFormat="1" x14ac:dyDescent="0.25">
      <c r="A1334" s="463"/>
      <c r="B1334" s="464"/>
      <c r="C1334" s="464"/>
      <c r="D1334" s="464"/>
      <c r="E1334" s="464"/>
      <c r="F1334" s="464"/>
    </row>
    <row r="1335" spans="1:6" s="1222" customFormat="1" x14ac:dyDescent="0.25">
      <c r="A1335" s="463"/>
      <c r="B1335" s="464"/>
      <c r="C1335" s="464"/>
      <c r="D1335" s="464"/>
      <c r="E1335" s="464"/>
      <c r="F1335" s="464"/>
    </row>
    <row r="1336" spans="1:6" s="1222" customFormat="1" x14ac:dyDescent="0.25">
      <c r="A1336" s="463"/>
      <c r="B1336" s="464"/>
      <c r="C1336" s="464"/>
      <c r="D1336" s="464"/>
      <c r="E1336" s="464"/>
      <c r="F1336" s="464"/>
    </row>
    <row r="1337" spans="1:6" s="1222" customFormat="1" x14ac:dyDescent="0.25">
      <c r="A1337" s="463"/>
      <c r="B1337" s="464"/>
      <c r="C1337" s="464"/>
      <c r="D1337" s="464"/>
      <c r="E1337" s="464"/>
      <c r="F1337" s="464"/>
    </row>
    <row r="1338" spans="1:6" s="1222" customFormat="1" x14ac:dyDescent="0.25">
      <c r="A1338" s="463"/>
      <c r="B1338" s="464"/>
      <c r="C1338" s="464"/>
      <c r="D1338" s="464"/>
      <c r="E1338" s="464"/>
      <c r="F1338" s="464"/>
    </row>
    <row r="1339" spans="1:6" s="1222" customFormat="1" x14ac:dyDescent="0.25">
      <c r="A1339" s="463"/>
      <c r="B1339" s="464"/>
      <c r="C1339" s="464"/>
      <c r="D1339" s="464"/>
      <c r="E1339" s="464"/>
      <c r="F1339" s="464"/>
    </row>
    <row r="1340" spans="1:6" s="1222" customFormat="1" x14ac:dyDescent="0.25">
      <c r="A1340" s="463"/>
      <c r="B1340" s="464"/>
      <c r="C1340" s="464"/>
      <c r="D1340" s="464"/>
      <c r="E1340" s="464"/>
      <c r="F1340" s="464"/>
    </row>
    <row r="1341" spans="1:6" s="1222" customFormat="1" x14ac:dyDescent="0.25">
      <c r="A1341" s="463"/>
      <c r="B1341" s="464"/>
      <c r="C1341" s="464"/>
      <c r="D1341" s="464"/>
      <c r="E1341" s="464"/>
      <c r="F1341" s="464"/>
    </row>
    <row r="1342" spans="1:6" s="1222" customFormat="1" x14ac:dyDescent="0.25">
      <c r="A1342" s="463"/>
      <c r="B1342" s="464"/>
      <c r="C1342" s="464"/>
      <c r="D1342" s="464"/>
      <c r="E1342" s="464"/>
      <c r="F1342" s="464"/>
    </row>
    <row r="1343" spans="1:6" s="1222" customFormat="1" x14ac:dyDescent="0.25">
      <c r="A1343" s="463"/>
      <c r="B1343" s="464"/>
      <c r="C1343" s="464"/>
      <c r="D1343" s="464"/>
      <c r="E1343" s="464"/>
      <c r="F1343" s="464"/>
    </row>
    <row r="1344" spans="1:6" s="1222" customFormat="1" x14ac:dyDescent="0.25">
      <c r="A1344" s="463"/>
      <c r="B1344" s="464"/>
      <c r="C1344" s="464"/>
      <c r="D1344" s="464"/>
      <c r="E1344" s="464"/>
      <c r="F1344" s="464"/>
    </row>
    <row r="1345" spans="1:6" s="1222" customFormat="1" x14ac:dyDescent="0.25">
      <c r="A1345" s="463"/>
      <c r="B1345" s="464"/>
      <c r="C1345" s="464"/>
      <c r="D1345" s="464"/>
      <c r="E1345" s="464"/>
      <c r="F1345" s="464"/>
    </row>
    <row r="1346" spans="1:6" s="1222" customFormat="1" x14ac:dyDescent="0.25">
      <c r="A1346" s="463"/>
      <c r="B1346" s="464"/>
      <c r="C1346" s="464"/>
      <c r="D1346" s="464"/>
      <c r="E1346" s="464"/>
      <c r="F1346" s="464"/>
    </row>
    <row r="1347" spans="1:6" s="1222" customFormat="1" x14ac:dyDescent="0.25">
      <c r="A1347" s="463"/>
      <c r="B1347" s="464"/>
      <c r="C1347" s="464"/>
      <c r="D1347" s="464"/>
      <c r="E1347" s="464"/>
      <c r="F1347" s="464"/>
    </row>
    <row r="1348" spans="1:6" s="1222" customFormat="1" x14ac:dyDescent="0.25">
      <c r="A1348" s="463"/>
      <c r="B1348" s="464"/>
      <c r="C1348" s="464"/>
      <c r="D1348" s="464"/>
      <c r="E1348" s="464"/>
      <c r="F1348" s="464"/>
    </row>
    <row r="1349" spans="1:6" s="1222" customFormat="1" x14ac:dyDescent="0.25">
      <c r="A1349" s="463"/>
      <c r="B1349" s="464"/>
      <c r="C1349" s="464"/>
      <c r="D1349" s="464"/>
      <c r="E1349" s="464"/>
      <c r="F1349" s="464"/>
    </row>
    <row r="1350" spans="1:6" s="1222" customFormat="1" x14ac:dyDescent="0.25">
      <c r="A1350" s="463"/>
      <c r="B1350" s="464"/>
      <c r="C1350" s="464"/>
      <c r="D1350" s="464"/>
      <c r="E1350" s="464"/>
      <c r="F1350" s="464"/>
    </row>
    <row r="1351" spans="1:6" s="1222" customFormat="1" x14ac:dyDescent="0.25">
      <c r="A1351" s="463"/>
      <c r="B1351" s="464"/>
      <c r="C1351" s="464"/>
      <c r="D1351" s="464"/>
      <c r="E1351" s="464"/>
      <c r="F1351" s="464"/>
    </row>
    <row r="1352" spans="1:6" s="1222" customFormat="1" x14ac:dyDescent="0.25">
      <c r="A1352" s="463"/>
      <c r="B1352" s="464"/>
      <c r="C1352" s="464"/>
      <c r="D1352" s="464"/>
      <c r="E1352" s="464"/>
      <c r="F1352" s="464"/>
    </row>
    <row r="1353" spans="1:6" s="1222" customFormat="1" x14ac:dyDescent="0.25">
      <c r="A1353" s="463"/>
      <c r="B1353" s="464"/>
      <c r="C1353" s="464"/>
      <c r="D1353" s="464"/>
      <c r="E1353" s="464"/>
      <c r="F1353" s="464"/>
    </row>
    <row r="1354" spans="1:6" s="1222" customFormat="1" x14ac:dyDescent="0.25">
      <c r="A1354" s="463"/>
      <c r="B1354" s="464"/>
      <c r="C1354" s="464"/>
      <c r="D1354" s="464"/>
      <c r="E1354" s="464"/>
      <c r="F1354" s="464"/>
    </row>
    <row r="1355" spans="1:6" s="1222" customFormat="1" x14ac:dyDescent="0.25">
      <c r="A1355" s="463"/>
      <c r="B1355" s="464"/>
      <c r="C1355" s="464"/>
      <c r="D1355" s="464"/>
      <c r="E1355" s="464"/>
      <c r="F1355" s="464"/>
    </row>
    <row r="1356" spans="1:6" s="1222" customFormat="1" x14ac:dyDescent="0.25">
      <c r="A1356" s="463"/>
      <c r="B1356" s="464"/>
      <c r="C1356" s="464"/>
      <c r="D1356" s="464"/>
      <c r="E1356" s="464"/>
      <c r="F1356" s="464"/>
    </row>
    <row r="1357" spans="1:6" s="1222" customFormat="1" x14ac:dyDescent="0.25">
      <c r="A1357" s="463"/>
      <c r="B1357" s="464"/>
      <c r="C1357" s="464"/>
      <c r="D1357" s="464"/>
      <c r="E1357" s="464"/>
      <c r="F1357" s="464"/>
    </row>
    <row r="1358" spans="1:6" s="1222" customFormat="1" x14ac:dyDescent="0.25">
      <c r="A1358" s="463"/>
      <c r="B1358" s="464"/>
      <c r="C1358" s="464"/>
      <c r="D1358" s="464"/>
      <c r="E1358" s="464"/>
      <c r="F1358" s="464"/>
    </row>
    <row r="1359" spans="1:6" s="1222" customFormat="1" x14ac:dyDescent="0.25">
      <c r="A1359" s="463"/>
      <c r="B1359" s="464"/>
      <c r="C1359" s="464"/>
      <c r="D1359" s="464"/>
      <c r="E1359" s="464"/>
      <c r="F1359" s="464"/>
    </row>
    <row r="1360" spans="1:6" s="1222" customFormat="1" x14ac:dyDescent="0.25">
      <c r="A1360" s="463"/>
      <c r="B1360" s="464"/>
      <c r="C1360" s="464"/>
      <c r="D1360" s="464"/>
      <c r="E1360" s="464"/>
      <c r="F1360" s="464"/>
    </row>
    <row r="1361" spans="1:6" s="1222" customFormat="1" x14ac:dyDescent="0.25">
      <c r="A1361" s="463"/>
      <c r="B1361" s="464"/>
      <c r="C1361" s="464"/>
      <c r="D1361" s="464"/>
      <c r="E1361" s="464"/>
      <c r="F1361" s="464"/>
    </row>
    <row r="1362" spans="1:6" s="1222" customFormat="1" x14ac:dyDescent="0.25">
      <c r="A1362" s="463"/>
      <c r="B1362" s="464"/>
      <c r="C1362" s="464"/>
      <c r="D1362" s="464"/>
      <c r="E1362" s="464"/>
      <c r="F1362" s="464"/>
    </row>
    <row r="1363" spans="1:6" s="1222" customFormat="1" x14ac:dyDescent="0.25">
      <c r="A1363" s="463"/>
      <c r="B1363" s="464"/>
      <c r="C1363" s="464"/>
      <c r="D1363" s="464"/>
      <c r="E1363" s="464"/>
      <c r="F1363" s="464"/>
    </row>
    <row r="1364" spans="1:6" s="1222" customFormat="1" x14ac:dyDescent="0.25">
      <c r="A1364" s="463"/>
      <c r="B1364" s="464"/>
      <c r="C1364" s="464"/>
      <c r="D1364" s="464"/>
      <c r="E1364" s="464"/>
      <c r="F1364" s="464"/>
    </row>
    <row r="1365" spans="1:6" s="1222" customFormat="1" x14ac:dyDescent="0.25">
      <c r="A1365" s="463"/>
      <c r="B1365" s="464"/>
      <c r="C1365" s="464"/>
      <c r="D1365" s="464"/>
      <c r="E1365" s="464"/>
      <c r="F1365" s="464"/>
    </row>
    <row r="1366" spans="1:6" s="1222" customFormat="1" x14ac:dyDescent="0.25">
      <c r="A1366" s="463"/>
      <c r="B1366" s="464"/>
      <c r="C1366" s="464"/>
      <c r="D1366" s="464"/>
      <c r="E1366" s="464"/>
      <c r="F1366" s="464"/>
    </row>
    <row r="1367" spans="1:6" s="1222" customFormat="1" x14ac:dyDescent="0.25">
      <c r="A1367" s="463"/>
      <c r="B1367" s="464"/>
      <c r="C1367" s="464"/>
      <c r="D1367" s="464"/>
      <c r="E1367" s="464"/>
      <c r="F1367" s="464"/>
    </row>
    <row r="1368" spans="1:6" s="1222" customFormat="1" x14ac:dyDescent="0.25">
      <c r="A1368" s="463"/>
      <c r="B1368" s="464"/>
      <c r="C1368" s="464"/>
      <c r="D1368" s="464"/>
      <c r="E1368" s="464"/>
      <c r="F1368" s="464"/>
    </row>
    <row r="1369" spans="1:6" s="1222" customFormat="1" x14ac:dyDescent="0.25">
      <c r="A1369" s="463"/>
      <c r="B1369" s="464"/>
      <c r="C1369" s="464"/>
      <c r="D1369" s="464"/>
      <c r="E1369" s="464"/>
      <c r="F1369" s="464"/>
    </row>
    <row r="1370" spans="1:6" s="1222" customFormat="1" x14ac:dyDescent="0.25">
      <c r="A1370" s="463"/>
      <c r="B1370" s="464"/>
      <c r="C1370" s="464"/>
      <c r="D1370" s="464"/>
      <c r="E1370" s="464"/>
      <c r="F1370" s="464"/>
    </row>
    <row r="1371" spans="1:6" s="1222" customFormat="1" x14ac:dyDescent="0.25">
      <c r="A1371" s="463"/>
      <c r="B1371" s="464"/>
      <c r="C1371" s="464"/>
      <c r="D1371" s="464"/>
      <c r="E1371" s="464"/>
      <c r="F1371" s="464"/>
    </row>
    <row r="1372" spans="1:6" s="1222" customFormat="1" x14ac:dyDescent="0.25">
      <c r="A1372" s="463"/>
      <c r="B1372" s="464"/>
      <c r="C1372" s="464"/>
      <c r="D1372" s="464"/>
      <c r="E1372" s="464"/>
      <c r="F1372" s="464"/>
    </row>
    <row r="1373" spans="1:6" s="1222" customFormat="1" x14ac:dyDescent="0.25">
      <c r="A1373" s="463"/>
      <c r="B1373" s="464"/>
      <c r="C1373" s="464"/>
      <c r="D1373" s="464"/>
      <c r="E1373" s="464"/>
      <c r="F1373" s="464"/>
    </row>
    <row r="1374" spans="1:6" s="1222" customFormat="1" x14ac:dyDescent="0.25">
      <c r="A1374" s="463"/>
      <c r="B1374" s="464"/>
      <c r="C1374" s="464"/>
      <c r="D1374" s="464"/>
      <c r="E1374" s="464"/>
      <c r="F1374" s="464"/>
    </row>
    <row r="1375" spans="1:6" s="1222" customFormat="1" x14ac:dyDescent="0.25">
      <c r="A1375" s="463"/>
      <c r="B1375" s="464"/>
      <c r="C1375" s="464"/>
      <c r="D1375" s="464"/>
      <c r="E1375" s="464"/>
      <c r="F1375" s="464"/>
    </row>
    <row r="1376" spans="1:6" s="1222" customFormat="1" x14ac:dyDescent="0.25">
      <c r="A1376" s="463"/>
      <c r="B1376" s="464"/>
      <c r="C1376" s="464"/>
      <c r="D1376" s="464"/>
      <c r="E1376" s="464"/>
      <c r="F1376" s="464"/>
    </row>
    <row r="1377" spans="1:6" s="1222" customFormat="1" x14ac:dyDescent="0.25">
      <c r="A1377" s="463"/>
      <c r="B1377" s="464"/>
      <c r="C1377" s="464"/>
      <c r="D1377" s="464"/>
      <c r="E1377" s="464"/>
      <c r="F1377" s="464"/>
    </row>
    <row r="1378" spans="1:6" s="1222" customFormat="1" x14ac:dyDescent="0.25">
      <c r="A1378" s="463"/>
      <c r="B1378" s="464"/>
      <c r="C1378" s="464"/>
      <c r="D1378" s="464"/>
      <c r="E1378" s="464"/>
      <c r="F1378" s="464"/>
    </row>
    <row r="1379" spans="1:6" s="1222" customFormat="1" x14ac:dyDescent="0.25">
      <c r="A1379" s="463"/>
      <c r="B1379" s="464"/>
      <c r="C1379" s="464"/>
      <c r="D1379" s="464"/>
      <c r="E1379" s="464"/>
      <c r="F1379" s="464"/>
    </row>
    <row r="1380" spans="1:6" s="1222" customFormat="1" x14ac:dyDescent="0.25">
      <c r="A1380" s="463"/>
      <c r="B1380" s="464"/>
      <c r="C1380" s="464"/>
      <c r="D1380" s="464"/>
      <c r="E1380" s="464"/>
      <c r="F1380" s="464"/>
    </row>
    <row r="1381" spans="1:6" s="1222" customFormat="1" x14ac:dyDescent="0.25">
      <c r="A1381" s="463"/>
      <c r="B1381" s="464"/>
      <c r="C1381" s="464"/>
      <c r="D1381" s="464"/>
      <c r="E1381" s="464"/>
      <c r="F1381" s="464"/>
    </row>
    <row r="1382" spans="1:6" s="1222" customFormat="1" x14ac:dyDescent="0.25">
      <c r="A1382" s="463"/>
      <c r="B1382" s="464"/>
      <c r="C1382" s="464"/>
      <c r="D1382" s="464"/>
      <c r="E1382" s="464"/>
      <c r="F1382" s="464"/>
    </row>
    <row r="1383" spans="1:6" s="1222" customFormat="1" x14ac:dyDescent="0.25">
      <c r="A1383" s="463"/>
      <c r="B1383" s="464"/>
      <c r="C1383" s="464"/>
      <c r="D1383" s="464"/>
      <c r="E1383" s="464"/>
      <c r="F1383" s="464"/>
    </row>
    <row r="1384" spans="1:6" s="1222" customFormat="1" x14ac:dyDescent="0.25">
      <c r="A1384" s="463"/>
      <c r="B1384" s="464"/>
      <c r="C1384" s="464"/>
      <c r="D1384" s="464"/>
      <c r="E1384" s="464"/>
      <c r="F1384" s="464"/>
    </row>
    <row r="1385" spans="1:6" s="1222" customFormat="1" x14ac:dyDescent="0.25">
      <c r="A1385" s="463"/>
      <c r="B1385" s="464"/>
      <c r="C1385" s="464"/>
      <c r="D1385" s="464"/>
      <c r="E1385" s="464"/>
      <c r="F1385" s="464"/>
    </row>
    <row r="1386" spans="1:6" s="1222" customFormat="1" x14ac:dyDescent="0.25">
      <c r="A1386" s="463"/>
      <c r="B1386" s="464"/>
      <c r="C1386" s="464"/>
      <c r="D1386" s="464"/>
      <c r="E1386" s="464"/>
      <c r="F1386" s="464"/>
    </row>
    <row r="1387" spans="1:6" s="1222" customFormat="1" x14ac:dyDescent="0.25">
      <c r="A1387" s="463"/>
      <c r="B1387" s="464"/>
      <c r="C1387" s="464"/>
      <c r="D1387" s="464"/>
      <c r="E1387" s="464"/>
      <c r="F1387" s="464"/>
    </row>
    <row r="1388" spans="1:6" s="1222" customFormat="1" x14ac:dyDescent="0.25">
      <c r="A1388" s="463"/>
      <c r="B1388" s="464"/>
      <c r="C1388" s="464"/>
      <c r="D1388" s="464"/>
      <c r="E1388" s="464"/>
      <c r="F1388" s="464"/>
    </row>
    <row r="1389" spans="1:6" s="1222" customFormat="1" x14ac:dyDescent="0.25">
      <c r="A1389" s="463"/>
      <c r="B1389" s="464"/>
      <c r="C1389" s="464"/>
      <c r="D1389" s="464"/>
      <c r="E1389" s="464"/>
      <c r="F1389" s="464"/>
    </row>
    <row r="1390" spans="1:6" s="1222" customFormat="1" x14ac:dyDescent="0.25">
      <c r="A1390" s="463"/>
      <c r="B1390" s="464"/>
      <c r="C1390" s="464"/>
      <c r="D1390" s="464"/>
      <c r="E1390" s="464"/>
      <c r="F1390" s="464"/>
    </row>
    <row r="1391" spans="1:6" s="1222" customFormat="1" x14ac:dyDescent="0.25">
      <c r="A1391" s="463"/>
      <c r="B1391" s="464"/>
      <c r="C1391" s="464"/>
      <c r="D1391" s="464"/>
      <c r="E1391" s="464"/>
      <c r="F1391" s="464"/>
    </row>
    <row r="1392" spans="1:6" s="1222" customFormat="1" x14ac:dyDescent="0.25">
      <c r="A1392" s="463"/>
      <c r="B1392" s="464"/>
      <c r="C1392" s="464"/>
      <c r="D1392" s="464"/>
      <c r="E1392" s="464"/>
      <c r="F1392" s="464"/>
    </row>
    <row r="1393" spans="1:6" s="1222" customFormat="1" x14ac:dyDescent="0.25">
      <c r="A1393" s="463"/>
      <c r="B1393" s="464"/>
      <c r="C1393" s="464"/>
      <c r="D1393" s="464"/>
      <c r="E1393" s="464"/>
      <c r="F1393" s="464"/>
    </row>
    <row r="1394" spans="1:6" s="1222" customFormat="1" x14ac:dyDescent="0.25">
      <c r="A1394" s="463"/>
      <c r="B1394" s="464"/>
      <c r="C1394" s="464"/>
      <c r="D1394" s="464"/>
      <c r="E1394" s="464"/>
      <c r="F1394" s="464"/>
    </row>
    <row r="1395" spans="1:6" s="1222" customFormat="1" x14ac:dyDescent="0.25">
      <c r="A1395" s="463"/>
      <c r="B1395" s="464"/>
      <c r="C1395" s="464"/>
      <c r="D1395" s="464"/>
      <c r="E1395" s="464"/>
      <c r="F1395" s="464"/>
    </row>
    <row r="1396" spans="1:6" s="1222" customFormat="1" x14ac:dyDescent="0.25">
      <c r="A1396" s="463"/>
      <c r="B1396" s="464"/>
      <c r="C1396" s="464"/>
      <c r="D1396" s="464"/>
      <c r="E1396" s="464"/>
      <c r="F1396" s="464"/>
    </row>
    <row r="1397" spans="1:6" s="1222" customFormat="1" x14ac:dyDescent="0.25">
      <c r="A1397" s="463"/>
      <c r="B1397" s="464"/>
      <c r="C1397" s="464"/>
      <c r="D1397" s="464"/>
      <c r="E1397" s="464"/>
      <c r="F1397" s="464"/>
    </row>
    <row r="1398" spans="1:6" s="1222" customFormat="1" x14ac:dyDescent="0.25">
      <c r="A1398" s="463"/>
      <c r="B1398" s="464"/>
      <c r="C1398" s="464"/>
      <c r="D1398" s="464"/>
      <c r="E1398" s="464"/>
      <c r="F1398" s="464"/>
    </row>
    <row r="1399" spans="1:6" s="1222" customFormat="1" x14ac:dyDescent="0.25">
      <c r="A1399" s="463"/>
      <c r="B1399" s="464"/>
      <c r="C1399" s="464"/>
      <c r="D1399" s="464"/>
      <c r="E1399" s="464"/>
      <c r="F1399" s="464"/>
    </row>
    <row r="1400" spans="1:6" s="1222" customFormat="1" x14ac:dyDescent="0.25">
      <c r="A1400" s="463"/>
      <c r="B1400" s="464"/>
      <c r="C1400" s="464"/>
      <c r="D1400" s="464"/>
      <c r="E1400" s="464"/>
      <c r="F1400" s="464"/>
    </row>
    <row r="1401" spans="1:6" s="1222" customFormat="1" x14ac:dyDescent="0.25">
      <c r="A1401" s="463"/>
      <c r="B1401" s="464"/>
      <c r="C1401" s="464"/>
      <c r="D1401" s="464"/>
      <c r="E1401" s="464"/>
      <c r="F1401" s="464"/>
    </row>
    <row r="1402" spans="1:6" s="1222" customFormat="1" x14ac:dyDescent="0.25">
      <c r="A1402" s="463"/>
      <c r="B1402" s="464"/>
      <c r="C1402" s="464"/>
      <c r="D1402" s="464"/>
      <c r="E1402" s="464"/>
      <c r="F1402" s="464"/>
    </row>
    <row r="1403" spans="1:6" s="1222" customFormat="1" x14ac:dyDescent="0.25">
      <c r="A1403" s="463"/>
      <c r="B1403" s="464"/>
      <c r="C1403" s="464"/>
      <c r="D1403" s="464"/>
      <c r="E1403" s="464"/>
      <c r="F1403" s="464"/>
    </row>
    <row r="1404" spans="1:6" s="1222" customFormat="1" x14ac:dyDescent="0.25">
      <c r="A1404" s="463"/>
      <c r="B1404" s="464"/>
      <c r="C1404" s="464"/>
      <c r="D1404" s="464"/>
      <c r="E1404" s="464"/>
      <c r="F1404" s="464"/>
    </row>
    <row r="1405" spans="1:6" s="1222" customFormat="1" x14ac:dyDescent="0.25">
      <c r="A1405" s="463"/>
      <c r="B1405" s="464"/>
      <c r="C1405" s="464"/>
      <c r="D1405" s="464"/>
      <c r="E1405" s="464"/>
      <c r="F1405" s="464"/>
    </row>
    <row r="1406" spans="1:6" s="1222" customFormat="1" x14ac:dyDescent="0.25">
      <c r="A1406" s="463"/>
      <c r="B1406" s="464"/>
      <c r="C1406" s="464"/>
      <c r="D1406" s="464"/>
      <c r="E1406" s="464"/>
      <c r="F1406" s="464"/>
    </row>
    <row r="1407" spans="1:6" s="1222" customFormat="1" x14ac:dyDescent="0.25">
      <c r="A1407" s="463"/>
      <c r="B1407" s="464"/>
      <c r="C1407" s="464"/>
      <c r="D1407" s="464"/>
      <c r="E1407" s="464"/>
      <c r="F1407" s="464"/>
    </row>
    <row r="1408" spans="1:6" s="1222" customFormat="1" x14ac:dyDescent="0.25">
      <c r="A1408" s="463"/>
      <c r="B1408" s="464"/>
      <c r="C1408" s="464"/>
      <c r="D1408" s="464"/>
      <c r="E1408" s="464"/>
      <c r="F1408" s="464"/>
    </row>
    <row r="1409" spans="1:6" s="1222" customFormat="1" x14ac:dyDescent="0.25">
      <c r="A1409" s="463"/>
      <c r="B1409" s="464"/>
      <c r="C1409" s="464"/>
      <c r="D1409" s="464"/>
      <c r="E1409" s="464"/>
      <c r="F1409" s="464"/>
    </row>
    <row r="1410" spans="1:6" s="1222" customFormat="1" x14ac:dyDescent="0.25">
      <c r="A1410" s="463"/>
      <c r="B1410" s="464"/>
      <c r="C1410" s="464"/>
      <c r="D1410" s="464"/>
      <c r="E1410" s="464"/>
      <c r="F1410" s="464"/>
    </row>
    <row r="1411" spans="1:6" s="1222" customFormat="1" x14ac:dyDescent="0.25">
      <c r="A1411" s="463"/>
      <c r="B1411" s="464"/>
      <c r="C1411" s="464"/>
      <c r="D1411" s="464"/>
      <c r="E1411" s="464"/>
      <c r="F1411" s="464"/>
    </row>
    <row r="1412" spans="1:6" s="1222" customFormat="1" x14ac:dyDescent="0.25">
      <c r="A1412" s="463"/>
      <c r="B1412" s="464"/>
      <c r="C1412" s="464"/>
      <c r="D1412" s="464"/>
      <c r="E1412" s="464"/>
      <c r="F1412" s="464"/>
    </row>
    <row r="1413" spans="1:6" s="1222" customFormat="1" x14ac:dyDescent="0.25">
      <c r="A1413" s="463"/>
      <c r="B1413" s="464"/>
      <c r="C1413" s="464"/>
      <c r="D1413" s="464"/>
      <c r="E1413" s="464"/>
      <c r="F1413" s="464"/>
    </row>
    <row r="1414" spans="1:6" s="1222" customFormat="1" x14ac:dyDescent="0.25">
      <c r="A1414" s="463"/>
      <c r="B1414" s="464"/>
      <c r="C1414" s="464"/>
      <c r="D1414" s="464"/>
      <c r="E1414" s="464"/>
      <c r="F1414" s="464"/>
    </row>
    <row r="1415" spans="1:6" s="1222" customFormat="1" x14ac:dyDescent="0.25">
      <c r="A1415" s="463"/>
      <c r="B1415" s="464"/>
      <c r="C1415" s="464"/>
      <c r="D1415" s="464"/>
      <c r="E1415" s="464"/>
      <c r="F1415" s="464"/>
    </row>
    <row r="1416" spans="1:6" s="1222" customFormat="1" x14ac:dyDescent="0.25">
      <c r="A1416" s="463"/>
      <c r="B1416" s="464"/>
      <c r="C1416" s="464"/>
      <c r="D1416" s="464"/>
      <c r="E1416" s="464"/>
      <c r="F1416" s="464"/>
    </row>
    <row r="1417" spans="1:6" s="1222" customFormat="1" x14ac:dyDescent="0.25">
      <c r="A1417" s="463"/>
      <c r="B1417" s="464"/>
      <c r="C1417" s="464"/>
      <c r="D1417" s="464"/>
      <c r="E1417" s="464"/>
      <c r="F1417" s="464"/>
    </row>
    <row r="1418" spans="1:6" s="1222" customFormat="1" x14ac:dyDescent="0.25">
      <c r="A1418" s="463"/>
      <c r="B1418" s="464"/>
      <c r="C1418" s="464"/>
      <c r="D1418" s="464"/>
      <c r="E1418" s="464"/>
      <c r="F1418" s="464"/>
    </row>
    <row r="1419" spans="1:6" s="1222" customFormat="1" x14ac:dyDescent="0.25">
      <c r="A1419" s="463"/>
      <c r="B1419" s="464"/>
      <c r="C1419" s="464"/>
      <c r="D1419" s="464"/>
      <c r="E1419" s="464"/>
      <c r="F1419" s="464"/>
    </row>
    <row r="1420" spans="1:6" s="1222" customFormat="1" x14ac:dyDescent="0.25">
      <c r="A1420" s="463"/>
      <c r="B1420" s="464"/>
      <c r="C1420" s="464"/>
      <c r="D1420" s="464"/>
      <c r="E1420" s="464"/>
      <c r="F1420" s="464"/>
    </row>
    <row r="1421" spans="1:6" s="1222" customFormat="1" x14ac:dyDescent="0.25">
      <c r="A1421" s="463"/>
      <c r="B1421" s="464"/>
      <c r="C1421" s="464"/>
      <c r="D1421" s="464"/>
      <c r="E1421" s="464"/>
      <c r="F1421" s="464"/>
    </row>
    <row r="1422" spans="1:6" s="1222" customFormat="1" x14ac:dyDescent="0.25">
      <c r="A1422" s="463"/>
      <c r="B1422" s="464"/>
      <c r="C1422" s="464"/>
      <c r="D1422" s="464"/>
      <c r="E1422" s="464"/>
      <c r="F1422" s="464"/>
    </row>
    <row r="1423" spans="1:6" s="1222" customFormat="1" x14ac:dyDescent="0.25">
      <c r="A1423" s="463"/>
      <c r="B1423" s="464"/>
      <c r="C1423" s="464"/>
      <c r="D1423" s="464"/>
      <c r="E1423" s="464"/>
      <c r="F1423" s="464"/>
    </row>
    <row r="1424" spans="1:6" s="1222" customFormat="1" x14ac:dyDescent="0.25">
      <c r="A1424" s="463"/>
      <c r="B1424" s="464"/>
      <c r="C1424" s="464"/>
      <c r="D1424" s="464"/>
      <c r="E1424" s="464"/>
      <c r="F1424" s="464"/>
    </row>
    <row r="1425" spans="1:6" s="1222" customFormat="1" x14ac:dyDescent="0.25">
      <c r="A1425" s="463"/>
      <c r="B1425" s="464"/>
      <c r="C1425" s="464"/>
      <c r="D1425" s="464"/>
      <c r="E1425" s="464"/>
      <c r="F1425" s="464"/>
    </row>
    <row r="1426" spans="1:6" s="1222" customFormat="1" x14ac:dyDescent="0.25">
      <c r="A1426" s="463"/>
      <c r="B1426" s="464"/>
      <c r="C1426" s="464"/>
      <c r="D1426" s="464"/>
      <c r="E1426" s="464"/>
      <c r="F1426" s="464"/>
    </row>
    <row r="1427" spans="1:6" s="1222" customFormat="1" x14ac:dyDescent="0.25">
      <c r="A1427" s="463"/>
      <c r="B1427" s="464"/>
      <c r="C1427" s="464"/>
      <c r="D1427" s="464"/>
      <c r="E1427" s="464"/>
      <c r="F1427" s="464"/>
    </row>
    <row r="1428" spans="1:6" s="1222" customFormat="1" x14ac:dyDescent="0.25">
      <c r="A1428" s="463"/>
      <c r="B1428" s="464"/>
      <c r="C1428" s="464"/>
      <c r="D1428" s="464"/>
      <c r="E1428" s="464"/>
      <c r="F1428" s="464"/>
    </row>
    <row r="1429" spans="1:6" s="1222" customFormat="1" x14ac:dyDescent="0.25">
      <c r="A1429" s="463"/>
      <c r="B1429" s="464"/>
      <c r="C1429" s="464"/>
      <c r="D1429" s="464"/>
      <c r="E1429" s="464"/>
      <c r="F1429" s="464"/>
    </row>
    <row r="1430" spans="1:6" s="1222" customFormat="1" x14ac:dyDescent="0.25">
      <c r="A1430" s="463"/>
      <c r="B1430" s="464"/>
      <c r="C1430" s="464"/>
      <c r="D1430" s="464"/>
      <c r="E1430" s="464"/>
      <c r="F1430" s="464"/>
    </row>
    <row r="1431" spans="1:6" s="1222" customFormat="1" x14ac:dyDescent="0.25">
      <c r="A1431" s="463"/>
      <c r="B1431" s="464"/>
      <c r="C1431" s="464"/>
      <c r="D1431" s="464"/>
      <c r="E1431" s="464"/>
      <c r="F1431" s="464"/>
    </row>
    <row r="1432" spans="1:6" s="1222" customFormat="1" x14ac:dyDescent="0.25">
      <c r="A1432" s="463"/>
      <c r="B1432" s="464"/>
      <c r="C1432" s="464"/>
      <c r="D1432" s="464"/>
      <c r="E1432" s="464"/>
      <c r="F1432" s="464"/>
    </row>
    <row r="1433" spans="1:6" s="1222" customFormat="1" x14ac:dyDescent="0.25">
      <c r="A1433" s="463"/>
      <c r="B1433" s="464"/>
      <c r="C1433" s="464"/>
      <c r="D1433" s="464"/>
      <c r="E1433" s="464"/>
      <c r="F1433" s="464"/>
    </row>
    <row r="1434" spans="1:6" s="1222" customFormat="1" x14ac:dyDescent="0.25">
      <c r="A1434" s="463"/>
      <c r="B1434" s="464"/>
      <c r="C1434" s="464"/>
      <c r="D1434" s="464"/>
      <c r="E1434" s="464"/>
      <c r="F1434" s="464"/>
    </row>
    <row r="1435" spans="1:6" s="1222" customFormat="1" x14ac:dyDescent="0.25">
      <c r="A1435" s="463"/>
      <c r="B1435" s="464"/>
      <c r="C1435" s="464"/>
      <c r="D1435" s="464"/>
      <c r="E1435" s="464"/>
      <c r="F1435" s="464"/>
    </row>
    <row r="1436" spans="1:6" s="1222" customFormat="1" x14ac:dyDescent="0.25">
      <c r="A1436" s="463"/>
      <c r="B1436" s="464"/>
      <c r="C1436" s="464"/>
      <c r="D1436" s="464"/>
      <c r="E1436" s="464"/>
      <c r="F1436" s="464"/>
    </row>
    <row r="1437" spans="1:6" s="1222" customFormat="1" x14ac:dyDescent="0.25">
      <c r="A1437" s="463"/>
      <c r="B1437" s="464"/>
      <c r="C1437" s="464"/>
      <c r="D1437" s="464"/>
      <c r="E1437" s="464"/>
      <c r="F1437" s="464"/>
    </row>
    <row r="1438" spans="1:6" s="1222" customFormat="1" x14ac:dyDescent="0.25">
      <c r="A1438" s="463"/>
      <c r="B1438" s="464"/>
      <c r="C1438" s="464"/>
      <c r="D1438" s="464"/>
      <c r="E1438" s="464"/>
      <c r="F1438" s="464"/>
    </row>
    <row r="1439" spans="1:6" s="1222" customFormat="1" x14ac:dyDescent="0.25">
      <c r="A1439" s="463"/>
      <c r="B1439" s="464"/>
      <c r="C1439" s="464"/>
      <c r="D1439" s="464"/>
      <c r="E1439" s="464"/>
      <c r="F1439" s="464"/>
    </row>
    <row r="1440" spans="1:6" s="1222" customFormat="1" x14ac:dyDescent="0.25">
      <c r="A1440" s="463"/>
      <c r="B1440" s="464"/>
      <c r="C1440" s="464"/>
      <c r="D1440" s="464"/>
      <c r="E1440" s="464"/>
      <c r="F1440" s="464"/>
    </row>
    <row r="1441" spans="1:6" s="1222" customFormat="1" x14ac:dyDescent="0.25">
      <c r="A1441" s="463"/>
      <c r="B1441" s="464"/>
      <c r="C1441" s="464"/>
      <c r="D1441" s="464"/>
      <c r="E1441" s="464"/>
      <c r="F1441" s="464"/>
    </row>
    <row r="1442" spans="1:6" s="1222" customFormat="1" x14ac:dyDescent="0.25">
      <c r="A1442" s="463"/>
      <c r="B1442" s="464"/>
      <c r="C1442" s="464"/>
      <c r="D1442" s="464"/>
      <c r="E1442" s="464"/>
      <c r="F1442" s="464"/>
    </row>
    <row r="1443" spans="1:6" s="1222" customFormat="1" x14ac:dyDescent="0.25">
      <c r="A1443" s="463"/>
      <c r="B1443" s="464"/>
      <c r="C1443" s="464"/>
      <c r="D1443" s="464"/>
      <c r="E1443" s="464"/>
      <c r="F1443" s="464"/>
    </row>
    <row r="1444" spans="1:6" s="1222" customFormat="1" x14ac:dyDescent="0.25">
      <c r="A1444" s="463"/>
      <c r="B1444" s="464"/>
      <c r="C1444" s="464"/>
      <c r="D1444" s="464"/>
      <c r="E1444" s="464"/>
      <c r="F1444" s="464"/>
    </row>
    <row r="1445" spans="1:6" s="1222" customFormat="1" x14ac:dyDescent="0.25">
      <c r="A1445" s="463"/>
      <c r="B1445" s="464"/>
      <c r="C1445" s="464"/>
      <c r="D1445" s="464"/>
      <c r="E1445" s="464"/>
      <c r="F1445" s="464"/>
    </row>
    <row r="1446" spans="1:6" s="1222" customFormat="1" x14ac:dyDescent="0.25">
      <c r="A1446" s="463"/>
      <c r="B1446" s="464"/>
      <c r="C1446" s="464"/>
      <c r="D1446" s="464"/>
      <c r="E1446" s="464"/>
      <c r="F1446" s="464"/>
    </row>
    <row r="1447" spans="1:6" s="1222" customFormat="1" x14ac:dyDescent="0.25">
      <c r="A1447" s="463"/>
      <c r="B1447" s="464"/>
      <c r="C1447" s="464"/>
      <c r="D1447" s="464"/>
      <c r="E1447" s="464"/>
      <c r="F1447" s="464"/>
    </row>
    <row r="1448" spans="1:6" s="1222" customFormat="1" x14ac:dyDescent="0.25">
      <c r="A1448" s="463"/>
      <c r="B1448" s="464"/>
      <c r="C1448" s="464"/>
      <c r="D1448" s="464"/>
      <c r="E1448" s="464"/>
      <c r="F1448" s="464"/>
    </row>
    <row r="1449" spans="1:6" s="1222" customFormat="1" x14ac:dyDescent="0.25">
      <c r="A1449" s="463"/>
      <c r="B1449" s="464"/>
      <c r="C1449" s="464"/>
      <c r="D1449" s="464"/>
      <c r="E1449" s="464"/>
      <c r="F1449" s="464"/>
    </row>
    <row r="1450" spans="1:6" s="1222" customFormat="1" x14ac:dyDescent="0.25">
      <c r="A1450" s="463"/>
      <c r="B1450" s="464"/>
      <c r="C1450" s="464"/>
      <c r="D1450" s="464"/>
      <c r="E1450" s="464"/>
      <c r="F1450" s="464"/>
    </row>
    <row r="1451" spans="1:6" s="1222" customFormat="1" x14ac:dyDescent="0.25">
      <c r="A1451" s="463"/>
      <c r="B1451" s="464"/>
      <c r="C1451" s="464"/>
      <c r="D1451" s="464"/>
      <c r="E1451" s="464"/>
      <c r="F1451" s="464"/>
    </row>
    <row r="1452" spans="1:6" s="1222" customFormat="1" x14ac:dyDescent="0.25">
      <c r="A1452" s="463"/>
      <c r="B1452" s="464"/>
      <c r="C1452" s="464"/>
      <c r="D1452" s="464"/>
      <c r="E1452" s="464"/>
      <c r="F1452" s="464"/>
    </row>
    <row r="1453" spans="1:6" s="1222" customFormat="1" x14ac:dyDescent="0.25">
      <c r="A1453" s="463"/>
      <c r="B1453" s="464"/>
      <c r="C1453" s="464"/>
      <c r="D1453" s="464"/>
      <c r="E1453" s="464"/>
      <c r="F1453" s="464"/>
    </row>
    <row r="1454" spans="1:6" s="1222" customFormat="1" x14ac:dyDescent="0.25">
      <c r="A1454" s="463"/>
      <c r="B1454" s="464"/>
      <c r="C1454" s="464"/>
      <c r="D1454" s="464"/>
      <c r="E1454" s="464"/>
      <c r="F1454" s="464"/>
    </row>
    <row r="1455" spans="1:6" s="1222" customFormat="1" x14ac:dyDescent="0.25">
      <c r="A1455" s="463"/>
      <c r="B1455" s="464"/>
      <c r="C1455" s="464"/>
      <c r="D1455" s="464"/>
      <c r="E1455" s="464"/>
      <c r="F1455" s="464"/>
    </row>
    <row r="1456" spans="1:6" s="1222" customFormat="1" x14ac:dyDescent="0.25">
      <c r="A1456" s="463"/>
      <c r="B1456" s="464"/>
      <c r="C1456" s="464"/>
      <c r="D1456" s="464"/>
      <c r="E1456" s="464"/>
      <c r="F1456" s="464"/>
    </row>
    <row r="1457" spans="1:6" s="1222" customFormat="1" x14ac:dyDescent="0.25">
      <c r="A1457" s="463"/>
      <c r="B1457" s="464"/>
      <c r="C1457" s="464"/>
      <c r="D1457" s="464"/>
      <c r="E1457" s="464"/>
      <c r="F1457" s="464"/>
    </row>
    <row r="1458" spans="1:6" s="1222" customFormat="1" x14ac:dyDescent="0.25">
      <c r="A1458" s="463"/>
      <c r="B1458" s="464"/>
      <c r="C1458" s="464"/>
      <c r="D1458" s="464"/>
      <c r="E1458" s="464"/>
      <c r="F1458" s="464"/>
    </row>
    <row r="1459" spans="1:6" s="1222" customFormat="1" x14ac:dyDescent="0.25">
      <c r="A1459" s="463"/>
      <c r="B1459" s="464"/>
      <c r="C1459" s="464"/>
      <c r="D1459" s="464"/>
      <c r="E1459" s="464"/>
      <c r="F1459" s="464"/>
    </row>
    <row r="1460" spans="1:6" s="1222" customFormat="1" x14ac:dyDescent="0.25">
      <c r="A1460" s="463"/>
      <c r="B1460" s="464"/>
      <c r="C1460" s="464"/>
      <c r="D1460" s="464"/>
      <c r="E1460" s="464"/>
      <c r="F1460" s="464"/>
    </row>
    <row r="1461" spans="1:6" s="1222" customFormat="1" x14ac:dyDescent="0.25">
      <c r="A1461" s="463"/>
      <c r="B1461" s="464"/>
      <c r="C1461" s="464"/>
      <c r="D1461" s="464"/>
      <c r="E1461" s="464"/>
      <c r="F1461" s="464"/>
    </row>
    <row r="1462" spans="1:6" s="1222" customFormat="1" x14ac:dyDescent="0.25">
      <c r="A1462" s="463"/>
      <c r="B1462" s="464"/>
      <c r="C1462" s="464"/>
      <c r="D1462" s="464"/>
      <c r="E1462" s="464"/>
      <c r="F1462" s="464"/>
    </row>
    <row r="1463" spans="1:6" s="1222" customFormat="1" x14ac:dyDescent="0.25">
      <c r="A1463" s="463"/>
      <c r="B1463" s="464"/>
      <c r="C1463" s="464"/>
      <c r="D1463" s="464"/>
      <c r="E1463" s="464"/>
      <c r="F1463" s="464"/>
    </row>
    <row r="1464" spans="1:6" s="1222" customFormat="1" x14ac:dyDescent="0.25">
      <c r="A1464" s="463"/>
      <c r="B1464" s="464"/>
      <c r="C1464" s="464"/>
      <c r="D1464" s="464"/>
      <c r="E1464" s="464"/>
      <c r="F1464" s="464"/>
    </row>
    <row r="1465" spans="1:6" s="1222" customFormat="1" x14ac:dyDescent="0.25">
      <c r="A1465" s="463"/>
      <c r="B1465" s="464"/>
      <c r="C1465" s="464"/>
      <c r="D1465" s="464"/>
      <c r="E1465" s="464"/>
      <c r="F1465" s="464"/>
    </row>
    <row r="1466" spans="1:6" s="1222" customFormat="1" x14ac:dyDescent="0.25">
      <c r="A1466" s="463"/>
      <c r="B1466" s="464"/>
      <c r="C1466" s="464"/>
      <c r="D1466" s="464"/>
      <c r="E1466" s="464"/>
      <c r="F1466" s="464"/>
    </row>
    <row r="1467" spans="1:6" s="1222" customFormat="1" x14ac:dyDescent="0.25">
      <c r="A1467" s="463"/>
      <c r="B1467" s="464"/>
      <c r="C1467" s="464"/>
      <c r="D1467" s="464"/>
      <c r="E1467" s="464"/>
      <c r="F1467" s="464"/>
    </row>
    <row r="1468" spans="1:6" s="1222" customFormat="1" x14ac:dyDescent="0.25">
      <c r="A1468" s="463"/>
      <c r="B1468" s="464"/>
      <c r="C1468" s="464"/>
      <c r="D1468" s="464"/>
      <c r="E1468" s="464"/>
      <c r="F1468" s="464"/>
    </row>
    <row r="1469" spans="1:6" s="1222" customFormat="1" x14ac:dyDescent="0.25">
      <c r="A1469" s="463"/>
      <c r="B1469" s="464"/>
      <c r="C1469" s="464"/>
      <c r="D1469" s="464"/>
      <c r="E1469" s="464"/>
      <c r="F1469" s="464"/>
    </row>
    <row r="1470" spans="1:6" s="1222" customFormat="1" x14ac:dyDescent="0.25">
      <c r="A1470" s="463"/>
      <c r="B1470" s="464"/>
      <c r="C1470" s="464"/>
      <c r="D1470" s="464"/>
      <c r="E1470" s="464"/>
      <c r="F1470" s="464"/>
    </row>
    <row r="1471" spans="1:6" s="1222" customFormat="1" x14ac:dyDescent="0.25">
      <c r="A1471" s="463"/>
      <c r="B1471" s="464"/>
      <c r="C1471" s="464"/>
      <c r="D1471" s="464"/>
      <c r="E1471" s="464"/>
      <c r="F1471" s="464"/>
    </row>
    <row r="1472" spans="1:6" s="1222" customFormat="1" x14ac:dyDescent="0.25">
      <c r="A1472" s="463"/>
      <c r="B1472" s="464"/>
      <c r="C1472" s="464"/>
      <c r="D1472" s="464"/>
      <c r="E1472" s="464"/>
      <c r="F1472" s="464"/>
    </row>
    <row r="1473" spans="1:6" s="1222" customFormat="1" x14ac:dyDescent="0.25">
      <c r="A1473" s="463"/>
      <c r="B1473" s="464"/>
      <c r="C1473" s="464"/>
      <c r="D1473" s="464"/>
      <c r="E1473" s="464"/>
      <c r="F1473" s="464"/>
    </row>
    <row r="1474" spans="1:6" s="1222" customFormat="1" x14ac:dyDescent="0.25">
      <c r="A1474" s="463"/>
      <c r="B1474" s="464"/>
      <c r="C1474" s="464"/>
      <c r="D1474" s="464"/>
      <c r="E1474" s="464"/>
      <c r="F1474" s="464"/>
    </row>
    <row r="1475" spans="1:6" s="1222" customFormat="1" x14ac:dyDescent="0.25">
      <c r="A1475" s="463"/>
      <c r="B1475" s="464"/>
      <c r="C1475" s="464"/>
      <c r="D1475" s="464"/>
      <c r="E1475" s="464"/>
      <c r="F1475" s="464"/>
    </row>
    <row r="1476" spans="1:6" s="1222" customFormat="1" x14ac:dyDescent="0.25">
      <c r="A1476" s="463"/>
      <c r="B1476" s="464"/>
      <c r="C1476" s="464"/>
      <c r="D1476" s="464"/>
      <c r="E1476" s="464"/>
      <c r="F1476" s="464"/>
    </row>
    <row r="1477" spans="1:6" s="1222" customFormat="1" x14ac:dyDescent="0.25">
      <c r="A1477" s="463"/>
      <c r="B1477" s="464"/>
      <c r="C1477" s="464"/>
      <c r="D1477" s="464"/>
      <c r="E1477" s="464"/>
      <c r="F1477" s="464"/>
    </row>
    <row r="1478" spans="1:6" s="1222" customFormat="1" x14ac:dyDescent="0.25">
      <c r="A1478" s="463"/>
      <c r="B1478" s="464"/>
      <c r="C1478" s="464"/>
      <c r="D1478" s="464"/>
      <c r="E1478" s="464"/>
      <c r="F1478" s="464"/>
    </row>
    <row r="1479" spans="1:6" s="1222" customFormat="1" x14ac:dyDescent="0.25">
      <c r="A1479" s="463"/>
      <c r="B1479" s="464"/>
      <c r="C1479" s="464"/>
      <c r="D1479" s="464"/>
      <c r="E1479" s="464"/>
      <c r="F1479" s="464"/>
    </row>
    <row r="1480" spans="1:6" s="1222" customFormat="1" x14ac:dyDescent="0.25">
      <c r="A1480" s="463"/>
      <c r="B1480" s="464"/>
      <c r="C1480" s="464"/>
      <c r="D1480" s="464"/>
      <c r="E1480" s="464"/>
      <c r="F1480" s="464"/>
    </row>
    <row r="1481" spans="1:6" s="1222" customFormat="1" x14ac:dyDescent="0.25">
      <c r="A1481" s="463"/>
      <c r="B1481" s="464"/>
      <c r="C1481" s="464"/>
      <c r="D1481" s="464"/>
      <c r="E1481" s="464"/>
      <c r="F1481" s="464"/>
    </row>
    <row r="1482" spans="1:6" s="1222" customFormat="1" x14ac:dyDescent="0.25">
      <c r="A1482" s="463"/>
      <c r="B1482" s="464"/>
      <c r="C1482" s="464"/>
      <c r="D1482" s="464"/>
      <c r="E1482" s="464"/>
      <c r="F1482" s="464"/>
    </row>
    <row r="1483" spans="1:6" s="1222" customFormat="1" x14ac:dyDescent="0.25">
      <c r="A1483" s="463"/>
      <c r="B1483" s="464"/>
      <c r="C1483" s="464"/>
      <c r="D1483" s="464"/>
      <c r="E1483" s="464"/>
      <c r="F1483" s="464"/>
    </row>
    <row r="1484" spans="1:6" s="1222" customFormat="1" x14ac:dyDescent="0.25">
      <c r="A1484" s="463"/>
      <c r="B1484" s="464"/>
      <c r="C1484" s="464"/>
      <c r="D1484" s="464"/>
      <c r="E1484" s="464"/>
      <c r="F1484" s="464"/>
    </row>
    <row r="1485" spans="1:6" s="1222" customFormat="1" x14ac:dyDescent="0.25">
      <c r="A1485" s="463"/>
      <c r="B1485" s="464"/>
      <c r="C1485" s="464"/>
      <c r="D1485" s="464"/>
      <c r="E1485" s="464"/>
      <c r="F1485" s="464"/>
    </row>
    <row r="1486" spans="1:6" s="1222" customFormat="1" x14ac:dyDescent="0.25">
      <c r="A1486" s="463"/>
      <c r="B1486" s="464"/>
      <c r="C1486" s="464"/>
      <c r="D1486" s="464"/>
      <c r="E1486" s="464"/>
      <c r="F1486" s="464"/>
    </row>
    <row r="1487" spans="1:6" s="1222" customFormat="1" x14ac:dyDescent="0.25">
      <c r="A1487" s="463"/>
      <c r="B1487" s="464"/>
      <c r="C1487" s="464"/>
      <c r="D1487" s="464"/>
      <c r="E1487" s="464"/>
      <c r="F1487" s="464"/>
    </row>
    <row r="1488" spans="1:6" s="1222" customFormat="1" x14ac:dyDescent="0.25">
      <c r="A1488" s="463"/>
      <c r="B1488" s="464"/>
      <c r="C1488" s="464"/>
      <c r="D1488" s="464"/>
      <c r="E1488" s="464"/>
      <c r="F1488" s="464"/>
    </row>
    <row r="1489" spans="1:6" s="1222" customFormat="1" x14ac:dyDescent="0.25">
      <c r="A1489" s="463"/>
      <c r="B1489" s="464"/>
      <c r="C1489" s="464"/>
      <c r="D1489" s="464"/>
      <c r="E1489" s="464"/>
      <c r="F1489" s="464"/>
    </row>
    <row r="1490" spans="1:6" s="1222" customFormat="1" x14ac:dyDescent="0.25">
      <c r="A1490" s="463"/>
      <c r="B1490" s="464"/>
      <c r="C1490" s="464"/>
      <c r="D1490" s="464"/>
      <c r="E1490" s="464"/>
      <c r="F1490" s="464"/>
    </row>
    <row r="1491" spans="1:6" s="1222" customFormat="1" x14ac:dyDescent="0.25">
      <c r="A1491" s="463"/>
      <c r="B1491" s="464"/>
      <c r="C1491" s="464"/>
      <c r="D1491" s="464"/>
      <c r="E1491" s="464"/>
      <c r="F1491" s="464"/>
    </row>
    <row r="1492" spans="1:6" s="1222" customFormat="1" x14ac:dyDescent="0.25">
      <c r="A1492" s="463"/>
      <c r="B1492" s="464"/>
      <c r="C1492" s="464"/>
      <c r="D1492" s="464"/>
      <c r="E1492" s="464"/>
      <c r="F1492" s="464"/>
    </row>
    <row r="1493" spans="1:6" s="1222" customFormat="1" x14ac:dyDescent="0.25">
      <c r="A1493" s="463"/>
      <c r="B1493" s="464"/>
      <c r="C1493" s="464"/>
      <c r="D1493" s="464"/>
      <c r="E1493" s="464"/>
      <c r="F1493" s="464"/>
    </row>
    <row r="1494" spans="1:6" s="1222" customFormat="1" x14ac:dyDescent="0.25">
      <c r="A1494" s="463"/>
      <c r="B1494" s="464"/>
      <c r="C1494" s="464"/>
      <c r="D1494" s="464"/>
      <c r="E1494" s="464"/>
      <c r="F1494" s="464"/>
    </row>
    <row r="1495" spans="1:6" s="1222" customFormat="1" x14ac:dyDescent="0.25">
      <c r="A1495" s="463"/>
      <c r="B1495" s="464"/>
      <c r="C1495" s="464"/>
      <c r="D1495" s="464"/>
      <c r="E1495" s="464"/>
      <c r="F1495" s="464"/>
    </row>
    <row r="1496" spans="1:6" s="1222" customFormat="1" x14ac:dyDescent="0.25">
      <c r="A1496" s="463"/>
      <c r="B1496" s="464"/>
      <c r="C1496" s="464"/>
      <c r="D1496" s="464"/>
      <c r="E1496" s="464"/>
      <c r="F1496" s="464"/>
    </row>
    <row r="1497" spans="1:6" s="1222" customFormat="1" x14ac:dyDescent="0.25">
      <c r="A1497" s="463"/>
      <c r="B1497" s="464"/>
      <c r="C1497" s="464"/>
      <c r="D1497" s="464"/>
      <c r="E1497" s="464"/>
      <c r="F1497" s="464"/>
    </row>
    <row r="1498" spans="1:6" s="1222" customFormat="1" x14ac:dyDescent="0.25">
      <c r="A1498" s="463"/>
      <c r="B1498" s="464"/>
      <c r="C1498" s="464"/>
      <c r="D1498" s="464"/>
      <c r="E1498" s="464"/>
      <c r="F1498" s="464"/>
    </row>
    <row r="1499" spans="1:6" s="1222" customFormat="1" x14ac:dyDescent="0.25">
      <c r="A1499" s="463"/>
      <c r="B1499" s="464"/>
      <c r="C1499" s="464"/>
      <c r="D1499" s="464"/>
      <c r="E1499" s="464"/>
      <c r="F1499" s="464"/>
    </row>
    <row r="1500" spans="1:6" s="1222" customFormat="1" x14ac:dyDescent="0.25">
      <c r="A1500" s="463"/>
      <c r="B1500" s="464"/>
      <c r="C1500" s="464"/>
      <c r="D1500" s="464"/>
      <c r="E1500" s="464"/>
      <c r="F1500" s="464"/>
    </row>
    <row r="1501" spans="1:6" s="1222" customFormat="1" x14ac:dyDescent="0.25">
      <c r="A1501" s="463"/>
      <c r="B1501" s="464"/>
      <c r="C1501" s="464"/>
      <c r="D1501" s="464"/>
      <c r="E1501" s="464"/>
      <c r="F1501" s="464"/>
    </row>
    <row r="1502" spans="1:6" s="1222" customFormat="1" x14ac:dyDescent="0.25">
      <c r="A1502" s="463"/>
      <c r="B1502" s="464"/>
      <c r="C1502" s="464"/>
      <c r="D1502" s="464"/>
      <c r="E1502" s="464"/>
      <c r="F1502" s="464"/>
    </row>
    <row r="1503" spans="1:6" s="1222" customFormat="1" x14ac:dyDescent="0.25">
      <c r="A1503" s="463"/>
      <c r="B1503" s="464"/>
      <c r="C1503" s="464"/>
      <c r="D1503" s="464"/>
      <c r="E1503" s="464"/>
      <c r="F1503" s="464"/>
    </row>
    <row r="1504" spans="1:6" s="1222" customFormat="1" x14ac:dyDescent="0.25">
      <c r="A1504" s="463"/>
      <c r="B1504" s="464"/>
      <c r="C1504" s="464"/>
      <c r="D1504" s="464"/>
      <c r="E1504" s="464"/>
      <c r="F1504" s="464"/>
    </row>
    <row r="1505" spans="1:6" s="1222" customFormat="1" x14ac:dyDescent="0.25">
      <c r="A1505" s="463"/>
      <c r="B1505" s="464"/>
      <c r="C1505" s="464"/>
      <c r="D1505" s="464"/>
      <c r="E1505" s="464"/>
      <c r="F1505" s="464"/>
    </row>
    <row r="1506" spans="1:6" s="1222" customFormat="1" x14ac:dyDescent="0.25">
      <c r="A1506" s="463"/>
      <c r="B1506" s="464"/>
      <c r="C1506" s="464"/>
      <c r="D1506" s="464"/>
      <c r="E1506" s="464"/>
      <c r="F1506" s="464"/>
    </row>
    <row r="1507" spans="1:6" s="1222" customFormat="1" x14ac:dyDescent="0.25">
      <c r="A1507" s="463"/>
      <c r="B1507" s="464"/>
      <c r="C1507" s="464"/>
      <c r="D1507" s="464"/>
      <c r="E1507" s="464"/>
      <c r="F1507" s="464"/>
    </row>
    <row r="1508" spans="1:6" s="1222" customFormat="1" x14ac:dyDescent="0.25">
      <c r="A1508" s="463"/>
      <c r="B1508" s="464"/>
      <c r="C1508" s="464"/>
      <c r="D1508" s="464"/>
      <c r="E1508" s="464"/>
      <c r="F1508" s="464"/>
    </row>
    <row r="1509" spans="1:6" s="1222" customFormat="1" x14ac:dyDescent="0.25">
      <c r="A1509" s="463"/>
      <c r="B1509" s="464"/>
      <c r="C1509" s="464"/>
      <c r="D1509" s="464"/>
      <c r="E1509" s="464"/>
      <c r="F1509" s="464"/>
    </row>
    <row r="1510" spans="1:6" s="1222" customFormat="1" x14ac:dyDescent="0.25">
      <c r="A1510" s="463"/>
      <c r="B1510" s="464"/>
      <c r="C1510" s="464"/>
      <c r="D1510" s="464"/>
      <c r="E1510" s="464"/>
      <c r="F1510" s="464"/>
    </row>
    <row r="1511" spans="1:6" s="1222" customFormat="1" x14ac:dyDescent="0.25">
      <c r="A1511" s="463"/>
      <c r="B1511" s="464"/>
      <c r="C1511" s="464"/>
      <c r="D1511" s="464"/>
      <c r="E1511" s="464"/>
      <c r="F1511" s="464"/>
    </row>
    <row r="1512" spans="1:6" s="1222" customFormat="1" x14ac:dyDescent="0.25">
      <c r="A1512" s="463"/>
      <c r="B1512" s="464"/>
      <c r="C1512" s="464"/>
      <c r="D1512" s="464"/>
      <c r="E1512" s="464"/>
      <c r="F1512" s="464"/>
    </row>
    <row r="1513" spans="1:6" s="1222" customFormat="1" x14ac:dyDescent="0.25">
      <c r="A1513" s="463"/>
      <c r="B1513" s="464"/>
      <c r="C1513" s="464"/>
      <c r="D1513" s="464"/>
      <c r="E1513" s="464"/>
      <c r="F1513" s="464"/>
    </row>
    <row r="1514" spans="1:6" s="1222" customFormat="1" x14ac:dyDescent="0.25">
      <c r="A1514" s="463"/>
      <c r="B1514" s="464"/>
      <c r="C1514" s="464"/>
      <c r="D1514" s="464"/>
      <c r="E1514" s="464"/>
      <c r="F1514" s="464"/>
    </row>
    <row r="1515" spans="1:6" s="1222" customFormat="1" x14ac:dyDescent="0.25">
      <c r="A1515" s="463"/>
      <c r="B1515" s="464"/>
      <c r="C1515" s="464"/>
      <c r="D1515" s="464"/>
      <c r="E1515" s="464"/>
      <c r="F1515" s="464"/>
    </row>
    <row r="1516" spans="1:6" s="1222" customFormat="1" x14ac:dyDescent="0.25">
      <c r="A1516" s="463"/>
      <c r="B1516" s="464"/>
      <c r="C1516" s="464"/>
      <c r="D1516" s="464"/>
      <c r="E1516" s="464"/>
      <c r="F1516" s="464"/>
    </row>
    <row r="1517" spans="1:6" s="1222" customFormat="1" x14ac:dyDescent="0.25">
      <c r="A1517" s="463"/>
      <c r="B1517" s="464"/>
      <c r="C1517" s="464"/>
      <c r="D1517" s="464"/>
      <c r="E1517" s="464"/>
      <c r="F1517" s="464"/>
    </row>
    <row r="1518" spans="1:6" s="1222" customFormat="1" x14ac:dyDescent="0.25">
      <c r="A1518" s="463"/>
      <c r="B1518" s="464"/>
      <c r="C1518" s="464"/>
      <c r="D1518" s="464"/>
      <c r="E1518" s="464"/>
      <c r="F1518" s="464"/>
    </row>
    <row r="1519" spans="1:6" s="1222" customFormat="1" x14ac:dyDescent="0.25">
      <c r="A1519" s="463"/>
      <c r="B1519" s="464"/>
      <c r="C1519" s="464"/>
      <c r="D1519" s="464"/>
      <c r="E1519" s="464"/>
      <c r="F1519" s="464"/>
    </row>
    <row r="1520" spans="1:6" s="1222" customFormat="1" x14ac:dyDescent="0.25">
      <c r="A1520" s="463"/>
      <c r="B1520" s="464"/>
      <c r="C1520" s="464"/>
      <c r="D1520" s="464"/>
      <c r="E1520" s="464"/>
      <c r="F1520" s="464"/>
    </row>
    <row r="1521" spans="1:6" s="1222" customFormat="1" x14ac:dyDescent="0.25">
      <c r="A1521" s="463"/>
      <c r="B1521" s="464"/>
      <c r="C1521" s="464"/>
      <c r="D1521" s="464"/>
      <c r="E1521" s="464"/>
      <c r="F1521" s="464"/>
    </row>
    <row r="1522" spans="1:6" s="1222" customFormat="1" x14ac:dyDescent="0.25">
      <c r="A1522" s="463"/>
      <c r="B1522" s="464"/>
      <c r="C1522" s="464"/>
      <c r="D1522" s="464"/>
      <c r="E1522" s="464"/>
      <c r="F1522" s="464"/>
    </row>
    <row r="1523" spans="1:6" s="1222" customFormat="1" x14ac:dyDescent="0.25">
      <c r="A1523" s="463"/>
      <c r="B1523" s="464"/>
      <c r="C1523" s="464"/>
      <c r="D1523" s="464"/>
      <c r="E1523" s="464"/>
      <c r="F1523" s="464"/>
    </row>
    <row r="1524" spans="1:6" s="1222" customFormat="1" x14ac:dyDescent="0.25">
      <c r="A1524" s="463"/>
      <c r="B1524" s="464"/>
      <c r="C1524" s="464"/>
      <c r="D1524" s="464"/>
      <c r="E1524" s="464"/>
      <c r="F1524" s="464"/>
    </row>
    <row r="1525" spans="1:6" s="1222" customFormat="1" x14ac:dyDescent="0.25">
      <c r="A1525" s="463"/>
      <c r="B1525" s="464"/>
      <c r="C1525" s="464"/>
      <c r="D1525" s="464"/>
      <c r="E1525" s="464"/>
      <c r="F1525" s="464"/>
    </row>
    <row r="1526" spans="1:6" s="1222" customFormat="1" x14ac:dyDescent="0.25">
      <c r="A1526" s="463"/>
      <c r="B1526" s="464"/>
      <c r="C1526" s="464"/>
      <c r="D1526" s="464"/>
      <c r="E1526" s="464"/>
      <c r="F1526" s="464"/>
    </row>
    <row r="1527" spans="1:6" s="1222" customFormat="1" x14ac:dyDescent="0.25">
      <c r="A1527" s="463"/>
      <c r="B1527" s="464"/>
      <c r="C1527" s="464"/>
      <c r="D1527" s="464"/>
      <c r="E1527" s="464"/>
      <c r="F1527" s="464"/>
    </row>
    <row r="1528" spans="1:6" s="1222" customFormat="1" x14ac:dyDescent="0.25">
      <c r="A1528" s="463"/>
      <c r="B1528" s="464"/>
      <c r="C1528" s="464"/>
      <c r="D1528" s="464"/>
      <c r="E1528" s="464"/>
      <c r="F1528" s="464"/>
    </row>
    <row r="1529" spans="1:6" s="1222" customFormat="1" x14ac:dyDescent="0.25">
      <c r="A1529" s="463"/>
      <c r="B1529" s="464"/>
      <c r="C1529" s="464"/>
      <c r="D1529" s="464"/>
      <c r="E1529" s="464"/>
      <c r="F1529" s="464"/>
    </row>
    <row r="1530" spans="1:6" s="1222" customFormat="1" x14ac:dyDescent="0.25">
      <c r="A1530" s="463"/>
      <c r="B1530" s="464"/>
      <c r="C1530" s="464"/>
      <c r="D1530" s="464"/>
      <c r="E1530" s="464"/>
      <c r="F1530" s="464"/>
    </row>
    <row r="1531" spans="1:6" s="1222" customFormat="1" x14ac:dyDescent="0.25">
      <c r="A1531" s="463"/>
      <c r="B1531" s="464"/>
      <c r="C1531" s="464"/>
      <c r="D1531" s="464"/>
      <c r="E1531" s="464"/>
      <c r="F1531" s="464"/>
    </row>
    <row r="1532" spans="1:6" s="1222" customFormat="1" x14ac:dyDescent="0.25">
      <c r="A1532" s="463"/>
      <c r="B1532" s="464"/>
      <c r="C1532" s="464"/>
      <c r="D1532" s="464"/>
      <c r="E1532" s="464"/>
      <c r="F1532" s="464"/>
    </row>
    <row r="1533" spans="1:6" s="1222" customFormat="1" x14ac:dyDescent="0.25">
      <c r="A1533" s="463"/>
      <c r="B1533" s="464"/>
      <c r="C1533" s="464"/>
      <c r="D1533" s="464"/>
      <c r="E1533" s="464"/>
      <c r="F1533" s="464"/>
    </row>
    <row r="1534" spans="1:6" s="1222" customFormat="1" x14ac:dyDescent="0.25">
      <c r="A1534" s="463"/>
      <c r="B1534" s="464"/>
      <c r="C1534" s="464"/>
      <c r="D1534" s="464"/>
      <c r="E1534" s="464"/>
      <c r="F1534" s="464"/>
    </row>
    <row r="1535" spans="1:6" s="1222" customFormat="1" x14ac:dyDescent="0.25">
      <c r="A1535" s="463"/>
      <c r="B1535" s="464"/>
      <c r="C1535" s="464"/>
      <c r="D1535" s="464"/>
      <c r="E1535" s="464"/>
      <c r="F1535" s="464"/>
    </row>
    <row r="1536" spans="1:6" s="1222" customFormat="1" x14ac:dyDescent="0.25">
      <c r="A1536" s="463"/>
      <c r="B1536" s="464"/>
      <c r="C1536" s="464"/>
      <c r="D1536" s="464"/>
      <c r="E1536" s="464"/>
      <c r="F1536" s="464"/>
    </row>
    <row r="1537" spans="1:6" s="1222" customFormat="1" x14ac:dyDescent="0.25">
      <c r="A1537" s="463"/>
      <c r="B1537" s="464"/>
      <c r="C1537" s="464"/>
      <c r="D1537" s="464"/>
      <c r="E1537" s="464"/>
      <c r="F1537" s="464"/>
    </row>
    <row r="1538" spans="1:6" s="1222" customFormat="1" x14ac:dyDescent="0.25">
      <c r="A1538" s="463"/>
      <c r="B1538" s="464"/>
      <c r="C1538" s="464"/>
      <c r="D1538" s="464"/>
      <c r="E1538" s="464"/>
      <c r="F1538" s="464"/>
    </row>
    <row r="1539" spans="1:6" s="1222" customFormat="1" x14ac:dyDescent="0.25">
      <c r="A1539" s="463"/>
      <c r="B1539" s="464"/>
      <c r="C1539" s="464"/>
      <c r="D1539" s="464"/>
      <c r="E1539" s="464"/>
      <c r="F1539" s="464"/>
    </row>
    <row r="1540" spans="1:6" s="1222" customFormat="1" x14ac:dyDescent="0.25">
      <c r="A1540" s="463"/>
      <c r="B1540" s="464"/>
      <c r="C1540" s="464"/>
      <c r="D1540" s="464"/>
      <c r="E1540" s="464"/>
      <c r="F1540" s="464"/>
    </row>
    <row r="1541" spans="1:6" s="1222" customFormat="1" x14ac:dyDescent="0.25">
      <c r="A1541" s="463"/>
      <c r="B1541" s="464"/>
      <c r="C1541" s="464"/>
      <c r="D1541" s="464"/>
      <c r="E1541" s="464"/>
      <c r="F1541" s="464"/>
    </row>
    <row r="1542" spans="1:6" s="1222" customFormat="1" x14ac:dyDescent="0.25">
      <c r="A1542" s="463"/>
      <c r="B1542" s="464"/>
      <c r="C1542" s="464"/>
      <c r="D1542" s="464"/>
      <c r="E1542" s="464"/>
      <c r="F1542" s="464"/>
    </row>
    <row r="1543" spans="1:6" s="1222" customFormat="1" x14ac:dyDescent="0.25">
      <c r="A1543" s="463"/>
      <c r="B1543" s="464"/>
      <c r="C1543" s="464"/>
      <c r="D1543" s="464"/>
      <c r="E1543" s="464"/>
      <c r="F1543" s="464"/>
    </row>
    <row r="1544" spans="1:6" s="1222" customFormat="1" x14ac:dyDescent="0.25">
      <c r="A1544" s="463"/>
      <c r="B1544" s="464"/>
      <c r="C1544" s="464"/>
      <c r="D1544" s="464"/>
      <c r="E1544" s="464"/>
      <c r="F1544" s="464"/>
    </row>
    <row r="1545" spans="1:6" s="1222" customFormat="1" x14ac:dyDescent="0.25">
      <c r="A1545" s="463"/>
      <c r="B1545" s="464"/>
      <c r="C1545" s="464"/>
      <c r="D1545" s="464"/>
      <c r="E1545" s="464"/>
      <c r="F1545" s="464"/>
    </row>
    <row r="1546" spans="1:6" s="1222" customFormat="1" x14ac:dyDescent="0.25">
      <c r="A1546" s="463"/>
      <c r="B1546" s="464"/>
      <c r="C1546" s="464"/>
      <c r="D1546" s="464"/>
      <c r="E1546" s="464"/>
      <c r="F1546" s="464"/>
    </row>
    <row r="1547" spans="1:6" s="1222" customFormat="1" x14ac:dyDescent="0.25">
      <c r="A1547" s="463"/>
      <c r="B1547" s="464"/>
      <c r="C1547" s="464"/>
      <c r="D1547" s="464"/>
      <c r="E1547" s="464"/>
      <c r="F1547" s="464"/>
    </row>
    <row r="1548" spans="1:6" s="1222" customFormat="1" x14ac:dyDescent="0.25">
      <c r="A1548" s="463"/>
      <c r="B1548" s="464"/>
      <c r="C1548" s="464"/>
      <c r="D1548" s="464"/>
      <c r="E1548" s="464"/>
      <c r="F1548" s="464"/>
    </row>
    <row r="1549" spans="1:6" s="1222" customFormat="1" x14ac:dyDescent="0.25">
      <c r="A1549" s="463"/>
      <c r="B1549" s="464"/>
      <c r="C1549" s="464"/>
      <c r="D1549" s="464"/>
      <c r="E1549" s="464"/>
      <c r="F1549" s="464"/>
    </row>
    <row r="1550" spans="1:6" s="1222" customFormat="1" x14ac:dyDescent="0.25">
      <c r="A1550" s="463"/>
      <c r="B1550" s="464"/>
      <c r="C1550" s="464"/>
      <c r="D1550" s="464"/>
      <c r="E1550" s="464"/>
      <c r="F1550" s="464"/>
    </row>
    <row r="1551" spans="1:6" s="1222" customFormat="1" x14ac:dyDescent="0.25">
      <c r="A1551" s="463"/>
      <c r="B1551" s="464"/>
      <c r="C1551" s="464"/>
      <c r="D1551" s="464"/>
      <c r="E1551" s="464"/>
      <c r="F1551" s="464"/>
    </row>
    <row r="1552" spans="1:6" s="1222" customFormat="1" x14ac:dyDescent="0.25">
      <c r="A1552" s="463"/>
      <c r="B1552" s="464"/>
      <c r="C1552" s="464"/>
      <c r="D1552" s="464"/>
      <c r="E1552" s="464"/>
      <c r="F1552" s="464"/>
    </row>
    <row r="1553" spans="1:6" s="1222" customFormat="1" x14ac:dyDescent="0.25">
      <c r="A1553" s="463"/>
      <c r="B1553" s="464"/>
      <c r="C1553" s="464"/>
      <c r="D1553" s="464"/>
      <c r="E1553" s="464"/>
      <c r="F1553" s="464"/>
    </row>
    <row r="1554" spans="1:6" s="1222" customFormat="1" x14ac:dyDescent="0.25">
      <c r="A1554" s="463"/>
      <c r="B1554" s="464"/>
      <c r="C1554" s="464"/>
      <c r="D1554" s="464"/>
      <c r="E1554" s="464"/>
      <c r="F1554" s="464"/>
    </row>
    <row r="1555" spans="1:6" s="1222" customFormat="1" x14ac:dyDescent="0.25">
      <c r="A1555" s="463"/>
      <c r="B1555" s="464"/>
      <c r="C1555" s="464"/>
      <c r="D1555" s="464"/>
      <c r="E1555" s="464"/>
      <c r="F1555" s="464"/>
    </row>
    <row r="1556" spans="1:6" s="1222" customFormat="1" x14ac:dyDescent="0.25">
      <c r="A1556" s="463"/>
      <c r="B1556" s="464"/>
      <c r="C1556" s="464"/>
      <c r="D1556" s="464"/>
      <c r="E1556" s="464"/>
      <c r="F1556" s="464"/>
    </row>
    <row r="1557" spans="1:6" s="1222" customFormat="1" x14ac:dyDescent="0.25">
      <c r="A1557" s="463"/>
      <c r="B1557" s="464"/>
      <c r="C1557" s="464"/>
      <c r="D1557" s="464"/>
      <c r="E1557" s="464"/>
      <c r="F1557" s="464"/>
    </row>
    <row r="1558" spans="1:6" s="1222" customFormat="1" x14ac:dyDescent="0.25">
      <c r="A1558" s="463"/>
      <c r="B1558" s="464"/>
      <c r="C1558" s="464"/>
      <c r="D1558" s="464"/>
      <c r="E1558" s="464"/>
      <c r="F1558" s="464"/>
    </row>
    <row r="1559" spans="1:6" s="1222" customFormat="1" x14ac:dyDescent="0.25">
      <c r="A1559" s="463"/>
      <c r="B1559" s="464"/>
      <c r="C1559" s="464"/>
      <c r="D1559" s="464"/>
      <c r="E1559" s="464"/>
      <c r="F1559" s="464"/>
    </row>
    <row r="1560" spans="1:6" s="1222" customFormat="1" x14ac:dyDescent="0.25">
      <c r="A1560" s="463"/>
      <c r="B1560" s="464"/>
      <c r="C1560" s="464"/>
      <c r="D1560" s="464"/>
      <c r="E1560" s="464"/>
      <c r="F1560" s="464"/>
    </row>
    <row r="1561" spans="1:6" s="1222" customFormat="1" x14ac:dyDescent="0.25">
      <c r="A1561" s="463"/>
      <c r="B1561" s="464"/>
      <c r="C1561" s="464"/>
      <c r="D1561" s="464"/>
      <c r="E1561" s="464"/>
      <c r="F1561" s="464"/>
    </row>
    <row r="1562" spans="1:6" s="1222" customFormat="1" x14ac:dyDescent="0.25">
      <c r="A1562" s="463"/>
      <c r="B1562" s="464"/>
      <c r="C1562" s="464"/>
      <c r="D1562" s="464"/>
      <c r="E1562" s="464"/>
      <c r="F1562" s="464"/>
    </row>
    <row r="1563" spans="1:6" s="1222" customFormat="1" x14ac:dyDescent="0.25">
      <c r="A1563" s="463"/>
      <c r="B1563" s="464"/>
      <c r="C1563" s="464"/>
      <c r="D1563" s="464"/>
      <c r="E1563" s="464"/>
      <c r="F1563" s="464"/>
    </row>
    <row r="1564" spans="1:6" s="1222" customFormat="1" x14ac:dyDescent="0.25">
      <c r="A1564" s="463"/>
      <c r="B1564" s="464"/>
      <c r="C1564" s="464"/>
      <c r="D1564" s="464"/>
      <c r="E1564" s="464"/>
      <c r="F1564" s="464"/>
    </row>
    <row r="1565" spans="1:6" s="1222" customFormat="1" x14ac:dyDescent="0.25">
      <c r="A1565" s="463"/>
      <c r="B1565" s="464"/>
      <c r="C1565" s="464"/>
      <c r="D1565" s="464"/>
      <c r="E1565" s="464"/>
      <c r="F1565" s="464"/>
    </row>
    <row r="1566" spans="1:6" s="1222" customFormat="1" x14ac:dyDescent="0.25">
      <c r="A1566" s="463"/>
      <c r="B1566" s="464"/>
      <c r="C1566" s="464"/>
      <c r="D1566" s="464"/>
      <c r="E1566" s="464"/>
      <c r="F1566" s="464"/>
    </row>
    <row r="1567" spans="1:6" s="1222" customFormat="1" x14ac:dyDescent="0.25">
      <c r="A1567" s="463"/>
      <c r="B1567" s="464"/>
      <c r="C1567" s="464"/>
      <c r="D1567" s="464"/>
      <c r="E1567" s="464"/>
      <c r="F1567" s="464"/>
    </row>
    <row r="1568" spans="1:6" s="1222" customFormat="1" x14ac:dyDescent="0.25">
      <c r="A1568" s="463"/>
      <c r="B1568" s="464"/>
      <c r="C1568" s="464"/>
      <c r="D1568" s="464"/>
      <c r="E1568" s="464"/>
      <c r="F1568" s="464"/>
    </row>
    <row r="1569" spans="1:6" s="1222" customFormat="1" x14ac:dyDescent="0.25">
      <c r="A1569" s="463"/>
      <c r="B1569" s="464"/>
      <c r="C1569" s="464"/>
      <c r="D1569" s="464"/>
      <c r="E1569" s="464"/>
      <c r="F1569" s="464"/>
    </row>
    <row r="1570" spans="1:6" s="1222" customFormat="1" x14ac:dyDescent="0.25">
      <c r="A1570" s="463"/>
      <c r="B1570" s="464"/>
      <c r="C1570" s="464"/>
      <c r="D1570" s="464"/>
      <c r="E1570" s="464"/>
      <c r="F1570" s="464"/>
    </row>
    <row r="1571" spans="1:6" s="1222" customFormat="1" x14ac:dyDescent="0.25">
      <c r="A1571" s="463"/>
      <c r="B1571" s="464"/>
      <c r="C1571" s="464"/>
      <c r="D1571" s="464"/>
      <c r="E1571" s="464"/>
      <c r="F1571" s="464"/>
    </row>
    <row r="1572" spans="1:6" s="1222" customFormat="1" x14ac:dyDescent="0.25">
      <c r="A1572" s="463"/>
      <c r="B1572" s="464"/>
      <c r="C1572" s="464"/>
      <c r="D1572" s="464"/>
      <c r="E1572" s="464"/>
      <c r="F1572" s="464"/>
    </row>
    <row r="1573" spans="1:6" s="1222" customFormat="1" x14ac:dyDescent="0.25">
      <c r="A1573" s="463"/>
      <c r="B1573" s="464"/>
      <c r="C1573" s="464"/>
      <c r="D1573" s="464"/>
      <c r="E1573" s="464"/>
      <c r="F1573" s="464"/>
    </row>
    <row r="1574" spans="1:6" s="1222" customFormat="1" x14ac:dyDescent="0.25">
      <c r="A1574" s="463"/>
      <c r="B1574" s="464"/>
      <c r="C1574" s="464"/>
      <c r="D1574" s="464"/>
      <c r="E1574" s="464"/>
      <c r="F1574" s="464"/>
    </row>
    <row r="1575" spans="1:6" s="1222" customFormat="1" x14ac:dyDescent="0.25">
      <c r="A1575" s="463"/>
      <c r="B1575" s="464"/>
      <c r="C1575" s="464"/>
      <c r="D1575" s="464"/>
      <c r="E1575" s="464"/>
      <c r="F1575" s="464"/>
    </row>
    <row r="1576" spans="1:6" s="1222" customFormat="1" x14ac:dyDescent="0.25">
      <c r="A1576" s="463"/>
      <c r="B1576" s="464"/>
      <c r="C1576" s="464"/>
      <c r="D1576" s="464"/>
      <c r="E1576" s="464"/>
      <c r="F1576" s="464"/>
    </row>
    <row r="1577" spans="1:6" s="1222" customFormat="1" x14ac:dyDescent="0.25">
      <c r="A1577" s="463"/>
      <c r="B1577" s="464"/>
      <c r="C1577" s="464"/>
      <c r="D1577" s="464"/>
      <c r="E1577" s="464"/>
      <c r="F1577" s="464"/>
    </row>
    <row r="1578" spans="1:6" s="1222" customFormat="1" x14ac:dyDescent="0.25">
      <c r="A1578" s="463"/>
      <c r="B1578" s="464"/>
      <c r="C1578" s="464"/>
      <c r="D1578" s="464"/>
      <c r="E1578" s="464"/>
      <c r="F1578" s="464"/>
    </row>
    <row r="1579" spans="1:6" s="1222" customFormat="1" x14ac:dyDescent="0.25">
      <c r="A1579" s="463"/>
      <c r="B1579" s="464"/>
      <c r="C1579" s="464"/>
      <c r="D1579" s="464"/>
      <c r="E1579" s="464"/>
      <c r="F1579" s="464"/>
    </row>
    <row r="1580" spans="1:6" s="1222" customFormat="1" x14ac:dyDescent="0.25">
      <c r="A1580" s="463"/>
      <c r="B1580" s="464"/>
      <c r="C1580" s="464"/>
      <c r="D1580" s="464"/>
      <c r="E1580" s="464"/>
      <c r="F1580" s="464"/>
    </row>
    <row r="1581" spans="1:6" s="1222" customFormat="1" x14ac:dyDescent="0.25">
      <c r="A1581" s="463"/>
      <c r="B1581" s="464"/>
      <c r="C1581" s="464"/>
      <c r="D1581" s="464"/>
      <c r="E1581" s="464"/>
      <c r="F1581" s="464"/>
    </row>
    <row r="1582" spans="1:6" s="1222" customFormat="1" x14ac:dyDescent="0.25">
      <c r="A1582" s="463"/>
      <c r="B1582" s="464"/>
      <c r="C1582" s="464"/>
      <c r="D1582" s="464"/>
      <c r="E1582" s="464"/>
      <c r="F1582" s="464"/>
    </row>
    <row r="1583" spans="1:6" s="1222" customFormat="1" x14ac:dyDescent="0.25">
      <c r="A1583" s="463"/>
      <c r="B1583" s="464"/>
      <c r="C1583" s="464"/>
      <c r="D1583" s="464"/>
      <c r="E1583" s="464"/>
      <c r="F1583" s="464"/>
    </row>
    <row r="1584" spans="1:6" s="1222" customFormat="1" x14ac:dyDescent="0.25">
      <c r="A1584" s="463"/>
      <c r="B1584" s="464"/>
      <c r="C1584" s="464"/>
      <c r="D1584" s="464"/>
      <c r="E1584" s="464"/>
      <c r="F1584" s="464"/>
    </row>
    <row r="1585" spans="1:6" s="1222" customFormat="1" x14ac:dyDescent="0.25">
      <c r="A1585" s="463"/>
      <c r="B1585" s="464"/>
      <c r="C1585" s="464"/>
      <c r="D1585" s="464"/>
      <c r="E1585" s="464"/>
      <c r="F1585" s="464"/>
    </row>
    <row r="1586" spans="1:6" s="1222" customFormat="1" x14ac:dyDescent="0.25">
      <c r="A1586" s="463"/>
      <c r="B1586" s="464"/>
      <c r="C1586" s="464"/>
      <c r="D1586" s="464"/>
      <c r="E1586" s="464"/>
      <c r="F1586" s="464"/>
    </row>
    <row r="1587" spans="1:6" s="1222" customFormat="1" x14ac:dyDescent="0.25">
      <c r="A1587" s="463"/>
      <c r="B1587" s="464"/>
      <c r="C1587" s="464"/>
      <c r="D1587" s="464"/>
      <c r="E1587" s="464"/>
      <c r="F1587" s="464"/>
    </row>
    <row r="1588" spans="1:6" s="1222" customFormat="1" x14ac:dyDescent="0.25">
      <c r="A1588" s="463"/>
      <c r="B1588" s="464"/>
      <c r="C1588" s="464"/>
      <c r="D1588" s="464"/>
      <c r="E1588" s="464"/>
      <c r="F1588" s="464"/>
    </row>
    <row r="1589" spans="1:6" s="1222" customFormat="1" x14ac:dyDescent="0.25">
      <c r="A1589" s="463"/>
      <c r="B1589" s="464"/>
      <c r="C1589" s="464"/>
      <c r="D1589" s="464"/>
      <c r="E1589" s="464"/>
      <c r="F1589" s="464"/>
    </row>
    <row r="1590" spans="1:6" s="1222" customFormat="1" x14ac:dyDescent="0.25">
      <c r="A1590" s="463"/>
      <c r="B1590" s="464"/>
      <c r="C1590" s="464"/>
      <c r="D1590" s="464"/>
      <c r="E1590" s="464"/>
      <c r="F1590" s="464"/>
    </row>
    <row r="1591" spans="1:6" s="1222" customFormat="1" x14ac:dyDescent="0.25">
      <c r="A1591" s="463"/>
      <c r="B1591" s="464"/>
      <c r="C1591" s="464"/>
      <c r="D1591" s="464"/>
      <c r="E1591" s="464"/>
      <c r="F1591" s="464"/>
    </row>
    <row r="1592" spans="1:6" s="1222" customFormat="1" x14ac:dyDescent="0.25">
      <c r="A1592" s="463"/>
      <c r="B1592" s="464"/>
      <c r="C1592" s="464"/>
      <c r="D1592" s="464"/>
      <c r="E1592" s="464"/>
      <c r="F1592" s="464"/>
    </row>
    <row r="1593" spans="1:6" s="1222" customFormat="1" x14ac:dyDescent="0.25">
      <c r="A1593" s="463"/>
      <c r="B1593" s="464"/>
      <c r="C1593" s="464"/>
      <c r="D1593" s="464"/>
      <c r="E1593" s="464"/>
      <c r="F1593" s="464"/>
    </row>
    <row r="1594" spans="1:6" s="1222" customFormat="1" x14ac:dyDescent="0.25">
      <c r="A1594" s="463"/>
      <c r="B1594" s="464"/>
      <c r="C1594" s="464"/>
      <c r="D1594" s="464"/>
      <c r="E1594" s="464"/>
      <c r="F1594" s="464"/>
    </row>
    <row r="1595" spans="1:6" s="1222" customFormat="1" x14ac:dyDescent="0.25">
      <c r="A1595" s="463"/>
      <c r="B1595" s="464"/>
      <c r="C1595" s="464"/>
      <c r="D1595" s="464"/>
      <c r="E1595" s="464"/>
      <c r="F1595" s="464"/>
    </row>
    <row r="1596" spans="1:6" s="1222" customFormat="1" x14ac:dyDescent="0.25">
      <c r="A1596" s="463"/>
      <c r="B1596" s="464"/>
      <c r="C1596" s="464"/>
      <c r="D1596" s="464"/>
      <c r="E1596" s="464"/>
      <c r="F1596" s="464"/>
    </row>
    <row r="1597" spans="1:6" s="1222" customFormat="1" x14ac:dyDescent="0.25">
      <c r="A1597" s="463"/>
      <c r="B1597" s="464"/>
      <c r="C1597" s="464"/>
      <c r="D1597" s="464"/>
      <c r="E1597" s="464"/>
      <c r="F1597" s="464"/>
    </row>
    <row r="1598" spans="1:6" s="1222" customFormat="1" x14ac:dyDescent="0.25">
      <c r="A1598" s="463"/>
      <c r="B1598" s="464"/>
      <c r="C1598" s="464"/>
      <c r="D1598" s="464"/>
      <c r="E1598" s="464"/>
      <c r="F1598" s="464"/>
    </row>
    <row r="1599" spans="1:6" s="1222" customFormat="1" x14ac:dyDescent="0.25">
      <c r="A1599" s="463"/>
      <c r="B1599" s="464"/>
      <c r="C1599" s="464"/>
      <c r="D1599" s="464"/>
      <c r="E1599" s="464"/>
      <c r="F1599" s="464"/>
    </row>
    <row r="1600" spans="1:6" s="1222" customFormat="1" x14ac:dyDescent="0.25">
      <c r="A1600" s="463"/>
      <c r="B1600" s="464"/>
      <c r="C1600" s="464"/>
      <c r="D1600" s="464"/>
      <c r="E1600" s="464"/>
      <c r="F1600" s="464"/>
    </row>
    <row r="1601" spans="1:6" s="1222" customFormat="1" x14ac:dyDescent="0.25">
      <c r="A1601" s="463"/>
      <c r="B1601" s="464"/>
      <c r="C1601" s="464"/>
      <c r="D1601" s="464"/>
      <c r="E1601" s="464"/>
      <c r="F1601" s="464"/>
    </row>
    <row r="1602" spans="1:6" s="1222" customFormat="1" x14ac:dyDescent="0.25">
      <c r="A1602" s="463"/>
      <c r="B1602" s="464"/>
      <c r="C1602" s="464"/>
      <c r="D1602" s="464"/>
      <c r="E1602" s="464"/>
      <c r="F1602" s="464"/>
    </row>
    <row r="1603" spans="1:6" s="1222" customFormat="1" x14ac:dyDescent="0.25">
      <c r="A1603" s="463"/>
      <c r="B1603" s="464"/>
      <c r="C1603" s="464"/>
      <c r="D1603" s="464"/>
      <c r="E1603" s="464"/>
      <c r="F1603" s="464"/>
    </row>
    <row r="1604" spans="1:6" s="1222" customFormat="1" x14ac:dyDescent="0.25">
      <c r="A1604" s="463"/>
      <c r="B1604" s="464"/>
      <c r="C1604" s="464"/>
      <c r="D1604" s="464"/>
      <c r="E1604" s="464"/>
      <c r="F1604" s="464"/>
    </row>
    <row r="1605" spans="1:6" s="1222" customFormat="1" x14ac:dyDescent="0.25">
      <c r="A1605" s="463"/>
      <c r="B1605" s="464"/>
      <c r="C1605" s="464"/>
      <c r="D1605" s="464"/>
      <c r="E1605" s="464"/>
      <c r="F1605" s="464"/>
    </row>
    <row r="1606" spans="1:6" s="1222" customFormat="1" x14ac:dyDescent="0.25">
      <c r="A1606" s="463"/>
      <c r="B1606" s="464"/>
      <c r="C1606" s="464"/>
      <c r="D1606" s="464"/>
      <c r="E1606" s="464"/>
      <c r="F1606" s="464"/>
    </row>
    <row r="1607" spans="1:6" s="1222" customFormat="1" x14ac:dyDescent="0.25">
      <c r="A1607" s="463"/>
      <c r="B1607" s="464"/>
      <c r="C1607" s="464"/>
      <c r="D1607" s="464"/>
      <c r="E1607" s="464"/>
      <c r="F1607" s="464"/>
    </row>
    <row r="1608" spans="1:6" s="1222" customFormat="1" x14ac:dyDescent="0.25">
      <c r="A1608" s="463"/>
      <c r="B1608" s="464"/>
      <c r="C1608" s="464"/>
      <c r="D1608" s="464"/>
      <c r="E1608" s="464"/>
      <c r="F1608" s="464"/>
    </row>
    <row r="1609" spans="1:6" s="1222" customFormat="1" x14ac:dyDescent="0.25">
      <c r="A1609" s="463"/>
      <c r="B1609" s="464"/>
      <c r="C1609" s="464"/>
      <c r="D1609" s="464"/>
      <c r="E1609" s="464"/>
      <c r="F1609" s="464"/>
    </row>
    <row r="1610" spans="1:6" s="1222" customFormat="1" x14ac:dyDescent="0.25">
      <c r="A1610" s="463"/>
      <c r="B1610" s="464"/>
      <c r="C1610" s="464"/>
      <c r="D1610" s="464"/>
      <c r="E1610" s="464"/>
      <c r="F1610" s="464"/>
    </row>
    <row r="1611" spans="1:6" s="1222" customFormat="1" x14ac:dyDescent="0.25">
      <c r="A1611" s="463"/>
      <c r="B1611" s="464"/>
      <c r="C1611" s="464"/>
      <c r="D1611" s="464"/>
      <c r="E1611" s="464"/>
      <c r="F1611" s="464"/>
    </row>
    <row r="1612" spans="1:6" s="1222" customFormat="1" x14ac:dyDescent="0.25">
      <c r="A1612" s="463"/>
      <c r="B1612" s="464"/>
      <c r="C1612" s="464"/>
      <c r="D1612" s="464"/>
      <c r="E1612" s="464"/>
      <c r="F1612" s="464"/>
    </row>
    <row r="1613" spans="1:6" s="1222" customFormat="1" x14ac:dyDescent="0.25">
      <c r="A1613" s="463"/>
      <c r="B1613" s="464"/>
      <c r="C1613" s="464"/>
      <c r="D1613" s="464"/>
      <c r="E1613" s="464"/>
      <c r="F1613" s="464"/>
    </row>
    <row r="1614" spans="1:6" s="1222" customFormat="1" x14ac:dyDescent="0.25">
      <c r="A1614" s="463"/>
      <c r="B1614" s="464"/>
      <c r="C1614" s="464"/>
      <c r="D1614" s="464"/>
      <c r="E1614" s="464"/>
      <c r="F1614" s="464"/>
    </row>
    <row r="1615" spans="1:6" s="1222" customFormat="1" x14ac:dyDescent="0.25">
      <c r="A1615" s="463"/>
      <c r="B1615" s="464"/>
      <c r="C1615" s="464"/>
      <c r="D1615" s="464"/>
      <c r="E1615" s="464"/>
      <c r="F1615" s="464"/>
    </row>
    <row r="1616" spans="1:6" s="1222" customFormat="1" x14ac:dyDescent="0.25">
      <c r="A1616" s="463"/>
      <c r="B1616" s="464"/>
      <c r="C1616" s="464"/>
      <c r="D1616" s="464"/>
      <c r="E1616" s="464"/>
      <c r="F1616" s="464"/>
    </row>
    <row r="1617" spans="1:6" s="1222" customFormat="1" x14ac:dyDescent="0.25">
      <c r="A1617" s="463"/>
      <c r="B1617" s="464"/>
      <c r="C1617" s="464"/>
      <c r="D1617" s="464"/>
      <c r="E1617" s="464"/>
      <c r="F1617" s="464"/>
    </row>
    <row r="1618" spans="1:6" s="1222" customFormat="1" x14ac:dyDescent="0.25">
      <c r="A1618" s="463"/>
      <c r="B1618" s="464"/>
      <c r="C1618" s="464"/>
      <c r="D1618" s="464"/>
      <c r="E1618" s="464"/>
      <c r="F1618" s="464"/>
    </row>
    <row r="1619" spans="1:6" s="1222" customFormat="1" x14ac:dyDescent="0.25">
      <c r="A1619" s="463"/>
      <c r="B1619" s="464"/>
      <c r="C1619" s="464"/>
      <c r="D1619" s="464"/>
      <c r="E1619" s="464"/>
      <c r="F1619" s="464"/>
    </row>
    <row r="1620" spans="1:6" s="1222" customFormat="1" x14ac:dyDescent="0.25">
      <c r="A1620" s="463"/>
      <c r="B1620" s="464"/>
      <c r="C1620" s="464"/>
      <c r="D1620" s="464"/>
      <c r="E1620" s="464"/>
      <c r="F1620" s="464"/>
    </row>
    <row r="1621" spans="1:6" s="1222" customFormat="1" x14ac:dyDescent="0.25">
      <c r="A1621" s="463"/>
      <c r="B1621" s="464"/>
      <c r="C1621" s="464"/>
      <c r="D1621" s="464"/>
      <c r="E1621" s="464"/>
      <c r="F1621" s="464"/>
    </row>
    <row r="1622" spans="1:6" s="1222" customFormat="1" x14ac:dyDescent="0.25">
      <c r="A1622" s="463"/>
      <c r="B1622" s="464"/>
      <c r="C1622" s="464"/>
      <c r="D1622" s="464"/>
      <c r="E1622" s="464"/>
      <c r="F1622" s="464"/>
    </row>
    <row r="1623" spans="1:6" s="1222" customFormat="1" x14ac:dyDescent="0.25">
      <c r="A1623" s="463"/>
      <c r="B1623" s="464"/>
      <c r="C1623" s="464"/>
      <c r="D1623" s="464"/>
      <c r="E1623" s="464"/>
      <c r="F1623" s="464"/>
    </row>
    <row r="1624" spans="1:6" s="1222" customFormat="1" x14ac:dyDescent="0.25">
      <c r="A1624" s="463"/>
      <c r="B1624" s="464"/>
      <c r="C1624" s="464"/>
      <c r="D1624" s="464"/>
      <c r="E1624" s="464"/>
      <c r="F1624" s="464"/>
    </row>
    <row r="1625" spans="1:6" s="1222" customFormat="1" x14ac:dyDescent="0.25">
      <c r="A1625" s="463"/>
      <c r="B1625" s="464"/>
      <c r="C1625" s="464"/>
      <c r="D1625" s="464"/>
      <c r="E1625" s="464"/>
      <c r="F1625" s="464"/>
    </row>
    <row r="1626" spans="1:6" s="1222" customFormat="1" x14ac:dyDescent="0.25">
      <c r="A1626" s="463"/>
      <c r="B1626" s="464"/>
      <c r="C1626" s="464"/>
      <c r="D1626" s="464"/>
      <c r="E1626" s="464"/>
      <c r="F1626" s="464"/>
    </row>
    <row r="1627" spans="1:6" s="1222" customFormat="1" x14ac:dyDescent="0.25">
      <c r="A1627" s="463"/>
      <c r="B1627" s="464"/>
      <c r="C1627" s="464"/>
      <c r="D1627" s="464"/>
      <c r="E1627" s="464"/>
      <c r="F1627" s="464"/>
    </row>
    <row r="1628" spans="1:6" s="1222" customFormat="1" x14ac:dyDescent="0.25">
      <c r="A1628" s="463"/>
      <c r="B1628" s="464"/>
      <c r="C1628" s="464"/>
      <c r="D1628" s="464"/>
      <c r="E1628" s="464"/>
      <c r="F1628" s="464"/>
    </row>
    <row r="1629" spans="1:6" s="1222" customFormat="1" x14ac:dyDescent="0.25">
      <c r="A1629" s="463"/>
      <c r="B1629" s="464"/>
      <c r="C1629" s="464"/>
      <c r="D1629" s="464"/>
      <c r="E1629" s="464"/>
      <c r="F1629" s="464"/>
    </row>
    <row r="1630" spans="1:6" s="1222" customFormat="1" x14ac:dyDescent="0.25">
      <c r="A1630" s="463"/>
      <c r="B1630" s="464"/>
      <c r="C1630" s="464"/>
      <c r="D1630" s="464"/>
      <c r="E1630" s="464"/>
      <c r="F1630" s="464"/>
    </row>
    <row r="1631" spans="1:6" s="1222" customFormat="1" x14ac:dyDescent="0.25">
      <c r="A1631" s="463"/>
      <c r="B1631" s="464"/>
      <c r="C1631" s="464"/>
      <c r="D1631" s="464"/>
      <c r="E1631" s="464"/>
      <c r="F1631" s="464"/>
    </row>
    <row r="1632" spans="1:6" s="1222" customFormat="1" x14ac:dyDescent="0.25">
      <c r="A1632" s="463"/>
      <c r="B1632" s="464"/>
      <c r="C1632" s="464"/>
      <c r="D1632" s="464"/>
      <c r="E1632" s="464"/>
      <c r="F1632" s="464"/>
    </row>
    <row r="1633" spans="1:6" s="1222" customFormat="1" x14ac:dyDescent="0.25">
      <c r="A1633" s="463"/>
      <c r="B1633" s="464"/>
      <c r="C1633" s="464"/>
      <c r="D1633" s="464"/>
      <c r="E1633" s="464"/>
      <c r="F1633" s="464"/>
    </row>
    <row r="1634" spans="1:6" s="1222" customFormat="1" x14ac:dyDescent="0.25">
      <c r="A1634" s="463"/>
      <c r="B1634" s="464"/>
      <c r="C1634" s="464"/>
      <c r="D1634" s="464"/>
      <c r="E1634" s="464"/>
      <c r="F1634" s="464"/>
    </row>
    <row r="1635" spans="1:6" s="1222" customFormat="1" x14ac:dyDescent="0.25">
      <c r="A1635" s="463"/>
      <c r="B1635" s="464"/>
      <c r="C1635" s="464"/>
      <c r="D1635" s="464"/>
      <c r="E1635" s="464"/>
      <c r="F1635" s="464"/>
    </row>
    <row r="1636" spans="1:6" s="1222" customFormat="1" x14ac:dyDescent="0.25">
      <c r="A1636" s="463"/>
      <c r="B1636" s="464"/>
      <c r="C1636" s="464"/>
      <c r="D1636" s="464"/>
      <c r="E1636" s="464"/>
      <c r="F1636" s="464"/>
    </row>
    <row r="1637" spans="1:6" s="1222" customFormat="1" x14ac:dyDescent="0.25">
      <c r="A1637" s="463"/>
      <c r="B1637" s="464"/>
      <c r="C1637" s="464"/>
      <c r="D1637" s="464"/>
      <c r="E1637" s="464"/>
      <c r="F1637" s="464"/>
    </row>
    <row r="1638" spans="1:6" s="1222" customFormat="1" x14ac:dyDescent="0.25">
      <c r="A1638" s="463"/>
      <c r="B1638" s="464"/>
      <c r="C1638" s="464"/>
      <c r="D1638" s="464"/>
      <c r="E1638" s="464"/>
      <c r="F1638" s="464"/>
    </row>
    <row r="1639" spans="1:6" s="1222" customFormat="1" x14ac:dyDescent="0.25">
      <c r="A1639" s="463"/>
      <c r="B1639" s="464"/>
      <c r="C1639" s="464"/>
      <c r="D1639" s="464"/>
      <c r="E1639" s="464"/>
      <c r="F1639" s="464"/>
    </row>
    <row r="1640" spans="1:6" s="1222" customFormat="1" x14ac:dyDescent="0.25">
      <c r="A1640" s="463"/>
      <c r="B1640" s="464"/>
      <c r="C1640" s="464"/>
      <c r="D1640" s="464"/>
      <c r="E1640" s="464"/>
      <c r="F1640" s="464"/>
    </row>
    <row r="1641" spans="1:6" s="1222" customFormat="1" x14ac:dyDescent="0.25">
      <c r="A1641" s="463"/>
      <c r="B1641" s="464"/>
      <c r="C1641" s="464"/>
      <c r="D1641" s="464"/>
      <c r="E1641" s="464"/>
      <c r="F1641" s="464"/>
    </row>
    <row r="1642" spans="1:6" s="1222" customFormat="1" x14ac:dyDescent="0.25">
      <c r="A1642" s="463"/>
      <c r="B1642" s="464"/>
      <c r="C1642" s="464"/>
      <c r="D1642" s="464"/>
      <c r="E1642" s="464"/>
      <c r="F1642" s="464"/>
    </row>
    <row r="1643" spans="1:6" s="1222" customFormat="1" x14ac:dyDescent="0.25">
      <c r="A1643" s="463"/>
      <c r="B1643" s="464"/>
      <c r="C1643" s="464"/>
      <c r="D1643" s="464"/>
      <c r="E1643" s="464"/>
      <c r="F1643" s="464"/>
    </row>
    <row r="1644" spans="1:6" s="1222" customFormat="1" x14ac:dyDescent="0.25">
      <c r="A1644" s="463"/>
      <c r="B1644" s="464"/>
      <c r="C1644" s="464"/>
      <c r="D1644" s="464"/>
      <c r="E1644" s="464"/>
      <c r="F1644" s="464"/>
    </row>
    <row r="1645" spans="1:6" s="1222" customFormat="1" x14ac:dyDescent="0.25">
      <c r="A1645" s="463"/>
      <c r="B1645" s="464"/>
      <c r="C1645" s="464"/>
      <c r="D1645" s="464"/>
      <c r="E1645" s="464"/>
      <c r="F1645" s="464"/>
    </row>
    <row r="1646" spans="1:6" s="1222" customFormat="1" x14ac:dyDescent="0.25">
      <c r="A1646" s="463"/>
      <c r="B1646" s="464"/>
      <c r="C1646" s="464"/>
      <c r="D1646" s="464"/>
      <c r="E1646" s="464"/>
      <c r="F1646" s="464"/>
    </row>
    <row r="1647" spans="1:6" s="1222" customFormat="1" x14ac:dyDescent="0.25">
      <c r="A1647" s="463"/>
      <c r="B1647" s="464"/>
      <c r="C1647" s="464"/>
      <c r="D1647" s="464"/>
      <c r="E1647" s="464"/>
      <c r="F1647" s="464"/>
    </row>
    <row r="1648" spans="1:6" s="1222" customFormat="1" x14ac:dyDescent="0.25">
      <c r="A1648" s="463"/>
      <c r="B1648" s="464"/>
      <c r="C1648" s="464"/>
      <c r="D1648" s="464"/>
      <c r="E1648" s="464"/>
      <c r="F1648" s="464"/>
    </row>
    <row r="1649" spans="1:6" s="1222" customFormat="1" x14ac:dyDescent="0.25">
      <c r="A1649" s="463"/>
      <c r="B1649" s="464"/>
      <c r="C1649" s="464"/>
      <c r="D1649" s="464"/>
      <c r="E1649" s="464"/>
      <c r="F1649" s="464"/>
    </row>
    <row r="1650" spans="1:6" s="1222" customFormat="1" x14ac:dyDescent="0.25">
      <c r="A1650" s="463"/>
      <c r="B1650" s="464"/>
      <c r="C1650" s="464"/>
      <c r="D1650" s="464"/>
      <c r="E1650" s="464"/>
      <c r="F1650" s="464"/>
    </row>
    <row r="1651" spans="1:6" s="1222" customFormat="1" x14ac:dyDescent="0.25">
      <c r="A1651" s="463"/>
      <c r="B1651" s="464"/>
      <c r="C1651" s="464"/>
      <c r="D1651" s="464"/>
      <c r="E1651" s="464"/>
      <c r="F1651" s="464"/>
    </row>
    <row r="1652" spans="1:6" s="1222" customFormat="1" x14ac:dyDescent="0.25">
      <c r="A1652" s="463"/>
      <c r="B1652" s="464"/>
      <c r="C1652" s="464"/>
      <c r="D1652" s="464"/>
      <c r="E1652" s="464"/>
      <c r="F1652" s="464"/>
    </row>
    <row r="1653" spans="1:6" s="1222" customFormat="1" x14ac:dyDescent="0.25">
      <c r="A1653" s="463"/>
      <c r="B1653" s="464"/>
      <c r="C1653" s="464"/>
      <c r="D1653" s="464"/>
      <c r="E1653" s="464"/>
      <c r="F1653" s="464"/>
    </row>
    <row r="1654" spans="1:6" s="1222" customFormat="1" x14ac:dyDescent="0.25">
      <c r="A1654" s="463"/>
      <c r="B1654" s="464"/>
      <c r="C1654" s="464"/>
      <c r="D1654" s="464"/>
      <c r="E1654" s="464"/>
      <c r="F1654" s="464"/>
    </row>
    <row r="1655" spans="1:6" s="1222" customFormat="1" x14ac:dyDescent="0.25">
      <c r="A1655" s="463"/>
      <c r="B1655" s="464"/>
      <c r="C1655" s="464"/>
      <c r="D1655" s="464"/>
      <c r="E1655" s="464"/>
      <c r="F1655" s="464"/>
    </row>
    <row r="1656" spans="1:6" s="1222" customFormat="1" x14ac:dyDescent="0.25">
      <c r="A1656" s="463"/>
      <c r="B1656" s="464"/>
      <c r="C1656" s="464"/>
      <c r="D1656" s="464"/>
      <c r="E1656" s="464"/>
      <c r="F1656" s="464"/>
    </row>
    <row r="1657" spans="1:6" s="1222" customFormat="1" x14ac:dyDescent="0.25">
      <c r="A1657" s="463"/>
      <c r="B1657" s="464"/>
      <c r="C1657" s="464"/>
      <c r="D1657" s="464"/>
      <c r="E1657" s="464"/>
      <c r="F1657" s="464"/>
    </row>
    <row r="1658" spans="1:6" s="1222" customFormat="1" x14ac:dyDescent="0.25">
      <c r="A1658" s="463"/>
      <c r="B1658" s="464"/>
      <c r="C1658" s="464"/>
      <c r="D1658" s="464"/>
      <c r="E1658" s="464"/>
      <c r="F1658" s="464"/>
    </row>
    <row r="1659" spans="1:6" s="1222" customFormat="1" x14ac:dyDescent="0.25">
      <c r="A1659" s="463"/>
      <c r="B1659" s="464"/>
      <c r="C1659" s="464"/>
      <c r="D1659" s="464"/>
      <c r="E1659" s="464"/>
      <c r="F1659" s="464"/>
    </row>
    <row r="1660" spans="1:6" s="1222" customFormat="1" x14ac:dyDescent="0.25">
      <c r="A1660" s="463"/>
      <c r="B1660" s="464"/>
      <c r="C1660" s="464"/>
      <c r="D1660" s="464"/>
      <c r="E1660" s="464"/>
      <c r="F1660" s="464"/>
    </row>
    <row r="1661" spans="1:6" s="1222" customFormat="1" x14ac:dyDescent="0.25">
      <c r="A1661" s="463"/>
      <c r="B1661" s="464"/>
      <c r="C1661" s="464"/>
      <c r="D1661" s="464"/>
      <c r="E1661" s="464"/>
      <c r="F1661" s="464"/>
    </row>
    <row r="1662" spans="1:6" s="1222" customFormat="1" x14ac:dyDescent="0.25">
      <c r="A1662" s="463"/>
      <c r="B1662" s="464"/>
      <c r="C1662" s="464"/>
      <c r="D1662" s="464"/>
      <c r="E1662" s="464"/>
      <c r="F1662" s="464"/>
    </row>
    <row r="1663" spans="1:6" s="1222" customFormat="1" x14ac:dyDescent="0.25">
      <c r="A1663" s="463"/>
      <c r="B1663" s="464"/>
      <c r="C1663" s="464"/>
      <c r="D1663" s="464"/>
      <c r="E1663" s="464"/>
      <c r="F1663" s="464"/>
    </row>
    <row r="1664" spans="1:6" s="1222" customFormat="1" x14ac:dyDescent="0.25">
      <c r="A1664" s="463"/>
      <c r="B1664" s="464"/>
      <c r="C1664" s="464"/>
      <c r="D1664" s="464"/>
      <c r="E1664" s="464"/>
      <c r="F1664" s="464"/>
    </row>
    <row r="1665" spans="1:6" s="1222" customFormat="1" x14ac:dyDescent="0.25">
      <c r="A1665" s="463"/>
      <c r="B1665" s="464"/>
      <c r="C1665" s="464"/>
      <c r="D1665" s="464"/>
      <c r="E1665" s="464"/>
      <c r="F1665" s="464"/>
    </row>
    <row r="1666" spans="1:6" s="1222" customFormat="1" x14ac:dyDescent="0.25">
      <c r="A1666" s="463"/>
      <c r="B1666" s="464"/>
      <c r="C1666" s="464"/>
      <c r="D1666" s="464"/>
      <c r="E1666" s="464"/>
      <c r="F1666" s="464"/>
    </row>
    <row r="1667" spans="1:6" s="1222" customFormat="1" x14ac:dyDescent="0.25">
      <c r="A1667" s="463"/>
      <c r="B1667" s="464"/>
      <c r="C1667" s="464"/>
      <c r="D1667" s="464"/>
      <c r="E1667" s="464"/>
      <c r="F1667" s="464"/>
    </row>
    <row r="1668" spans="1:6" s="1222" customFormat="1" x14ac:dyDescent="0.25">
      <c r="A1668" s="463"/>
      <c r="B1668" s="464"/>
      <c r="C1668" s="464"/>
      <c r="D1668" s="464"/>
      <c r="E1668" s="464"/>
      <c r="F1668" s="464"/>
    </row>
    <row r="1669" spans="1:6" s="1222" customFormat="1" x14ac:dyDescent="0.25">
      <c r="A1669" s="463"/>
      <c r="B1669" s="464"/>
      <c r="C1669" s="464"/>
      <c r="D1669" s="464"/>
      <c r="E1669" s="464"/>
      <c r="F1669" s="464"/>
    </row>
    <row r="1670" spans="1:6" s="1222" customFormat="1" x14ac:dyDescent="0.25">
      <c r="A1670" s="463"/>
      <c r="B1670" s="464"/>
      <c r="C1670" s="464"/>
      <c r="D1670" s="464"/>
      <c r="E1670" s="464"/>
      <c r="F1670" s="464"/>
    </row>
    <row r="1671" spans="1:6" s="1222" customFormat="1" x14ac:dyDescent="0.25">
      <c r="A1671" s="463"/>
      <c r="B1671" s="464"/>
      <c r="C1671" s="464"/>
      <c r="D1671" s="464"/>
      <c r="E1671" s="464"/>
      <c r="F1671" s="464"/>
    </row>
    <row r="1672" spans="1:6" s="1222" customFormat="1" x14ac:dyDescent="0.25">
      <c r="A1672" s="463"/>
      <c r="B1672" s="464"/>
      <c r="C1672" s="464"/>
      <c r="D1672" s="464"/>
      <c r="E1672" s="464"/>
      <c r="F1672" s="464"/>
    </row>
    <row r="1673" spans="1:6" s="1222" customFormat="1" x14ac:dyDescent="0.25">
      <c r="A1673" s="463"/>
      <c r="B1673" s="464"/>
      <c r="C1673" s="464"/>
      <c r="D1673" s="464"/>
      <c r="E1673" s="464"/>
      <c r="F1673" s="464"/>
    </row>
    <row r="1674" spans="1:6" s="1222" customFormat="1" x14ac:dyDescent="0.25">
      <c r="A1674" s="463"/>
      <c r="B1674" s="464"/>
      <c r="C1674" s="464"/>
      <c r="D1674" s="464"/>
      <c r="E1674" s="464"/>
      <c r="F1674" s="464"/>
    </row>
    <row r="1675" spans="1:6" s="1222" customFormat="1" x14ac:dyDescent="0.25">
      <c r="A1675" s="463"/>
      <c r="B1675" s="464"/>
      <c r="C1675" s="464"/>
      <c r="D1675" s="464"/>
      <c r="E1675" s="464"/>
      <c r="F1675" s="464"/>
    </row>
    <row r="1676" spans="1:6" s="1222" customFormat="1" x14ac:dyDescent="0.25">
      <c r="A1676" s="463"/>
      <c r="B1676" s="464"/>
      <c r="C1676" s="464"/>
      <c r="D1676" s="464"/>
      <c r="E1676" s="464"/>
      <c r="F1676" s="464"/>
    </row>
    <row r="1677" spans="1:6" s="1222" customFormat="1" x14ac:dyDescent="0.25">
      <c r="A1677" s="463"/>
      <c r="B1677" s="464"/>
      <c r="C1677" s="464"/>
      <c r="D1677" s="464"/>
      <c r="E1677" s="464"/>
      <c r="F1677" s="464"/>
    </row>
    <row r="1678" spans="1:6" s="1222" customFormat="1" x14ac:dyDescent="0.25">
      <c r="A1678" s="463"/>
      <c r="B1678" s="464"/>
      <c r="C1678" s="464"/>
      <c r="D1678" s="464"/>
      <c r="E1678" s="464"/>
      <c r="F1678" s="464"/>
    </row>
    <row r="1679" spans="1:6" s="1222" customFormat="1" x14ac:dyDescent="0.25">
      <c r="A1679" s="463"/>
      <c r="B1679" s="464"/>
      <c r="C1679" s="464"/>
      <c r="D1679" s="464"/>
      <c r="E1679" s="464"/>
      <c r="F1679" s="464"/>
    </row>
    <row r="1680" spans="1:6" s="1222" customFormat="1" x14ac:dyDescent="0.25">
      <c r="A1680" s="463"/>
      <c r="B1680" s="464"/>
      <c r="C1680" s="464"/>
      <c r="D1680" s="464"/>
      <c r="E1680" s="464"/>
      <c r="F1680" s="464"/>
    </row>
    <row r="1681" spans="1:6" s="1222" customFormat="1" x14ac:dyDescent="0.25">
      <c r="A1681" s="463"/>
      <c r="B1681" s="464"/>
      <c r="C1681" s="464"/>
      <c r="D1681" s="464"/>
      <c r="E1681" s="464"/>
      <c r="F1681" s="464"/>
    </row>
    <row r="1682" spans="1:6" s="1222" customFormat="1" x14ac:dyDescent="0.25">
      <c r="A1682" s="463"/>
      <c r="B1682" s="464"/>
      <c r="C1682" s="464"/>
      <c r="D1682" s="464"/>
      <c r="E1682" s="464"/>
      <c r="F1682" s="464"/>
    </row>
    <row r="1683" spans="1:6" s="1222" customFormat="1" x14ac:dyDescent="0.25">
      <c r="A1683" s="463"/>
      <c r="B1683" s="464"/>
      <c r="C1683" s="464"/>
      <c r="D1683" s="464"/>
      <c r="E1683" s="464"/>
      <c r="F1683" s="464"/>
    </row>
    <row r="1684" spans="1:6" s="1222" customFormat="1" x14ac:dyDescent="0.25">
      <c r="A1684" s="463"/>
      <c r="B1684" s="464"/>
      <c r="C1684" s="464"/>
      <c r="D1684" s="464"/>
      <c r="E1684" s="464"/>
      <c r="F1684" s="464"/>
    </row>
    <row r="1685" spans="1:6" s="1222" customFormat="1" x14ac:dyDescent="0.25">
      <c r="A1685" s="463"/>
      <c r="B1685" s="464"/>
      <c r="C1685" s="464"/>
      <c r="D1685" s="464"/>
      <c r="E1685" s="464"/>
      <c r="F1685" s="464"/>
    </row>
    <row r="1686" spans="1:6" s="1222" customFormat="1" x14ac:dyDescent="0.25">
      <c r="A1686" s="463"/>
      <c r="B1686" s="464"/>
      <c r="C1686" s="464"/>
      <c r="D1686" s="464"/>
      <c r="E1686" s="464"/>
      <c r="F1686" s="464"/>
    </row>
    <row r="1687" spans="1:6" s="1222" customFormat="1" x14ac:dyDescent="0.25">
      <c r="A1687" s="463"/>
      <c r="B1687" s="464"/>
      <c r="C1687" s="464"/>
      <c r="D1687" s="464"/>
      <c r="E1687" s="464"/>
      <c r="F1687" s="464"/>
    </row>
    <row r="1688" spans="1:6" s="1222" customFormat="1" x14ac:dyDescent="0.25">
      <c r="A1688" s="463"/>
      <c r="B1688" s="464"/>
      <c r="C1688" s="464"/>
      <c r="D1688" s="464"/>
      <c r="E1688" s="464"/>
      <c r="F1688" s="464"/>
    </row>
    <row r="1689" spans="1:6" s="1222" customFormat="1" x14ac:dyDescent="0.25">
      <c r="A1689" s="463"/>
      <c r="B1689" s="464"/>
      <c r="C1689" s="464"/>
      <c r="D1689" s="464"/>
      <c r="E1689" s="464"/>
      <c r="F1689" s="464"/>
    </row>
    <row r="1690" spans="1:6" s="1222" customFormat="1" x14ac:dyDescent="0.25">
      <c r="A1690" s="463"/>
      <c r="B1690" s="464"/>
      <c r="C1690" s="464"/>
      <c r="D1690" s="464"/>
      <c r="E1690" s="464"/>
      <c r="F1690" s="464"/>
    </row>
    <row r="1691" spans="1:6" s="1222" customFormat="1" x14ac:dyDescent="0.25">
      <c r="A1691" s="463"/>
      <c r="B1691" s="464"/>
      <c r="C1691" s="464"/>
      <c r="D1691" s="464"/>
      <c r="E1691" s="464"/>
      <c r="F1691" s="464"/>
    </row>
    <row r="1692" spans="1:6" s="1222" customFormat="1" x14ac:dyDescent="0.25">
      <c r="A1692" s="463"/>
      <c r="B1692" s="464"/>
      <c r="C1692" s="464"/>
      <c r="D1692" s="464"/>
      <c r="E1692" s="464"/>
      <c r="F1692" s="464"/>
    </row>
    <row r="1693" spans="1:6" s="1222" customFormat="1" x14ac:dyDescent="0.25">
      <c r="A1693" s="463"/>
      <c r="B1693" s="464"/>
      <c r="C1693" s="464"/>
      <c r="D1693" s="464"/>
      <c r="E1693" s="464"/>
      <c r="F1693" s="464"/>
    </row>
    <row r="1694" spans="1:6" s="1222" customFormat="1" x14ac:dyDescent="0.25">
      <c r="A1694" s="463"/>
      <c r="B1694" s="464"/>
      <c r="C1694" s="464"/>
      <c r="D1694" s="464"/>
      <c r="E1694" s="464"/>
      <c r="F1694" s="464"/>
    </row>
    <row r="1695" spans="1:6" s="1222" customFormat="1" x14ac:dyDescent="0.25">
      <c r="A1695" s="463"/>
      <c r="B1695" s="464"/>
      <c r="C1695" s="464"/>
      <c r="D1695" s="464"/>
      <c r="E1695" s="464"/>
      <c r="F1695" s="464"/>
    </row>
    <row r="1696" spans="1:6" s="1222" customFormat="1" x14ac:dyDescent="0.25">
      <c r="A1696" s="463"/>
      <c r="B1696" s="464"/>
      <c r="C1696" s="464"/>
      <c r="D1696" s="464"/>
      <c r="E1696" s="464"/>
      <c r="F1696" s="464"/>
    </row>
    <row r="1697" spans="1:6" s="1222" customFormat="1" x14ac:dyDescent="0.25">
      <c r="A1697" s="463"/>
      <c r="B1697" s="464"/>
      <c r="C1697" s="464"/>
      <c r="D1697" s="464"/>
      <c r="E1697" s="464"/>
      <c r="F1697" s="464"/>
    </row>
    <row r="1698" spans="1:6" s="1222" customFormat="1" x14ac:dyDescent="0.25">
      <c r="A1698" s="463"/>
      <c r="B1698" s="464"/>
      <c r="C1698" s="464"/>
      <c r="D1698" s="464"/>
      <c r="E1698" s="464"/>
      <c r="F1698" s="464"/>
    </row>
    <row r="1699" spans="1:6" s="1222" customFormat="1" x14ac:dyDescent="0.25">
      <c r="A1699" s="463"/>
      <c r="B1699" s="464"/>
      <c r="C1699" s="464"/>
      <c r="D1699" s="464"/>
      <c r="E1699" s="464"/>
      <c r="F1699" s="464"/>
    </row>
    <row r="1700" spans="1:6" s="1222" customFormat="1" x14ac:dyDescent="0.25">
      <c r="A1700" s="463"/>
      <c r="B1700" s="464"/>
      <c r="C1700" s="464"/>
      <c r="D1700" s="464"/>
      <c r="E1700" s="464"/>
      <c r="F1700" s="464"/>
    </row>
    <row r="1701" spans="1:6" s="1222" customFormat="1" x14ac:dyDescent="0.25">
      <c r="A1701" s="463"/>
      <c r="B1701" s="464"/>
      <c r="C1701" s="464"/>
      <c r="D1701" s="464"/>
      <c r="E1701" s="464"/>
      <c r="F1701" s="464"/>
    </row>
    <row r="1702" spans="1:6" s="1222" customFormat="1" x14ac:dyDescent="0.25">
      <c r="A1702" s="463"/>
      <c r="B1702" s="464"/>
      <c r="C1702" s="464"/>
      <c r="D1702" s="464"/>
      <c r="E1702" s="464"/>
      <c r="F1702" s="464"/>
    </row>
    <row r="1703" spans="1:6" s="1222" customFormat="1" x14ac:dyDescent="0.25">
      <c r="A1703" s="463"/>
      <c r="B1703" s="464"/>
      <c r="C1703" s="464"/>
      <c r="D1703" s="464"/>
      <c r="E1703" s="464"/>
      <c r="F1703" s="464"/>
    </row>
    <row r="1704" spans="1:6" s="1222" customFormat="1" x14ac:dyDescent="0.25">
      <c r="A1704" s="463"/>
      <c r="B1704" s="464"/>
      <c r="C1704" s="464"/>
      <c r="D1704" s="464"/>
      <c r="E1704" s="464"/>
      <c r="F1704" s="464"/>
    </row>
    <row r="1705" spans="1:6" s="1222" customFormat="1" x14ac:dyDescent="0.25">
      <c r="A1705" s="463"/>
      <c r="B1705" s="464"/>
      <c r="C1705" s="464"/>
      <c r="D1705" s="464"/>
      <c r="E1705" s="464"/>
      <c r="F1705" s="464"/>
    </row>
    <row r="1706" spans="1:6" s="1222" customFormat="1" x14ac:dyDescent="0.25">
      <c r="A1706" s="463"/>
      <c r="B1706" s="464"/>
      <c r="C1706" s="464"/>
      <c r="D1706" s="464"/>
      <c r="E1706" s="464"/>
      <c r="F1706" s="464"/>
    </row>
    <row r="1707" spans="1:6" s="1222" customFormat="1" x14ac:dyDescent="0.25">
      <c r="A1707" s="463"/>
      <c r="B1707" s="464"/>
      <c r="C1707" s="464"/>
      <c r="D1707" s="464"/>
      <c r="E1707" s="464"/>
      <c r="F1707" s="464"/>
    </row>
    <row r="1708" spans="1:6" s="1222" customFormat="1" x14ac:dyDescent="0.25">
      <c r="A1708" s="463"/>
      <c r="B1708" s="464"/>
      <c r="C1708" s="464"/>
      <c r="D1708" s="464"/>
      <c r="E1708" s="464"/>
      <c r="F1708" s="464"/>
    </row>
    <row r="1709" spans="1:6" s="1222" customFormat="1" x14ac:dyDescent="0.25">
      <c r="A1709" s="463"/>
      <c r="B1709" s="464"/>
      <c r="C1709" s="464"/>
      <c r="D1709" s="464"/>
      <c r="E1709" s="464"/>
      <c r="F1709" s="464"/>
    </row>
    <row r="1710" spans="1:6" s="1222" customFormat="1" x14ac:dyDescent="0.25">
      <c r="A1710" s="463"/>
      <c r="B1710" s="464"/>
      <c r="C1710" s="464"/>
      <c r="D1710" s="464"/>
      <c r="E1710" s="464"/>
      <c r="F1710" s="464"/>
    </row>
    <row r="1711" spans="1:6" s="1222" customFormat="1" x14ac:dyDescent="0.25">
      <c r="A1711" s="463"/>
      <c r="B1711" s="464"/>
      <c r="C1711" s="464"/>
      <c r="D1711" s="464"/>
      <c r="E1711" s="464"/>
      <c r="F1711" s="464"/>
    </row>
    <row r="1712" spans="1:6" s="1222" customFormat="1" x14ac:dyDescent="0.25">
      <c r="A1712" s="463"/>
      <c r="B1712" s="464"/>
      <c r="C1712" s="464"/>
      <c r="D1712" s="464"/>
      <c r="E1712" s="464"/>
      <c r="F1712" s="464"/>
    </row>
    <row r="1713" spans="1:6" s="1222" customFormat="1" x14ac:dyDescent="0.25">
      <c r="A1713" s="463"/>
      <c r="B1713" s="464"/>
      <c r="C1713" s="464"/>
      <c r="D1713" s="464"/>
      <c r="E1713" s="464"/>
      <c r="F1713" s="464"/>
    </row>
    <row r="1714" spans="1:6" s="1222" customFormat="1" x14ac:dyDescent="0.25">
      <c r="A1714" s="463"/>
      <c r="B1714" s="464"/>
      <c r="C1714" s="464"/>
      <c r="D1714" s="464"/>
      <c r="E1714" s="464"/>
      <c r="F1714" s="464"/>
    </row>
    <row r="1715" spans="1:6" s="1222" customFormat="1" x14ac:dyDescent="0.25">
      <c r="A1715" s="463"/>
      <c r="B1715" s="464"/>
      <c r="C1715" s="464"/>
      <c r="D1715" s="464"/>
      <c r="E1715" s="464"/>
      <c r="F1715" s="464"/>
    </row>
    <row r="1716" spans="1:6" s="1222" customFormat="1" x14ac:dyDescent="0.25">
      <c r="A1716" s="463"/>
      <c r="B1716" s="464"/>
      <c r="C1716" s="464"/>
      <c r="D1716" s="464"/>
      <c r="E1716" s="464"/>
      <c r="F1716" s="464"/>
    </row>
    <row r="1717" spans="1:6" s="1222" customFormat="1" x14ac:dyDescent="0.25">
      <c r="A1717" s="463"/>
      <c r="B1717" s="464"/>
      <c r="C1717" s="464"/>
      <c r="D1717" s="464"/>
      <c r="E1717" s="464"/>
      <c r="F1717" s="464"/>
    </row>
    <row r="1718" spans="1:6" s="1222" customFormat="1" x14ac:dyDescent="0.25">
      <c r="A1718" s="463"/>
      <c r="B1718" s="464"/>
      <c r="C1718" s="464"/>
      <c r="D1718" s="464"/>
      <c r="E1718" s="464"/>
      <c r="F1718" s="464"/>
    </row>
    <row r="1719" spans="1:6" s="1222" customFormat="1" x14ac:dyDescent="0.25">
      <c r="A1719" s="463"/>
      <c r="B1719" s="464"/>
      <c r="C1719" s="464"/>
      <c r="D1719" s="464"/>
      <c r="E1719" s="464"/>
      <c r="F1719" s="464"/>
    </row>
    <row r="1720" spans="1:6" s="1222" customFormat="1" x14ac:dyDescent="0.25">
      <c r="A1720" s="463"/>
      <c r="B1720" s="464"/>
      <c r="C1720" s="464"/>
      <c r="D1720" s="464"/>
      <c r="E1720" s="464"/>
      <c r="F1720" s="464"/>
    </row>
    <row r="1721" spans="1:6" s="1222" customFormat="1" x14ac:dyDescent="0.25">
      <c r="A1721" s="463"/>
      <c r="B1721" s="464"/>
      <c r="C1721" s="464"/>
      <c r="D1721" s="464"/>
      <c r="E1721" s="464"/>
      <c r="F1721" s="464"/>
    </row>
    <row r="1722" spans="1:6" s="1222" customFormat="1" x14ac:dyDescent="0.25">
      <c r="A1722" s="463"/>
      <c r="B1722" s="464"/>
      <c r="C1722" s="464"/>
      <c r="D1722" s="464"/>
      <c r="E1722" s="464"/>
      <c r="F1722" s="464"/>
    </row>
    <row r="1723" spans="1:6" s="1222" customFormat="1" x14ac:dyDescent="0.25">
      <c r="A1723" s="463"/>
      <c r="B1723" s="464"/>
      <c r="C1723" s="464"/>
      <c r="D1723" s="464"/>
      <c r="E1723" s="464"/>
      <c r="F1723" s="464"/>
    </row>
    <row r="1724" spans="1:6" s="1222" customFormat="1" x14ac:dyDescent="0.25">
      <c r="A1724" s="463"/>
      <c r="B1724" s="464"/>
      <c r="C1724" s="464"/>
      <c r="D1724" s="464"/>
      <c r="E1724" s="464"/>
      <c r="F1724" s="464"/>
    </row>
    <row r="1725" spans="1:6" s="1222" customFormat="1" x14ac:dyDescent="0.25">
      <c r="A1725" s="463"/>
      <c r="B1725" s="464"/>
      <c r="C1725" s="464"/>
      <c r="D1725" s="464"/>
      <c r="E1725" s="464"/>
      <c r="F1725" s="464"/>
    </row>
    <row r="1726" spans="1:6" s="1222" customFormat="1" x14ac:dyDescent="0.25">
      <c r="A1726" s="463"/>
      <c r="B1726" s="464"/>
      <c r="C1726" s="464"/>
      <c r="D1726" s="464"/>
      <c r="E1726" s="464"/>
      <c r="F1726" s="464"/>
    </row>
    <row r="1727" spans="1:6" s="1222" customFormat="1" x14ac:dyDescent="0.25">
      <c r="A1727" s="463"/>
      <c r="B1727" s="464"/>
      <c r="C1727" s="464"/>
      <c r="D1727" s="464"/>
      <c r="E1727" s="464"/>
      <c r="F1727" s="464"/>
    </row>
    <row r="1728" spans="1:6" s="1222" customFormat="1" x14ac:dyDescent="0.25">
      <c r="A1728" s="463"/>
      <c r="B1728" s="464"/>
      <c r="C1728" s="464"/>
      <c r="D1728" s="464"/>
      <c r="E1728" s="464"/>
      <c r="F1728" s="464"/>
    </row>
    <row r="1729" spans="1:6" s="1222" customFormat="1" x14ac:dyDescent="0.25">
      <c r="A1729" s="463"/>
      <c r="B1729" s="464"/>
      <c r="C1729" s="464"/>
      <c r="D1729" s="464"/>
      <c r="E1729" s="464"/>
      <c r="F1729" s="464"/>
    </row>
    <row r="1730" spans="1:6" s="1222" customFormat="1" x14ac:dyDescent="0.25">
      <c r="A1730" s="463"/>
      <c r="B1730" s="464"/>
      <c r="C1730" s="464"/>
      <c r="D1730" s="464"/>
      <c r="E1730" s="464"/>
      <c r="F1730" s="464"/>
    </row>
    <row r="1731" spans="1:6" s="1222" customFormat="1" x14ac:dyDescent="0.25">
      <c r="A1731" s="463"/>
      <c r="B1731" s="464"/>
      <c r="C1731" s="464"/>
      <c r="D1731" s="464"/>
      <c r="E1731" s="464"/>
      <c r="F1731" s="464"/>
    </row>
    <row r="1732" spans="1:6" s="1222" customFormat="1" x14ac:dyDescent="0.25">
      <c r="A1732" s="463"/>
      <c r="B1732" s="464"/>
      <c r="C1732" s="464"/>
      <c r="D1732" s="464"/>
      <c r="E1732" s="464"/>
      <c r="F1732" s="464"/>
    </row>
    <row r="1733" spans="1:6" s="1222" customFormat="1" x14ac:dyDescent="0.25">
      <c r="A1733" s="463"/>
      <c r="B1733" s="464"/>
      <c r="C1733" s="464"/>
      <c r="D1733" s="464"/>
      <c r="E1733" s="464"/>
      <c r="F1733" s="464"/>
    </row>
    <row r="1734" spans="1:6" s="1222" customFormat="1" x14ac:dyDescent="0.25">
      <c r="A1734" s="463"/>
      <c r="B1734" s="464"/>
      <c r="C1734" s="464"/>
      <c r="D1734" s="464"/>
      <c r="E1734" s="464"/>
      <c r="F1734" s="464"/>
    </row>
    <row r="1735" spans="1:6" s="1222" customFormat="1" x14ac:dyDescent="0.25">
      <c r="A1735" s="463"/>
      <c r="B1735" s="464"/>
      <c r="C1735" s="464"/>
      <c r="D1735" s="464"/>
      <c r="E1735" s="464"/>
      <c r="F1735" s="464"/>
    </row>
    <row r="1736" spans="1:6" s="1222" customFormat="1" x14ac:dyDescent="0.25">
      <c r="A1736" s="463"/>
      <c r="B1736" s="464"/>
      <c r="C1736" s="464"/>
      <c r="D1736" s="464"/>
      <c r="E1736" s="464"/>
      <c r="F1736" s="464"/>
    </row>
    <row r="1737" spans="1:6" s="1222" customFormat="1" x14ac:dyDescent="0.25">
      <c r="A1737" s="463"/>
      <c r="B1737" s="464"/>
      <c r="C1737" s="464"/>
      <c r="D1737" s="464"/>
      <c r="E1737" s="464"/>
      <c r="F1737" s="464"/>
    </row>
    <row r="1738" spans="1:6" s="1222" customFormat="1" x14ac:dyDescent="0.25">
      <c r="A1738" s="463"/>
      <c r="B1738" s="464"/>
      <c r="C1738" s="464"/>
      <c r="D1738" s="464"/>
      <c r="E1738" s="464"/>
      <c r="F1738" s="464"/>
    </row>
    <row r="1739" spans="1:6" s="1222" customFormat="1" x14ac:dyDescent="0.25">
      <c r="A1739" s="463"/>
      <c r="B1739" s="464"/>
      <c r="C1739" s="464"/>
      <c r="D1739" s="464"/>
      <c r="E1739" s="464"/>
      <c r="F1739" s="464"/>
    </row>
    <row r="1740" spans="1:6" s="1222" customFormat="1" x14ac:dyDescent="0.25">
      <c r="A1740" s="463"/>
      <c r="B1740" s="464"/>
      <c r="C1740" s="464"/>
      <c r="D1740" s="464"/>
      <c r="E1740" s="464"/>
      <c r="F1740" s="464"/>
    </row>
    <row r="1741" spans="1:6" s="1222" customFormat="1" x14ac:dyDescent="0.25">
      <c r="A1741" s="463"/>
      <c r="B1741" s="464"/>
      <c r="C1741" s="464"/>
      <c r="D1741" s="464"/>
      <c r="E1741" s="464"/>
      <c r="F1741" s="464"/>
    </row>
    <row r="1742" spans="1:6" s="1222" customFormat="1" x14ac:dyDescent="0.25">
      <c r="A1742" s="463"/>
      <c r="B1742" s="464"/>
      <c r="C1742" s="464"/>
      <c r="D1742" s="464"/>
      <c r="E1742" s="464"/>
      <c r="F1742" s="464"/>
    </row>
    <row r="1743" spans="1:6" s="1222" customFormat="1" x14ac:dyDescent="0.25">
      <c r="A1743" s="463"/>
      <c r="B1743" s="464"/>
      <c r="C1743" s="464"/>
      <c r="D1743" s="464"/>
      <c r="E1743" s="464"/>
      <c r="F1743" s="464"/>
    </row>
    <row r="1744" spans="1:6" s="1222" customFormat="1" x14ac:dyDescent="0.25">
      <c r="A1744" s="463"/>
      <c r="B1744" s="464"/>
      <c r="C1744" s="464"/>
      <c r="D1744" s="464"/>
      <c r="E1744" s="464"/>
      <c r="F1744" s="464"/>
    </row>
    <row r="1745" spans="1:6" s="1222" customFormat="1" x14ac:dyDescent="0.25">
      <c r="A1745" s="463"/>
      <c r="B1745" s="464"/>
      <c r="C1745" s="464"/>
      <c r="D1745" s="464"/>
      <c r="E1745" s="464"/>
      <c r="F1745" s="464"/>
    </row>
    <row r="1746" spans="1:6" s="1222" customFormat="1" x14ac:dyDescent="0.25">
      <c r="A1746" s="463"/>
      <c r="B1746" s="464"/>
      <c r="C1746" s="464"/>
      <c r="D1746" s="464"/>
      <c r="E1746" s="464"/>
      <c r="F1746" s="464"/>
    </row>
    <row r="1747" spans="1:6" s="1222" customFormat="1" x14ac:dyDescent="0.25">
      <c r="A1747" s="463"/>
      <c r="B1747" s="464"/>
      <c r="C1747" s="464"/>
      <c r="D1747" s="464"/>
      <c r="E1747" s="464"/>
      <c r="F1747" s="464"/>
    </row>
    <row r="1748" spans="1:6" s="1222" customFormat="1" x14ac:dyDescent="0.25">
      <c r="A1748" s="463"/>
      <c r="B1748" s="464"/>
      <c r="C1748" s="464"/>
      <c r="D1748" s="464"/>
      <c r="E1748" s="464"/>
      <c r="F1748" s="464"/>
    </row>
    <row r="1749" spans="1:6" s="1222" customFormat="1" x14ac:dyDescent="0.25">
      <c r="A1749" s="463"/>
      <c r="B1749" s="464"/>
      <c r="C1749" s="464"/>
      <c r="D1749" s="464"/>
      <c r="E1749" s="464"/>
      <c r="F1749" s="464"/>
    </row>
    <row r="1750" spans="1:6" s="1222" customFormat="1" x14ac:dyDescent="0.25">
      <c r="A1750" s="463"/>
      <c r="B1750" s="464"/>
      <c r="C1750" s="464"/>
      <c r="D1750" s="464"/>
      <c r="E1750" s="464"/>
      <c r="F1750" s="464"/>
    </row>
    <row r="1751" spans="1:6" s="1222" customFormat="1" x14ac:dyDescent="0.25">
      <c r="A1751" s="463"/>
      <c r="B1751" s="464"/>
      <c r="C1751" s="464"/>
      <c r="D1751" s="464"/>
      <c r="E1751" s="464"/>
      <c r="F1751" s="464"/>
    </row>
    <row r="1752" spans="1:6" s="1222" customFormat="1" x14ac:dyDescent="0.25">
      <c r="A1752" s="463"/>
      <c r="B1752" s="464"/>
      <c r="C1752" s="464"/>
      <c r="D1752" s="464"/>
      <c r="E1752" s="464"/>
      <c r="F1752" s="464"/>
    </row>
    <row r="1753" spans="1:6" s="1222" customFormat="1" x14ac:dyDescent="0.25">
      <c r="A1753" s="463"/>
      <c r="B1753" s="464"/>
      <c r="C1753" s="464"/>
      <c r="D1753" s="464"/>
      <c r="E1753" s="464"/>
      <c r="F1753" s="464"/>
    </row>
    <row r="1754" spans="1:6" s="1222" customFormat="1" x14ac:dyDescent="0.25">
      <c r="A1754" s="463"/>
      <c r="B1754" s="464"/>
      <c r="C1754" s="464"/>
      <c r="D1754" s="464"/>
      <c r="E1754" s="464"/>
      <c r="F1754" s="464"/>
    </row>
    <row r="1755" spans="1:6" s="1222" customFormat="1" x14ac:dyDescent="0.25">
      <c r="A1755" s="463"/>
      <c r="B1755" s="464"/>
      <c r="C1755" s="464"/>
      <c r="D1755" s="464"/>
      <c r="E1755" s="464"/>
      <c r="F1755" s="464"/>
    </row>
    <row r="1756" spans="1:6" s="1222" customFormat="1" x14ac:dyDescent="0.25">
      <c r="A1756" s="463"/>
      <c r="B1756" s="464"/>
      <c r="C1756" s="464"/>
      <c r="D1756" s="464"/>
      <c r="E1756" s="464"/>
      <c r="F1756" s="464"/>
    </row>
    <row r="1757" spans="1:6" s="1222" customFormat="1" x14ac:dyDescent="0.25">
      <c r="A1757" s="463"/>
      <c r="B1757" s="464"/>
      <c r="C1757" s="464"/>
      <c r="D1757" s="464"/>
      <c r="E1757" s="464"/>
      <c r="F1757" s="464"/>
    </row>
    <row r="1758" spans="1:6" s="1222" customFormat="1" x14ac:dyDescent="0.25">
      <c r="A1758" s="463"/>
      <c r="B1758" s="464"/>
      <c r="C1758" s="464"/>
      <c r="D1758" s="464"/>
      <c r="E1758" s="464"/>
      <c r="F1758" s="464"/>
    </row>
    <row r="1759" spans="1:6" s="1222" customFormat="1" x14ac:dyDescent="0.25">
      <c r="A1759" s="463"/>
      <c r="B1759" s="464"/>
      <c r="C1759" s="464"/>
      <c r="D1759" s="464"/>
      <c r="E1759" s="464"/>
      <c r="F1759" s="464"/>
    </row>
    <row r="1760" spans="1:6" s="1222" customFormat="1" x14ac:dyDescent="0.25">
      <c r="A1760" s="463"/>
      <c r="B1760" s="464"/>
      <c r="C1760" s="464"/>
      <c r="D1760" s="464"/>
      <c r="E1760" s="464"/>
      <c r="F1760" s="464"/>
    </row>
    <row r="1761" spans="1:6" s="1222" customFormat="1" x14ac:dyDescent="0.25">
      <c r="A1761" s="463"/>
      <c r="B1761" s="464"/>
      <c r="C1761" s="464"/>
      <c r="D1761" s="464"/>
      <c r="E1761" s="464"/>
      <c r="F1761" s="464"/>
    </row>
    <row r="1762" spans="1:6" s="1222" customFormat="1" x14ac:dyDescent="0.25">
      <c r="A1762" s="463"/>
      <c r="B1762" s="464"/>
      <c r="C1762" s="464"/>
      <c r="D1762" s="464"/>
      <c r="E1762" s="464"/>
      <c r="F1762" s="464"/>
    </row>
    <row r="1763" spans="1:6" s="1222" customFormat="1" x14ac:dyDescent="0.25">
      <c r="A1763" s="463"/>
      <c r="B1763" s="464"/>
      <c r="C1763" s="464"/>
      <c r="D1763" s="464"/>
      <c r="E1763" s="464"/>
      <c r="F1763" s="464"/>
    </row>
    <row r="1764" spans="1:6" s="1222" customFormat="1" x14ac:dyDescent="0.25">
      <c r="A1764" s="463"/>
      <c r="B1764" s="464"/>
      <c r="C1764" s="464"/>
      <c r="D1764" s="464"/>
      <c r="E1764" s="464"/>
      <c r="F1764" s="464"/>
    </row>
    <row r="1765" spans="1:6" s="1222" customFormat="1" x14ac:dyDescent="0.25">
      <c r="A1765" s="463"/>
      <c r="B1765" s="464"/>
      <c r="C1765" s="464"/>
      <c r="D1765" s="464"/>
      <c r="E1765" s="464"/>
      <c r="F1765" s="464"/>
    </row>
    <row r="1766" spans="1:6" s="1222" customFormat="1" x14ac:dyDescent="0.25">
      <c r="A1766" s="463"/>
      <c r="B1766" s="464"/>
      <c r="C1766" s="464"/>
      <c r="D1766" s="464"/>
      <c r="E1766" s="464"/>
      <c r="F1766" s="464"/>
    </row>
    <row r="1767" spans="1:6" s="1222" customFormat="1" x14ac:dyDescent="0.25">
      <c r="A1767" s="463"/>
      <c r="B1767" s="464"/>
      <c r="C1767" s="464"/>
      <c r="D1767" s="464"/>
      <c r="E1767" s="464"/>
      <c r="F1767" s="464"/>
    </row>
    <row r="1768" spans="1:6" s="1222" customFormat="1" x14ac:dyDescent="0.25">
      <c r="A1768" s="463"/>
      <c r="B1768" s="464"/>
      <c r="C1768" s="464"/>
      <c r="D1768" s="464"/>
      <c r="E1768" s="464"/>
      <c r="F1768" s="464"/>
    </row>
    <row r="1769" spans="1:6" s="1222" customFormat="1" x14ac:dyDescent="0.25">
      <c r="A1769" s="463"/>
      <c r="B1769" s="464"/>
      <c r="C1769" s="464"/>
      <c r="D1769" s="464"/>
      <c r="E1769" s="464"/>
      <c r="F1769" s="464"/>
    </row>
    <row r="1770" spans="1:6" s="1222" customFormat="1" x14ac:dyDescent="0.25">
      <c r="A1770" s="463"/>
      <c r="B1770" s="464"/>
      <c r="C1770" s="464"/>
      <c r="D1770" s="464"/>
      <c r="E1770" s="464"/>
      <c r="F1770" s="464"/>
    </row>
    <row r="1771" spans="1:6" s="1222" customFormat="1" x14ac:dyDescent="0.25">
      <c r="A1771" s="463"/>
      <c r="B1771" s="464"/>
      <c r="C1771" s="464"/>
      <c r="D1771" s="464"/>
      <c r="E1771" s="464"/>
      <c r="F1771" s="464"/>
    </row>
    <row r="1772" spans="1:6" s="1222" customFormat="1" x14ac:dyDescent="0.25">
      <c r="A1772" s="463"/>
      <c r="B1772" s="464"/>
      <c r="C1772" s="464"/>
      <c r="D1772" s="464"/>
      <c r="E1772" s="464"/>
      <c r="F1772" s="464"/>
    </row>
    <row r="1773" spans="1:6" s="1222" customFormat="1" x14ac:dyDescent="0.25">
      <c r="A1773" s="463"/>
      <c r="B1773" s="464"/>
      <c r="C1773" s="464"/>
      <c r="D1773" s="464"/>
      <c r="E1773" s="464"/>
      <c r="F1773" s="464"/>
    </row>
    <row r="1774" spans="1:6" s="1222" customFormat="1" x14ac:dyDescent="0.25">
      <c r="A1774" s="463"/>
      <c r="B1774" s="464"/>
      <c r="C1774" s="464"/>
      <c r="D1774" s="464"/>
      <c r="E1774" s="464"/>
      <c r="F1774" s="464"/>
    </row>
    <row r="1775" spans="1:6" s="1222" customFormat="1" x14ac:dyDescent="0.25">
      <c r="A1775" s="463"/>
      <c r="B1775" s="464"/>
      <c r="C1775" s="464"/>
      <c r="D1775" s="464"/>
      <c r="E1775" s="464"/>
      <c r="F1775" s="464"/>
    </row>
    <row r="1776" spans="1:6" s="1222" customFormat="1" x14ac:dyDescent="0.25">
      <c r="A1776" s="463"/>
      <c r="B1776" s="464"/>
      <c r="C1776" s="464"/>
      <c r="D1776" s="464"/>
      <c r="E1776" s="464"/>
      <c r="F1776" s="464"/>
    </row>
    <row r="1777" spans="1:6" s="1222" customFormat="1" x14ac:dyDescent="0.25">
      <c r="A1777" s="463"/>
      <c r="B1777" s="464"/>
      <c r="C1777" s="464"/>
      <c r="D1777" s="464"/>
      <c r="E1777" s="464"/>
      <c r="F1777" s="464"/>
    </row>
    <row r="1778" spans="1:6" s="1222" customFormat="1" x14ac:dyDescent="0.25">
      <c r="A1778" s="463"/>
      <c r="B1778" s="464"/>
      <c r="C1778" s="464"/>
      <c r="D1778" s="464"/>
      <c r="E1778" s="464"/>
      <c r="F1778" s="464"/>
    </row>
    <row r="1779" spans="1:6" s="1222" customFormat="1" x14ac:dyDescent="0.25">
      <c r="A1779" s="463"/>
      <c r="B1779" s="464"/>
      <c r="C1779" s="464"/>
      <c r="D1779" s="464"/>
      <c r="E1779" s="464"/>
      <c r="F1779" s="464"/>
    </row>
    <row r="1780" spans="1:6" s="1222" customFormat="1" x14ac:dyDescent="0.25">
      <c r="A1780" s="463"/>
      <c r="B1780" s="464"/>
      <c r="C1780" s="464"/>
      <c r="D1780" s="464"/>
      <c r="E1780" s="464"/>
      <c r="F1780" s="464"/>
    </row>
    <row r="1781" spans="1:6" s="1222" customFormat="1" x14ac:dyDescent="0.25">
      <c r="A1781" s="463"/>
      <c r="B1781" s="464"/>
      <c r="C1781" s="464"/>
      <c r="D1781" s="464"/>
      <c r="E1781" s="464"/>
      <c r="F1781" s="464"/>
    </row>
    <row r="1782" spans="1:6" s="1222" customFormat="1" x14ac:dyDescent="0.25">
      <c r="A1782" s="463"/>
      <c r="B1782" s="464"/>
      <c r="C1782" s="464"/>
      <c r="D1782" s="464"/>
      <c r="E1782" s="464"/>
      <c r="F1782" s="464"/>
    </row>
    <row r="1783" spans="1:6" s="1222" customFormat="1" x14ac:dyDescent="0.25">
      <c r="A1783" s="463"/>
      <c r="B1783" s="464"/>
      <c r="C1783" s="464"/>
      <c r="D1783" s="464"/>
      <c r="E1783" s="464"/>
      <c r="F1783" s="464"/>
    </row>
    <row r="1784" spans="1:6" s="1222" customFormat="1" x14ac:dyDescent="0.25">
      <c r="A1784" s="463"/>
      <c r="B1784" s="464"/>
      <c r="C1784" s="464"/>
      <c r="D1784" s="464"/>
      <c r="E1784" s="464"/>
      <c r="F1784" s="464"/>
    </row>
    <row r="1785" spans="1:6" s="1222" customFormat="1" x14ac:dyDescent="0.25">
      <c r="A1785" s="463"/>
      <c r="B1785" s="464"/>
      <c r="C1785" s="464"/>
      <c r="D1785" s="464"/>
      <c r="E1785" s="464"/>
      <c r="F1785" s="464"/>
    </row>
    <row r="1786" spans="1:6" s="1222" customFormat="1" x14ac:dyDescent="0.25">
      <c r="A1786" s="463"/>
      <c r="B1786" s="464"/>
      <c r="C1786" s="464"/>
      <c r="D1786" s="464"/>
      <c r="E1786" s="464"/>
      <c r="F1786" s="464"/>
    </row>
    <row r="1787" spans="1:6" s="1222" customFormat="1" x14ac:dyDescent="0.25">
      <c r="A1787" s="463"/>
      <c r="B1787" s="464"/>
      <c r="C1787" s="464"/>
      <c r="D1787" s="464"/>
      <c r="E1787" s="464"/>
      <c r="F1787" s="464"/>
    </row>
    <row r="1788" spans="1:6" s="1222" customFormat="1" x14ac:dyDescent="0.25">
      <c r="A1788" s="463"/>
      <c r="B1788" s="464"/>
      <c r="C1788" s="464"/>
      <c r="D1788" s="464"/>
      <c r="E1788" s="464"/>
      <c r="F1788" s="464"/>
    </row>
    <row r="1789" spans="1:6" s="1222" customFormat="1" x14ac:dyDescent="0.25">
      <c r="A1789" s="463"/>
      <c r="B1789" s="464"/>
      <c r="C1789" s="464"/>
      <c r="D1789" s="464"/>
      <c r="E1789" s="464"/>
      <c r="F1789" s="464"/>
    </row>
    <row r="1790" spans="1:6" s="1222" customFormat="1" x14ac:dyDescent="0.25">
      <c r="A1790" s="463"/>
      <c r="B1790" s="464"/>
      <c r="C1790" s="464"/>
      <c r="D1790" s="464"/>
      <c r="E1790" s="464"/>
      <c r="F1790" s="464"/>
    </row>
    <row r="1791" spans="1:6" s="1222" customFormat="1" x14ac:dyDescent="0.25">
      <c r="A1791" s="463"/>
      <c r="B1791" s="464"/>
      <c r="C1791" s="464"/>
      <c r="D1791" s="464"/>
      <c r="E1791" s="464"/>
      <c r="F1791" s="464"/>
    </row>
    <row r="1792" spans="1:6" s="1222" customFormat="1" x14ac:dyDescent="0.25">
      <c r="A1792" s="463"/>
      <c r="B1792" s="464"/>
      <c r="C1792" s="464"/>
      <c r="D1792" s="464"/>
      <c r="E1792" s="464"/>
      <c r="F1792" s="464"/>
    </row>
    <row r="1793" spans="1:6" s="1222" customFormat="1" x14ac:dyDescent="0.25">
      <c r="A1793" s="463"/>
      <c r="B1793" s="464"/>
      <c r="C1793" s="464"/>
      <c r="D1793" s="464"/>
      <c r="E1793" s="464"/>
      <c r="F1793" s="464"/>
    </row>
    <row r="1794" spans="1:6" s="1222" customFormat="1" x14ac:dyDescent="0.25">
      <c r="A1794" s="463"/>
      <c r="B1794" s="464"/>
      <c r="C1794" s="464"/>
      <c r="D1794" s="464"/>
      <c r="E1794" s="464"/>
      <c r="F1794" s="464"/>
    </row>
    <row r="1795" spans="1:6" s="1222" customFormat="1" x14ac:dyDescent="0.25">
      <c r="A1795" s="463"/>
      <c r="B1795" s="464"/>
      <c r="C1795" s="464"/>
      <c r="D1795" s="464"/>
      <c r="E1795" s="464"/>
      <c r="F1795" s="464"/>
    </row>
    <row r="1796" spans="1:6" s="1222" customFormat="1" x14ac:dyDescent="0.25">
      <c r="A1796" s="463"/>
      <c r="B1796" s="464"/>
      <c r="C1796" s="464"/>
      <c r="D1796" s="464"/>
      <c r="E1796" s="464"/>
      <c r="F1796" s="464"/>
    </row>
    <row r="1797" spans="1:6" s="1222" customFormat="1" x14ac:dyDescent="0.25">
      <c r="A1797" s="463"/>
      <c r="B1797" s="464"/>
      <c r="C1797" s="464"/>
      <c r="D1797" s="464"/>
      <c r="E1797" s="464"/>
      <c r="F1797" s="464"/>
    </row>
    <row r="1798" spans="1:6" s="1222" customFormat="1" x14ac:dyDescent="0.25">
      <c r="A1798" s="463"/>
      <c r="B1798" s="464"/>
      <c r="C1798" s="464"/>
      <c r="D1798" s="464"/>
      <c r="E1798" s="464"/>
      <c r="F1798" s="464"/>
    </row>
    <row r="1799" spans="1:6" s="1222" customFormat="1" x14ac:dyDescent="0.25">
      <c r="A1799" s="463"/>
      <c r="B1799" s="464"/>
      <c r="C1799" s="464"/>
      <c r="D1799" s="464"/>
      <c r="E1799" s="464"/>
      <c r="F1799" s="464"/>
    </row>
    <row r="1800" spans="1:6" s="1222" customFormat="1" x14ac:dyDescent="0.25">
      <c r="A1800" s="463"/>
      <c r="B1800" s="464"/>
      <c r="C1800" s="464"/>
      <c r="D1800" s="464"/>
      <c r="E1800" s="464"/>
      <c r="F1800" s="464"/>
    </row>
    <row r="1801" spans="1:6" s="1222" customFormat="1" x14ac:dyDescent="0.25">
      <c r="A1801" s="463"/>
      <c r="B1801" s="464"/>
      <c r="C1801" s="464"/>
      <c r="D1801" s="464"/>
      <c r="E1801" s="464"/>
      <c r="F1801" s="464"/>
    </row>
    <row r="1802" spans="1:6" s="1222" customFormat="1" x14ac:dyDescent="0.25">
      <c r="A1802" s="463"/>
      <c r="B1802" s="464"/>
      <c r="C1802" s="464"/>
      <c r="D1802" s="464"/>
      <c r="E1802" s="464"/>
      <c r="F1802" s="464"/>
    </row>
    <row r="1803" spans="1:6" s="1222" customFormat="1" x14ac:dyDescent="0.25">
      <c r="A1803" s="463"/>
      <c r="B1803" s="464"/>
      <c r="C1803" s="464"/>
      <c r="D1803" s="464"/>
      <c r="E1803" s="464"/>
      <c r="F1803" s="464"/>
    </row>
    <row r="1804" spans="1:6" s="1222" customFormat="1" x14ac:dyDescent="0.25">
      <c r="A1804" s="463"/>
      <c r="B1804" s="464"/>
      <c r="C1804" s="464"/>
      <c r="D1804" s="464"/>
      <c r="E1804" s="464"/>
      <c r="F1804" s="464"/>
    </row>
    <row r="1805" spans="1:6" s="1222" customFormat="1" x14ac:dyDescent="0.25">
      <c r="A1805" s="463"/>
      <c r="B1805" s="464"/>
      <c r="C1805" s="464"/>
      <c r="D1805" s="464"/>
      <c r="E1805" s="464"/>
      <c r="F1805" s="464"/>
    </row>
    <row r="1806" spans="1:6" s="1222" customFormat="1" x14ac:dyDescent="0.25">
      <c r="A1806" s="463"/>
      <c r="B1806" s="464"/>
      <c r="C1806" s="464"/>
      <c r="D1806" s="464"/>
      <c r="E1806" s="464"/>
      <c r="F1806" s="464"/>
    </row>
    <row r="1807" spans="1:6" s="1222" customFormat="1" x14ac:dyDescent="0.25">
      <c r="A1807" s="463"/>
      <c r="B1807" s="464"/>
      <c r="C1807" s="464"/>
      <c r="D1807" s="464"/>
      <c r="E1807" s="464"/>
      <c r="F1807" s="464"/>
    </row>
    <row r="1808" spans="1:6" s="1222" customFormat="1" x14ac:dyDescent="0.25">
      <c r="A1808" s="463"/>
      <c r="B1808" s="464"/>
      <c r="C1808" s="464"/>
      <c r="D1808" s="464"/>
      <c r="E1808" s="464"/>
      <c r="F1808" s="464"/>
    </row>
    <row r="1809" spans="1:6" s="1222" customFormat="1" x14ac:dyDescent="0.25">
      <c r="A1809" s="463"/>
      <c r="B1809" s="464"/>
      <c r="C1809" s="464"/>
      <c r="D1809" s="464"/>
      <c r="E1809" s="464"/>
      <c r="F1809" s="464"/>
    </row>
    <row r="1810" spans="1:6" s="1222" customFormat="1" x14ac:dyDescent="0.25">
      <c r="A1810" s="463"/>
      <c r="B1810" s="464"/>
      <c r="C1810" s="464"/>
      <c r="D1810" s="464"/>
      <c r="E1810" s="464"/>
      <c r="F1810" s="464"/>
    </row>
    <row r="1811" spans="1:6" s="1222" customFormat="1" x14ac:dyDescent="0.25">
      <c r="A1811" s="463"/>
      <c r="B1811" s="464"/>
      <c r="C1811" s="464"/>
      <c r="D1811" s="464"/>
      <c r="E1811" s="464"/>
      <c r="F1811" s="464"/>
    </row>
    <row r="1812" spans="1:6" s="1222" customFormat="1" x14ac:dyDescent="0.25">
      <c r="A1812" s="463"/>
      <c r="B1812" s="464"/>
      <c r="C1812" s="464"/>
      <c r="D1812" s="464"/>
      <c r="E1812" s="464"/>
      <c r="F1812" s="464"/>
    </row>
    <row r="1813" spans="1:6" s="1222" customFormat="1" x14ac:dyDescent="0.25">
      <c r="A1813" s="463"/>
      <c r="B1813" s="464"/>
      <c r="C1813" s="464"/>
      <c r="D1813" s="464"/>
      <c r="E1813" s="464"/>
      <c r="F1813" s="464"/>
    </row>
    <row r="1814" spans="1:6" s="1222" customFormat="1" x14ac:dyDescent="0.25">
      <c r="A1814" s="463"/>
      <c r="B1814" s="464"/>
      <c r="C1814" s="464"/>
      <c r="D1814" s="464"/>
      <c r="E1814" s="464"/>
      <c r="F1814" s="464"/>
    </row>
    <row r="1815" spans="1:6" s="1222" customFormat="1" x14ac:dyDescent="0.25">
      <c r="A1815" s="463"/>
      <c r="B1815" s="464"/>
      <c r="C1815" s="464"/>
      <c r="D1815" s="464"/>
      <c r="E1815" s="464"/>
      <c r="F1815" s="464"/>
    </row>
    <row r="1816" spans="1:6" s="1222" customFormat="1" x14ac:dyDescent="0.25">
      <c r="A1816" s="463"/>
      <c r="B1816" s="464"/>
      <c r="C1816" s="464"/>
      <c r="D1816" s="464"/>
      <c r="E1816" s="464"/>
      <c r="F1816" s="464"/>
    </row>
    <row r="1817" spans="1:6" s="1222" customFormat="1" x14ac:dyDescent="0.25">
      <c r="A1817" s="463"/>
      <c r="B1817" s="464"/>
      <c r="C1817" s="464"/>
      <c r="D1817" s="464"/>
      <c r="E1817" s="464"/>
      <c r="F1817" s="464"/>
    </row>
    <row r="1818" spans="1:6" s="1222" customFormat="1" x14ac:dyDescent="0.25">
      <c r="A1818" s="463"/>
      <c r="B1818" s="464"/>
      <c r="C1818" s="464"/>
      <c r="D1818" s="464"/>
      <c r="E1818" s="464"/>
      <c r="F1818" s="464"/>
    </row>
    <row r="1819" spans="1:6" s="1222" customFormat="1" x14ac:dyDescent="0.25">
      <c r="A1819" s="463"/>
      <c r="B1819" s="464"/>
      <c r="C1819" s="464"/>
      <c r="D1819" s="464"/>
      <c r="E1819" s="464"/>
      <c r="F1819" s="464"/>
    </row>
    <row r="1820" spans="1:6" s="1222" customFormat="1" x14ac:dyDescent="0.25">
      <c r="A1820" s="463"/>
      <c r="B1820" s="464"/>
      <c r="C1820" s="464"/>
      <c r="D1820" s="464"/>
      <c r="E1820" s="464"/>
      <c r="F1820" s="464"/>
    </row>
    <row r="1821" spans="1:6" s="1222" customFormat="1" x14ac:dyDescent="0.25">
      <c r="A1821" s="463"/>
      <c r="B1821" s="464"/>
      <c r="C1821" s="464"/>
      <c r="D1821" s="464"/>
      <c r="E1821" s="464"/>
      <c r="F1821" s="464"/>
    </row>
    <row r="1822" spans="1:6" s="1222" customFormat="1" x14ac:dyDescent="0.25">
      <c r="A1822" s="463"/>
      <c r="B1822" s="464"/>
      <c r="C1822" s="464"/>
      <c r="D1822" s="464"/>
      <c r="E1822" s="464"/>
      <c r="F1822" s="464"/>
    </row>
    <row r="1823" spans="1:6" s="1222" customFormat="1" x14ac:dyDescent="0.25">
      <c r="A1823" s="463"/>
      <c r="B1823" s="464"/>
      <c r="C1823" s="464"/>
      <c r="D1823" s="464"/>
      <c r="E1823" s="464"/>
      <c r="F1823" s="464"/>
    </row>
    <row r="1824" spans="1:6" s="1222" customFormat="1" x14ac:dyDescent="0.25">
      <c r="A1824" s="463"/>
      <c r="B1824" s="464"/>
      <c r="C1824" s="464"/>
      <c r="D1824" s="464"/>
      <c r="E1824" s="464"/>
      <c r="F1824" s="464"/>
    </row>
    <row r="1825" spans="1:6" s="1222" customFormat="1" x14ac:dyDescent="0.25">
      <c r="A1825" s="463"/>
      <c r="B1825" s="464"/>
      <c r="C1825" s="464"/>
      <c r="D1825" s="464"/>
      <c r="E1825" s="464"/>
      <c r="F1825" s="464"/>
    </row>
    <row r="1826" spans="1:6" s="1222" customFormat="1" x14ac:dyDescent="0.25">
      <c r="A1826" s="463"/>
      <c r="B1826" s="464"/>
      <c r="C1826" s="464"/>
      <c r="D1826" s="464"/>
      <c r="E1826" s="464"/>
      <c r="F1826" s="464"/>
    </row>
    <row r="1827" spans="1:6" s="1222" customFormat="1" x14ac:dyDescent="0.25">
      <c r="A1827" s="463"/>
      <c r="B1827" s="464"/>
      <c r="C1827" s="464"/>
      <c r="D1827" s="464"/>
      <c r="E1827" s="464"/>
      <c r="F1827" s="464"/>
    </row>
    <row r="1828" spans="1:6" s="1222" customFormat="1" x14ac:dyDescent="0.25">
      <c r="A1828" s="463"/>
      <c r="B1828" s="464"/>
      <c r="C1828" s="464"/>
      <c r="D1828" s="464"/>
      <c r="E1828" s="464"/>
      <c r="F1828" s="464"/>
    </row>
    <row r="1829" spans="1:6" s="1222" customFormat="1" x14ac:dyDescent="0.25">
      <c r="A1829" s="463"/>
      <c r="B1829" s="464"/>
      <c r="C1829" s="464"/>
      <c r="D1829" s="464"/>
      <c r="E1829" s="464"/>
      <c r="F1829" s="464"/>
    </row>
    <row r="1830" spans="1:6" s="1222" customFormat="1" x14ac:dyDescent="0.25">
      <c r="A1830" s="463"/>
      <c r="B1830" s="464"/>
      <c r="C1830" s="464"/>
      <c r="D1830" s="464"/>
      <c r="E1830" s="464"/>
      <c r="F1830" s="464"/>
    </row>
    <row r="1831" spans="1:6" s="1222" customFormat="1" x14ac:dyDescent="0.25">
      <c r="A1831" s="463"/>
      <c r="B1831" s="464"/>
      <c r="C1831" s="464"/>
      <c r="D1831" s="464"/>
      <c r="E1831" s="464"/>
      <c r="F1831" s="464"/>
    </row>
    <row r="1832" spans="1:6" s="1222" customFormat="1" x14ac:dyDescent="0.25">
      <c r="A1832" s="463"/>
      <c r="B1832" s="464"/>
      <c r="C1832" s="464"/>
      <c r="D1832" s="464"/>
      <c r="E1832" s="464"/>
      <c r="F1832" s="464"/>
    </row>
    <row r="1833" spans="1:6" s="1222" customFormat="1" x14ac:dyDescent="0.25">
      <c r="A1833" s="463"/>
      <c r="B1833" s="464"/>
      <c r="C1833" s="464"/>
      <c r="D1833" s="464"/>
      <c r="E1833" s="464"/>
      <c r="F1833" s="464"/>
    </row>
    <row r="1834" spans="1:6" s="1222" customFormat="1" x14ac:dyDescent="0.25">
      <c r="A1834" s="463"/>
      <c r="B1834" s="464"/>
      <c r="C1834" s="464"/>
      <c r="D1834" s="464"/>
      <c r="E1834" s="464"/>
      <c r="F1834" s="464"/>
    </row>
    <row r="1835" spans="1:6" s="1222" customFormat="1" x14ac:dyDescent="0.25">
      <c r="A1835" s="463"/>
      <c r="B1835" s="464"/>
      <c r="C1835" s="464"/>
      <c r="D1835" s="464"/>
      <c r="E1835" s="464"/>
      <c r="F1835" s="464"/>
    </row>
    <row r="1836" spans="1:6" s="1222" customFormat="1" x14ac:dyDescent="0.25">
      <c r="A1836" s="463"/>
      <c r="B1836" s="464"/>
      <c r="C1836" s="464"/>
      <c r="D1836" s="464"/>
      <c r="E1836" s="464"/>
      <c r="F1836" s="464"/>
    </row>
    <row r="1837" spans="1:6" s="1222" customFormat="1" x14ac:dyDescent="0.25">
      <c r="A1837" s="463"/>
      <c r="B1837" s="464"/>
      <c r="C1837" s="464"/>
      <c r="D1837" s="464"/>
      <c r="E1837" s="464"/>
      <c r="F1837" s="464"/>
    </row>
    <row r="1838" spans="1:6" s="1222" customFormat="1" x14ac:dyDescent="0.25">
      <c r="A1838" s="463"/>
      <c r="B1838" s="464"/>
      <c r="C1838" s="464"/>
      <c r="D1838" s="464"/>
      <c r="E1838" s="464"/>
      <c r="F1838" s="464"/>
    </row>
    <row r="1839" spans="1:6" s="1222" customFormat="1" x14ac:dyDescent="0.25">
      <c r="A1839" s="463"/>
      <c r="B1839" s="464"/>
      <c r="C1839" s="464"/>
      <c r="D1839" s="464"/>
      <c r="E1839" s="464"/>
      <c r="F1839" s="464"/>
    </row>
    <row r="1840" spans="1:6" s="1222" customFormat="1" x14ac:dyDescent="0.25">
      <c r="A1840" s="463"/>
      <c r="B1840" s="464"/>
      <c r="C1840" s="464"/>
      <c r="D1840" s="464"/>
      <c r="E1840" s="464"/>
      <c r="F1840" s="464"/>
    </row>
    <row r="1841" spans="1:6" s="1222" customFormat="1" x14ac:dyDescent="0.25">
      <c r="A1841" s="463"/>
      <c r="B1841" s="464"/>
      <c r="C1841" s="464"/>
      <c r="D1841" s="464"/>
      <c r="E1841" s="464"/>
      <c r="F1841" s="464"/>
    </row>
    <row r="1842" spans="1:6" s="1222" customFormat="1" x14ac:dyDescent="0.25">
      <c r="A1842" s="463"/>
      <c r="B1842" s="464"/>
      <c r="C1842" s="464"/>
      <c r="D1842" s="464"/>
      <c r="E1842" s="464"/>
      <c r="F1842" s="464"/>
    </row>
    <row r="1843" spans="1:6" s="1222" customFormat="1" x14ac:dyDescent="0.25">
      <c r="A1843" s="463"/>
      <c r="B1843" s="464"/>
      <c r="C1843" s="464"/>
      <c r="D1843" s="464"/>
      <c r="E1843" s="464"/>
      <c r="F1843" s="464"/>
    </row>
    <row r="1844" spans="1:6" s="1222" customFormat="1" x14ac:dyDescent="0.25">
      <c r="A1844" s="463"/>
      <c r="B1844" s="464"/>
      <c r="C1844" s="464"/>
      <c r="D1844" s="464"/>
      <c r="E1844" s="464"/>
      <c r="F1844" s="464"/>
    </row>
    <row r="1845" spans="1:6" s="1222" customFormat="1" x14ac:dyDescent="0.25">
      <c r="A1845" s="463"/>
      <c r="B1845" s="464"/>
      <c r="C1845" s="464"/>
      <c r="D1845" s="464"/>
      <c r="E1845" s="464"/>
      <c r="F1845" s="464"/>
    </row>
    <row r="1846" spans="1:6" s="1222" customFormat="1" x14ac:dyDescent="0.25">
      <c r="A1846" s="463"/>
      <c r="B1846" s="464"/>
      <c r="C1846" s="464"/>
      <c r="D1846" s="464"/>
      <c r="E1846" s="464"/>
      <c r="F1846" s="464"/>
    </row>
    <row r="1847" spans="1:6" s="1222" customFormat="1" x14ac:dyDescent="0.25">
      <c r="A1847" s="463"/>
      <c r="B1847" s="464"/>
      <c r="C1847" s="464"/>
      <c r="D1847" s="464"/>
      <c r="E1847" s="464"/>
      <c r="F1847" s="464"/>
    </row>
    <row r="1848" spans="1:6" s="1222" customFormat="1" x14ac:dyDescent="0.25">
      <c r="A1848" s="463"/>
      <c r="B1848" s="464"/>
      <c r="C1848" s="464"/>
      <c r="D1848" s="464"/>
      <c r="E1848" s="464"/>
      <c r="F1848" s="464"/>
    </row>
    <row r="1849" spans="1:6" s="1222" customFormat="1" x14ac:dyDescent="0.25">
      <c r="A1849" s="463"/>
      <c r="B1849" s="464"/>
      <c r="C1849" s="464"/>
      <c r="D1849" s="464"/>
      <c r="E1849" s="464"/>
      <c r="F1849" s="464"/>
    </row>
    <row r="1850" spans="1:6" s="1222" customFormat="1" x14ac:dyDescent="0.25">
      <c r="A1850" s="463"/>
      <c r="B1850" s="464"/>
      <c r="C1850" s="464"/>
      <c r="D1850" s="464"/>
      <c r="E1850" s="464"/>
      <c r="F1850" s="464"/>
    </row>
    <row r="1851" spans="1:6" s="1222" customFormat="1" x14ac:dyDescent="0.25">
      <c r="A1851" s="463"/>
      <c r="B1851" s="464"/>
      <c r="C1851" s="464"/>
      <c r="D1851" s="464"/>
      <c r="E1851" s="464"/>
      <c r="F1851" s="464"/>
    </row>
    <row r="1852" spans="1:6" s="1222" customFormat="1" x14ac:dyDescent="0.25">
      <c r="A1852" s="463"/>
      <c r="B1852" s="464"/>
      <c r="C1852" s="464"/>
      <c r="D1852" s="464"/>
      <c r="E1852" s="464"/>
      <c r="F1852" s="464"/>
    </row>
    <row r="1853" spans="1:6" s="1222" customFormat="1" x14ac:dyDescent="0.25">
      <c r="A1853" s="463"/>
      <c r="B1853" s="464"/>
      <c r="C1853" s="464"/>
      <c r="D1853" s="464"/>
      <c r="E1853" s="464"/>
      <c r="F1853" s="464"/>
    </row>
    <row r="1854" spans="1:6" s="1222" customFormat="1" x14ac:dyDescent="0.25">
      <c r="A1854" s="463"/>
      <c r="B1854" s="464"/>
      <c r="C1854" s="464"/>
      <c r="D1854" s="464"/>
      <c r="E1854" s="464"/>
      <c r="F1854" s="464"/>
    </row>
    <row r="1855" spans="1:6" s="1222" customFormat="1" x14ac:dyDescent="0.25">
      <c r="A1855" s="463"/>
      <c r="B1855" s="464"/>
      <c r="C1855" s="464"/>
      <c r="D1855" s="464"/>
      <c r="E1855" s="464"/>
      <c r="F1855" s="464"/>
    </row>
    <row r="1856" spans="1:6" s="1222" customFormat="1" x14ac:dyDescent="0.25">
      <c r="A1856" s="463"/>
      <c r="B1856" s="464"/>
      <c r="C1856" s="464"/>
      <c r="D1856" s="464"/>
      <c r="E1856" s="464"/>
      <c r="F1856" s="464"/>
    </row>
    <row r="1857" spans="1:6" s="1222" customFormat="1" x14ac:dyDescent="0.25">
      <c r="A1857" s="463"/>
      <c r="B1857" s="464"/>
      <c r="C1857" s="464"/>
      <c r="D1857" s="464"/>
      <c r="E1857" s="464"/>
      <c r="F1857" s="464"/>
    </row>
    <row r="1858" spans="1:6" s="1222" customFormat="1" x14ac:dyDescent="0.25">
      <c r="A1858" s="463"/>
      <c r="B1858" s="464"/>
      <c r="C1858" s="464"/>
      <c r="D1858" s="464"/>
      <c r="E1858" s="464"/>
      <c r="F1858" s="464"/>
    </row>
    <row r="1859" spans="1:6" s="1222" customFormat="1" x14ac:dyDescent="0.25">
      <c r="A1859" s="463"/>
      <c r="B1859" s="464"/>
      <c r="C1859" s="464"/>
      <c r="D1859" s="464"/>
      <c r="E1859" s="464"/>
      <c r="F1859" s="464"/>
    </row>
    <row r="1860" spans="1:6" s="1222" customFormat="1" x14ac:dyDescent="0.25">
      <c r="A1860" s="463"/>
      <c r="B1860" s="464"/>
      <c r="C1860" s="464"/>
      <c r="D1860" s="464"/>
      <c r="E1860" s="464"/>
      <c r="F1860" s="464"/>
    </row>
    <row r="1861" spans="1:6" s="1222" customFormat="1" x14ac:dyDescent="0.25">
      <c r="A1861" s="463"/>
      <c r="B1861" s="464"/>
      <c r="C1861" s="464"/>
      <c r="D1861" s="464"/>
      <c r="E1861" s="464"/>
      <c r="F1861" s="464"/>
    </row>
    <row r="1862" spans="1:6" s="1222" customFormat="1" x14ac:dyDescent="0.25">
      <c r="A1862" s="463"/>
      <c r="B1862" s="464"/>
      <c r="C1862" s="464"/>
      <c r="D1862" s="464"/>
      <c r="E1862" s="464"/>
      <c r="F1862" s="464"/>
    </row>
    <row r="1863" spans="1:6" s="1222" customFormat="1" x14ac:dyDescent="0.25">
      <c r="A1863" s="463"/>
      <c r="B1863" s="464"/>
      <c r="C1863" s="464"/>
      <c r="D1863" s="464"/>
      <c r="E1863" s="464"/>
      <c r="F1863" s="464"/>
    </row>
    <row r="1864" spans="1:6" s="1222" customFormat="1" x14ac:dyDescent="0.25">
      <c r="A1864" s="463"/>
      <c r="B1864" s="464"/>
      <c r="C1864" s="464"/>
      <c r="D1864" s="464"/>
      <c r="E1864" s="464"/>
      <c r="F1864" s="464"/>
    </row>
    <row r="1865" spans="1:6" s="1222" customFormat="1" x14ac:dyDescent="0.25">
      <c r="A1865" s="463"/>
      <c r="B1865" s="464"/>
      <c r="C1865" s="464"/>
      <c r="D1865" s="464"/>
      <c r="E1865" s="464"/>
      <c r="F1865" s="464"/>
    </row>
    <row r="1866" spans="1:6" s="1222" customFormat="1" x14ac:dyDescent="0.25">
      <c r="A1866" s="463"/>
      <c r="B1866" s="464"/>
      <c r="C1866" s="464"/>
      <c r="D1866" s="464"/>
      <c r="E1866" s="464"/>
      <c r="F1866" s="464"/>
    </row>
    <row r="1867" spans="1:6" s="1222" customFormat="1" x14ac:dyDescent="0.25">
      <c r="A1867" s="463"/>
      <c r="B1867" s="464"/>
      <c r="C1867" s="464"/>
      <c r="D1867" s="464"/>
      <c r="E1867" s="464"/>
      <c r="F1867" s="464"/>
    </row>
    <row r="1868" spans="1:6" s="1222" customFormat="1" x14ac:dyDescent="0.25">
      <c r="A1868" s="463"/>
      <c r="B1868" s="464"/>
      <c r="C1868" s="464"/>
      <c r="D1868" s="464"/>
      <c r="E1868" s="464"/>
      <c r="F1868" s="464"/>
    </row>
    <row r="1869" spans="1:6" s="1222" customFormat="1" x14ac:dyDescent="0.25">
      <c r="A1869" s="463"/>
      <c r="B1869" s="464"/>
      <c r="C1869" s="464"/>
      <c r="D1869" s="464"/>
      <c r="E1869" s="464"/>
      <c r="F1869" s="464"/>
    </row>
    <row r="1870" spans="1:6" s="1222" customFormat="1" x14ac:dyDescent="0.25">
      <c r="A1870" s="463"/>
      <c r="B1870" s="464"/>
      <c r="C1870" s="464"/>
      <c r="D1870" s="464"/>
      <c r="E1870" s="464"/>
      <c r="F1870" s="464"/>
    </row>
    <row r="1871" spans="1:6" s="1222" customFormat="1" x14ac:dyDescent="0.25">
      <c r="A1871" s="463"/>
      <c r="B1871" s="464"/>
      <c r="C1871" s="464"/>
      <c r="D1871" s="464"/>
      <c r="E1871" s="464"/>
      <c r="F1871" s="464"/>
    </row>
    <row r="1872" spans="1:6" s="1222" customFormat="1" x14ac:dyDescent="0.25">
      <c r="A1872" s="463"/>
      <c r="B1872" s="464"/>
      <c r="C1872" s="464"/>
      <c r="D1872" s="464"/>
      <c r="E1872" s="464"/>
      <c r="F1872" s="464"/>
    </row>
    <row r="1873" spans="1:6" s="1222" customFormat="1" x14ac:dyDescent="0.25">
      <c r="A1873" s="463"/>
      <c r="B1873" s="464"/>
      <c r="C1873" s="464"/>
      <c r="D1873" s="464"/>
      <c r="E1873" s="464"/>
      <c r="F1873" s="464"/>
    </row>
    <row r="1874" spans="1:6" s="1222" customFormat="1" x14ac:dyDescent="0.25">
      <c r="A1874" s="463"/>
      <c r="B1874" s="464"/>
      <c r="C1874" s="464"/>
      <c r="D1874" s="464"/>
      <c r="E1874" s="464"/>
      <c r="F1874" s="464"/>
    </row>
    <row r="1875" spans="1:6" s="1222" customFormat="1" x14ac:dyDescent="0.25">
      <c r="A1875" s="463"/>
      <c r="B1875" s="464"/>
      <c r="C1875" s="464"/>
      <c r="D1875" s="464"/>
      <c r="E1875" s="464"/>
      <c r="F1875" s="464"/>
    </row>
    <row r="1876" spans="1:6" s="1222" customFormat="1" x14ac:dyDescent="0.25">
      <c r="A1876" s="463"/>
      <c r="B1876" s="464"/>
      <c r="C1876" s="464"/>
      <c r="D1876" s="464"/>
      <c r="E1876" s="464"/>
      <c r="F1876" s="464"/>
    </row>
    <row r="1877" spans="1:6" s="1222" customFormat="1" x14ac:dyDescent="0.25">
      <c r="A1877" s="463"/>
      <c r="B1877" s="464"/>
      <c r="C1877" s="464"/>
      <c r="D1877" s="464"/>
      <c r="E1877" s="464"/>
      <c r="F1877" s="464"/>
    </row>
    <row r="1878" spans="1:6" s="1222" customFormat="1" x14ac:dyDescent="0.25">
      <c r="A1878" s="463"/>
      <c r="B1878" s="464"/>
      <c r="C1878" s="464"/>
      <c r="D1878" s="464"/>
      <c r="E1878" s="464"/>
      <c r="F1878" s="464"/>
    </row>
    <row r="1879" spans="1:6" s="1222" customFormat="1" x14ac:dyDescent="0.25">
      <c r="A1879" s="463"/>
      <c r="B1879" s="464"/>
      <c r="C1879" s="464"/>
      <c r="D1879" s="464"/>
      <c r="E1879" s="464"/>
      <c r="F1879" s="464"/>
    </row>
    <row r="1880" spans="1:6" s="1222" customFormat="1" x14ac:dyDescent="0.25">
      <c r="A1880" s="463"/>
      <c r="B1880" s="464"/>
      <c r="C1880" s="464"/>
      <c r="D1880" s="464"/>
      <c r="E1880" s="464"/>
      <c r="F1880" s="464"/>
    </row>
    <row r="1881" spans="1:6" s="1222" customFormat="1" x14ac:dyDescent="0.25">
      <c r="A1881" s="463"/>
      <c r="B1881" s="464"/>
      <c r="C1881" s="464"/>
      <c r="D1881" s="464"/>
      <c r="E1881" s="464"/>
      <c r="F1881" s="464"/>
    </row>
    <row r="1882" spans="1:6" s="1222" customFormat="1" x14ac:dyDescent="0.25">
      <c r="A1882" s="463"/>
      <c r="B1882" s="464"/>
      <c r="C1882" s="464"/>
      <c r="D1882" s="464"/>
      <c r="E1882" s="464"/>
      <c r="F1882" s="464"/>
    </row>
    <row r="1883" spans="1:6" s="1222" customFormat="1" x14ac:dyDescent="0.25">
      <c r="A1883" s="463"/>
      <c r="B1883" s="464"/>
      <c r="C1883" s="464"/>
      <c r="D1883" s="464"/>
      <c r="E1883" s="464"/>
      <c r="F1883" s="464"/>
    </row>
    <row r="1884" spans="1:6" s="1222" customFormat="1" x14ac:dyDescent="0.25">
      <c r="A1884" s="463"/>
      <c r="B1884" s="464"/>
      <c r="C1884" s="464"/>
      <c r="D1884" s="464"/>
      <c r="E1884" s="464"/>
      <c r="F1884" s="464"/>
    </row>
    <row r="1885" spans="1:6" s="1222" customFormat="1" x14ac:dyDescent="0.25">
      <c r="A1885" s="463"/>
      <c r="B1885" s="464"/>
      <c r="C1885" s="464"/>
      <c r="D1885" s="464"/>
      <c r="E1885" s="464"/>
      <c r="F1885" s="464"/>
    </row>
    <row r="1886" spans="1:6" s="1222" customFormat="1" x14ac:dyDescent="0.25">
      <c r="A1886" s="463"/>
      <c r="B1886" s="464"/>
      <c r="C1886" s="464"/>
      <c r="D1886" s="464"/>
      <c r="E1886" s="464"/>
      <c r="F1886" s="464"/>
    </row>
    <row r="1887" spans="1:6" s="1222" customFormat="1" x14ac:dyDescent="0.25">
      <c r="A1887" s="463"/>
      <c r="B1887" s="464"/>
      <c r="C1887" s="464"/>
      <c r="D1887" s="464"/>
      <c r="E1887" s="464"/>
      <c r="F1887" s="464"/>
    </row>
    <row r="1888" spans="1:6" s="1222" customFormat="1" x14ac:dyDescent="0.25">
      <c r="A1888" s="463"/>
      <c r="B1888" s="464"/>
      <c r="C1888" s="464"/>
      <c r="D1888" s="464"/>
      <c r="E1888" s="464"/>
      <c r="F1888" s="464"/>
    </row>
    <row r="1889" spans="1:6" s="1222" customFormat="1" x14ac:dyDescent="0.25">
      <c r="A1889" s="463"/>
      <c r="B1889" s="464"/>
      <c r="C1889" s="464"/>
      <c r="D1889" s="464"/>
      <c r="E1889" s="464"/>
      <c r="F1889" s="464"/>
    </row>
    <row r="1890" spans="1:6" s="1222" customFormat="1" x14ac:dyDescent="0.25">
      <c r="A1890" s="463"/>
      <c r="B1890" s="464"/>
      <c r="C1890" s="464"/>
      <c r="D1890" s="464"/>
      <c r="E1890" s="464"/>
      <c r="F1890" s="464"/>
    </row>
    <row r="1891" spans="1:6" s="1222" customFormat="1" x14ac:dyDescent="0.25">
      <c r="A1891" s="463"/>
      <c r="B1891" s="464"/>
      <c r="C1891" s="464"/>
      <c r="D1891" s="464"/>
      <c r="E1891" s="464"/>
      <c r="F1891" s="464"/>
    </row>
    <row r="1892" spans="1:6" s="1222" customFormat="1" x14ac:dyDescent="0.25">
      <c r="A1892" s="463"/>
      <c r="B1892" s="464"/>
      <c r="C1892" s="464"/>
      <c r="D1892" s="464"/>
      <c r="E1892" s="464"/>
      <c r="F1892" s="464"/>
    </row>
    <row r="1893" spans="1:6" s="1222" customFormat="1" x14ac:dyDescent="0.25">
      <c r="A1893" s="463"/>
      <c r="B1893" s="464"/>
      <c r="C1893" s="464"/>
      <c r="D1893" s="464"/>
      <c r="E1893" s="464"/>
      <c r="F1893" s="464"/>
    </row>
    <row r="1894" spans="1:6" s="1222" customFormat="1" x14ac:dyDescent="0.25">
      <c r="A1894" s="463"/>
      <c r="B1894" s="464"/>
      <c r="C1894" s="464"/>
      <c r="D1894" s="464"/>
      <c r="E1894" s="464"/>
      <c r="F1894" s="464"/>
    </row>
    <row r="1895" spans="1:6" s="1222" customFormat="1" x14ac:dyDescent="0.25">
      <c r="A1895" s="463"/>
      <c r="B1895" s="464"/>
      <c r="C1895" s="464"/>
      <c r="D1895" s="464"/>
      <c r="E1895" s="464"/>
      <c r="F1895" s="464"/>
    </row>
    <row r="1896" spans="1:6" s="1222" customFormat="1" x14ac:dyDescent="0.25">
      <c r="A1896" s="463"/>
      <c r="B1896" s="464"/>
      <c r="C1896" s="464"/>
      <c r="D1896" s="464"/>
      <c r="E1896" s="464"/>
      <c r="F1896" s="464"/>
    </row>
    <row r="1897" spans="1:6" s="1222" customFormat="1" x14ac:dyDescent="0.25">
      <c r="A1897" s="463"/>
      <c r="B1897" s="464"/>
      <c r="C1897" s="464"/>
      <c r="D1897" s="464"/>
      <c r="E1897" s="464"/>
      <c r="F1897" s="464"/>
    </row>
    <row r="1898" spans="1:6" s="1222" customFormat="1" x14ac:dyDescent="0.25">
      <c r="A1898" s="463"/>
      <c r="B1898" s="464"/>
      <c r="C1898" s="464"/>
      <c r="D1898" s="464"/>
      <c r="E1898" s="464"/>
      <c r="F1898" s="464"/>
    </row>
    <row r="1899" spans="1:6" s="1222" customFormat="1" x14ac:dyDescent="0.25">
      <c r="A1899" s="463"/>
      <c r="B1899" s="464"/>
      <c r="C1899" s="464"/>
      <c r="D1899" s="464"/>
      <c r="E1899" s="464"/>
      <c r="F1899" s="464"/>
    </row>
    <row r="1900" spans="1:6" s="1222" customFormat="1" x14ac:dyDescent="0.25">
      <c r="A1900" s="463"/>
      <c r="B1900" s="464"/>
      <c r="C1900" s="464"/>
      <c r="D1900" s="464"/>
      <c r="E1900" s="464"/>
      <c r="F1900" s="464"/>
    </row>
    <row r="1901" spans="1:6" s="1222" customFormat="1" x14ac:dyDescent="0.25">
      <c r="A1901" s="463"/>
      <c r="B1901" s="464"/>
      <c r="C1901" s="464"/>
      <c r="D1901" s="464"/>
      <c r="E1901" s="464"/>
      <c r="F1901" s="464"/>
    </row>
    <row r="1902" spans="1:6" s="1222" customFormat="1" x14ac:dyDescent="0.25">
      <c r="A1902" s="463"/>
      <c r="B1902" s="464"/>
      <c r="C1902" s="464"/>
      <c r="D1902" s="464"/>
      <c r="E1902" s="464"/>
      <c r="F1902" s="464"/>
    </row>
    <row r="1903" spans="1:6" s="1222" customFormat="1" x14ac:dyDescent="0.25">
      <c r="A1903" s="463"/>
      <c r="B1903" s="464"/>
      <c r="C1903" s="464"/>
      <c r="D1903" s="464"/>
      <c r="E1903" s="464"/>
      <c r="F1903" s="464"/>
    </row>
    <row r="1904" spans="1:6" s="1222" customFormat="1" x14ac:dyDescent="0.25">
      <c r="A1904" s="463"/>
      <c r="B1904" s="464"/>
      <c r="C1904" s="464"/>
      <c r="D1904" s="464"/>
      <c r="E1904" s="464"/>
      <c r="F1904" s="464"/>
    </row>
    <row r="1905" spans="1:6" s="1222" customFormat="1" x14ac:dyDescent="0.25">
      <c r="A1905" s="463"/>
      <c r="B1905" s="464"/>
      <c r="C1905" s="464"/>
      <c r="D1905" s="464"/>
      <c r="E1905" s="464"/>
      <c r="F1905" s="464"/>
    </row>
    <row r="1906" spans="1:6" s="1222" customFormat="1" x14ac:dyDescent="0.25">
      <c r="A1906" s="463"/>
      <c r="B1906" s="464"/>
      <c r="C1906" s="464"/>
      <c r="D1906" s="464"/>
      <c r="E1906" s="464"/>
      <c r="F1906" s="464"/>
    </row>
    <row r="1907" spans="1:6" s="1222" customFormat="1" x14ac:dyDescent="0.25">
      <c r="A1907" s="463"/>
      <c r="B1907" s="464"/>
      <c r="C1907" s="464"/>
      <c r="D1907" s="464"/>
      <c r="E1907" s="464"/>
      <c r="F1907" s="464"/>
    </row>
    <row r="1908" spans="1:6" s="1222" customFormat="1" x14ac:dyDescent="0.25">
      <c r="A1908" s="463"/>
      <c r="B1908" s="464"/>
      <c r="C1908" s="464"/>
      <c r="D1908" s="464"/>
      <c r="E1908" s="464"/>
      <c r="F1908" s="464"/>
    </row>
    <row r="1909" spans="1:6" s="1222" customFormat="1" x14ac:dyDescent="0.25">
      <c r="A1909" s="463"/>
      <c r="B1909" s="464"/>
      <c r="C1909" s="464"/>
      <c r="D1909" s="464"/>
      <c r="E1909" s="464"/>
      <c r="F1909" s="464"/>
    </row>
    <row r="1910" spans="1:6" s="1222" customFormat="1" x14ac:dyDescent="0.25">
      <c r="A1910" s="463"/>
      <c r="B1910" s="464"/>
      <c r="C1910" s="464"/>
      <c r="D1910" s="464"/>
      <c r="E1910" s="464"/>
      <c r="F1910" s="464"/>
    </row>
    <row r="1911" spans="1:6" s="1222" customFormat="1" x14ac:dyDescent="0.25">
      <c r="A1911" s="463"/>
      <c r="B1911" s="464"/>
      <c r="C1911" s="464"/>
      <c r="D1911" s="464"/>
      <c r="E1911" s="464"/>
      <c r="F1911" s="464"/>
    </row>
    <row r="1912" spans="1:6" s="1222" customFormat="1" x14ac:dyDescent="0.25">
      <c r="A1912" s="463"/>
      <c r="B1912" s="464"/>
      <c r="C1912" s="464"/>
      <c r="D1912" s="464"/>
      <c r="E1912" s="464"/>
      <c r="F1912" s="464"/>
    </row>
    <row r="1913" spans="1:6" s="1222" customFormat="1" x14ac:dyDescent="0.25">
      <c r="A1913" s="463"/>
      <c r="B1913" s="464"/>
      <c r="C1913" s="464"/>
      <c r="D1913" s="464"/>
      <c r="E1913" s="464"/>
      <c r="F1913" s="464"/>
    </row>
    <row r="1914" spans="1:6" s="1222" customFormat="1" x14ac:dyDescent="0.25">
      <c r="A1914" s="463"/>
      <c r="B1914" s="464"/>
      <c r="C1914" s="464"/>
      <c r="D1914" s="464"/>
      <c r="E1914" s="464"/>
      <c r="F1914" s="464"/>
    </row>
    <row r="1915" spans="1:6" s="1222" customFormat="1" x14ac:dyDescent="0.25">
      <c r="A1915" s="463"/>
      <c r="B1915" s="464"/>
      <c r="C1915" s="464"/>
      <c r="D1915" s="464"/>
      <c r="E1915" s="464"/>
      <c r="F1915" s="464"/>
    </row>
    <row r="1916" spans="1:6" s="1222" customFormat="1" x14ac:dyDescent="0.25">
      <c r="A1916" s="463"/>
      <c r="B1916" s="464"/>
      <c r="C1916" s="464"/>
      <c r="D1916" s="464"/>
      <c r="E1916" s="464"/>
      <c r="F1916" s="464"/>
    </row>
    <row r="1917" spans="1:6" s="1222" customFormat="1" x14ac:dyDescent="0.25">
      <c r="A1917" s="463"/>
      <c r="B1917" s="464"/>
      <c r="C1917" s="464"/>
      <c r="D1917" s="464"/>
      <c r="E1917" s="464"/>
      <c r="F1917" s="464"/>
    </row>
    <row r="1918" spans="1:6" s="1222" customFormat="1" x14ac:dyDescent="0.25">
      <c r="A1918" s="463"/>
      <c r="B1918" s="464"/>
      <c r="C1918" s="464"/>
      <c r="D1918" s="464"/>
      <c r="E1918" s="464"/>
      <c r="F1918" s="464"/>
    </row>
    <row r="1919" spans="1:6" s="1222" customFormat="1" x14ac:dyDescent="0.25">
      <c r="A1919" s="463"/>
      <c r="B1919" s="464"/>
      <c r="C1919" s="464"/>
      <c r="D1919" s="464"/>
      <c r="E1919" s="464"/>
      <c r="F1919" s="464"/>
    </row>
    <row r="1920" spans="1:6" s="1222" customFormat="1" x14ac:dyDescent="0.25">
      <c r="A1920" s="463"/>
      <c r="B1920" s="464"/>
      <c r="C1920" s="464"/>
      <c r="D1920" s="464"/>
      <c r="E1920" s="464"/>
      <c r="F1920" s="464"/>
    </row>
    <row r="1921" spans="1:6" s="1222" customFormat="1" x14ac:dyDescent="0.25">
      <c r="A1921" s="463"/>
      <c r="B1921" s="464"/>
      <c r="C1921" s="464"/>
      <c r="D1921" s="464"/>
      <c r="E1921" s="464"/>
      <c r="F1921" s="464"/>
    </row>
    <row r="1922" spans="1:6" s="1222" customFormat="1" x14ac:dyDescent="0.25">
      <c r="A1922" s="463"/>
      <c r="B1922" s="464"/>
      <c r="C1922" s="464"/>
      <c r="D1922" s="464"/>
      <c r="E1922" s="464"/>
      <c r="F1922" s="464"/>
    </row>
    <row r="1923" spans="1:6" s="1222" customFormat="1" x14ac:dyDescent="0.25">
      <c r="A1923" s="463"/>
      <c r="B1923" s="464"/>
      <c r="C1923" s="464"/>
      <c r="D1923" s="464"/>
      <c r="E1923" s="464"/>
      <c r="F1923" s="464"/>
    </row>
    <row r="1924" spans="1:6" s="1222" customFormat="1" x14ac:dyDescent="0.25">
      <c r="A1924" s="463"/>
      <c r="B1924" s="464"/>
      <c r="C1924" s="464"/>
      <c r="D1924" s="464"/>
      <c r="E1924" s="464"/>
      <c r="F1924" s="464"/>
    </row>
    <row r="1925" spans="1:6" s="1222" customFormat="1" x14ac:dyDescent="0.25">
      <c r="A1925" s="463"/>
      <c r="B1925" s="464"/>
      <c r="C1925" s="464"/>
      <c r="D1925" s="464"/>
      <c r="E1925" s="464"/>
      <c r="F1925" s="464"/>
    </row>
    <row r="1926" spans="1:6" s="1222" customFormat="1" x14ac:dyDescent="0.25">
      <c r="A1926" s="463"/>
      <c r="B1926" s="464"/>
      <c r="C1926" s="464"/>
      <c r="D1926" s="464"/>
      <c r="E1926" s="464"/>
      <c r="F1926" s="464"/>
    </row>
    <row r="1927" spans="1:6" s="1222" customFormat="1" x14ac:dyDescent="0.25">
      <c r="A1927" s="463"/>
      <c r="B1927" s="464"/>
      <c r="C1927" s="464"/>
      <c r="D1927" s="464"/>
      <c r="E1927" s="464"/>
      <c r="F1927" s="464"/>
    </row>
    <row r="1928" spans="1:6" s="1222" customFormat="1" x14ac:dyDescent="0.25">
      <c r="A1928" s="463"/>
      <c r="B1928" s="464"/>
      <c r="C1928" s="464"/>
      <c r="D1928" s="464"/>
      <c r="E1928" s="464"/>
      <c r="F1928" s="464"/>
    </row>
    <row r="1929" spans="1:6" s="1222" customFormat="1" x14ac:dyDescent="0.25">
      <c r="A1929" s="463"/>
      <c r="B1929" s="464"/>
      <c r="C1929" s="464"/>
      <c r="D1929" s="464"/>
      <c r="E1929" s="464"/>
      <c r="F1929" s="464"/>
    </row>
    <row r="1930" spans="1:6" s="1222" customFormat="1" x14ac:dyDescent="0.25">
      <c r="A1930" s="463"/>
      <c r="B1930" s="464"/>
      <c r="C1930" s="464"/>
      <c r="D1930" s="464"/>
      <c r="E1930" s="464"/>
      <c r="F1930" s="464"/>
    </row>
    <row r="1931" spans="1:6" s="1222" customFormat="1" x14ac:dyDescent="0.25">
      <c r="A1931" s="463"/>
      <c r="B1931" s="464"/>
      <c r="C1931" s="464"/>
      <c r="D1931" s="464"/>
      <c r="E1931" s="464"/>
      <c r="F1931" s="464"/>
    </row>
    <row r="1932" spans="1:6" s="1222" customFormat="1" x14ac:dyDescent="0.25">
      <c r="A1932" s="463"/>
      <c r="B1932" s="464"/>
      <c r="C1932" s="464"/>
      <c r="D1932" s="464"/>
      <c r="E1932" s="464"/>
      <c r="F1932" s="464"/>
    </row>
    <row r="1933" spans="1:6" s="1222" customFormat="1" x14ac:dyDescent="0.25">
      <c r="A1933" s="463"/>
      <c r="B1933" s="464"/>
      <c r="C1933" s="464"/>
      <c r="D1933" s="464"/>
      <c r="E1933" s="464"/>
      <c r="F1933" s="464"/>
    </row>
    <row r="1934" spans="1:6" s="1222" customFormat="1" x14ac:dyDescent="0.25">
      <c r="A1934" s="463"/>
      <c r="B1934" s="464"/>
      <c r="C1934" s="464"/>
      <c r="D1934" s="464"/>
      <c r="E1934" s="464"/>
      <c r="F1934" s="464"/>
    </row>
    <row r="1935" spans="1:6" s="1222" customFormat="1" x14ac:dyDescent="0.25">
      <c r="A1935" s="463"/>
      <c r="B1935" s="464"/>
      <c r="C1935" s="464"/>
      <c r="D1935" s="464"/>
      <c r="E1935" s="464"/>
      <c r="F1935" s="464"/>
    </row>
    <row r="1936" spans="1:6" s="1222" customFormat="1" x14ac:dyDescent="0.25">
      <c r="A1936" s="463"/>
      <c r="B1936" s="464"/>
      <c r="C1936" s="464"/>
      <c r="D1936" s="464"/>
      <c r="E1936" s="464"/>
      <c r="F1936" s="464"/>
    </row>
    <row r="1937" spans="1:6" s="1222" customFormat="1" x14ac:dyDescent="0.25">
      <c r="A1937" s="463"/>
      <c r="B1937" s="464"/>
      <c r="C1937" s="464"/>
      <c r="D1937" s="464"/>
      <c r="E1937" s="464"/>
      <c r="F1937" s="464"/>
    </row>
    <row r="1938" spans="1:6" s="1222" customFormat="1" x14ac:dyDescent="0.25">
      <c r="A1938" s="463"/>
      <c r="B1938" s="464"/>
      <c r="C1938" s="464"/>
      <c r="D1938" s="464"/>
      <c r="E1938" s="464"/>
      <c r="F1938" s="464"/>
    </row>
    <row r="1939" spans="1:6" s="1222" customFormat="1" x14ac:dyDescent="0.25">
      <c r="A1939" s="463"/>
      <c r="B1939" s="464"/>
      <c r="C1939" s="464"/>
      <c r="D1939" s="464"/>
      <c r="E1939" s="464"/>
      <c r="F1939" s="464"/>
    </row>
    <row r="1940" spans="1:6" s="1222" customFormat="1" x14ac:dyDescent="0.25">
      <c r="A1940" s="463"/>
      <c r="B1940" s="464"/>
      <c r="C1940" s="464"/>
      <c r="D1940" s="464"/>
      <c r="E1940" s="464"/>
      <c r="F1940" s="464"/>
    </row>
    <row r="1941" spans="1:6" s="1222" customFormat="1" x14ac:dyDescent="0.25">
      <c r="A1941" s="463"/>
      <c r="B1941" s="464"/>
      <c r="C1941" s="464"/>
      <c r="D1941" s="464"/>
      <c r="E1941" s="464"/>
      <c r="F1941" s="464"/>
    </row>
    <row r="1942" spans="1:6" s="1222" customFormat="1" x14ac:dyDescent="0.25">
      <c r="A1942" s="463"/>
      <c r="B1942" s="464"/>
      <c r="C1942" s="464"/>
      <c r="D1942" s="464"/>
      <c r="E1942" s="464"/>
      <c r="F1942" s="464"/>
    </row>
    <row r="1943" spans="1:6" s="1222" customFormat="1" x14ac:dyDescent="0.25">
      <c r="A1943" s="463"/>
      <c r="B1943" s="464"/>
      <c r="C1943" s="464"/>
      <c r="D1943" s="464"/>
      <c r="E1943" s="464"/>
      <c r="F1943" s="464"/>
    </row>
    <row r="1944" spans="1:6" s="1222" customFormat="1" x14ac:dyDescent="0.25">
      <c r="A1944" s="463"/>
      <c r="B1944" s="464"/>
      <c r="C1944" s="464"/>
      <c r="D1944" s="464"/>
      <c r="E1944" s="464"/>
      <c r="F1944" s="464"/>
    </row>
    <row r="1945" spans="1:6" s="1222" customFormat="1" x14ac:dyDescent="0.25">
      <c r="A1945" s="463"/>
      <c r="B1945" s="464"/>
      <c r="C1945" s="464"/>
      <c r="D1945" s="464"/>
      <c r="E1945" s="464"/>
      <c r="F1945" s="464"/>
    </row>
    <row r="1946" spans="1:6" s="1222" customFormat="1" x14ac:dyDescent="0.25">
      <c r="A1946" s="463"/>
      <c r="B1946" s="464"/>
      <c r="C1946" s="464"/>
      <c r="D1946" s="464"/>
      <c r="E1946" s="464"/>
      <c r="F1946" s="464"/>
    </row>
    <row r="1947" spans="1:6" s="1222" customFormat="1" x14ac:dyDescent="0.25">
      <c r="A1947" s="463"/>
      <c r="B1947" s="464"/>
      <c r="C1947" s="464"/>
      <c r="D1947" s="464"/>
      <c r="E1947" s="464"/>
      <c r="F1947" s="464"/>
    </row>
    <row r="1948" spans="1:6" s="1222" customFormat="1" x14ac:dyDescent="0.25">
      <c r="A1948" s="463"/>
      <c r="B1948" s="464"/>
      <c r="C1948" s="464"/>
      <c r="D1948" s="464"/>
      <c r="E1948" s="464"/>
      <c r="F1948" s="464"/>
    </row>
    <row r="1949" spans="1:6" s="1222" customFormat="1" x14ac:dyDescent="0.25">
      <c r="A1949" s="463"/>
      <c r="B1949" s="464"/>
      <c r="C1949" s="464"/>
      <c r="D1949" s="464"/>
      <c r="E1949" s="464"/>
      <c r="F1949" s="464"/>
    </row>
    <row r="1950" spans="1:6" s="1222" customFormat="1" x14ac:dyDescent="0.25">
      <c r="A1950" s="463"/>
      <c r="B1950" s="464"/>
      <c r="C1950" s="464"/>
      <c r="D1950" s="464"/>
      <c r="E1950" s="464"/>
      <c r="F1950" s="464"/>
    </row>
    <row r="1951" spans="1:6" s="1222" customFormat="1" x14ac:dyDescent="0.25">
      <c r="A1951" s="463"/>
      <c r="B1951" s="464"/>
      <c r="C1951" s="464"/>
      <c r="D1951" s="464"/>
      <c r="E1951" s="464"/>
      <c r="F1951" s="464"/>
    </row>
    <row r="1952" spans="1:6" s="1222" customFormat="1" x14ac:dyDescent="0.25">
      <c r="A1952" s="463"/>
      <c r="B1952" s="464"/>
      <c r="C1952" s="464"/>
      <c r="D1952" s="464"/>
      <c r="E1952" s="464"/>
      <c r="F1952" s="464"/>
    </row>
    <row r="1953" spans="1:6" s="1222" customFormat="1" x14ac:dyDescent="0.25">
      <c r="A1953" s="463"/>
      <c r="B1953" s="464"/>
      <c r="C1953" s="464"/>
      <c r="D1953" s="464"/>
      <c r="E1953" s="464"/>
      <c r="F1953" s="464"/>
    </row>
    <row r="1954" spans="1:6" s="1222" customFormat="1" x14ac:dyDescent="0.25">
      <c r="A1954" s="463"/>
      <c r="B1954" s="464"/>
      <c r="C1954" s="464"/>
      <c r="D1954" s="464"/>
      <c r="E1954" s="464"/>
      <c r="F1954" s="464"/>
    </row>
    <row r="1955" spans="1:6" s="1222" customFormat="1" x14ac:dyDescent="0.25">
      <c r="A1955" s="463"/>
      <c r="B1955" s="464"/>
      <c r="C1955" s="464"/>
      <c r="D1955" s="464"/>
      <c r="E1955" s="464"/>
      <c r="F1955" s="464"/>
    </row>
    <row r="1956" spans="1:6" s="1222" customFormat="1" x14ac:dyDescent="0.25">
      <c r="A1956" s="463"/>
      <c r="B1956" s="464"/>
      <c r="C1956" s="464"/>
      <c r="D1956" s="464"/>
      <c r="E1956" s="464"/>
      <c r="F1956" s="464"/>
    </row>
    <row r="1957" spans="1:6" s="1222" customFormat="1" x14ac:dyDescent="0.25">
      <c r="A1957" s="463"/>
      <c r="B1957" s="464"/>
      <c r="C1957" s="464"/>
      <c r="D1957" s="464"/>
      <c r="E1957" s="464"/>
      <c r="F1957" s="464"/>
    </row>
    <row r="1958" spans="1:6" s="1222" customFormat="1" x14ac:dyDescent="0.25">
      <c r="A1958" s="463"/>
      <c r="B1958" s="464"/>
      <c r="C1958" s="464"/>
      <c r="D1958" s="464"/>
      <c r="E1958" s="464"/>
      <c r="F1958" s="464"/>
    </row>
    <row r="1959" spans="1:6" s="1222" customFormat="1" x14ac:dyDescent="0.25">
      <c r="A1959" s="463"/>
      <c r="B1959" s="464"/>
      <c r="C1959" s="464"/>
      <c r="D1959" s="464"/>
      <c r="E1959" s="464"/>
      <c r="F1959" s="464"/>
    </row>
    <row r="1960" spans="1:6" s="1222" customFormat="1" x14ac:dyDescent="0.25">
      <c r="A1960" s="463"/>
      <c r="B1960" s="464"/>
      <c r="C1960" s="464"/>
      <c r="D1960" s="464"/>
      <c r="E1960" s="464"/>
      <c r="F1960" s="464"/>
    </row>
    <row r="1961" spans="1:6" s="1222" customFormat="1" x14ac:dyDescent="0.25">
      <c r="A1961" s="463"/>
      <c r="B1961" s="464"/>
      <c r="C1961" s="464"/>
      <c r="D1961" s="464"/>
      <c r="E1961" s="464"/>
      <c r="F1961" s="464"/>
    </row>
    <row r="1962" spans="1:6" s="1222" customFormat="1" x14ac:dyDescent="0.25">
      <c r="A1962" s="463"/>
      <c r="B1962" s="464"/>
      <c r="C1962" s="464"/>
      <c r="D1962" s="464"/>
      <c r="E1962" s="464"/>
      <c r="F1962" s="464"/>
    </row>
    <row r="1963" spans="1:6" s="1222" customFormat="1" x14ac:dyDescent="0.25">
      <c r="A1963" s="463"/>
      <c r="B1963" s="464"/>
      <c r="C1963" s="464"/>
      <c r="D1963" s="464"/>
      <c r="E1963" s="464"/>
      <c r="F1963" s="464"/>
    </row>
    <row r="1964" spans="1:6" s="1222" customFormat="1" x14ac:dyDescent="0.25">
      <c r="A1964" s="463"/>
      <c r="B1964" s="464"/>
      <c r="C1964" s="464"/>
      <c r="D1964" s="464"/>
      <c r="E1964" s="464"/>
      <c r="F1964" s="464"/>
    </row>
    <row r="1965" spans="1:6" s="1222" customFormat="1" x14ac:dyDescent="0.25">
      <c r="A1965" s="463"/>
      <c r="B1965" s="464"/>
      <c r="C1965" s="464"/>
      <c r="D1965" s="464"/>
      <c r="E1965" s="464"/>
      <c r="F1965" s="464"/>
    </row>
    <row r="1966" spans="1:6" s="1222" customFormat="1" x14ac:dyDescent="0.25">
      <c r="A1966" s="463"/>
      <c r="B1966" s="464"/>
      <c r="C1966" s="464"/>
      <c r="D1966" s="464"/>
      <c r="E1966" s="464"/>
      <c r="F1966" s="464"/>
    </row>
    <row r="1967" spans="1:6" s="1222" customFormat="1" x14ac:dyDescent="0.25">
      <c r="A1967" s="463"/>
      <c r="B1967" s="464"/>
      <c r="C1967" s="464"/>
      <c r="D1967" s="464"/>
      <c r="E1967" s="464"/>
      <c r="F1967" s="464"/>
    </row>
    <row r="1968" spans="1:6" s="1222" customFormat="1" x14ac:dyDescent="0.25">
      <c r="A1968" s="463"/>
      <c r="B1968" s="464"/>
      <c r="C1968" s="464"/>
      <c r="D1968" s="464"/>
      <c r="E1968" s="464"/>
      <c r="F1968" s="464"/>
    </row>
    <row r="1969" spans="1:6" s="1222" customFormat="1" x14ac:dyDescent="0.25">
      <c r="A1969" s="463"/>
      <c r="B1969" s="464"/>
      <c r="C1969" s="464"/>
      <c r="D1969" s="464"/>
      <c r="E1969" s="464"/>
      <c r="F1969" s="464"/>
    </row>
    <row r="1970" spans="1:6" s="1222" customFormat="1" x14ac:dyDescent="0.25">
      <c r="A1970" s="463"/>
      <c r="B1970" s="464"/>
      <c r="C1970" s="464"/>
      <c r="D1970" s="464"/>
      <c r="E1970" s="464"/>
      <c r="F1970" s="464"/>
    </row>
    <row r="1971" spans="1:6" s="1222" customFormat="1" x14ac:dyDescent="0.25">
      <c r="A1971" s="463"/>
      <c r="B1971" s="464"/>
      <c r="C1971" s="464"/>
      <c r="D1971" s="464"/>
      <c r="E1971" s="464"/>
      <c r="F1971" s="464"/>
    </row>
    <row r="1972" spans="1:6" s="1222" customFormat="1" x14ac:dyDescent="0.25">
      <c r="A1972" s="463"/>
      <c r="B1972" s="464"/>
      <c r="C1972" s="464"/>
      <c r="D1972" s="464"/>
      <c r="E1972" s="464"/>
      <c r="F1972" s="464"/>
    </row>
    <row r="1973" spans="1:6" s="1222" customFormat="1" x14ac:dyDescent="0.25">
      <c r="A1973" s="463"/>
      <c r="B1973" s="464"/>
      <c r="C1973" s="464"/>
      <c r="D1973" s="464"/>
      <c r="E1973" s="464"/>
      <c r="F1973" s="464"/>
    </row>
    <row r="1974" spans="1:6" s="1222" customFormat="1" x14ac:dyDescent="0.25">
      <c r="A1974" s="463"/>
      <c r="B1974" s="464"/>
      <c r="C1974" s="464"/>
      <c r="D1974" s="464"/>
      <c r="E1974" s="464"/>
      <c r="F1974" s="464"/>
    </row>
    <row r="1975" spans="1:6" s="1222" customFormat="1" x14ac:dyDescent="0.25">
      <c r="A1975" s="463"/>
      <c r="B1975" s="464"/>
      <c r="C1975" s="464"/>
      <c r="D1975" s="464"/>
      <c r="E1975" s="464"/>
      <c r="F1975" s="464"/>
    </row>
    <row r="1976" spans="1:6" s="1222" customFormat="1" x14ac:dyDescent="0.25">
      <c r="A1976" s="463"/>
      <c r="B1976" s="464"/>
      <c r="C1976" s="464"/>
      <c r="D1976" s="464"/>
      <c r="E1976" s="464"/>
      <c r="F1976" s="464"/>
    </row>
    <row r="1977" spans="1:6" s="1222" customFormat="1" x14ac:dyDescent="0.25">
      <c r="A1977" s="463"/>
      <c r="B1977" s="464"/>
      <c r="C1977" s="464"/>
      <c r="D1977" s="464"/>
      <c r="E1977" s="464"/>
      <c r="F1977" s="464"/>
    </row>
    <row r="1978" spans="1:6" s="1222" customFormat="1" x14ac:dyDescent="0.25">
      <c r="A1978" s="463"/>
      <c r="B1978" s="464"/>
      <c r="C1978" s="464"/>
      <c r="D1978" s="464"/>
      <c r="E1978" s="464"/>
      <c r="F1978" s="464"/>
    </row>
    <row r="1979" spans="1:6" s="1222" customFormat="1" x14ac:dyDescent="0.25">
      <c r="A1979" s="463"/>
      <c r="B1979" s="464"/>
      <c r="C1979" s="464"/>
      <c r="D1979" s="464"/>
      <c r="E1979" s="464"/>
      <c r="F1979" s="464"/>
    </row>
    <row r="1980" spans="1:6" s="1222" customFormat="1" x14ac:dyDescent="0.25">
      <c r="A1980" s="463"/>
      <c r="B1980" s="464"/>
      <c r="C1980" s="464"/>
      <c r="D1980" s="464"/>
      <c r="E1980" s="464"/>
      <c r="F1980" s="464"/>
    </row>
    <row r="1981" spans="1:6" s="1222" customFormat="1" x14ac:dyDescent="0.25">
      <c r="A1981" s="463"/>
      <c r="B1981" s="464"/>
      <c r="C1981" s="464"/>
      <c r="D1981" s="464"/>
      <c r="E1981" s="464"/>
      <c r="F1981" s="464"/>
    </row>
    <row r="1982" spans="1:6" s="1222" customFormat="1" x14ac:dyDescent="0.25">
      <c r="A1982" s="463"/>
      <c r="B1982" s="464"/>
      <c r="C1982" s="464"/>
      <c r="D1982" s="464"/>
      <c r="E1982" s="464"/>
      <c r="F1982" s="464"/>
    </row>
    <row r="1983" spans="1:6" s="1222" customFormat="1" x14ac:dyDescent="0.25">
      <c r="A1983" s="463"/>
      <c r="B1983" s="464"/>
      <c r="C1983" s="464"/>
      <c r="D1983" s="464"/>
      <c r="E1983" s="464"/>
      <c r="F1983" s="464"/>
    </row>
    <row r="1984" spans="1:6" s="1222" customFormat="1" x14ac:dyDescent="0.25">
      <c r="A1984" s="463"/>
      <c r="B1984" s="464"/>
      <c r="C1984" s="464"/>
      <c r="D1984" s="464"/>
      <c r="E1984" s="464"/>
      <c r="F1984" s="464"/>
    </row>
    <row r="1985" spans="1:6" s="1222" customFormat="1" x14ac:dyDescent="0.25">
      <c r="A1985" s="463"/>
      <c r="B1985" s="464"/>
      <c r="C1985" s="464"/>
      <c r="D1985" s="464"/>
      <c r="E1985" s="464"/>
      <c r="F1985" s="464"/>
    </row>
    <row r="1986" spans="1:6" s="1222" customFormat="1" x14ac:dyDescent="0.25">
      <c r="A1986" s="463"/>
      <c r="B1986" s="464"/>
      <c r="C1986" s="464"/>
      <c r="D1986" s="464"/>
      <c r="E1986" s="464"/>
      <c r="F1986" s="464"/>
    </row>
    <row r="1987" spans="1:6" s="1222" customFormat="1" x14ac:dyDescent="0.25">
      <c r="A1987" s="463"/>
      <c r="B1987" s="464"/>
      <c r="C1987" s="464"/>
      <c r="D1987" s="464"/>
      <c r="E1987" s="464"/>
      <c r="F1987" s="464"/>
    </row>
    <row r="1988" spans="1:6" s="1222" customFormat="1" x14ac:dyDescent="0.25">
      <c r="A1988" s="463"/>
      <c r="B1988" s="464"/>
      <c r="C1988" s="464"/>
      <c r="D1988" s="464"/>
      <c r="E1988" s="464"/>
      <c r="F1988" s="464"/>
    </row>
    <row r="1989" spans="1:6" s="1222" customFormat="1" x14ac:dyDescent="0.25">
      <c r="A1989" s="463"/>
      <c r="B1989" s="464"/>
      <c r="C1989" s="464"/>
      <c r="D1989" s="464"/>
      <c r="E1989" s="464"/>
      <c r="F1989" s="464"/>
    </row>
    <row r="1990" spans="1:6" s="1222" customFormat="1" x14ac:dyDescent="0.25">
      <c r="A1990" s="463"/>
      <c r="B1990" s="464"/>
      <c r="C1990" s="464"/>
      <c r="D1990" s="464"/>
      <c r="E1990" s="464"/>
      <c r="F1990" s="464"/>
    </row>
    <row r="1991" spans="1:6" s="1222" customFormat="1" x14ac:dyDescent="0.25">
      <c r="A1991" s="463"/>
      <c r="B1991" s="464"/>
      <c r="C1991" s="464"/>
      <c r="D1991" s="464"/>
      <c r="E1991" s="464"/>
      <c r="F1991" s="464"/>
    </row>
    <row r="1992" spans="1:6" s="1222" customFormat="1" x14ac:dyDescent="0.25">
      <c r="A1992" s="463"/>
      <c r="B1992" s="464"/>
      <c r="C1992" s="464"/>
      <c r="D1992" s="464"/>
      <c r="E1992" s="464"/>
      <c r="F1992" s="464"/>
    </row>
    <row r="1993" spans="1:6" s="1222" customFormat="1" x14ac:dyDescent="0.25">
      <c r="A1993" s="463"/>
      <c r="B1993" s="464"/>
      <c r="C1993" s="464"/>
      <c r="D1993" s="464"/>
      <c r="E1993" s="464"/>
      <c r="F1993" s="464"/>
    </row>
    <row r="1994" spans="1:6" s="1222" customFormat="1" x14ac:dyDescent="0.25">
      <c r="A1994" s="463"/>
      <c r="B1994" s="464"/>
      <c r="C1994" s="464"/>
      <c r="D1994" s="464"/>
      <c r="E1994" s="464"/>
      <c r="F1994" s="464"/>
    </row>
    <row r="1995" spans="1:6" s="1222" customFormat="1" x14ac:dyDescent="0.25">
      <c r="A1995" s="463"/>
      <c r="B1995" s="464"/>
      <c r="C1995" s="464"/>
      <c r="D1995" s="464"/>
      <c r="E1995" s="464"/>
      <c r="F1995" s="464"/>
    </row>
    <row r="1996" spans="1:6" s="1222" customFormat="1" x14ac:dyDescent="0.25">
      <c r="A1996" s="463"/>
      <c r="B1996" s="464"/>
      <c r="C1996" s="464"/>
      <c r="D1996" s="464"/>
      <c r="E1996" s="464"/>
      <c r="F1996" s="464"/>
    </row>
    <row r="1997" spans="1:6" s="1222" customFormat="1" x14ac:dyDescent="0.25">
      <c r="A1997" s="463"/>
      <c r="B1997" s="464"/>
      <c r="C1997" s="464"/>
      <c r="D1997" s="464"/>
      <c r="E1997" s="464"/>
      <c r="F1997" s="464"/>
    </row>
    <row r="1998" spans="1:6" s="1222" customFormat="1" x14ac:dyDescent="0.25">
      <c r="A1998" s="463"/>
      <c r="B1998" s="464"/>
      <c r="C1998" s="464"/>
      <c r="D1998" s="464"/>
      <c r="E1998" s="464"/>
      <c r="F1998" s="464"/>
    </row>
    <row r="1999" spans="1:6" s="1222" customFormat="1" x14ac:dyDescent="0.25">
      <c r="A1999" s="463"/>
      <c r="B1999" s="464"/>
      <c r="C1999" s="464"/>
      <c r="D1999" s="464"/>
      <c r="E1999" s="464"/>
      <c r="F1999" s="464"/>
    </row>
    <row r="2000" spans="1:6" s="1222" customFormat="1" x14ac:dyDescent="0.25">
      <c r="A2000" s="463"/>
      <c r="B2000" s="464"/>
      <c r="C2000" s="464"/>
      <c r="D2000" s="464"/>
      <c r="E2000" s="464"/>
      <c r="F2000" s="464"/>
    </row>
    <row r="2001" spans="1:6" s="1222" customFormat="1" x14ac:dyDescent="0.25">
      <c r="A2001" s="463"/>
      <c r="B2001" s="464"/>
      <c r="C2001" s="464"/>
      <c r="D2001" s="464"/>
      <c r="E2001" s="464"/>
      <c r="F2001" s="464"/>
    </row>
    <row r="2002" spans="1:6" s="1222" customFormat="1" x14ac:dyDescent="0.25">
      <c r="A2002" s="463"/>
      <c r="B2002" s="464"/>
      <c r="C2002" s="464"/>
      <c r="D2002" s="464"/>
      <c r="E2002" s="464"/>
      <c r="F2002" s="464"/>
    </row>
    <row r="2003" spans="1:6" s="1222" customFormat="1" x14ac:dyDescent="0.25">
      <c r="A2003" s="463"/>
      <c r="B2003" s="464"/>
      <c r="C2003" s="464"/>
      <c r="D2003" s="464"/>
      <c r="E2003" s="464"/>
      <c r="F2003" s="464"/>
    </row>
    <row r="2004" spans="1:6" s="1222" customFormat="1" x14ac:dyDescent="0.25">
      <c r="A2004" s="463"/>
      <c r="B2004" s="464"/>
      <c r="C2004" s="464"/>
      <c r="D2004" s="464"/>
      <c r="E2004" s="464"/>
      <c r="F2004" s="464"/>
    </row>
    <row r="2005" spans="1:6" s="1222" customFormat="1" x14ac:dyDescent="0.25">
      <c r="A2005" s="463"/>
      <c r="B2005" s="464"/>
      <c r="C2005" s="464"/>
      <c r="D2005" s="464"/>
      <c r="E2005" s="464"/>
      <c r="F2005" s="464"/>
    </row>
    <row r="2006" spans="1:6" s="1222" customFormat="1" x14ac:dyDescent="0.25">
      <c r="A2006" s="463"/>
      <c r="B2006" s="464"/>
      <c r="C2006" s="464"/>
      <c r="D2006" s="464"/>
      <c r="E2006" s="464"/>
      <c r="F2006" s="464"/>
    </row>
    <row r="2007" spans="1:6" s="1222" customFormat="1" x14ac:dyDescent="0.25">
      <c r="A2007" s="463"/>
      <c r="B2007" s="464"/>
      <c r="C2007" s="464"/>
      <c r="D2007" s="464"/>
      <c r="E2007" s="464"/>
      <c r="F2007" s="464"/>
    </row>
    <row r="2008" spans="1:6" s="1222" customFormat="1" x14ac:dyDescent="0.25">
      <c r="A2008" s="463"/>
      <c r="B2008" s="464"/>
      <c r="C2008" s="464"/>
      <c r="D2008" s="464"/>
      <c r="E2008" s="464"/>
      <c r="F2008" s="464"/>
    </row>
    <row r="2009" spans="1:6" s="1222" customFormat="1" x14ac:dyDescent="0.25">
      <c r="A2009" s="463"/>
      <c r="B2009" s="464"/>
      <c r="C2009" s="464"/>
      <c r="D2009" s="464"/>
      <c r="E2009" s="464"/>
      <c r="F2009" s="464"/>
    </row>
    <row r="2010" spans="1:6" s="1222" customFormat="1" x14ac:dyDescent="0.25">
      <c r="A2010" s="463"/>
      <c r="B2010" s="464"/>
      <c r="C2010" s="464"/>
      <c r="D2010" s="464"/>
      <c r="E2010" s="464"/>
      <c r="F2010" s="464"/>
    </row>
    <row r="2011" spans="1:6" s="1222" customFormat="1" x14ac:dyDescent="0.25">
      <c r="A2011" s="463"/>
      <c r="B2011" s="464"/>
      <c r="C2011" s="464"/>
      <c r="D2011" s="464"/>
      <c r="E2011" s="464"/>
      <c r="F2011" s="464"/>
    </row>
    <row r="2012" spans="1:6" s="1222" customFormat="1" x14ac:dyDescent="0.25">
      <c r="A2012" s="463"/>
      <c r="B2012" s="464"/>
      <c r="C2012" s="464"/>
      <c r="D2012" s="464"/>
      <c r="E2012" s="464"/>
      <c r="F2012" s="464"/>
    </row>
    <row r="2013" spans="1:6" s="1222" customFormat="1" x14ac:dyDescent="0.25">
      <c r="A2013" s="463"/>
      <c r="B2013" s="464"/>
      <c r="C2013" s="464"/>
      <c r="D2013" s="464"/>
      <c r="E2013" s="464"/>
      <c r="F2013" s="464"/>
    </row>
    <row r="2014" spans="1:6" s="1222" customFormat="1" x14ac:dyDescent="0.25">
      <c r="A2014" s="463"/>
      <c r="B2014" s="464"/>
      <c r="C2014" s="464"/>
      <c r="D2014" s="464"/>
      <c r="E2014" s="464"/>
      <c r="F2014" s="464"/>
    </row>
    <row r="2015" spans="1:6" s="1222" customFormat="1" x14ac:dyDescent="0.25">
      <c r="A2015" s="463"/>
      <c r="B2015" s="464"/>
      <c r="C2015" s="464"/>
      <c r="D2015" s="464"/>
      <c r="E2015" s="464"/>
      <c r="F2015" s="464"/>
    </row>
    <row r="2016" spans="1:6" s="1222" customFormat="1" x14ac:dyDescent="0.25">
      <c r="A2016" s="463"/>
      <c r="B2016" s="464"/>
      <c r="C2016" s="464"/>
      <c r="D2016" s="464"/>
      <c r="E2016" s="464"/>
      <c r="F2016" s="464"/>
    </row>
    <row r="2017" spans="1:6" s="1222" customFormat="1" x14ac:dyDescent="0.25">
      <c r="A2017" s="463"/>
      <c r="B2017" s="464"/>
      <c r="C2017" s="464"/>
      <c r="D2017" s="464"/>
      <c r="E2017" s="464"/>
      <c r="F2017" s="464"/>
    </row>
    <row r="2018" spans="1:6" s="1222" customFormat="1" x14ac:dyDescent="0.25">
      <c r="A2018" s="463"/>
      <c r="B2018" s="464"/>
      <c r="C2018" s="464"/>
      <c r="D2018" s="464"/>
      <c r="E2018" s="464"/>
      <c r="F2018" s="464"/>
    </row>
    <row r="2019" spans="1:6" s="1222" customFormat="1" x14ac:dyDescent="0.25">
      <c r="A2019" s="463"/>
      <c r="B2019" s="464"/>
      <c r="C2019" s="464"/>
      <c r="D2019" s="464"/>
      <c r="E2019" s="464"/>
      <c r="F2019" s="464"/>
    </row>
    <row r="2020" spans="1:6" s="1222" customFormat="1" x14ac:dyDescent="0.25">
      <c r="A2020" s="463"/>
      <c r="B2020" s="464"/>
      <c r="C2020" s="464"/>
      <c r="D2020" s="464"/>
      <c r="E2020" s="464"/>
      <c r="F2020" s="464"/>
    </row>
    <row r="2021" spans="1:6" s="1222" customFormat="1" x14ac:dyDescent="0.25">
      <c r="A2021" s="463"/>
      <c r="B2021" s="464"/>
      <c r="C2021" s="464"/>
      <c r="D2021" s="464"/>
      <c r="E2021" s="464"/>
      <c r="F2021" s="464"/>
    </row>
    <row r="2022" spans="1:6" s="1222" customFormat="1" x14ac:dyDescent="0.25">
      <c r="A2022" s="463"/>
      <c r="B2022" s="464"/>
      <c r="C2022" s="464"/>
      <c r="D2022" s="464"/>
      <c r="E2022" s="464"/>
      <c r="F2022" s="464"/>
    </row>
    <row r="2023" spans="1:6" s="1222" customFormat="1" x14ac:dyDescent="0.25">
      <c r="A2023" s="463"/>
      <c r="B2023" s="464"/>
      <c r="C2023" s="464"/>
      <c r="D2023" s="464"/>
      <c r="E2023" s="464"/>
      <c r="F2023" s="464"/>
    </row>
    <row r="2024" spans="1:6" s="1222" customFormat="1" x14ac:dyDescent="0.25">
      <c r="A2024" s="463"/>
      <c r="B2024" s="464"/>
      <c r="C2024" s="464"/>
      <c r="D2024" s="464"/>
      <c r="E2024" s="464"/>
      <c r="F2024" s="464"/>
    </row>
    <row r="2025" spans="1:6" s="1222" customFormat="1" x14ac:dyDescent="0.25">
      <c r="A2025" s="463"/>
      <c r="B2025" s="464"/>
      <c r="C2025" s="464"/>
      <c r="D2025" s="464"/>
      <c r="E2025" s="464"/>
      <c r="F2025" s="464"/>
    </row>
    <row r="2026" spans="1:6" s="1222" customFormat="1" x14ac:dyDescent="0.25">
      <c r="A2026" s="463"/>
      <c r="B2026" s="464"/>
      <c r="C2026" s="464"/>
      <c r="D2026" s="464"/>
      <c r="E2026" s="464"/>
      <c r="F2026" s="464"/>
    </row>
    <row r="2027" spans="1:6" s="1222" customFormat="1" x14ac:dyDescent="0.25">
      <c r="A2027" s="463"/>
      <c r="B2027" s="464"/>
      <c r="C2027" s="464"/>
      <c r="D2027" s="464"/>
      <c r="E2027" s="464"/>
      <c r="F2027" s="464"/>
    </row>
    <row r="2028" spans="1:6" s="1222" customFormat="1" x14ac:dyDescent="0.25">
      <c r="A2028" s="463"/>
      <c r="B2028" s="464"/>
      <c r="C2028" s="464"/>
      <c r="D2028" s="464"/>
      <c r="E2028" s="464"/>
      <c r="F2028" s="464"/>
    </row>
    <row r="2029" spans="1:6" s="1222" customFormat="1" x14ac:dyDescent="0.25">
      <c r="A2029" s="463"/>
      <c r="B2029" s="464"/>
      <c r="C2029" s="464"/>
      <c r="D2029" s="464"/>
      <c r="E2029" s="464"/>
      <c r="F2029" s="464"/>
    </row>
    <row r="2030" spans="1:6" s="1222" customFormat="1" x14ac:dyDescent="0.25">
      <c r="A2030" s="463"/>
      <c r="B2030" s="464"/>
      <c r="C2030" s="464"/>
      <c r="D2030" s="464"/>
      <c r="E2030" s="464"/>
      <c r="F2030" s="464"/>
    </row>
    <row r="2031" spans="1:6" s="1222" customFormat="1" x14ac:dyDescent="0.25">
      <c r="A2031" s="463"/>
      <c r="B2031" s="464"/>
      <c r="C2031" s="464"/>
      <c r="D2031" s="464"/>
      <c r="E2031" s="464"/>
      <c r="F2031" s="464"/>
    </row>
    <row r="2032" spans="1:6" s="1222" customFormat="1" x14ac:dyDescent="0.25">
      <c r="A2032" s="463"/>
      <c r="B2032" s="464"/>
      <c r="C2032" s="464"/>
      <c r="D2032" s="464"/>
      <c r="E2032" s="464"/>
      <c r="F2032" s="464"/>
    </row>
    <row r="2033" spans="1:6" s="1222" customFormat="1" x14ac:dyDescent="0.25">
      <c r="A2033" s="463"/>
      <c r="B2033" s="464"/>
      <c r="C2033" s="464"/>
      <c r="D2033" s="464"/>
      <c r="E2033" s="464"/>
      <c r="F2033" s="464"/>
    </row>
    <row r="2034" spans="1:6" s="1222" customFormat="1" x14ac:dyDescent="0.25">
      <c r="A2034" s="463"/>
      <c r="B2034" s="464"/>
      <c r="C2034" s="464"/>
      <c r="D2034" s="464"/>
      <c r="E2034" s="464"/>
      <c r="F2034" s="464"/>
    </row>
    <row r="2035" spans="1:6" s="1222" customFormat="1" x14ac:dyDescent="0.25">
      <c r="A2035" s="463"/>
      <c r="B2035" s="464"/>
      <c r="C2035" s="464"/>
      <c r="D2035" s="464"/>
      <c r="E2035" s="464"/>
      <c r="F2035" s="464"/>
    </row>
    <row r="2036" spans="1:6" s="1222" customFormat="1" x14ac:dyDescent="0.25">
      <c r="A2036" s="463"/>
      <c r="B2036" s="464"/>
      <c r="C2036" s="464"/>
      <c r="D2036" s="464"/>
      <c r="E2036" s="464"/>
      <c r="F2036" s="464"/>
    </row>
    <row r="2037" spans="1:6" s="1222" customFormat="1" x14ac:dyDescent="0.25">
      <c r="A2037" s="463"/>
      <c r="B2037" s="464"/>
      <c r="C2037" s="464"/>
      <c r="D2037" s="464"/>
      <c r="E2037" s="464"/>
      <c r="F2037" s="464"/>
    </row>
    <row r="2038" spans="1:6" s="1222" customFormat="1" x14ac:dyDescent="0.25">
      <c r="A2038" s="463"/>
      <c r="B2038" s="464"/>
      <c r="C2038" s="464"/>
      <c r="D2038" s="464"/>
      <c r="E2038" s="464"/>
      <c r="F2038" s="464"/>
    </row>
    <row r="2039" spans="1:6" s="1222" customFormat="1" x14ac:dyDescent="0.25">
      <c r="A2039" s="463"/>
      <c r="B2039" s="464"/>
      <c r="C2039" s="464"/>
      <c r="D2039" s="464"/>
      <c r="E2039" s="464"/>
      <c r="F2039" s="464"/>
    </row>
    <row r="2040" spans="1:6" s="1222" customFormat="1" x14ac:dyDescent="0.25">
      <c r="A2040" s="463"/>
      <c r="B2040" s="464"/>
      <c r="C2040" s="464"/>
      <c r="D2040" s="464"/>
      <c r="E2040" s="464"/>
      <c r="F2040" s="464"/>
    </row>
    <row r="2041" spans="1:6" s="1222" customFormat="1" x14ac:dyDescent="0.25">
      <c r="A2041" s="463"/>
      <c r="B2041" s="464"/>
      <c r="C2041" s="464"/>
      <c r="D2041" s="464"/>
      <c r="E2041" s="464"/>
      <c r="F2041" s="464"/>
    </row>
    <row r="2042" spans="1:6" s="1222" customFormat="1" x14ac:dyDescent="0.25">
      <c r="A2042" s="463"/>
      <c r="B2042" s="464"/>
      <c r="C2042" s="464"/>
      <c r="D2042" s="464"/>
      <c r="E2042" s="464"/>
      <c r="F2042" s="464"/>
    </row>
    <row r="2043" spans="1:6" s="1222" customFormat="1" x14ac:dyDescent="0.25">
      <c r="A2043" s="463"/>
      <c r="B2043" s="464"/>
      <c r="C2043" s="464"/>
      <c r="D2043" s="464"/>
      <c r="E2043" s="464"/>
      <c r="F2043" s="464"/>
    </row>
    <row r="2044" spans="1:6" s="1222" customFormat="1" x14ac:dyDescent="0.25">
      <c r="A2044" s="463"/>
      <c r="B2044" s="464"/>
      <c r="C2044" s="464"/>
      <c r="D2044" s="464"/>
      <c r="E2044" s="464"/>
      <c r="F2044" s="464"/>
    </row>
    <row r="2045" spans="1:6" s="1222" customFormat="1" x14ac:dyDescent="0.25">
      <c r="A2045" s="463"/>
      <c r="B2045" s="464"/>
      <c r="C2045" s="464"/>
      <c r="D2045" s="464"/>
      <c r="E2045" s="464"/>
      <c r="F2045" s="464"/>
    </row>
    <row r="2046" spans="1:6" s="1222" customFormat="1" x14ac:dyDescent="0.25">
      <c r="A2046" s="463"/>
      <c r="B2046" s="464"/>
      <c r="C2046" s="464"/>
      <c r="D2046" s="464"/>
      <c r="E2046" s="464"/>
      <c r="F2046" s="464"/>
    </row>
    <row r="2047" spans="1:6" s="1222" customFormat="1" x14ac:dyDescent="0.25">
      <c r="A2047" s="463"/>
      <c r="B2047" s="464"/>
      <c r="C2047" s="464"/>
      <c r="D2047" s="464"/>
      <c r="E2047" s="464"/>
      <c r="F2047" s="464"/>
    </row>
    <row r="2048" spans="1:6" s="1222" customFormat="1" x14ac:dyDescent="0.25">
      <c r="A2048" s="463"/>
      <c r="B2048" s="464"/>
      <c r="C2048" s="464"/>
      <c r="D2048" s="464"/>
      <c r="E2048" s="464"/>
      <c r="F2048" s="464"/>
    </row>
    <row r="2049" spans="1:6" s="1222" customFormat="1" x14ac:dyDescent="0.25">
      <c r="A2049" s="463"/>
      <c r="B2049" s="464"/>
      <c r="C2049" s="464"/>
      <c r="D2049" s="464"/>
      <c r="E2049" s="464"/>
      <c r="F2049" s="464"/>
    </row>
    <row r="2050" spans="1:6" s="1222" customFormat="1" x14ac:dyDescent="0.25">
      <c r="A2050" s="463"/>
      <c r="B2050" s="464"/>
      <c r="C2050" s="464"/>
      <c r="D2050" s="464"/>
      <c r="E2050" s="464"/>
      <c r="F2050" s="464"/>
    </row>
    <row r="2051" spans="1:6" s="1222" customFormat="1" x14ac:dyDescent="0.25">
      <c r="A2051" s="463"/>
      <c r="B2051" s="464"/>
      <c r="C2051" s="464"/>
      <c r="D2051" s="464"/>
      <c r="E2051" s="464"/>
      <c r="F2051" s="464"/>
    </row>
    <row r="2052" spans="1:6" s="1222" customFormat="1" x14ac:dyDescent="0.25">
      <c r="A2052" s="463"/>
      <c r="B2052" s="464"/>
      <c r="C2052" s="464"/>
      <c r="D2052" s="464"/>
      <c r="E2052" s="464"/>
      <c r="F2052" s="464"/>
    </row>
    <row r="2053" spans="1:6" s="1222" customFormat="1" x14ac:dyDescent="0.25">
      <c r="A2053" s="463"/>
      <c r="B2053" s="464"/>
      <c r="C2053" s="464"/>
      <c r="D2053" s="464"/>
      <c r="E2053" s="464"/>
      <c r="F2053" s="464"/>
    </row>
    <row r="2054" spans="1:6" s="1222" customFormat="1" x14ac:dyDescent="0.25">
      <c r="A2054" s="463"/>
      <c r="B2054" s="464"/>
      <c r="C2054" s="464"/>
      <c r="D2054" s="464"/>
      <c r="E2054" s="464"/>
      <c r="F2054" s="464"/>
    </row>
    <row r="2055" spans="1:6" s="1222" customFormat="1" x14ac:dyDescent="0.25">
      <c r="A2055" s="463"/>
      <c r="B2055" s="464"/>
      <c r="C2055" s="464"/>
      <c r="D2055" s="464"/>
      <c r="E2055" s="464"/>
      <c r="F2055" s="464"/>
    </row>
    <row r="2056" spans="1:6" s="1222" customFormat="1" x14ac:dyDescent="0.25">
      <c r="A2056" s="463"/>
      <c r="B2056" s="464"/>
      <c r="C2056" s="464"/>
      <c r="D2056" s="464"/>
      <c r="E2056" s="464"/>
      <c r="F2056" s="464"/>
    </row>
    <row r="2057" spans="1:6" s="1222" customFormat="1" x14ac:dyDescent="0.25">
      <c r="A2057" s="463"/>
      <c r="B2057" s="464"/>
      <c r="C2057" s="464"/>
      <c r="D2057" s="464"/>
      <c r="E2057" s="464"/>
      <c r="F2057" s="464"/>
    </row>
    <row r="2058" spans="1:6" s="1222" customFormat="1" x14ac:dyDescent="0.25">
      <c r="A2058" s="463"/>
      <c r="B2058" s="464"/>
      <c r="C2058" s="464"/>
      <c r="D2058" s="464"/>
      <c r="E2058" s="464"/>
      <c r="F2058" s="464"/>
    </row>
    <row r="2059" spans="1:6" s="1222" customFormat="1" x14ac:dyDescent="0.25">
      <c r="A2059" s="463"/>
      <c r="B2059" s="464"/>
      <c r="C2059" s="464"/>
      <c r="D2059" s="464"/>
      <c r="E2059" s="464"/>
      <c r="F2059" s="464"/>
    </row>
    <row r="2060" spans="1:6" s="1222" customFormat="1" x14ac:dyDescent="0.25">
      <c r="A2060" s="463"/>
      <c r="B2060" s="464"/>
      <c r="C2060" s="464"/>
      <c r="D2060" s="464"/>
      <c r="E2060" s="464"/>
      <c r="F2060" s="464"/>
    </row>
    <row r="2061" spans="1:6" s="1222" customFormat="1" x14ac:dyDescent="0.25">
      <c r="A2061" s="463"/>
      <c r="B2061" s="464"/>
      <c r="C2061" s="464"/>
      <c r="D2061" s="464"/>
      <c r="E2061" s="464"/>
      <c r="F2061" s="464"/>
    </row>
    <row r="2062" spans="1:6" s="1222" customFormat="1" x14ac:dyDescent="0.25">
      <c r="A2062" s="463"/>
      <c r="B2062" s="464"/>
      <c r="C2062" s="464"/>
      <c r="D2062" s="464"/>
      <c r="E2062" s="464"/>
      <c r="F2062" s="464"/>
    </row>
    <row r="2063" spans="1:6" s="1222" customFormat="1" x14ac:dyDescent="0.25">
      <c r="A2063" s="463"/>
      <c r="B2063" s="464"/>
      <c r="C2063" s="464"/>
      <c r="D2063" s="464"/>
      <c r="E2063" s="464"/>
      <c r="F2063" s="464"/>
    </row>
    <row r="2064" spans="1:6" s="1222" customFormat="1" x14ac:dyDescent="0.25">
      <c r="A2064" s="463"/>
      <c r="B2064" s="464"/>
      <c r="C2064" s="464"/>
      <c r="D2064" s="464"/>
      <c r="E2064" s="464"/>
      <c r="F2064" s="464"/>
    </row>
    <row r="2065" spans="1:6" s="1222" customFormat="1" x14ac:dyDescent="0.25">
      <c r="A2065" s="463"/>
      <c r="B2065" s="464"/>
      <c r="C2065" s="464"/>
      <c r="D2065" s="464"/>
      <c r="E2065" s="464"/>
      <c r="F2065" s="464"/>
    </row>
    <row r="2066" spans="1:6" s="1222" customFormat="1" x14ac:dyDescent="0.25">
      <c r="A2066" s="463"/>
      <c r="B2066" s="464"/>
      <c r="C2066" s="464"/>
      <c r="D2066" s="464"/>
      <c r="E2066" s="464"/>
      <c r="F2066" s="464"/>
    </row>
    <row r="2067" spans="1:6" s="1222" customFormat="1" x14ac:dyDescent="0.25">
      <c r="A2067" s="463"/>
      <c r="B2067" s="464"/>
      <c r="C2067" s="464"/>
      <c r="D2067" s="464"/>
      <c r="E2067" s="464"/>
      <c r="F2067" s="464"/>
    </row>
    <row r="2068" spans="1:6" s="1222" customFormat="1" x14ac:dyDescent="0.25">
      <c r="A2068" s="463"/>
      <c r="B2068" s="464"/>
      <c r="C2068" s="464"/>
      <c r="D2068" s="464"/>
      <c r="E2068" s="464"/>
      <c r="F2068" s="464"/>
    </row>
    <row r="2069" spans="1:6" s="1222" customFormat="1" x14ac:dyDescent="0.25">
      <c r="A2069" s="463"/>
      <c r="B2069" s="464"/>
      <c r="C2069" s="464"/>
      <c r="D2069" s="464"/>
      <c r="E2069" s="464"/>
      <c r="F2069" s="464"/>
    </row>
    <row r="2070" spans="1:6" s="1222" customFormat="1" x14ac:dyDescent="0.25">
      <c r="A2070" s="463"/>
      <c r="B2070" s="464"/>
      <c r="C2070" s="464"/>
      <c r="D2070" s="464"/>
      <c r="E2070" s="464"/>
      <c r="F2070" s="464"/>
    </row>
    <row r="2071" spans="1:6" s="1222" customFormat="1" x14ac:dyDescent="0.25">
      <c r="A2071" s="463"/>
      <c r="B2071" s="464"/>
      <c r="C2071" s="464"/>
      <c r="D2071" s="464"/>
      <c r="E2071" s="464"/>
      <c r="F2071" s="464"/>
    </row>
    <row r="2072" spans="1:6" s="1222" customFormat="1" x14ac:dyDescent="0.25">
      <c r="A2072" s="463"/>
      <c r="B2072" s="464"/>
      <c r="C2072" s="464"/>
      <c r="D2072" s="464"/>
      <c r="E2072" s="464"/>
      <c r="F2072" s="464"/>
    </row>
    <row r="2073" spans="1:6" s="1222" customFormat="1" x14ac:dyDescent="0.25">
      <c r="A2073" s="463"/>
      <c r="B2073" s="464"/>
      <c r="C2073" s="464"/>
      <c r="D2073" s="464"/>
      <c r="E2073" s="464"/>
      <c r="F2073" s="464"/>
    </row>
    <row r="2074" spans="1:6" s="1222" customFormat="1" x14ac:dyDescent="0.25">
      <c r="A2074" s="463"/>
      <c r="B2074" s="464"/>
      <c r="C2074" s="464"/>
      <c r="D2074" s="464"/>
      <c r="E2074" s="464"/>
      <c r="F2074" s="464"/>
    </row>
    <row r="2075" spans="1:6" s="1222" customFormat="1" x14ac:dyDescent="0.25">
      <c r="A2075" s="463"/>
      <c r="B2075" s="464"/>
      <c r="C2075" s="464"/>
      <c r="D2075" s="464"/>
      <c r="E2075" s="464"/>
      <c r="F2075" s="464"/>
    </row>
    <row r="2076" spans="1:6" s="1222" customFormat="1" x14ac:dyDescent="0.25">
      <c r="A2076" s="463"/>
      <c r="B2076" s="464"/>
      <c r="C2076" s="464"/>
      <c r="D2076" s="464"/>
      <c r="E2076" s="464"/>
      <c r="F2076" s="464"/>
    </row>
    <row r="2077" spans="1:6" s="1222" customFormat="1" x14ac:dyDescent="0.25">
      <c r="A2077" s="463"/>
      <c r="B2077" s="464"/>
      <c r="C2077" s="464"/>
      <c r="D2077" s="464"/>
      <c r="E2077" s="464"/>
      <c r="F2077" s="464"/>
    </row>
    <row r="2078" spans="1:6" s="1222" customFormat="1" x14ac:dyDescent="0.25">
      <c r="A2078" s="463"/>
      <c r="B2078" s="464"/>
      <c r="C2078" s="464"/>
      <c r="D2078" s="464"/>
      <c r="E2078" s="464"/>
      <c r="F2078" s="464"/>
    </row>
    <row r="2079" spans="1:6" s="1222" customFormat="1" x14ac:dyDescent="0.25">
      <c r="A2079" s="463"/>
      <c r="B2079" s="464"/>
      <c r="C2079" s="464"/>
      <c r="D2079" s="464"/>
      <c r="E2079" s="464"/>
      <c r="F2079" s="464"/>
    </row>
    <row r="2080" spans="1:6" s="1222" customFormat="1" x14ac:dyDescent="0.25">
      <c r="A2080" s="463"/>
      <c r="B2080" s="464"/>
      <c r="C2080" s="464"/>
      <c r="D2080" s="464"/>
      <c r="E2080" s="464"/>
      <c r="F2080" s="464"/>
    </row>
    <row r="2081" spans="1:6" s="1222" customFormat="1" x14ac:dyDescent="0.25">
      <c r="A2081" s="463"/>
      <c r="B2081" s="464"/>
      <c r="C2081" s="464"/>
      <c r="D2081" s="464"/>
      <c r="E2081" s="464"/>
      <c r="F2081" s="464"/>
    </row>
    <row r="2082" spans="1:6" s="1222" customFormat="1" x14ac:dyDescent="0.25">
      <c r="A2082" s="463"/>
      <c r="B2082" s="464"/>
      <c r="C2082" s="464"/>
      <c r="D2082" s="464"/>
      <c r="E2082" s="464"/>
      <c r="F2082" s="464"/>
    </row>
    <row r="2083" spans="1:6" s="1222" customFormat="1" x14ac:dyDescent="0.25">
      <c r="A2083" s="463"/>
      <c r="B2083" s="464"/>
      <c r="C2083" s="464"/>
      <c r="D2083" s="464"/>
      <c r="E2083" s="464"/>
      <c r="F2083" s="464"/>
    </row>
    <row r="2084" spans="1:6" s="1222" customFormat="1" x14ac:dyDescent="0.25">
      <c r="A2084" s="463"/>
      <c r="B2084" s="464"/>
      <c r="C2084" s="464"/>
      <c r="D2084" s="464"/>
      <c r="E2084" s="464"/>
      <c r="F2084" s="464"/>
    </row>
    <row r="2085" spans="1:6" s="1222" customFormat="1" x14ac:dyDescent="0.25">
      <c r="A2085" s="463"/>
      <c r="B2085" s="464"/>
      <c r="C2085" s="464"/>
      <c r="D2085" s="464"/>
      <c r="E2085" s="464"/>
      <c r="F2085" s="464"/>
    </row>
    <row r="2086" spans="1:6" s="1222" customFormat="1" x14ac:dyDescent="0.25">
      <c r="A2086" s="463"/>
      <c r="B2086" s="464"/>
      <c r="C2086" s="464"/>
      <c r="D2086" s="464"/>
      <c r="E2086" s="464"/>
      <c r="F2086" s="464"/>
    </row>
    <row r="2087" spans="1:6" s="1222" customFormat="1" x14ac:dyDescent="0.25">
      <c r="A2087" s="463"/>
      <c r="B2087" s="464"/>
      <c r="C2087" s="464"/>
      <c r="D2087" s="464"/>
      <c r="E2087" s="464"/>
      <c r="F2087" s="464"/>
    </row>
    <row r="2088" spans="1:6" s="1222" customFormat="1" x14ac:dyDescent="0.25">
      <c r="A2088" s="463"/>
      <c r="B2088" s="464"/>
      <c r="C2088" s="464"/>
      <c r="D2088" s="464"/>
      <c r="E2088" s="464"/>
      <c r="F2088" s="464"/>
    </row>
    <row r="2089" spans="1:6" s="1222" customFormat="1" x14ac:dyDescent="0.25">
      <c r="A2089" s="463"/>
      <c r="B2089" s="464"/>
      <c r="C2089" s="464"/>
      <c r="D2089" s="464"/>
      <c r="E2089" s="464"/>
      <c r="F2089" s="464"/>
    </row>
    <row r="2090" spans="1:6" s="1222" customFormat="1" x14ac:dyDescent="0.25">
      <c r="A2090" s="463"/>
      <c r="B2090" s="464"/>
      <c r="C2090" s="464"/>
      <c r="D2090" s="464"/>
      <c r="E2090" s="464"/>
      <c r="F2090" s="464"/>
    </row>
    <row r="2091" spans="1:6" s="1222" customFormat="1" x14ac:dyDescent="0.25">
      <c r="A2091" s="463"/>
      <c r="B2091" s="464"/>
      <c r="C2091" s="464"/>
      <c r="D2091" s="464"/>
      <c r="E2091" s="464"/>
      <c r="F2091" s="464"/>
    </row>
    <row r="2092" spans="1:6" s="1222" customFormat="1" x14ac:dyDescent="0.25">
      <c r="A2092" s="463"/>
      <c r="B2092" s="464"/>
      <c r="C2092" s="464"/>
      <c r="D2092" s="464"/>
      <c r="E2092" s="464"/>
      <c r="F2092" s="464"/>
    </row>
    <row r="2093" spans="1:6" s="1222" customFormat="1" x14ac:dyDescent="0.25">
      <c r="A2093" s="463"/>
      <c r="B2093" s="464"/>
      <c r="C2093" s="464"/>
      <c r="D2093" s="464"/>
      <c r="E2093" s="464"/>
      <c r="F2093" s="464"/>
    </row>
    <row r="2094" spans="1:6" s="1222" customFormat="1" x14ac:dyDescent="0.25">
      <c r="A2094" s="463"/>
      <c r="B2094" s="464"/>
      <c r="C2094" s="464"/>
      <c r="D2094" s="464"/>
      <c r="E2094" s="464"/>
      <c r="F2094" s="464"/>
    </row>
    <row r="2095" spans="1:6" s="1222" customFormat="1" x14ac:dyDescent="0.25">
      <c r="A2095" s="463"/>
      <c r="B2095" s="464"/>
      <c r="C2095" s="464"/>
      <c r="D2095" s="464"/>
      <c r="E2095" s="464"/>
      <c r="F2095" s="464"/>
    </row>
    <row r="2096" spans="1:6" s="1222" customFormat="1" x14ac:dyDescent="0.25">
      <c r="A2096" s="463"/>
      <c r="B2096" s="464"/>
      <c r="C2096" s="464"/>
      <c r="D2096" s="464"/>
      <c r="E2096" s="464"/>
      <c r="F2096" s="464"/>
    </row>
    <row r="2097" spans="1:6" s="1222" customFormat="1" x14ac:dyDescent="0.25">
      <c r="A2097" s="463"/>
      <c r="B2097" s="464"/>
      <c r="C2097" s="464"/>
      <c r="D2097" s="464"/>
      <c r="E2097" s="464"/>
      <c r="F2097" s="464"/>
    </row>
    <row r="2098" spans="1:6" s="1222" customFormat="1" x14ac:dyDescent="0.25">
      <c r="A2098" s="463"/>
      <c r="B2098" s="464"/>
      <c r="C2098" s="464"/>
      <c r="D2098" s="464"/>
      <c r="E2098" s="464"/>
      <c r="F2098" s="464"/>
    </row>
    <row r="2099" spans="1:6" s="1222" customFormat="1" x14ac:dyDescent="0.25">
      <c r="A2099" s="463"/>
      <c r="B2099" s="464"/>
      <c r="C2099" s="464"/>
      <c r="D2099" s="464"/>
      <c r="E2099" s="464"/>
      <c r="F2099" s="464"/>
    </row>
    <row r="2100" spans="1:6" s="1222" customFormat="1" x14ac:dyDescent="0.25">
      <c r="A2100" s="463"/>
      <c r="B2100" s="464"/>
      <c r="C2100" s="464"/>
      <c r="D2100" s="464"/>
      <c r="E2100" s="464"/>
      <c r="F2100" s="464"/>
    </row>
    <row r="2101" spans="1:6" s="1222" customFormat="1" x14ac:dyDescent="0.25">
      <c r="A2101" s="463"/>
      <c r="B2101" s="464"/>
      <c r="C2101" s="464"/>
      <c r="D2101" s="464"/>
      <c r="E2101" s="464"/>
      <c r="F2101" s="464"/>
    </row>
    <row r="2102" spans="1:6" s="1222" customFormat="1" x14ac:dyDescent="0.25">
      <c r="A2102" s="463"/>
      <c r="B2102" s="464"/>
      <c r="C2102" s="464"/>
      <c r="D2102" s="464"/>
      <c r="E2102" s="464"/>
      <c r="F2102" s="464"/>
    </row>
    <row r="2103" spans="1:6" s="1222" customFormat="1" x14ac:dyDescent="0.25">
      <c r="A2103" s="463"/>
      <c r="B2103" s="464"/>
      <c r="C2103" s="464"/>
      <c r="D2103" s="464"/>
      <c r="E2103" s="464"/>
      <c r="F2103" s="464"/>
    </row>
    <row r="2104" spans="1:6" s="1222" customFormat="1" x14ac:dyDescent="0.25">
      <c r="A2104" s="463"/>
      <c r="B2104" s="464"/>
      <c r="C2104" s="464"/>
      <c r="D2104" s="464"/>
      <c r="E2104" s="464"/>
      <c r="F2104" s="464"/>
    </row>
    <row r="2105" spans="1:6" s="1222" customFormat="1" x14ac:dyDescent="0.25">
      <c r="A2105" s="463"/>
      <c r="B2105" s="464"/>
      <c r="C2105" s="464"/>
      <c r="D2105" s="464"/>
      <c r="E2105" s="464"/>
      <c r="F2105" s="464"/>
    </row>
    <row r="2106" spans="1:6" s="1222" customFormat="1" x14ac:dyDescent="0.25">
      <c r="A2106" s="463"/>
      <c r="B2106" s="464"/>
      <c r="C2106" s="464"/>
      <c r="D2106" s="464"/>
      <c r="E2106" s="464"/>
      <c r="F2106" s="464"/>
    </row>
    <row r="2107" spans="1:6" s="1222" customFormat="1" x14ac:dyDescent="0.25">
      <c r="A2107" s="463"/>
      <c r="B2107" s="464"/>
      <c r="C2107" s="464"/>
      <c r="D2107" s="464"/>
      <c r="E2107" s="464"/>
      <c r="F2107" s="464"/>
    </row>
    <row r="2108" spans="1:6" s="1222" customFormat="1" x14ac:dyDescent="0.25">
      <c r="A2108" s="463"/>
      <c r="B2108" s="464"/>
      <c r="C2108" s="464"/>
      <c r="D2108" s="464"/>
      <c r="E2108" s="464"/>
      <c r="F2108" s="464"/>
    </row>
  </sheetData>
  <mergeCells count="3">
    <mergeCell ref="A1:F1"/>
    <mergeCell ref="A2:F2"/>
    <mergeCell ref="B47:C47"/>
  </mergeCells>
  <pageMargins left="0.70866141732283472" right="0.70866141732283472" top="0.94488188976377963" bottom="0.74803149606299213" header="0.31496062992125984" footer="0.31496062992125984"/>
  <pageSetup paperSize="9" scale="87" orientation="portrait" r:id="rId1"/>
  <headerFooter>
    <oddHeader>&amp;R&amp;"Times New Roman CE,Dőlt"&amp;10 23. melléklet 
a 3/2016.(II.12.) önkormányzati rendelethez&amp;X19</oddHeader>
    <oddFooter>&amp;L&amp;X19&amp;XMódosította a 6/2017.(II.24.) önkormányzati rendelet 4.§ (17) bekezdése, hatályos 2017. február 24. 12 órától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zoomScaleNormal="100" workbookViewId="0">
      <selection activeCell="E16" sqref="E16"/>
    </sheetView>
  </sheetViews>
  <sheetFormatPr defaultRowHeight="15.75" x14ac:dyDescent="0.25"/>
  <cols>
    <col min="1" max="1" width="4.5" customWidth="1"/>
    <col min="2" max="2" width="27.125" customWidth="1"/>
    <col min="3" max="3" width="53.625" customWidth="1"/>
    <col min="4" max="4" width="17.875" customWidth="1"/>
  </cols>
  <sheetData>
    <row r="1" spans="1:4" ht="32.25" thickBot="1" x14ac:dyDescent="0.3">
      <c r="A1" s="581" t="s">
        <v>310</v>
      </c>
      <c r="B1" s="580" t="s">
        <v>663</v>
      </c>
      <c r="C1" s="580" t="s">
        <v>664</v>
      </c>
      <c r="D1" s="580" t="s">
        <v>665</v>
      </c>
    </row>
    <row r="2" spans="1:4" ht="32.25" thickBot="1" x14ac:dyDescent="0.3">
      <c r="A2" s="514" t="s">
        <v>318</v>
      </c>
      <c r="B2" s="515" t="s">
        <v>1034</v>
      </c>
      <c r="C2" s="515" t="s">
        <v>1035</v>
      </c>
      <c r="D2" s="516">
        <v>3000</v>
      </c>
    </row>
    <row r="3" spans="1:4" ht="32.25" thickBot="1" x14ac:dyDescent="0.3">
      <c r="A3" s="514" t="s">
        <v>319</v>
      </c>
      <c r="B3" s="515" t="s">
        <v>1036</v>
      </c>
      <c r="C3" s="515" t="s">
        <v>718</v>
      </c>
      <c r="D3" s="516">
        <v>5500</v>
      </c>
    </row>
    <row r="4" spans="1:4" ht="32.25" thickBot="1" x14ac:dyDescent="0.3">
      <c r="A4" s="514" t="s">
        <v>323</v>
      </c>
      <c r="B4" s="515" t="s">
        <v>1037</v>
      </c>
      <c r="C4" s="515" t="s">
        <v>719</v>
      </c>
      <c r="D4" s="516">
        <v>4000</v>
      </c>
    </row>
    <row r="5" spans="1:4" ht="32.25" thickBot="1" x14ac:dyDescent="0.3">
      <c r="A5" s="514" t="s">
        <v>326</v>
      </c>
      <c r="B5" s="515" t="s">
        <v>1038</v>
      </c>
      <c r="C5" s="515" t="s">
        <v>720</v>
      </c>
      <c r="D5" s="516">
        <v>5500</v>
      </c>
    </row>
    <row r="6" spans="1:4" ht="32.25" thickBot="1" x14ac:dyDescent="0.3">
      <c r="A6" s="514" t="s">
        <v>330</v>
      </c>
      <c r="B6" s="515" t="s">
        <v>1039</v>
      </c>
      <c r="C6" s="515" t="s">
        <v>1040</v>
      </c>
      <c r="D6" s="516">
        <v>1500</v>
      </c>
    </row>
    <row r="7" spans="1:4" ht="16.5" thickBot="1" x14ac:dyDescent="0.3">
      <c r="A7" s="514" t="s">
        <v>334</v>
      </c>
      <c r="B7" s="515" t="s">
        <v>1041</v>
      </c>
      <c r="C7" s="515" t="s">
        <v>1042</v>
      </c>
      <c r="D7" s="516">
        <v>5000</v>
      </c>
    </row>
    <row r="8" spans="1:4" ht="63.75" thickBot="1" x14ac:dyDescent="0.3">
      <c r="A8" s="514" t="s">
        <v>338</v>
      </c>
      <c r="B8" s="515" t="s">
        <v>1043</v>
      </c>
      <c r="C8" s="515" t="s">
        <v>721</v>
      </c>
      <c r="D8" s="516" t="s">
        <v>1044</v>
      </c>
    </row>
  </sheetData>
  <pageMargins left="0.70866141732283472" right="0.70866141732283472" top="1.1417322834645669" bottom="0.74803149606299213" header="0.31496062992125984" footer="0.31496062992125984"/>
  <pageSetup paperSize="9" scale="90" orientation="landscape" r:id="rId1"/>
  <headerFooter>
    <oddHeader>&amp;C&amp;"Times New Roman CE,Félkövér"Társadalmi Felelősségvállalási Alap felosztása (eFt-ban&amp;"Times New Roman CE,Normál")&amp;R&amp;"Times New Roman CE,Félkövér"24. melléklet
&amp;11a 3/2016.(II.12.) önkormányzati rendelethez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J14" sqref="J14"/>
    </sheetView>
  </sheetViews>
  <sheetFormatPr defaultRowHeight="15.75" x14ac:dyDescent="0.25"/>
  <cols>
    <col min="1" max="1" width="44.75" style="394" customWidth="1"/>
    <col min="2" max="2" width="13.375" style="393" customWidth="1"/>
    <col min="3" max="16384" width="9" style="389"/>
  </cols>
  <sheetData>
    <row r="1" spans="1:3" ht="18.75" x14ac:dyDescent="0.3">
      <c r="A1" s="1316" t="s">
        <v>1256</v>
      </c>
      <c r="B1" s="1316"/>
    </row>
    <row r="2" spans="1:3" ht="41.25" customHeight="1" thickBot="1" x14ac:dyDescent="0.3"/>
    <row r="3" spans="1:3" ht="16.5" thickBot="1" x14ac:dyDescent="0.3">
      <c r="A3" s="387" t="s">
        <v>249</v>
      </c>
      <c r="B3" s="388" t="s">
        <v>966</v>
      </c>
    </row>
    <row r="4" spans="1:3" x14ac:dyDescent="0.25">
      <c r="A4" s="410" t="s">
        <v>722</v>
      </c>
      <c r="B4" s="411">
        <v>9000</v>
      </c>
    </row>
    <row r="5" spans="1:3" x14ac:dyDescent="0.25">
      <c r="A5" s="410" t="s">
        <v>968</v>
      </c>
      <c r="B5" s="411">
        <v>4800</v>
      </c>
    </row>
    <row r="6" spans="1:3" ht="31.5" x14ac:dyDescent="0.25">
      <c r="A6" s="410" t="s">
        <v>967</v>
      </c>
      <c r="B6" s="411">
        <v>10000</v>
      </c>
    </row>
    <row r="7" spans="1:3" x14ac:dyDescent="0.25">
      <c r="A7" s="410" t="s">
        <v>969</v>
      </c>
      <c r="B7" s="411">
        <v>900</v>
      </c>
    </row>
    <row r="8" spans="1:3" ht="31.5" x14ac:dyDescent="0.25">
      <c r="A8" s="410" t="s">
        <v>970</v>
      </c>
      <c r="B8" s="411">
        <v>10752</v>
      </c>
    </row>
    <row r="9" spans="1:3" s="684" customFormat="1" ht="31.5" x14ac:dyDescent="0.25">
      <c r="A9" s="682" t="s">
        <v>971</v>
      </c>
      <c r="B9" s="683">
        <v>2000</v>
      </c>
    </row>
    <row r="10" spans="1:3" s="684" customFormat="1" x14ac:dyDescent="0.25">
      <c r="A10" s="1223" t="s">
        <v>1257</v>
      </c>
      <c r="B10" s="1224">
        <v>3340</v>
      </c>
    </row>
    <row r="11" spans="1:3" s="684" customFormat="1" ht="16.5" thickBot="1" x14ac:dyDescent="0.3">
      <c r="A11" s="1225" t="s">
        <v>1500</v>
      </c>
      <c r="B11" s="1226">
        <v>3481</v>
      </c>
    </row>
    <row r="12" spans="1:3" ht="16.5" thickBot="1" x14ac:dyDescent="0.3">
      <c r="A12" s="390" t="s">
        <v>264</v>
      </c>
      <c r="B12" s="391">
        <f>SUM(B4:B8,B10:B11)</f>
        <v>42273</v>
      </c>
    </row>
    <row r="14" spans="1:3" x14ac:dyDescent="0.25">
      <c r="A14" s="392"/>
      <c r="C14" s="393"/>
    </row>
  </sheetData>
  <mergeCells count="1">
    <mergeCell ref="A1:B1"/>
  </mergeCells>
  <printOptions horizontalCentered="1"/>
  <pageMargins left="0.70866141732283472" right="0.70866141732283472" top="1.5354330708661419" bottom="0.74803149606299213" header="0.31496062992125984" footer="0.31496062992125984"/>
  <pageSetup paperSize="9" orientation="portrait" r:id="rId1"/>
  <headerFooter>
    <oddHeader>&amp;C
&amp;"Times New Roman CE,Félkövér"
&amp;R&amp;"Times New Roman CE,Dőlt"&amp;10 25. melléklet
a 3/2016.(II.12.) önkormányzati rendelethez&amp;X20</oddHeader>
    <oddFooter>&amp;L&amp;X20&amp;XMódosította a 6/2017.(II.24.) önkormányzati rendelet 4.§ (18) bekezdése, hatályos 2017. február 24. 12 órától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K15" sqref="K15"/>
    </sheetView>
  </sheetViews>
  <sheetFormatPr defaultColWidth="8" defaultRowHeight="15.75" x14ac:dyDescent="0.25"/>
  <cols>
    <col min="1" max="1" width="45.75" style="376" customWidth="1"/>
    <col min="2" max="2" width="17.375" style="377" customWidth="1"/>
    <col min="3" max="16384" width="8" style="378"/>
  </cols>
  <sheetData>
    <row r="1" spans="1:2" ht="16.5" thickBot="1" x14ac:dyDescent="0.3"/>
    <row r="2" spans="1:2" ht="16.5" thickBot="1" x14ac:dyDescent="0.3">
      <c r="A2" s="379" t="s">
        <v>249</v>
      </c>
      <c r="B2" s="380" t="s">
        <v>469</v>
      </c>
    </row>
    <row r="3" spans="1:2" ht="31.5" x14ac:dyDescent="0.25">
      <c r="A3" s="381" t="s">
        <v>973</v>
      </c>
      <c r="B3" s="382">
        <v>29957</v>
      </c>
    </row>
    <row r="4" spans="1:2" ht="48" thickBot="1" x14ac:dyDescent="0.3">
      <c r="A4" s="383" t="s">
        <v>857</v>
      </c>
      <c r="B4" s="384">
        <v>30741</v>
      </c>
    </row>
    <row r="5" spans="1:2" ht="16.5" thickBot="1" x14ac:dyDescent="0.3">
      <c r="A5" s="385" t="s">
        <v>270</v>
      </c>
      <c r="B5" s="386">
        <f>SUM(B3:B4)</f>
        <v>60698</v>
      </c>
    </row>
    <row r="7" spans="1:2" ht="45.75" customHeight="1" x14ac:dyDescent="0.25">
      <c r="A7" s="1317" t="s">
        <v>972</v>
      </c>
      <c r="B7" s="1317"/>
    </row>
  </sheetData>
  <mergeCells count="1">
    <mergeCell ref="A7:B7"/>
  </mergeCells>
  <printOptions horizontalCentered="1"/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&amp;C 
&amp;"Times New Roman CE,Félkövér"Turisztikai Alap felosztása
(eFt-ban)&amp;R&amp;"Times New Roman CE,Félkövér"26. melléklet
&amp;11a 3/2016.(II.12.) önkormányzati rendelethez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opLeftCell="A3" zoomScaleNormal="100" workbookViewId="0">
      <selection activeCell="H12" sqref="H12"/>
    </sheetView>
  </sheetViews>
  <sheetFormatPr defaultRowHeight="15.75" x14ac:dyDescent="0.25"/>
  <cols>
    <col min="1" max="1" width="11.375" customWidth="1"/>
    <col min="2" max="2" width="46.25" customWidth="1"/>
    <col min="3" max="3" width="16.5" customWidth="1"/>
    <col min="4" max="4" width="16.75" customWidth="1"/>
    <col min="5" max="5" width="16.25" style="583" customWidth="1"/>
    <col min="6" max="6" width="18.5" style="583" customWidth="1"/>
    <col min="7" max="7" width="15.875" customWidth="1"/>
  </cols>
  <sheetData>
    <row r="1" spans="1:6" ht="51" customHeight="1" x14ac:dyDescent="0.25">
      <c r="A1" s="1325" t="s">
        <v>800</v>
      </c>
      <c r="B1" s="1325"/>
      <c r="C1" s="1325"/>
      <c r="D1" s="1325"/>
      <c r="E1" s="1325"/>
    </row>
    <row r="3" spans="1:6" ht="40.5" customHeight="1" x14ac:dyDescent="0.25">
      <c r="A3" s="1324" t="s">
        <v>788</v>
      </c>
      <c r="B3" s="1324"/>
      <c r="C3" s="1324"/>
      <c r="D3" s="1324"/>
      <c r="F3" s="584"/>
    </row>
    <row r="4" spans="1:6" ht="20.100000000000001" customHeight="1" x14ac:dyDescent="0.25">
      <c r="A4" s="585" t="s">
        <v>741</v>
      </c>
      <c r="B4" s="585" t="s">
        <v>742</v>
      </c>
      <c r="C4" s="586">
        <v>42278</v>
      </c>
      <c r="D4" s="586">
        <v>42644</v>
      </c>
    </row>
    <row r="5" spans="1:6" ht="20.100000000000001" customHeight="1" x14ac:dyDescent="0.25">
      <c r="A5" s="585" t="s">
        <v>318</v>
      </c>
      <c r="B5" s="585" t="s">
        <v>743</v>
      </c>
      <c r="C5" s="585">
        <v>51</v>
      </c>
      <c r="D5" s="585">
        <v>58</v>
      </c>
    </row>
    <row r="6" spans="1:6" ht="20.100000000000001" customHeight="1" x14ac:dyDescent="0.25">
      <c r="A6" s="585" t="s">
        <v>319</v>
      </c>
      <c r="B6" s="585" t="s">
        <v>744</v>
      </c>
      <c r="C6" s="585">
        <v>11</v>
      </c>
      <c r="D6" s="585">
        <v>10</v>
      </c>
    </row>
    <row r="7" spans="1:6" ht="20.100000000000001" customHeight="1" x14ac:dyDescent="0.25">
      <c r="A7" s="585" t="s">
        <v>745</v>
      </c>
      <c r="B7" s="585" t="s">
        <v>746</v>
      </c>
      <c r="C7" s="585">
        <f>C6+C5</f>
        <v>62</v>
      </c>
      <c r="D7" s="585">
        <f>+D6+D5</f>
        <v>68</v>
      </c>
    </row>
    <row r="8" spans="1:6" ht="20.100000000000001" customHeight="1" x14ac:dyDescent="0.25">
      <c r="A8" s="585" t="s">
        <v>326</v>
      </c>
      <c r="B8" s="585" t="s">
        <v>747</v>
      </c>
      <c r="C8" s="585">
        <v>721</v>
      </c>
      <c r="D8" s="585">
        <v>720</v>
      </c>
    </row>
    <row r="9" spans="1:6" ht="20.100000000000001" customHeight="1" x14ac:dyDescent="0.25">
      <c r="A9" s="585" t="s">
        <v>748</v>
      </c>
      <c r="B9" s="585" t="s">
        <v>749</v>
      </c>
      <c r="C9" s="587">
        <f>C7/C8</f>
        <v>8.5991678224687937E-2</v>
      </c>
      <c r="D9" s="587">
        <f>D7/D8</f>
        <v>9.4444444444444442E-2</v>
      </c>
    </row>
    <row r="10" spans="1:6" ht="20.100000000000001" customHeight="1" x14ac:dyDescent="0.25"/>
    <row r="11" spans="1:6" ht="59.25" customHeight="1" x14ac:dyDescent="0.25">
      <c r="A11" s="585"/>
      <c r="B11" s="585" t="s">
        <v>249</v>
      </c>
      <c r="C11" s="640" t="s">
        <v>797</v>
      </c>
      <c r="D11" s="640" t="s">
        <v>796</v>
      </c>
      <c r="E11" s="589" t="s">
        <v>750</v>
      </c>
      <c r="F11"/>
    </row>
    <row r="12" spans="1:6" s="591" customFormat="1" ht="47.25" x14ac:dyDescent="0.25">
      <c r="A12" s="588" t="s">
        <v>751</v>
      </c>
      <c r="B12" s="588" t="s">
        <v>790</v>
      </c>
      <c r="C12" s="232">
        <f>+C21</f>
        <v>9421334</v>
      </c>
      <c r="D12" s="232">
        <f>+D21</f>
        <v>4710666</v>
      </c>
      <c r="E12" s="590">
        <f>+D12+C12</f>
        <v>14132000</v>
      </c>
    </row>
    <row r="13" spans="1:6" s="592" customFormat="1" ht="31.5" x14ac:dyDescent="0.25">
      <c r="A13" s="588" t="s">
        <v>752</v>
      </c>
      <c r="B13" s="588" t="s">
        <v>791</v>
      </c>
      <c r="C13" s="232">
        <f>+C43</f>
        <v>150000</v>
      </c>
      <c r="D13" s="232">
        <f>+D43</f>
        <v>75000</v>
      </c>
      <c r="E13" s="590">
        <f>+D13+C13</f>
        <v>225000</v>
      </c>
    </row>
    <row r="14" spans="1:6" s="592" customFormat="1" x14ac:dyDescent="0.25">
      <c r="A14" s="588" t="s">
        <v>753</v>
      </c>
      <c r="B14" s="585" t="s">
        <v>789</v>
      </c>
      <c r="C14" s="232">
        <f>+C12-C13</f>
        <v>9271334</v>
      </c>
      <c r="D14" s="232">
        <f>+D12-D13</f>
        <v>4635666</v>
      </c>
      <c r="E14" s="590">
        <f>+D14+C14</f>
        <v>13907000</v>
      </c>
    </row>
    <row r="15" spans="1:6" s="592" customFormat="1" ht="31.5" x14ac:dyDescent="0.25">
      <c r="A15" s="588" t="s">
        <v>755</v>
      </c>
      <c r="B15" s="588" t="s">
        <v>856</v>
      </c>
      <c r="C15" s="232">
        <f>SUM(C14*C9)</f>
        <v>797257.57004160888</v>
      </c>
      <c r="D15" s="232">
        <f>SUM(D14*D9)</f>
        <v>437812.89999999997</v>
      </c>
      <c r="E15" s="590">
        <f>+D15+C15</f>
        <v>1235070.4700416089</v>
      </c>
      <c r="F15" s="583"/>
    </row>
    <row r="16" spans="1:6" s="592" customFormat="1" x14ac:dyDescent="0.25">
      <c r="A16" s="588" t="s">
        <v>0</v>
      </c>
      <c r="B16" s="1318" t="s">
        <v>1046</v>
      </c>
      <c r="C16" s="1319"/>
      <c r="D16" s="1320"/>
      <c r="E16" s="593">
        <v>121379</v>
      </c>
      <c r="F16" s="583"/>
    </row>
    <row r="17" spans="1:6" s="592" customFormat="1" ht="33" customHeight="1" x14ac:dyDescent="0.25">
      <c r="A17" s="588" t="s">
        <v>1</v>
      </c>
      <c r="B17" s="1321" t="s">
        <v>1047</v>
      </c>
      <c r="C17" s="1322"/>
      <c r="D17" s="1323"/>
      <c r="E17" s="590">
        <f>(E15-E16*2)/10</f>
        <v>99231.24700416089</v>
      </c>
      <c r="F17" s="583"/>
    </row>
    <row r="18" spans="1:6" s="592" customFormat="1" x14ac:dyDescent="0.25">
      <c r="A18" s="594"/>
      <c r="B18" s="594" t="s">
        <v>756</v>
      </c>
      <c r="C18" s="594"/>
      <c r="D18" s="594"/>
      <c r="E18" s="595"/>
      <c r="F18" s="583"/>
    </row>
    <row r="20" spans="1:6" s="592" customFormat="1" ht="47.25" x14ac:dyDescent="0.25">
      <c r="A20" s="585"/>
      <c r="B20" s="585" t="s">
        <v>250</v>
      </c>
      <c r="C20" s="640" t="s">
        <v>795</v>
      </c>
      <c r="D20" s="640" t="s">
        <v>796</v>
      </c>
      <c r="E20" s="589" t="s">
        <v>750</v>
      </c>
    </row>
    <row r="21" spans="1:6" s="592" customFormat="1" ht="105" x14ac:dyDescent="0.25">
      <c r="A21" s="596" t="s">
        <v>757</v>
      </c>
      <c r="B21" s="597" t="s">
        <v>792</v>
      </c>
      <c r="C21" s="598">
        <f>SUM(C22:C42)</f>
        <v>9421334</v>
      </c>
      <c r="D21" s="598">
        <f>SUM(D22:D42)</f>
        <v>4710666</v>
      </c>
      <c r="E21" s="598">
        <f>SUM(E22:E42)</f>
        <v>14132000</v>
      </c>
    </row>
    <row r="22" spans="1:6" s="602" customFormat="1" ht="30" x14ac:dyDescent="0.25">
      <c r="A22" s="599" t="s">
        <v>3</v>
      </c>
      <c r="B22" s="600" t="s">
        <v>758</v>
      </c>
      <c r="C22" s="601"/>
      <c r="D22" s="601"/>
      <c r="E22" s="604">
        <f t="shared" ref="E22:E42" si="0">+D22+C22</f>
        <v>0</v>
      </c>
    </row>
    <row r="23" spans="1:6" s="592" customFormat="1" ht="45" x14ac:dyDescent="0.25">
      <c r="A23" s="596" t="s">
        <v>7</v>
      </c>
      <c r="B23" s="603" t="s">
        <v>759</v>
      </c>
      <c r="C23" s="604"/>
      <c r="D23" s="604"/>
      <c r="E23" s="604">
        <f t="shared" si="0"/>
        <v>0</v>
      </c>
    </row>
    <row r="24" spans="1:6" s="592" customFormat="1" ht="75" x14ac:dyDescent="0.25">
      <c r="A24" s="596" t="s">
        <v>11</v>
      </c>
      <c r="B24" s="603" t="s">
        <v>760</v>
      </c>
      <c r="C24" s="604"/>
      <c r="D24" s="604"/>
      <c r="E24" s="604">
        <f t="shared" si="0"/>
        <v>0</v>
      </c>
    </row>
    <row r="25" spans="1:6" s="592" customFormat="1" ht="30" x14ac:dyDescent="0.25">
      <c r="A25" s="599" t="s">
        <v>15</v>
      </c>
      <c r="B25" s="600" t="s">
        <v>761</v>
      </c>
      <c r="C25" s="601">
        <v>406667</v>
      </c>
      <c r="D25" s="601">
        <v>203333</v>
      </c>
      <c r="E25" s="601">
        <f>SUM(C25:D25)</f>
        <v>610000</v>
      </c>
      <c r="F25" s="605"/>
    </row>
    <row r="26" spans="1:6" s="592" customFormat="1" ht="47.25" x14ac:dyDescent="0.25">
      <c r="A26" s="585"/>
      <c r="B26" s="585" t="s">
        <v>250</v>
      </c>
      <c r="C26" s="640" t="s">
        <v>795</v>
      </c>
      <c r="D26" s="640" t="s">
        <v>796</v>
      </c>
      <c r="E26" s="589" t="s">
        <v>750</v>
      </c>
    </row>
    <row r="27" spans="1:6" s="592" customFormat="1" ht="60" x14ac:dyDescent="0.25">
      <c r="A27" s="606" t="s">
        <v>18</v>
      </c>
      <c r="B27" s="607" t="s">
        <v>762</v>
      </c>
      <c r="C27" s="601">
        <v>66667</v>
      </c>
      <c r="D27" s="601">
        <v>33333</v>
      </c>
      <c r="E27" s="601">
        <f>SUM(C27:D27)</f>
        <v>100000</v>
      </c>
      <c r="F27" s="605"/>
    </row>
    <row r="28" spans="1:6" s="602" customFormat="1" ht="30" x14ac:dyDescent="0.25">
      <c r="A28" s="606" t="s">
        <v>22</v>
      </c>
      <c r="B28" s="607" t="s">
        <v>763</v>
      </c>
      <c r="C28" s="601"/>
      <c r="D28" s="601"/>
      <c r="E28" s="601">
        <f>SUM(C28:D28)</f>
        <v>0</v>
      </c>
      <c r="F28" s="608"/>
    </row>
    <row r="29" spans="1:6" s="592" customFormat="1" ht="15" x14ac:dyDescent="0.25">
      <c r="A29" s="609" t="s">
        <v>25</v>
      </c>
      <c r="B29" s="610" t="s">
        <v>764</v>
      </c>
      <c r="C29" s="611">
        <v>0</v>
      </c>
      <c r="D29" s="611">
        <v>0</v>
      </c>
      <c r="E29" s="611">
        <f t="shared" si="0"/>
        <v>0</v>
      </c>
      <c r="F29" s="605"/>
    </row>
    <row r="30" spans="1:6" s="592" customFormat="1" ht="15" x14ac:dyDescent="0.25">
      <c r="A30" s="609" t="s">
        <v>26</v>
      </c>
      <c r="B30" s="610" t="s">
        <v>765</v>
      </c>
      <c r="C30" s="611">
        <v>746667</v>
      </c>
      <c r="D30" s="611">
        <v>373333</v>
      </c>
      <c r="E30" s="611">
        <f t="shared" si="0"/>
        <v>1120000</v>
      </c>
      <c r="F30" s="605"/>
    </row>
    <row r="31" spans="1:6" s="592" customFormat="1" ht="15" x14ac:dyDescent="0.25">
      <c r="A31" s="609" t="s">
        <v>28</v>
      </c>
      <c r="B31" s="610" t="s">
        <v>766</v>
      </c>
      <c r="C31" s="611">
        <v>5568000</v>
      </c>
      <c r="D31" s="611">
        <v>2784000</v>
      </c>
      <c r="E31" s="611">
        <f t="shared" si="0"/>
        <v>8352000</v>
      </c>
      <c r="F31" s="605"/>
    </row>
    <row r="32" spans="1:6" s="592" customFormat="1" ht="15" x14ac:dyDescent="0.25">
      <c r="A32" s="609" t="s">
        <v>32</v>
      </c>
      <c r="B32" s="610" t="s">
        <v>767</v>
      </c>
      <c r="C32" s="611">
        <v>408000</v>
      </c>
      <c r="D32" s="611">
        <v>204000</v>
      </c>
      <c r="E32" s="611">
        <f t="shared" si="0"/>
        <v>612000</v>
      </c>
      <c r="F32" s="605"/>
    </row>
    <row r="33" spans="1:6" s="592" customFormat="1" ht="45" x14ac:dyDescent="0.25">
      <c r="A33" s="609" t="s">
        <v>33</v>
      </c>
      <c r="B33" s="610" t="s">
        <v>768</v>
      </c>
      <c r="C33" s="611">
        <v>666667</v>
      </c>
      <c r="D33" s="611">
        <v>333333</v>
      </c>
      <c r="E33" s="611">
        <f t="shared" si="0"/>
        <v>1000000</v>
      </c>
      <c r="F33" s="605"/>
    </row>
    <row r="34" spans="1:6" s="592" customFormat="1" ht="90" x14ac:dyDescent="0.25">
      <c r="A34" s="606" t="s">
        <v>36</v>
      </c>
      <c r="B34" s="607" t="s">
        <v>769</v>
      </c>
      <c r="C34" s="601">
        <v>1333333</v>
      </c>
      <c r="D34" s="601">
        <v>666667</v>
      </c>
      <c r="E34" s="601">
        <f t="shared" si="0"/>
        <v>2000000</v>
      </c>
      <c r="F34" s="605"/>
    </row>
    <row r="35" spans="1:6" s="591" customFormat="1" ht="60" x14ac:dyDescent="0.25">
      <c r="A35" s="596" t="s">
        <v>37</v>
      </c>
      <c r="B35" s="603" t="s">
        <v>770</v>
      </c>
      <c r="C35" s="611"/>
      <c r="D35" s="611"/>
      <c r="E35" s="611">
        <f t="shared" si="0"/>
        <v>0</v>
      </c>
      <c r="F35" s="612"/>
    </row>
    <row r="36" spans="1:6" s="592" customFormat="1" ht="60" x14ac:dyDescent="0.25">
      <c r="A36" s="596" t="s">
        <v>38</v>
      </c>
      <c r="B36" s="603" t="s">
        <v>771</v>
      </c>
      <c r="C36" s="604"/>
      <c r="D36" s="604"/>
      <c r="E36" s="611">
        <f t="shared" si="0"/>
        <v>0</v>
      </c>
    </row>
    <row r="37" spans="1:6" s="592" customFormat="1" ht="45" x14ac:dyDescent="0.25">
      <c r="A37" s="596" t="s">
        <v>41</v>
      </c>
      <c r="B37" s="603" t="s">
        <v>772</v>
      </c>
      <c r="C37" s="604"/>
      <c r="D37" s="604"/>
      <c r="E37" s="611">
        <f t="shared" si="0"/>
        <v>0</v>
      </c>
    </row>
    <row r="38" spans="1:6" s="592" customFormat="1" ht="75" x14ac:dyDescent="0.25">
      <c r="A38" s="596" t="s">
        <v>44</v>
      </c>
      <c r="B38" s="603" t="s">
        <v>773</v>
      </c>
      <c r="C38" s="604"/>
      <c r="D38" s="604"/>
      <c r="E38" s="611">
        <f t="shared" si="0"/>
        <v>0</v>
      </c>
    </row>
    <row r="39" spans="1:6" s="592" customFormat="1" ht="45" x14ac:dyDescent="0.25">
      <c r="A39" s="596" t="s">
        <v>48</v>
      </c>
      <c r="B39" s="603" t="s">
        <v>774</v>
      </c>
      <c r="C39" s="604"/>
      <c r="D39" s="604"/>
      <c r="E39" s="611">
        <f t="shared" si="0"/>
        <v>0</v>
      </c>
    </row>
    <row r="40" spans="1:6" s="592" customFormat="1" ht="45" x14ac:dyDescent="0.25">
      <c r="A40" s="599" t="s">
        <v>50</v>
      </c>
      <c r="B40" s="600" t="s">
        <v>775</v>
      </c>
      <c r="C40" s="601">
        <v>225333</v>
      </c>
      <c r="D40" s="601">
        <v>112667</v>
      </c>
      <c r="E40" s="601">
        <f t="shared" si="0"/>
        <v>338000</v>
      </c>
    </row>
    <row r="41" spans="1:6" ht="75" x14ac:dyDescent="0.25">
      <c r="A41" s="596" t="s">
        <v>52</v>
      </c>
      <c r="B41" s="603" t="s">
        <v>776</v>
      </c>
      <c r="C41" s="604"/>
      <c r="D41" s="604"/>
      <c r="E41" s="611">
        <f t="shared" si="0"/>
        <v>0</v>
      </c>
      <c r="F41"/>
    </row>
    <row r="42" spans="1:6" ht="30" x14ac:dyDescent="0.25">
      <c r="A42" s="596" t="s">
        <v>777</v>
      </c>
      <c r="B42" s="603" t="s">
        <v>778</v>
      </c>
      <c r="C42" s="604"/>
      <c r="D42" s="604"/>
      <c r="E42" s="611">
        <f t="shared" si="0"/>
        <v>0</v>
      </c>
      <c r="F42"/>
    </row>
    <row r="43" spans="1:6" ht="30" x14ac:dyDescent="0.25">
      <c r="A43" s="596" t="s">
        <v>779</v>
      </c>
      <c r="B43" s="596" t="s">
        <v>799</v>
      </c>
      <c r="C43" s="590">
        <f>SUM(C45:C48)</f>
        <v>150000</v>
      </c>
      <c r="D43" s="590">
        <f>SUM(D45:D48)</f>
        <v>75000</v>
      </c>
      <c r="E43" s="590">
        <f>SUM(E45:E48)</f>
        <v>225000</v>
      </c>
      <c r="F43"/>
    </row>
    <row r="44" spans="1:6" s="592" customFormat="1" ht="47.25" x14ac:dyDescent="0.25">
      <c r="A44" s="585"/>
      <c r="B44" s="585" t="s">
        <v>250</v>
      </c>
      <c r="C44" s="640" t="s">
        <v>795</v>
      </c>
      <c r="D44" s="640" t="s">
        <v>796</v>
      </c>
      <c r="E44" s="589" t="s">
        <v>750</v>
      </c>
    </row>
    <row r="45" spans="1:6" ht="105" x14ac:dyDescent="0.25">
      <c r="A45" s="596" t="s">
        <v>780</v>
      </c>
      <c r="B45" s="603" t="s">
        <v>781</v>
      </c>
      <c r="C45" s="604"/>
      <c r="D45" s="604"/>
      <c r="E45" s="232">
        <f>+D45+C45</f>
        <v>0</v>
      </c>
      <c r="F45"/>
    </row>
    <row r="46" spans="1:6" ht="30" x14ac:dyDescent="0.25">
      <c r="A46" s="596" t="s">
        <v>782</v>
      </c>
      <c r="B46" s="603" t="s">
        <v>783</v>
      </c>
      <c r="C46" s="604"/>
      <c r="D46" s="604"/>
      <c r="E46" s="232">
        <f>+D46+C46</f>
        <v>0</v>
      </c>
      <c r="F46"/>
    </row>
    <row r="47" spans="1:6" ht="81.75" customHeight="1" x14ac:dyDescent="0.25">
      <c r="A47" s="596" t="s">
        <v>784</v>
      </c>
      <c r="B47" s="603" t="s">
        <v>785</v>
      </c>
      <c r="C47" s="604">
        <v>150000</v>
      </c>
      <c r="D47" s="604">
        <v>75000</v>
      </c>
      <c r="E47" s="232">
        <f>+D47+C47</f>
        <v>225000</v>
      </c>
      <c r="F47"/>
    </row>
    <row r="48" spans="1:6" ht="75" x14ac:dyDescent="0.25">
      <c r="A48" s="596" t="s">
        <v>786</v>
      </c>
      <c r="B48" s="603" t="s">
        <v>787</v>
      </c>
      <c r="C48" s="604"/>
      <c r="D48" s="604"/>
      <c r="E48" s="232">
        <f>+D48+C48</f>
        <v>0</v>
      </c>
      <c r="F48"/>
    </row>
    <row r="50" spans="1:5" x14ac:dyDescent="0.25">
      <c r="A50" s="613"/>
      <c r="B50" s="613"/>
    </row>
    <row r="53" spans="1:5" x14ac:dyDescent="0.25">
      <c r="C53" s="614"/>
      <c r="D53" s="592"/>
      <c r="E53" s="615"/>
    </row>
  </sheetData>
  <mergeCells count="4">
    <mergeCell ref="B16:D16"/>
    <mergeCell ref="B17:D17"/>
    <mergeCell ref="A3:D3"/>
    <mergeCell ref="A1:E1"/>
  </mergeCells>
  <pageMargins left="0.51181102362204722" right="0.51181102362204722" top="0.74803149606299213" bottom="0.74803149606299213" header="0.31496062992125984" footer="0.31496062992125984"/>
  <pageSetup paperSize="9" scale="78" orientation="portrait" r:id="rId1"/>
  <headerFooter>
    <oddHeader>&amp;R&amp;"Times New Roman CE,Félkövér"27. melléklet
a 3/2016.(II.12.)  önkormányzati rendelethez</oddHeader>
    <oddFooter>&amp;C&amp;P</oddFooter>
  </headerFooter>
  <rowBreaks count="2" manualBreakCount="2">
    <brk id="25" max="4" man="1"/>
    <brk id="43" max="4" man="1"/>
  </rowBreaks>
  <colBreaks count="1" manualBreakCount="1">
    <brk id="5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zoomScaleNormal="100" workbookViewId="0">
      <selection activeCell="F10" sqref="F10"/>
    </sheetView>
  </sheetViews>
  <sheetFormatPr defaultRowHeight="15.75" x14ac:dyDescent="0.25"/>
  <cols>
    <col min="1" max="1" width="11.375" customWidth="1"/>
    <col min="2" max="2" width="43.5" customWidth="1"/>
    <col min="3" max="3" width="17.625" customWidth="1"/>
    <col min="4" max="4" width="15" customWidth="1"/>
    <col min="5" max="5" width="16.75" style="583" customWidth="1"/>
    <col min="6" max="6" width="18.5" style="583" customWidth="1"/>
    <col min="7" max="7" width="15.875" customWidth="1"/>
  </cols>
  <sheetData>
    <row r="1" spans="1:6" ht="48.75" customHeight="1" x14ac:dyDescent="0.25">
      <c r="A1" s="1325" t="s">
        <v>800</v>
      </c>
      <c r="B1" s="1325"/>
      <c r="C1" s="1325"/>
      <c r="D1" s="1325"/>
      <c r="E1" s="1325"/>
    </row>
    <row r="3" spans="1:6" ht="40.5" customHeight="1" x14ac:dyDescent="0.25">
      <c r="A3" s="616" t="s">
        <v>793</v>
      </c>
      <c r="B3" s="616"/>
      <c r="F3" s="584"/>
    </row>
    <row r="4" spans="1:6" ht="20.100000000000001" customHeight="1" x14ac:dyDescent="0.25">
      <c r="A4" s="585" t="s">
        <v>741</v>
      </c>
      <c r="B4" s="585" t="s">
        <v>742</v>
      </c>
      <c r="C4" s="586">
        <v>42278</v>
      </c>
      <c r="D4" s="586">
        <v>42644</v>
      </c>
    </row>
    <row r="5" spans="1:6" ht="20.100000000000001" customHeight="1" x14ac:dyDescent="0.25">
      <c r="A5" s="585" t="s">
        <v>318</v>
      </c>
      <c r="B5" s="585" t="s">
        <v>743</v>
      </c>
      <c r="C5" s="585">
        <v>106</v>
      </c>
      <c r="D5" s="585">
        <v>109</v>
      </c>
    </row>
    <row r="6" spans="1:6" ht="20.100000000000001" customHeight="1" x14ac:dyDescent="0.25">
      <c r="A6" s="585" t="s">
        <v>319</v>
      </c>
      <c r="B6" s="585" t="s">
        <v>744</v>
      </c>
      <c r="C6" s="585">
        <v>16</v>
      </c>
      <c r="D6" s="585">
        <v>30</v>
      </c>
    </row>
    <row r="7" spans="1:6" ht="20.100000000000001" customHeight="1" x14ac:dyDescent="0.25">
      <c r="A7" s="585" t="s">
        <v>745</v>
      </c>
      <c r="B7" s="585" t="s">
        <v>746</v>
      </c>
      <c r="C7" s="585">
        <f>+C6+C5</f>
        <v>122</v>
      </c>
      <c r="D7" s="585">
        <f>+D6+D5</f>
        <v>139</v>
      </c>
    </row>
    <row r="8" spans="1:6" ht="20.100000000000001" customHeight="1" x14ac:dyDescent="0.25">
      <c r="A8" s="585" t="s">
        <v>326</v>
      </c>
      <c r="B8" s="585" t="s">
        <v>747</v>
      </c>
      <c r="C8" s="585">
        <v>752</v>
      </c>
      <c r="D8" s="585">
        <v>784</v>
      </c>
    </row>
    <row r="9" spans="1:6" ht="20.100000000000001" customHeight="1" x14ac:dyDescent="0.25">
      <c r="A9" s="585" t="s">
        <v>748</v>
      </c>
      <c r="B9" s="585" t="s">
        <v>749</v>
      </c>
      <c r="C9" s="617">
        <f>SUM(C7/C8)</f>
        <v>0.16223404255319149</v>
      </c>
      <c r="D9" s="617">
        <f>SUM(D7/D8)</f>
        <v>0.17729591836734693</v>
      </c>
    </row>
    <row r="10" spans="1:6" ht="20.100000000000001" customHeight="1" x14ac:dyDescent="0.25"/>
    <row r="11" spans="1:6" ht="59.25" customHeight="1" x14ac:dyDescent="0.25">
      <c r="A11" s="618"/>
      <c r="B11" s="618" t="s">
        <v>249</v>
      </c>
      <c r="C11" s="619" t="s">
        <v>795</v>
      </c>
      <c r="D11" s="619" t="s">
        <v>796</v>
      </c>
      <c r="E11" s="620" t="s">
        <v>750</v>
      </c>
      <c r="F11"/>
    </row>
    <row r="12" spans="1:6" s="591" customFormat="1" ht="47.25" x14ac:dyDescent="0.25">
      <c r="A12" s="621" t="s">
        <v>751</v>
      </c>
      <c r="B12" s="622" t="s">
        <v>790</v>
      </c>
      <c r="C12" s="623">
        <f>C21</f>
        <v>21476667</v>
      </c>
      <c r="D12" s="623">
        <f>D21</f>
        <v>10738333</v>
      </c>
      <c r="E12" s="949">
        <f>+D12+C12</f>
        <v>32215000</v>
      </c>
    </row>
    <row r="13" spans="1:6" s="592" customFormat="1" ht="31.5" x14ac:dyDescent="0.25">
      <c r="A13" s="588" t="s">
        <v>752</v>
      </c>
      <c r="B13" s="624" t="s">
        <v>791</v>
      </c>
      <c r="C13" s="232">
        <f>+C43</f>
        <v>2600000</v>
      </c>
      <c r="D13" s="232">
        <f>+D43</f>
        <v>1300000</v>
      </c>
      <c r="E13" s="590">
        <f>+D13+C13</f>
        <v>3900000</v>
      </c>
    </row>
    <row r="14" spans="1:6" s="592" customFormat="1" x14ac:dyDescent="0.25">
      <c r="A14" s="588" t="s">
        <v>753</v>
      </c>
      <c r="B14" s="625" t="s">
        <v>754</v>
      </c>
      <c r="C14" s="232">
        <f>+C12-C13</f>
        <v>18876667</v>
      </c>
      <c r="D14" s="232">
        <f>+D12-D13</f>
        <v>9438333</v>
      </c>
      <c r="E14" s="590">
        <f>+D14+C14</f>
        <v>28315000</v>
      </c>
    </row>
    <row r="15" spans="1:6" s="592" customFormat="1" ht="31.5" x14ac:dyDescent="0.25">
      <c r="A15" s="588" t="s">
        <v>755</v>
      </c>
      <c r="B15" s="624" t="s">
        <v>856</v>
      </c>
      <c r="C15" s="232">
        <f>+C14*C9</f>
        <v>3062437.9973404254</v>
      </c>
      <c r="D15" s="232">
        <f>+D14*D9</f>
        <v>1673377.9170918367</v>
      </c>
      <c r="E15" s="590">
        <f>+D15+C15</f>
        <v>4735815.9144322621</v>
      </c>
      <c r="F15" s="583"/>
    </row>
    <row r="16" spans="1:6" s="592" customFormat="1" x14ac:dyDescent="0.25">
      <c r="A16" s="626" t="s">
        <v>0</v>
      </c>
      <c r="B16" s="1326" t="s">
        <v>1046</v>
      </c>
      <c r="C16" s="1327"/>
      <c r="D16" s="1328"/>
      <c r="E16" s="593">
        <v>386756</v>
      </c>
      <c r="F16" s="583"/>
    </row>
    <row r="17" spans="1:6" s="592" customFormat="1" ht="33" customHeight="1" x14ac:dyDescent="0.25">
      <c r="A17" s="588" t="s">
        <v>1</v>
      </c>
      <c r="B17" s="1321" t="s">
        <v>1047</v>
      </c>
      <c r="C17" s="1322"/>
      <c r="D17" s="1323"/>
      <c r="E17" s="590">
        <f>(E15-E16*2)/10</f>
        <v>396230.3914432262</v>
      </c>
      <c r="F17" s="583"/>
    </row>
    <row r="18" spans="1:6" s="592" customFormat="1" x14ac:dyDescent="0.25">
      <c r="A18" s="594"/>
      <c r="B18" s="594"/>
      <c r="C18" s="594"/>
      <c r="D18" s="594"/>
      <c r="E18" s="595"/>
      <c r="F18" s="583"/>
    </row>
    <row r="20" spans="1:6" s="592" customFormat="1" ht="47.25" x14ac:dyDescent="0.25">
      <c r="A20" s="618"/>
      <c r="B20" s="618" t="s">
        <v>250</v>
      </c>
      <c r="C20" s="619" t="s">
        <v>795</v>
      </c>
      <c r="D20" s="619" t="s">
        <v>794</v>
      </c>
      <c r="E20" s="620" t="s">
        <v>750</v>
      </c>
    </row>
    <row r="21" spans="1:6" s="592" customFormat="1" ht="105" x14ac:dyDescent="0.25">
      <c r="A21" s="606" t="s">
        <v>757</v>
      </c>
      <c r="B21" s="606" t="s">
        <v>792</v>
      </c>
      <c r="C21" s="627">
        <f>SUM(C22:C42)</f>
        <v>21476667</v>
      </c>
      <c r="D21" s="627">
        <f>SUM(D22:D42)</f>
        <v>10738333</v>
      </c>
      <c r="E21" s="950">
        <f>SUM(E22:E42)</f>
        <v>32215000</v>
      </c>
      <c r="F21" s="605"/>
    </row>
    <row r="22" spans="1:6" s="592" customFormat="1" ht="30" x14ac:dyDescent="0.25">
      <c r="A22" s="628" t="s">
        <v>3</v>
      </c>
      <c r="B22" s="629" t="s">
        <v>758</v>
      </c>
      <c r="C22" s="630"/>
      <c r="D22" s="630"/>
      <c r="E22" s="633">
        <f t="shared" ref="E22:E25" si="0">+D22+C22</f>
        <v>0</v>
      </c>
      <c r="F22" s="605"/>
    </row>
    <row r="23" spans="1:6" s="592" customFormat="1" ht="45" x14ac:dyDescent="0.25">
      <c r="A23" s="597" t="s">
        <v>7</v>
      </c>
      <c r="B23" s="632" t="s">
        <v>759</v>
      </c>
      <c r="C23" s="633">
        <v>0</v>
      </c>
      <c r="D23" s="633">
        <v>0</v>
      </c>
      <c r="E23" s="633">
        <f t="shared" si="0"/>
        <v>0</v>
      </c>
      <c r="F23" s="605"/>
    </row>
    <row r="24" spans="1:6" s="592" customFormat="1" ht="75" x14ac:dyDescent="0.25">
      <c r="A24" s="597" t="s">
        <v>11</v>
      </c>
      <c r="B24" s="632" t="s">
        <v>760</v>
      </c>
      <c r="C24" s="633">
        <v>0</v>
      </c>
      <c r="D24" s="633">
        <v>0</v>
      </c>
      <c r="E24" s="633">
        <f t="shared" si="0"/>
        <v>0</v>
      </c>
      <c r="F24" s="605"/>
    </row>
    <row r="25" spans="1:6" s="592" customFormat="1" ht="30" x14ac:dyDescent="0.25">
      <c r="A25" s="634" t="s">
        <v>15</v>
      </c>
      <c r="B25" s="635" t="s">
        <v>761</v>
      </c>
      <c r="C25" s="630">
        <v>1386667</v>
      </c>
      <c r="D25" s="630">
        <v>693333</v>
      </c>
      <c r="E25" s="633">
        <f t="shared" si="0"/>
        <v>2080000</v>
      </c>
      <c r="F25" s="605"/>
    </row>
    <row r="26" spans="1:6" s="592" customFormat="1" ht="47.25" x14ac:dyDescent="0.25">
      <c r="A26" s="618"/>
      <c r="B26" s="618" t="s">
        <v>250</v>
      </c>
      <c r="C26" s="619" t="s">
        <v>795</v>
      </c>
      <c r="D26" s="619" t="s">
        <v>794</v>
      </c>
      <c r="E26" s="620" t="s">
        <v>750</v>
      </c>
    </row>
    <row r="27" spans="1:6" s="592" customFormat="1" ht="75" x14ac:dyDescent="0.25">
      <c r="A27" s="636" t="s">
        <v>18</v>
      </c>
      <c r="B27" s="637" t="s">
        <v>762</v>
      </c>
      <c r="C27" s="631">
        <v>66667</v>
      </c>
      <c r="D27" s="631">
        <v>33333</v>
      </c>
      <c r="E27" s="631">
        <f>SUM(C27:D27)</f>
        <v>100000</v>
      </c>
      <c r="F27" s="605"/>
    </row>
    <row r="28" spans="1:6" s="602" customFormat="1" ht="30" x14ac:dyDescent="0.25">
      <c r="A28" s="634" t="s">
        <v>22</v>
      </c>
      <c r="B28" s="635" t="s">
        <v>763</v>
      </c>
      <c r="C28" s="630">
        <v>1600000</v>
      </c>
      <c r="D28" s="630">
        <v>800000</v>
      </c>
      <c r="E28" s="631">
        <f t="shared" ref="E28:E42" si="1">SUM(C28:D28)</f>
        <v>2400000</v>
      </c>
      <c r="F28" s="608"/>
    </row>
    <row r="29" spans="1:6" s="592" customFormat="1" ht="15" x14ac:dyDescent="0.25">
      <c r="A29" s="628" t="s">
        <v>25</v>
      </c>
      <c r="B29" s="629" t="s">
        <v>764</v>
      </c>
      <c r="C29" s="638">
        <v>476667</v>
      </c>
      <c r="D29" s="638">
        <v>238333</v>
      </c>
      <c r="E29" s="631">
        <f t="shared" si="1"/>
        <v>715000</v>
      </c>
      <c r="F29" s="605"/>
    </row>
    <row r="30" spans="1:6" s="592" customFormat="1" ht="15" x14ac:dyDescent="0.25">
      <c r="A30" s="628" t="s">
        <v>26</v>
      </c>
      <c r="B30" s="629" t="s">
        <v>765</v>
      </c>
      <c r="C30" s="638">
        <v>3017333</v>
      </c>
      <c r="D30" s="638">
        <v>1508667</v>
      </c>
      <c r="E30" s="631">
        <f t="shared" si="1"/>
        <v>4526000</v>
      </c>
      <c r="F30" s="605"/>
    </row>
    <row r="31" spans="1:6" s="592" customFormat="1" ht="15" x14ac:dyDescent="0.25">
      <c r="A31" s="628" t="s">
        <v>28</v>
      </c>
      <c r="B31" s="629" t="s">
        <v>766</v>
      </c>
      <c r="C31" s="638">
        <v>11590000</v>
      </c>
      <c r="D31" s="638">
        <v>5795000</v>
      </c>
      <c r="E31" s="631">
        <f t="shared" si="1"/>
        <v>17385000</v>
      </c>
      <c r="F31" s="605"/>
    </row>
    <row r="32" spans="1:6" s="592" customFormat="1" ht="15" x14ac:dyDescent="0.25">
      <c r="A32" s="628" t="s">
        <v>32</v>
      </c>
      <c r="B32" s="629" t="s">
        <v>767</v>
      </c>
      <c r="C32" s="638">
        <v>793333</v>
      </c>
      <c r="D32" s="638">
        <v>396667</v>
      </c>
      <c r="E32" s="631">
        <f t="shared" si="1"/>
        <v>1190000</v>
      </c>
      <c r="F32" s="605"/>
    </row>
    <row r="33" spans="1:6" s="592" customFormat="1" ht="45" x14ac:dyDescent="0.25">
      <c r="A33" s="634" t="s">
        <v>33</v>
      </c>
      <c r="B33" s="635" t="s">
        <v>768</v>
      </c>
      <c r="C33" s="630">
        <v>666667</v>
      </c>
      <c r="D33" s="630">
        <v>333333</v>
      </c>
      <c r="E33" s="631">
        <f t="shared" si="1"/>
        <v>1000000</v>
      </c>
      <c r="F33" s="605"/>
    </row>
    <row r="34" spans="1:6" s="592" customFormat="1" ht="90" x14ac:dyDescent="0.25">
      <c r="A34" s="634" t="s">
        <v>36</v>
      </c>
      <c r="B34" s="635" t="s">
        <v>769</v>
      </c>
      <c r="C34" s="630">
        <v>1333333</v>
      </c>
      <c r="D34" s="630">
        <v>666667</v>
      </c>
      <c r="E34" s="631">
        <f t="shared" si="1"/>
        <v>2000000</v>
      </c>
      <c r="F34" s="605"/>
    </row>
    <row r="35" spans="1:6" s="591" customFormat="1" ht="60" x14ac:dyDescent="0.25">
      <c r="A35" s="628" t="s">
        <v>37</v>
      </c>
      <c r="B35" s="629" t="s">
        <v>770</v>
      </c>
      <c r="C35" s="638"/>
      <c r="D35" s="638"/>
      <c r="E35" s="631">
        <f t="shared" si="1"/>
        <v>0</v>
      </c>
    </row>
    <row r="36" spans="1:6" s="592" customFormat="1" ht="60" x14ac:dyDescent="0.25">
      <c r="A36" s="628" t="s">
        <v>38</v>
      </c>
      <c r="B36" s="629" t="s">
        <v>771</v>
      </c>
      <c r="C36" s="638"/>
      <c r="D36" s="638"/>
      <c r="E36" s="631">
        <f t="shared" si="1"/>
        <v>0</v>
      </c>
    </row>
    <row r="37" spans="1:6" s="592" customFormat="1" ht="45" x14ac:dyDescent="0.25">
      <c r="A37" s="628" t="s">
        <v>41</v>
      </c>
      <c r="B37" s="629" t="s">
        <v>772</v>
      </c>
      <c r="C37" s="638"/>
      <c r="D37" s="638"/>
      <c r="E37" s="631">
        <f t="shared" si="1"/>
        <v>0</v>
      </c>
    </row>
    <row r="38" spans="1:6" s="592" customFormat="1" ht="75" x14ac:dyDescent="0.25">
      <c r="A38" s="628" t="s">
        <v>44</v>
      </c>
      <c r="B38" s="629" t="s">
        <v>773</v>
      </c>
      <c r="C38" s="638"/>
      <c r="D38" s="638"/>
      <c r="E38" s="631">
        <f t="shared" si="1"/>
        <v>0</v>
      </c>
    </row>
    <row r="39" spans="1:6" s="592" customFormat="1" ht="45" x14ac:dyDescent="0.25">
      <c r="A39" s="628" t="s">
        <v>48</v>
      </c>
      <c r="B39" s="629" t="s">
        <v>774</v>
      </c>
      <c r="C39" s="638"/>
      <c r="D39" s="638"/>
      <c r="E39" s="631">
        <f t="shared" si="1"/>
        <v>0</v>
      </c>
    </row>
    <row r="40" spans="1:6" s="592" customFormat="1" ht="45" x14ac:dyDescent="0.25">
      <c r="A40" s="634" t="s">
        <v>50</v>
      </c>
      <c r="B40" s="635" t="s">
        <v>775</v>
      </c>
      <c r="C40" s="630">
        <v>546000</v>
      </c>
      <c r="D40" s="630">
        <v>273000</v>
      </c>
      <c r="E40" s="631">
        <f t="shared" si="1"/>
        <v>819000</v>
      </c>
    </row>
    <row r="41" spans="1:6" ht="75" x14ac:dyDescent="0.25">
      <c r="A41" s="628" t="s">
        <v>52</v>
      </c>
      <c r="B41" s="629" t="s">
        <v>776</v>
      </c>
      <c r="C41" s="638"/>
      <c r="D41" s="638"/>
      <c r="E41" s="631">
        <f t="shared" si="1"/>
        <v>0</v>
      </c>
      <c r="F41"/>
    </row>
    <row r="42" spans="1:6" ht="30" x14ac:dyDescent="0.25">
      <c r="A42" s="628" t="s">
        <v>777</v>
      </c>
      <c r="B42" s="629" t="s">
        <v>778</v>
      </c>
      <c r="C42" s="638"/>
      <c r="D42" s="638"/>
      <c r="E42" s="631">
        <f t="shared" si="1"/>
        <v>0</v>
      </c>
      <c r="F42"/>
    </row>
    <row r="43" spans="1:6" ht="30" x14ac:dyDescent="0.25">
      <c r="A43" s="628" t="s">
        <v>779</v>
      </c>
      <c r="B43" s="628" t="s">
        <v>798</v>
      </c>
      <c r="C43" s="639">
        <f>SUM(C45:C48)</f>
        <v>2600000</v>
      </c>
      <c r="D43" s="639">
        <f>SUM(D45:D48)</f>
        <v>1300000</v>
      </c>
      <c r="E43" s="639">
        <f>SUM(E45:E48)</f>
        <v>3900000</v>
      </c>
      <c r="F43"/>
    </row>
    <row r="44" spans="1:6" s="592" customFormat="1" ht="47.25" x14ac:dyDescent="0.25">
      <c r="A44" s="618"/>
      <c r="B44" s="618" t="s">
        <v>250</v>
      </c>
      <c r="C44" s="619" t="s">
        <v>795</v>
      </c>
      <c r="D44" s="619" t="s">
        <v>794</v>
      </c>
      <c r="E44" s="620" t="s">
        <v>750</v>
      </c>
    </row>
    <row r="45" spans="1:6" ht="105" x14ac:dyDescent="0.25">
      <c r="A45" s="628" t="s">
        <v>780</v>
      </c>
      <c r="B45" s="629" t="s">
        <v>781</v>
      </c>
      <c r="C45" s="638"/>
      <c r="D45" s="638"/>
      <c r="E45" s="243">
        <f>+D45+C45</f>
        <v>0</v>
      </c>
      <c r="F45"/>
    </row>
    <row r="46" spans="1:6" ht="30" x14ac:dyDescent="0.25">
      <c r="A46" s="628" t="s">
        <v>782</v>
      </c>
      <c r="B46" s="629" t="s">
        <v>783</v>
      </c>
      <c r="C46" s="638"/>
      <c r="D46" s="638"/>
      <c r="E46" s="243">
        <f>+D46+C46</f>
        <v>0</v>
      </c>
      <c r="F46"/>
    </row>
    <row r="47" spans="1:6" ht="81.75" customHeight="1" x14ac:dyDescent="0.25">
      <c r="A47" s="628" t="s">
        <v>784</v>
      </c>
      <c r="B47" s="629" t="s">
        <v>785</v>
      </c>
      <c r="C47" s="638">
        <v>2600000</v>
      </c>
      <c r="D47" s="638">
        <v>1300000</v>
      </c>
      <c r="E47" s="243">
        <f>+D47+C47</f>
        <v>3900000</v>
      </c>
      <c r="F47"/>
    </row>
    <row r="48" spans="1:6" ht="75" x14ac:dyDescent="0.25">
      <c r="A48" s="628" t="s">
        <v>786</v>
      </c>
      <c r="B48" s="629" t="s">
        <v>787</v>
      </c>
      <c r="C48" s="638"/>
      <c r="D48" s="638"/>
      <c r="E48" s="243">
        <f>+D48+C48</f>
        <v>0</v>
      </c>
      <c r="F48"/>
    </row>
    <row r="50" spans="2:5" x14ac:dyDescent="0.25">
      <c r="B50" s="613"/>
    </row>
    <row r="53" spans="2:5" x14ac:dyDescent="0.25">
      <c r="C53" s="614"/>
      <c r="D53" s="592"/>
      <c r="E53" s="615"/>
    </row>
    <row r="54" spans="2:5" x14ac:dyDescent="0.25">
      <c r="C54" s="592"/>
      <c r="D54" s="592"/>
      <c r="E54" s="615"/>
    </row>
  </sheetData>
  <mergeCells count="3">
    <mergeCell ref="A1:E1"/>
    <mergeCell ref="B16:D16"/>
    <mergeCell ref="B17:D17"/>
  </mergeCells>
  <pageMargins left="0.70866141732283472" right="0.70866141732283472" top="0.94488188976377963" bottom="0.74803149606299213" header="0.31496062992125984" footer="0.31496062992125984"/>
  <pageSetup paperSize="9" scale="78" orientation="portrait" r:id="rId1"/>
  <headerFooter>
    <oddHeader>&amp;R&amp;"Times New Roman CE,Félkövér" &amp;"Times New Roman CE,Dőlt"28. melléklet
a 3/2016.(II.12.) önkormányzati rendelethez&amp;X21</oddHeader>
    <oddFooter>&amp;L&amp;X21&amp;XMódosította a 10/2016.(III.18.) önkormányzati rendelet 3.§ (14) bekezdése, 
hatályos 2016. március 21-től&amp;C&amp;P</oddFooter>
  </headerFooter>
  <rowBreaks count="2" manualBreakCount="2">
    <brk id="25" max="4" man="1"/>
    <brk id="43" max="4" man="1"/>
  </rowBreaks>
  <colBreaks count="1" manualBreakCount="1">
    <brk id="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954"/>
  <sheetViews>
    <sheetView zoomScaleNormal="100" workbookViewId="0">
      <selection activeCell="AH33" sqref="AH33"/>
    </sheetView>
  </sheetViews>
  <sheetFormatPr defaultColWidth="9.25" defaultRowHeight="15.75" x14ac:dyDescent="0.25"/>
  <cols>
    <col min="1" max="1" width="37.5" style="168" customWidth="1"/>
    <col min="2" max="2" width="11.625" style="168" customWidth="1"/>
    <col min="3" max="3" width="15" style="102" customWidth="1"/>
    <col min="4" max="4" width="14.5" style="102" customWidth="1"/>
    <col min="5" max="5" width="15.25" style="102" customWidth="1"/>
    <col min="6" max="6" width="14.25" style="102" customWidth="1"/>
    <col min="7" max="7" width="14.5" style="102" customWidth="1"/>
    <col min="8" max="8" width="14.75" style="102" customWidth="1"/>
    <col min="9" max="11" width="14.875" style="102" customWidth="1"/>
    <col min="12" max="16384" width="9.25" style="102"/>
  </cols>
  <sheetData>
    <row r="1" spans="1:256" customFormat="1" x14ac:dyDescent="0.25">
      <c r="A1" s="1239" t="s">
        <v>417</v>
      </c>
      <c r="B1" s="1239"/>
      <c r="C1" s="1239"/>
      <c r="D1" s="1239"/>
      <c r="E1" s="1239"/>
      <c r="F1" s="1239"/>
      <c r="G1" s="1239"/>
      <c r="H1" s="1239"/>
      <c r="I1" s="1239"/>
      <c r="J1" s="1239"/>
      <c r="K1" s="1239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  <c r="AI1" s="186"/>
      <c r="AJ1" s="186"/>
      <c r="AK1" s="186"/>
      <c r="AL1" s="186"/>
      <c r="AM1" s="186"/>
      <c r="AN1" s="186"/>
      <c r="AO1" s="186"/>
      <c r="AP1" s="186"/>
      <c r="AQ1" s="186"/>
      <c r="AR1" s="186"/>
      <c r="AS1" s="186"/>
      <c r="AT1" s="186"/>
      <c r="AU1" s="186"/>
      <c r="AV1" s="186"/>
      <c r="AW1" s="186"/>
      <c r="AX1" s="186"/>
      <c r="AY1" s="186"/>
      <c r="AZ1" s="186"/>
      <c r="BA1" s="186"/>
      <c r="BB1" s="186"/>
      <c r="BC1" s="186"/>
      <c r="BD1" s="186"/>
      <c r="BE1" s="186"/>
      <c r="BF1" s="186"/>
      <c r="BG1" s="186"/>
      <c r="BH1" s="186"/>
      <c r="BI1" s="186"/>
      <c r="BJ1" s="186"/>
      <c r="BK1" s="186"/>
      <c r="BL1" s="186"/>
      <c r="BM1" s="186"/>
      <c r="BN1" s="186"/>
      <c r="BO1" s="186"/>
      <c r="BP1" s="186"/>
      <c r="BQ1" s="186"/>
      <c r="BR1" s="186"/>
      <c r="BS1" s="186"/>
      <c r="BT1" s="186"/>
      <c r="BU1" s="186"/>
      <c r="BV1" s="186"/>
      <c r="BW1" s="186"/>
      <c r="BX1" s="186"/>
      <c r="BY1" s="186"/>
      <c r="BZ1" s="186"/>
      <c r="CA1" s="186"/>
      <c r="CB1" s="186"/>
      <c r="CC1" s="186"/>
      <c r="CD1" s="186"/>
      <c r="CE1" s="186"/>
      <c r="CF1" s="186"/>
      <c r="CG1" s="186"/>
      <c r="CH1" s="186"/>
      <c r="CI1" s="186"/>
      <c r="CJ1" s="186"/>
      <c r="CK1" s="186"/>
      <c r="CL1" s="186"/>
      <c r="CM1" s="186"/>
      <c r="CN1" s="186"/>
      <c r="CO1" s="186"/>
      <c r="CP1" s="186"/>
      <c r="CQ1" s="186"/>
      <c r="CR1" s="186"/>
      <c r="CS1" s="186"/>
      <c r="CT1" s="186"/>
      <c r="CU1" s="186"/>
      <c r="CV1" s="186"/>
      <c r="CW1" s="186"/>
      <c r="CX1" s="186"/>
      <c r="CY1" s="186"/>
      <c r="CZ1" s="186"/>
      <c r="DA1" s="186"/>
      <c r="DB1" s="186"/>
      <c r="DC1" s="186"/>
      <c r="DD1" s="186"/>
      <c r="DE1" s="186"/>
      <c r="DF1" s="186"/>
      <c r="DG1" s="186"/>
      <c r="DH1" s="186"/>
      <c r="DI1" s="186"/>
      <c r="DJ1" s="186"/>
      <c r="DK1" s="186"/>
      <c r="DL1" s="186"/>
      <c r="DM1" s="186"/>
      <c r="DN1" s="186"/>
      <c r="DO1" s="186"/>
      <c r="DP1" s="186"/>
      <c r="DQ1" s="186"/>
      <c r="DR1" s="186"/>
      <c r="DS1" s="186"/>
      <c r="DT1" s="186"/>
      <c r="DU1" s="186"/>
      <c r="DV1" s="186"/>
      <c r="DW1" s="186"/>
      <c r="DX1" s="186"/>
      <c r="DY1" s="186"/>
      <c r="DZ1" s="186"/>
      <c r="EA1" s="186"/>
      <c r="EB1" s="186"/>
      <c r="EC1" s="186"/>
      <c r="ED1" s="186"/>
      <c r="EE1" s="186"/>
      <c r="EF1" s="186"/>
      <c r="EG1" s="186"/>
      <c r="EH1" s="186"/>
      <c r="EI1" s="186"/>
      <c r="EJ1" s="186"/>
      <c r="EK1" s="186"/>
      <c r="EL1" s="186"/>
      <c r="EM1" s="186"/>
      <c r="EN1" s="186"/>
      <c r="EO1" s="186"/>
      <c r="EP1" s="186"/>
      <c r="EQ1" s="186"/>
      <c r="ER1" s="186"/>
      <c r="ES1" s="186"/>
      <c r="ET1" s="186"/>
      <c r="EU1" s="186"/>
      <c r="EV1" s="186"/>
      <c r="EW1" s="186"/>
      <c r="EX1" s="186"/>
      <c r="EY1" s="186"/>
      <c r="EZ1" s="186"/>
      <c r="FA1" s="186"/>
      <c r="FB1" s="186"/>
      <c r="FC1" s="186"/>
      <c r="FD1" s="186"/>
      <c r="FE1" s="186"/>
      <c r="FF1" s="186"/>
      <c r="FG1" s="186"/>
      <c r="FH1" s="186"/>
      <c r="FI1" s="186"/>
      <c r="FJ1" s="186"/>
      <c r="FK1" s="186"/>
      <c r="FL1" s="186"/>
      <c r="FM1" s="186"/>
      <c r="FN1" s="186"/>
      <c r="FO1" s="186"/>
      <c r="FP1" s="186"/>
      <c r="FQ1" s="186"/>
      <c r="FR1" s="186"/>
      <c r="FS1" s="186"/>
      <c r="FT1" s="186"/>
      <c r="FU1" s="186"/>
      <c r="FV1" s="186"/>
      <c r="FW1" s="186"/>
      <c r="FX1" s="186"/>
      <c r="FY1" s="186"/>
      <c r="FZ1" s="186"/>
      <c r="GA1" s="186"/>
      <c r="GB1" s="186"/>
      <c r="GC1" s="186"/>
      <c r="GD1" s="186"/>
      <c r="GE1" s="186"/>
      <c r="GF1" s="186"/>
      <c r="GG1" s="186"/>
      <c r="GH1" s="186"/>
      <c r="GI1" s="186"/>
      <c r="GJ1" s="186"/>
      <c r="GK1" s="186"/>
      <c r="GL1" s="186"/>
      <c r="GM1" s="186"/>
      <c r="GN1" s="186"/>
      <c r="GO1" s="186"/>
      <c r="GP1" s="186"/>
      <c r="GQ1" s="186"/>
      <c r="GR1" s="186"/>
      <c r="GS1" s="186"/>
      <c r="GT1" s="186"/>
      <c r="GU1" s="186"/>
      <c r="GV1" s="186"/>
      <c r="GW1" s="186"/>
      <c r="GX1" s="186"/>
      <c r="GY1" s="186"/>
      <c r="GZ1" s="186"/>
      <c r="HA1" s="186"/>
      <c r="HB1" s="186"/>
      <c r="HC1" s="186"/>
      <c r="HD1" s="186"/>
      <c r="HE1" s="186"/>
      <c r="HF1" s="186"/>
      <c r="HG1" s="186"/>
      <c r="HH1" s="186"/>
      <c r="HI1" s="186"/>
      <c r="HJ1" s="186"/>
      <c r="HK1" s="186"/>
      <c r="HL1" s="186"/>
      <c r="HM1" s="186"/>
      <c r="HN1" s="186"/>
      <c r="HO1" s="186"/>
      <c r="HP1" s="186"/>
      <c r="HQ1" s="186"/>
      <c r="HR1" s="186"/>
      <c r="HS1" s="186"/>
      <c r="HT1" s="186"/>
      <c r="HU1" s="186"/>
      <c r="HV1" s="186"/>
      <c r="HW1" s="186"/>
      <c r="HX1" s="186"/>
      <c r="HY1" s="186"/>
      <c r="HZ1" s="186"/>
      <c r="IA1" s="186"/>
      <c r="IB1" s="186"/>
      <c r="IC1" s="186"/>
      <c r="ID1" s="186"/>
      <c r="IE1" s="186"/>
      <c r="IF1" s="186"/>
      <c r="IG1" s="186"/>
      <c r="IH1" s="186"/>
      <c r="II1" s="186"/>
      <c r="IJ1" s="186"/>
      <c r="IK1" s="186"/>
      <c r="IL1" s="186"/>
      <c r="IM1" s="186"/>
      <c r="IN1" s="186"/>
      <c r="IO1" s="186"/>
      <c r="IP1" s="186"/>
      <c r="IQ1" s="186"/>
      <c r="IR1" s="186"/>
      <c r="IS1" s="186"/>
      <c r="IT1" s="186"/>
      <c r="IU1" s="186"/>
      <c r="IV1" s="186"/>
    </row>
    <row r="2" spans="1:256" customFormat="1" x14ac:dyDescent="0.25">
      <c r="A2" s="1239" t="s">
        <v>859</v>
      </c>
      <c r="B2" s="1239"/>
      <c r="C2" s="1239"/>
      <c r="D2" s="1239"/>
      <c r="E2" s="1239"/>
      <c r="F2" s="1239"/>
      <c r="G2" s="1239"/>
      <c r="H2" s="1239"/>
      <c r="I2" s="1239"/>
      <c r="J2" s="1239"/>
      <c r="K2" s="1239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  <c r="AH2" s="186"/>
      <c r="AI2" s="186"/>
      <c r="AJ2" s="186"/>
      <c r="AK2" s="186"/>
      <c r="AL2" s="186"/>
      <c r="AM2" s="186"/>
      <c r="AN2" s="186"/>
      <c r="AO2" s="186"/>
      <c r="AP2" s="186"/>
      <c r="AQ2" s="186"/>
      <c r="AR2" s="186"/>
      <c r="AS2" s="186"/>
      <c r="AT2" s="186"/>
      <c r="AU2" s="186"/>
      <c r="AV2" s="186"/>
      <c r="AW2" s="186"/>
      <c r="AX2" s="186"/>
      <c r="AY2" s="186"/>
      <c r="AZ2" s="186"/>
      <c r="BA2" s="186"/>
      <c r="BB2" s="186"/>
      <c r="BC2" s="186"/>
      <c r="BD2" s="186"/>
      <c r="BE2" s="186"/>
      <c r="BF2" s="186"/>
      <c r="BG2" s="186"/>
      <c r="BH2" s="186"/>
      <c r="BI2" s="186"/>
      <c r="BJ2" s="186"/>
      <c r="BK2" s="186"/>
      <c r="BL2" s="186"/>
      <c r="BM2" s="186"/>
      <c r="BN2" s="186"/>
      <c r="BO2" s="186"/>
      <c r="BP2" s="186"/>
      <c r="BQ2" s="186"/>
      <c r="BR2" s="186"/>
      <c r="BS2" s="186"/>
      <c r="BT2" s="186"/>
      <c r="BU2" s="186"/>
      <c r="BV2" s="186"/>
      <c r="BW2" s="186"/>
      <c r="BX2" s="186"/>
      <c r="BY2" s="186"/>
      <c r="BZ2" s="186"/>
      <c r="CA2" s="186"/>
      <c r="CB2" s="186"/>
      <c r="CC2" s="186"/>
      <c r="CD2" s="186"/>
      <c r="CE2" s="186"/>
      <c r="CF2" s="186"/>
      <c r="CG2" s="186"/>
      <c r="CH2" s="186"/>
      <c r="CI2" s="186"/>
      <c r="CJ2" s="186"/>
      <c r="CK2" s="186"/>
      <c r="CL2" s="186"/>
      <c r="CM2" s="186"/>
      <c r="CN2" s="186"/>
      <c r="CO2" s="186"/>
      <c r="CP2" s="186"/>
      <c r="CQ2" s="186"/>
      <c r="CR2" s="186"/>
      <c r="CS2" s="186"/>
      <c r="CT2" s="186"/>
      <c r="CU2" s="186"/>
      <c r="CV2" s="186"/>
      <c r="CW2" s="186"/>
      <c r="CX2" s="186"/>
      <c r="CY2" s="186"/>
      <c r="CZ2" s="186"/>
      <c r="DA2" s="186"/>
      <c r="DB2" s="186"/>
      <c r="DC2" s="186"/>
      <c r="DD2" s="186"/>
      <c r="DE2" s="186"/>
      <c r="DF2" s="186"/>
      <c r="DG2" s="186"/>
      <c r="DH2" s="186"/>
      <c r="DI2" s="186"/>
      <c r="DJ2" s="186"/>
      <c r="DK2" s="186"/>
      <c r="DL2" s="186"/>
      <c r="DM2" s="186"/>
      <c r="DN2" s="186"/>
      <c r="DO2" s="186"/>
      <c r="DP2" s="186"/>
      <c r="DQ2" s="186"/>
      <c r="DR2" s="186"/>
      <c r="DS2" s="186"/>
      <c r="DT2" s="186"/>
      <c r="DU2" s="186"/>
      <c r="DV2" s="186"/>
      <c r="DW2" s="186"/>
      <c r="DX2" s="186"/>
      <c r="DY2" s="186"/>
      <c r="DZ2" s="186"/>
      <c r="EA2" s="186"/>
      <c r="EB2" s="186"/>
      <c r="EC2" s="186"/>
      <c r="ED2" s="186"/>
      <c r="EE2" s="186"/>
      <c r="EF2" s="186"/>
      <c r="EG2" s="186"/>
      <c r="EH2" s="186"/>
      <c r="EI2" s="186"/>
      <c r="EJ2" s="186"/>
      <c r="EK2" s="186"/>
      <c r="EL2" s="186"/>
      <c r="EM2" s="186"/>
      <c r="EN2" s="186"/>
      <c r="EO2" s="186"/>
      <c r="EP2" s="186"/>
      <c r="EQ2" s="186"/>
      <c r="ER2" s="186"/>
      <c r="ES2" s="186"/>
      <c r="ET2" s="186"/>
      <c r="EU2" s="186"/>
      <c r="EV2" s="186"/>
      <c r="EW2" s="186"/>
      <c r="EX2" s="186"/>
      <c r="EY2" s="186"/>
      <c r="EZ2" s="186"/>
      <c r="FA2" s="186"/>
      <c r="FB2" s="186"/>
      <c r="FC2" s="186"/>
      <c r="FD2" s="186"/>
      <c r="FE2" s="186"/>
      <c r="FF2" s="186"/>
      <c r="FG2" s="186"/>
      <c r="FH2" s="186"/>
      <c r="FI2" s="186"/>
      <c r="FJ2" s="186"/>
      <c r="FK2" s="186"/>
      <c r="FL2" s="186"/>
      <c r="FM2" s="186"/>
      <c r="FN2" s="186"/>
      <c r="FO2" s="186"/>
      <c r="FP2" s="186"/>
      <c r="FQ2" s="186"/>
      <c r="FR2" s="186"/>
      <c r="FS2" s="186"/>
      <c r="FT2" s="186"/>
      <c r="FU2" s="186"/>
      <c r="FV2" s="186"/>
      <c r="FW2" s="186"/>
      <c r="FX2" s="186"/>
      <c r="FY2" s="186"/>
      <c r="FZ2" s="186"/>
      <c r="GA2" s="186"/>
      <c r="GB2" s="186"/>
      <c r="GC2" s="186"/>
      <c r="GD2" s="186"/>
      <c r="GE2" s="186"/>
      <c r="GF2" s="186"/>
      <c r="GG2" s="186"/>
      <c r="GH2" s="186"/>
      <c r="GI2" s="186"/>
      <c r="GJ2" s="186"/>
      <c r="GK2" s="186"/>
      <c r="GL2" s="186"/>
      <c r="GM2" s="186"/>
      <c r="GN2" s="186"/>
      <c r="GO2" s="186"/>
      <c r="GP2" s="186"/>
      <c r="GQ2" s="186"/>
      <c r="GR2" s="186"/>
      <c r="GS2" s="186"/>
      <c r="GT2" s="186"/>
      <c r="GU2" s="186"/>
      <c r="GV2" s="186"/>
      <c r="GW2" s="186"/>
      <c r="GX2" s="186"/>
      <c r="GY2" s="186"/>
      <c r="GZ2" s="186"/>
      <c r="HA2" s="186"/>
      <c r="HB2" s="186"/>
      <c r="HC2" s="186"/>
      <c r="HD2" s="186"/>
      <c r="HE2" s="186"/>
      <c r="HF2" s="186"/>
      <c r="HG2" s="186"/>
      <c r="HH2" s="186"/>
      <c r="HI2" s="186"/>
      <c r="HJ2" s="186"/>
      <c r="HK2" s="186"/>
      <c r="HL2" s="186"/>
      <c r="HM2" s="186"/>
      <c r="HN2" s="186"/>
      <c r="HO2" s="186"/>
      <c r="HP2" s="186"/>
      <c r="HQ2" s="186"/>
      <c r="HR2" s="186"/>
      <c r="HS2" s="186"/>
      <c r="HT2" s="186"/>
      <c r="HU2" s="186"/>
      <c r="HV2" s="186"/>
      <c r="HW2" s="186"/>
      <c r="HX2" s="186"/>
      <c r="HY2" s="186"/>
      <c r="HZ2" s="186"/>
      <c r="IA2" s="186"/>
      <c r="IB2" s="186"/>
      <c r="IC2" s="186"/>
      <c r="ID2" s="186"/>
      <c r="IE2" s="186"/>
      <c r="IF2" s="186"/>
      <c r="IG2" s="186"/>
      <c r="IH2" s="186"/>
      <c r="II2" s="186"/>
      <c r="IJ2" s="186"/>
      <c r="IK2" s="186"/>
      <c r="IL2" s="186"/>
      <c r="IM2" s="186"/>
      <c r="IN2" s="186"/>
      <c r="IO2" s="186"/>
      <c r="IP2" s="186"/>
      <c r="IQ2" s="186"/>
      <c r="IR2" s="186"/>
      <c r="IS2" s="186"/>
      <c r="IT2" s="186"/>
      <c r="IU2" s="186"/>
      <c r="IV2" s="186"/>
    </row>
    <row r="3" spans="1:256" customFormat="1" x14ac:dyDescent="0.25">
      <c r="A3" s="1239" t="s">
        <v>1391</v>
      </c>
      <c r="B3" s="1239"/>
      <c r="C3" s="1239"/>
      <c r="D3" s="1239"/>
      <c r="E3" s="1239"/>
      <c r="F3" s="1239"/>
      <c r="G3" s="1239"/>
      <c r="H3" s="1239"/>
      <c r="I3" s="1239"/>
      <c r="J3" s="1239"/>
      <c r="K3" s="1239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86"/>
      <c r="AF3" s="186"/>
      <c r="AG3" s="186"/>
      <c r="AH3" s="186"/>
      <c r="AI3" s="186"/>
      <c r="AJ3" s="186"/>
      <c r="AK3" s="186"/>
      <c r="AL3" s="186"/>
      <c r="AM3" s="186"/>
      <c r="AN3" s="186"/>
      <c r="AO3" s="186"/>
      <c r="AP3" s="186"/>
      <c r="AQ3" s="186"/>
      <c r="AR3" s="186"/>
      <c r="AS3" s="186"/>
      <c r="AT3" s="186"/>
      <c r="AU3" s="186"/>
      <c r="AV3" s="186"/>
      <c r="AW3" s="186"/>
      <c r="AX3" s="186"/>
      <c r="AY3" s="186"/>
      <c r="AZ3" s="186"/>
      <c r="BA3" s="186"/>
      <c r="BB3" s="186"/>
      <c r="BC3" s="186"/>
      <c r="BD3" s="186"/>
      <c r="BE3" s="186"/>
      <c r="BF3" s="186"/>
      <c r="BG3" s="186"/>
      <c r="BH3" s="186"/>
      <c r="BI3" s="186"/>
      <c r="BJ3" s="186"/>
      <c r="BK3" s="186"/>
      <c r="BL3" s="186"/>
      <c r="BM3" s="186"/>
      <c r="BN3" s="186"/>
      <c r="BO3" s="186"/>
      <c r="BP3" s="186"/>
      <c r="BQ3" s="186"/>
      <c r="BR3" s="186"/>
      <c r="BS3" s="186"/>
      <c r="BT3" s="186"/>
      <c r="BU3" s="186"/>
      <c r="BV3" s="186"/>
      <c r="BW3" s="186"/>
      <c r="BX3" s="186"/>
      <c r="BY3" s="186"/>
      <c r="BZ3" s="186"/>
      <c r="CA3" s="186"/>
      <c r="CB3" s="186"/>
      <c r="CC3" s="186"/>
      <c r="CD3" s="186"/>
      <c r="CE3" s="186"/>
      <c r="CF3" s="186"/>
      <c r="CG3" s="186"/>
      <c r="CH3" s="186"/>
      <c r="CI3" s="186"/>
      <c r="CJ3" s="186"/>
      <c r="CK3" s="186"/>
      <c r="CL3" s="186"/>
      <c r="CM3" s="186"/>
      <c r="CN3" s="186"/>
      <c r="CO3" s="186"/>
      <c r="CP3" s="186"/>
      <c r="CQ3" s="186"/>
      <c r="CR3" s="186"/>
      <c r="CS3" s="186"/>
      <c r="CT3" s="186"/>
      <c r="CU3" s="186"/>
      <c r="CV3" s="186"/>
      <c r="CW3" s="186"/>
      <c r="CX3" s="186"/>
      <c r="CY3" s="186"/>
      <c r="CZ3" s="186"/>
      <c r="DA3" s="186"/>
      <c r="DB3" s="186"/>
      <c r="DC3" s="186"/>
      <c r="DD3" s="186"/>
      <c r="DE3" s="186"/>
      <c r="DF3" s="186"/>
      <c r="DG3" s="186"/>
      <c r="DH3" s="186"/>
      <c r="DI3" s="186"/>
      <c r="DJ3" s="186"/>
      <c r="DK3" s="186"/>
      <c r="DL3" s="186"/>
      <c r="DM3" s="186"/>
      <c r="DN3" s="186"/>
      <c r="DO3" s="186"/>
      <c r="DP3" s="186"/>
      <c r="DQ3" s="186"/>
      <c r="DR3" s="186"/>
      <c r="DS3" s="186"/>
      <c r="DT3" s="186"/>
      <c r="DU3" s="186"/>
      <c r="DV3" s="186"/>
      <c r="DW3" s="186"/>
      <c r="DX3" s="186"/>
      <c r="DY3" s="186"/>
      <c r="DZ3" s="186"/>
      <c r="EA3" s="186"/>
      <c r="EB3" s="186"/>
      <c r="EC3" s="186"/>
      <c r="ED3" s="186"/>
      <c r="EE3" s="186"/>
      <c r="EF3" s="186"/>
      <c r="EG3" s="186"/>
      <c r="EH3" s="186"/>
      <c r="EI3" s="186"/>
      <c r="EJ3" s="186"/>
      <c r="EK3" s="186"/>
      <c r="EL3" s="186"/>
      <c r="EM3" s="186"/>
      <c r="EN3" s="186"/>
      <c r="EO3" s="186"/>
      <c r="EP3" s="186"/>
      <c r="EQ3" s="186"/>
      <c r="ER3" s="186"/>
      <c r="ES3" s="186"/>
      <c r="ET3" s="186"/>
      <c r="EU3" s="186"/>
      <c r="EV3" s="186"/>
      <c r="EW3" s="186"/>
      <c r="EX3" s="186"/>
      <c r="EY3" s="186"/>
      <c r="EZ3" s="186"/>
      <c r="FA3" s="186"/>
      <c r="FB3" s="186"/>
      <c r="FC3" s="186"/>
      <c r="FD3" s="186"/>
      <c r="FE3" s="186"/>
      <c r="FF3" s="186"/>
      <c r="FG3" s="186"/>
      <c r="FH3" s="186"/>
      <c r="FI3" s="186"/>
      <c r="FJ3" s="186"/>
      <c r="FK3" s="186"/>
      <c r="FL3" s="186"/>
      <c r="FM3" s="186"/>
      <c r="FN3" s="186"/>
      <c r="FO3" s="186"/>
      <c r="FP3" s="186"/>
      <c r="FQ3" s="186"/>
      <c r="FR3" s="186"/>
      <c r="FS3" s="186"/>
      <c r="FT3" s="186"/>
      <c r="FU3" s="186"/>
      <c r="FV3" s="186"/>
      <c r="FW3" s="186"/>
      <c r="FX3" s="186"/>
      <c r="FY3" s="186"/>
      <c r="FZ3" s="186"/>
      <c r="GA3" s="186"/>
      <c r="GB3" s="186"/>
      <c r="GC3" s="186"/>
      <c r="GD3" s="186"/>
      <c r="GE3" s="186"/>
      <c r="GF3" s="186"/>
      <c r="GG3" s="186"/>
      <c r="GH3" s="186"/>
      <c r="GI3" s="186"/>
      <c r="GJ3" s="186"/>
      <c r="GK3" s="186"/>
      <c r="GL3" s="186"/>
      <c r="GM3" s="186"/>
      <c r="GN3" s="186"/>
      <c r="GO3" s="186"/>
      <c r="GP3" s="186"/>
      <c r="GQ3" s="186"/>
      <c r="GR3" s="186"/>
      <c r="GS3" s="186"/>
      <c r="GT3" s="186"/>
      <c r="GU3" s="186"/>
      <c r="GV3" s="186"/>
      <c r="GW3" s="186"/>
      <c r="GX3" s="186"/>
      <c r="GY3" s="186"/>
      <c r="GZ3" s="186"/>
      <c r="HA3" s="186"/>
      <c r="HB3" s="186"/>
      <c r="HC3" s="186"/>
      <c r="HD3" s="186"/>
      <c r="HE3" s="186"/>
      <c r="HF3" s="186"/>
      <c r="HG3" s="186"/>
      <c r="HH3" s="186"/>
      <c r="HI3" s="186"/>
      <c r="HJ3" s="186"/>
      <c r="HK3" s="186"/>
      <c r="HL3" s="186"/>
      <c r="HM3" s="186"/>
      <c r="HN3" s="186"/>
      <c r="HO3" s="186"/>
      <c r="HP3" s="186"/>
      <c r="HQ3" s="186"/>
      <c r="HR3" s="186"/>
      <c r="HS3" s="186"/>
      <c r="HT3" s="186"/>
      <c r="HU3" s="186"/>
      <c r="HV3" s="186"/>
      <c r="HW3" s="186"/>
      <c r="HX3" s="186"/>
      <c r="HY3" s="186"/>
      <c r="HZ3" s="186"/>
      <c r="IA3" s="186"/>
      <c r="IB3" s="186"/>
      <c r="IC3" s="186"/>
      <c r="ID3" s="186"/>
      <c r="IE3" s="186"/>
      <c r="IF3" s="186"/>
      <c r="IG3" s="186"/>
      <c r="IH3" s="186"/>
      <c r="II3" s="186"/>
      <c r="IJ3" s="186"/>
      <c r="IK3" s="186"/>
      <c r="IL3" s="186"/>
      <c r="IM3" s="186"/>
      <c r="IN3" s="186"/>
      <c r="IO3" s="186"/>
      <c r="IP3" s="186"/>
      <c r="IQ3" s="186"/>
      <c r="IR3" s="186"/>
      <c r="IS3" s="186"/>
      <c r="IT3" s="186"/>
      <c r="IU3" s="186"/>
      <c r="IV3" s="186"/>
    </row>
    <row r="5" spans="1:256" ht="16.5" thickBot="1" x14ac:dyDescent="0.3"/>
    <row r="6" spans="1:256" ht="87" customHeight="1" thickTop="1" thickBot="1" x14ac:dyDescent="0.3">
      <c r="A6" s="1245" t="s">
        <v>249</v>
      </c>
      <c r="B6" s="1245" t="s">
        <v>345</v>
      </c>
      <c r="C6" s="1228" t="s">
        <v>82</v>
      </c>
      <c r="D6" s="1229"/>
      <c r="E6" s="1230"/>
      <c r="F6" s="1231" t="s">
        <v>83</v>
      </c>
      <c r="G6" s="1232"/>
      <c r="H6" s="1233"/>
      <c r="I6" s="1234" t="s">
        <v>270</v>
      </c>
      <c r="J6" s="1235"/>
      <c r="K6" s="1236"/>
    </row>
    <row r="7" spans="1:256" ht="33" customHeight="1" thickTop="1" thickBot="1" x14ac:dyDescent="0.3">
      <c r="A7" s="1246"/>
      <c r="B7" s="1246"/>
      <c r="C7" s="1142" t="s">
        <v>1125</v>
      </c>
      <c r="D7" s="1142" t="s">
        <v>1124</v>
      </c>
      <c r="E7" s="1142" t="s">
        <v>1202</v>
      </c>
      <c r="F7" s="1137" t="s">
        <v>1125</v>
      </c>
      <c r="G7" s="1137" t="s">
        <v>1124</v>
      </c>
      <c r="H7" s="1137" t="s">
        <v>1202</v>
      </c>
      <c r="I7" s="1137" t="s">
        <v>1125</v>
      </c>
      <c r="J7" s="1137" t="s">
        <v>1124</v>
      </c>
      <c r="K7" s="1137" t="s">
        <v>1202</v>
      </c>
    </row>
    <row r="8" spans="1:256" ht="17.25" thickTop="1" thickBot="1" x14ac:dyDescent="0.3">
      <c r="A8" s="101" t="s">
        <v>253</v>
      </c>
      <c r="B8" s="320"/>
      <c r="C8" s="1136" t="s">
        <v>419</v>
      </c>
      <c r="D8" s="1136" t="s">
        <v>1140</v>
      </c>
      <c r="E8" s="1136" t="s">
        <v>1141</v>
      </c>
      <c r="F8" s="1135" t="s">
        <v>420</v>
      </c>
      <c r="G8" s="1135" t="s">
        <v>1142</v>
      </c>
      <c r="H8" s="1135" t="s">
        <v>1143</v>
      </c>
      <c r="I8" s="1138" t="s">
        <v>1144</v>
      </c>
      <c r="J8" s="1138" t="s">
        <v>1145</v>
      </c>
      <c r="K8" s="1138" t="s">
        <v>1146</v>
      </c>
    </row>
    <row r="9" spans="1:256" s="126" customFormat="1" ht="32.25" thickTop="1" x14ac:dyDescent="0.25">
      <c r="A9" s="125" t="s">
        <v>422</v>
      </c>
      <c r="B9" s="343" t="s">
        <v>426</v>
      </c>
      <c r="C9" s="344">
        <v>7287</v>
      </c>
      <c r="D9" s="327"/>
      <c r="E9" s="327">
        <f>SUM(C9:D9)</f>
        <v>7287</v>
      </c>
      <c r="F9" s="112">
        <v>0</v>
      </c>
      <c r="G9" s="112"/>
      <c r="H9" s="112">
        <f>SUM(F9:G9)</f>
        <v>0</v>
      </c>
      <c r="I9" s="106">
        <f>SUM(F9+C9)</f>
        <v>7287</v>
      </c>
      <c r="J9" s="106">
        <f t="shared" ref="J9:K11" si="0">SUM(G9+D9)</f>
        <v>0</v>
      </c>
      <c r="K9" s="106">
        <f t="shared" si="0"/>
        <v>7287</v>
      </c>
    </row>
    <row r="10" spans="1:256" s="126" customFormat="1" ht="31.5" x14ac:dyDescent="0.25">
      <c r="A10" s="125" t="s">
        <v>735</v>
      </c>
      <c r="B10" s="125" t="s">
        <v>427</v>
      </c>
      <c r="C10" s="112">
        <v>1841862</v>
      </c>
      <c r="D10" s="112">
        <v>-6168</v>
      </c>
      <c r="E10" s="112">
        <f>SUM(C10:D10)</f>
        <v>1835694</v>
      </c>
      <c r="F10" s="112">
        <v>0</v>
      </c>
      <c r="G10" s="112"/>
      <c r="H10" s="112">
        <f>SUM(F10:G10)</f>
        <v>0</v>
      </c>
      <c r="I10" s="106">
        <f>SUM(F10+C10)</f>
        <v>1841862</v>
      </c>
      <c r="J10" s="106">
        <f t="shared" si="0"/>
        <v>-6168</v>
      </c>
      <c r="K10" s="106">
        <f t="shared" si="0"/>
        <v>1835694</v>
      </c>
    </row>
    <row r="11" spans="1:256" s="126" customFormat="1" ht="47.25" x14ac:dyDescent="0.25">
      <c r="A11" s="689" t="s">
        <v>678</v>
      </c>
      <c r="B11" s="125" t="s">
        <v>428</v>
      </c>
      <c r="C11" s="112">
        <v>1500816</v>
      </c>
      <c r="D11" s="112">
        <v>-1500</v>
      </c>
      <c r="E11" s="112">
        <f t="shared" ref="E11:E16" si="1">SUM(C11:D11)</f>
        <v>1499316</v>
      </c>
      <c r="F11" s="112">
        <v>0</v>
      </c>
      <c r="G11" s="112"/>
      <c r="H11" s="112">
        <f t="shared" ref="H11:H16" si="2">SUM(F11:G11)</f>
        <v>0</v>
      </c>
      <c r="I11" s="106">
        <f>SUM(F11+C11)</f>
        <v>1500816</v>
      </c>
      <c r="J11" s="106">
        <f t="shared" si="0"/>
        <v>-1500</v>
      </c>
      <c r="K11" s="106">
        <f t="shared" si="0"/>
        <v>1499316</v>
      </c>
    </row>
    <row r="12" spans="1:256" s="126" customFormat="1" ht="31.5" x14ac:dyDescent="0.25">
      <c r="A12" s="125" t="s">
        <v>423</v>
      </c>
      <c r="B12" s="125" t="s">
        <v>429</v>
      </c>
      <c r="C12" s="112">
        <v>762887</v>
      </c>
      <c r="D12" s="112">
        <v>2730</v>
      </c>
      <c r="E12" s="112">
        <f t="shared" si="1"/>
        <v>765617</v>
      </c>
      <c r="F12" s="112">
        <v>0</v>
      </c>
      <c r="G12" s="112"/>
      <c r="H12" s="112">
        <f t="shared" si="2"/>
        <v>0</v>
      </c>
      <c r="I12" s="106">
        <f>SUM(C12+F12)</f>
        <v>762887</v>
      </c>
      <c r="J12" s="106">
        <f t="shared" ref="J12:K16" si="3">SUM(D12+G12)</f>
        <v>2730</v>
      </c>
      <c r="K12" s="106">
        <f t="shared" si="3"/>
        <v>765617</v>
      </c>
    </row>
    <row r="13" spans="1:256" s="127" customFormat="1" ht="31.5" x14ac:dyDescent="0.25">
      <c r="A13" s="125" t="s">
        <v>85</v>
      </c>
      <c r="B13" s="125"/>
      <c r="C13" s="112">
        <v>221200</v>
      </c>
      <c r="D13" s="112"/>
      <c r="E13" s="112">
        <f t="shared" si="1"/>
        <v>221200</v>
      </c>
      <c r="F13" s="112">
        <v>0</v>
      </c>
      <c r="G13" s="112"/>
      <c r="H13" s="112">
        <f t="shared" si="2"/>
        <v>0</v>
      </c>
      <c r="I13" s="106">
        <f>SUM(C13+F13)</f>
        <v>221200</v>
      </c>
      <c r="J13" s="106">
        <f t="shared" si="3"/>
        <v>0</v>
      </c>
      <c r="K13" s="106">
        <f t="shared" si="3"/>
        <v>221200</v>
      </c>
    </row>
    <row r="14" spans="1:256" s="127" customFormat="1" ht="31.5" x14ac:dyDescent="0.25">
      <c r="A14" s="125" t="s">
        <v>86</v>
      </c>
      <c r="B14" s="125"/>
      <c r="C14" s="112">
        <v>134300</v>
      </c>
      <c r="D14" s="112"/>
      <c r="E14" s="112">
        <f t="shared" si="1"/>
        <v>134300</v>
      </c>
      <c r="F14" s="112">
        <v>0</v>
      </c>
      <c r="G14" s="112"/>
      <c r="H14" s="112">
        <f t="shared" si="2"/>
        <v>0</v>
      </c>
      <c r="I14" s="106">
        <f>SUM(C14+F14)</f>
        <v>134300</v>
      </c>
      <c r="J14" s="106">
        <f t="shared" si="3"/>
        <v>0</v>
      </c>
      <c r="K14" s="106">
        <f t="shared" si="3"/>
        <v>134300</v>
      </c>
    </row>
    <row r="15" spans="1:256" s="127" customFormat="1" x14ac:dyDescent="0.25">
      <c r="A15" s="125" t="s">
        <v>87</v>
      </c>
      <c r="B15" s="125"/>
      <c r="C15" s="112">
        <v>304300</v>
      </c>
      <c r="D15" s="112"/>
      <c r="E15" s="112">
        <f t="shared" si="1"/>
        <v>304300</v>
      </c>
      <c r="F15" s="112">
        <v>0</v>
      </c>
      <c r="G15" s="112"/>
      <c r="H15" s="112">
        <f t="shared" si="2"/>
        <v>0</v>
      </c>
      <c r="I15" s="106">
        <f>SUM(C15+F15)</f>
        <v>304300</v>
      </c>
      <c r="J15" s="106">
        <f t="shared" si="3"/>
        <v>0</v>
      </c>
      <c r="K15" s="106">
        <f t="shared" si="3"/>
        <v>304300</v>
      </c>
    </row>
    <row r="16" spans="1:256" s="127" customFormat="1" ht="42" customHeight="1" x14ac:dyDescent="0.25">
      <c r="A16" s="125" t="s">
        <v>736</v>
      </c>
      <c r="B16" s="125" t="s">
        <v>430</v>
      </c>
      <c r="C16" s="112">
        <v>138436</v>
      </c>
      <c r="D16" s="112">
        <v>82456</v>
      </c>
      <c r="E16" s="112">
        <f t="shared" si="1"/>
        <v>220892</v>
      </c>
      <c r="F16" s="112">
        <v>0</v>
      </c>
      <c r="G16" s="112"/>
      <c r="H16" s="112">
        <f t="shared" si="2"/>
        <v>0</v>
      </c>
      <c r="I16" s="106">
        <f>SUM(C16+F16)</f>
        <v>138436</v>
      </c>
      <c r="J16" s="106">
        <f t="shared" si="3"/>
        <v>82456</v>
      </c>
      <c r="K16" s="106">
        <f t="shared" si="3"/>
        <v>220892</v>
      </c>
    </row>
    <row r="17" spans="1:11" s="119" customFormat="1" ht="31.5" x14ac:dyDescent="0.25">
      <c r="A17" s="116" t="s">
        <v>425</v>
      </c>
      <c r="B17" s="116" t="s">
        <v>431</v>
      </c>
      <c r="C17" s="117">
        <f>SUM(C9:C11,C12,C16)</f>
        <v>4251288</v>
      </c>
      <c r="D17" s="117">
        <f t="shared" ref="D17:H17" si="4">SUM(D9:D11,D12,D16)</f>
        <v>77518</v>
      </c>
      <c r="E17" s="117">
        <f t="shared" si="4"/>
        <v>4328806</v>
      </c>
      <c r="F17" s="117">
        <f t="shared" si="4"/>
        <v>0</v>
      </c>
      <c r="G17" s="117">
        <f t="shared" si="4"/>
        <v>0</v>
      </c>
      <c r="H17" s="117">
        <f t="shared" si="4"/>
        <v>0</v>
      </c>
      <c r="I17" s="117">
        <f>SUM(I9:I11,I12,I16)</f>
        <v>4251288</v>
      </c>
      <c r="J17" s="117">
        <f t="shared" ref="J17:K17" si="5">SUM(J9:J11,J12,J16)</f>
        <v>77518</v>
      </c>
      <c r="K17" s="117">
        <f t="shared" si="5"/>
        <v>4328806</v>
      </c>
    </row>
    <row r="18" spans="1:11" s="119" customFormat="1" ht="31.5" x14ac:dyDescent="0.25">
      <c r="A18" s="116" t="s">
        <v>486</v>
      </c>
      <c r="B18" s="116" t="s">
        <v>487</v>
      </c>
      <c r="C18" s="117">
        <v>232404</v>
      </c>
      <c r="D18" s="117">
        <v>-99866</v>
      </c>
      <c r="E18" s="117">
        <f>SUM(C18:D18)</f>
        <v>132538</v>
      </c>
      <c r="F18" s="117">
        <v>1130961</v>
      </c>
      <c r="G18" s="117">
        <v>314555</v>
      </c>
      <c r="H18" s="117">
        <f>SUM(F18:G18)</f>
        <v>1445516</v>
      </c>
      <c r="I18" s="117">
        <f>SUM(C18+F18)</f>
        <v>1363365</v>
      </c>
      <c r="J18" s="117">
        <f>SUM(D18+G18)</f>
        <v>214689</v>
      </c>
      <c r="K18" s="117">
        <f>SUM(E18+H18)</f>
        <v>1578054</v>
      </c>
    </row>
    <row r="19" spans="1:11" s="109" customFormat="1" ht="31.5" x14ac:dyDescent="0.25">
      <c r="A19" s="107" t="s">
        <v>488</v>
      </c>
      <c r="B19" s="107" t="s">
        <v>356</v>
      </c>
      <c r="C19" s="106">
        <f>SUM(C17+C18)</f>
        <v>4483692</v>
      </c>
      <c r="D19" s="106">
        <f t="shared" ref="D19:H19" si="6">SUM(D17+D18)</f>
        <v>-22348</v>
      </c>
      <c r="E19" s="106">
        <f t="shared" si="6"/>
        <v>4461344</v>
      </c>
      <c r="F19" s="106">
        <f t="shared" si="6"/>
        <v>1130961</v>
      </c>
      <c r="G19" s="106">
        <f t="shared" si="6"/>
        <v>314555</v>
      </c>
      <c r="H19" s="106">
        <f t="shared" si="6"/>
        <v>1445516</v>
      </c>
      <c r="I19" s="106">
        <f>SUM(I17+I18)</f>
        <v>5614653</v>
      </c>
      <c r="J19" s="106">
        <f t="shared" ref="J19:K19" si="7">SUM(J17+J18)</f>
        <v>292207</v>
      </c>
      <c r="K19" s="106">
        <f t="shared" si="7"/>
        <v>5906860</v>
      </c>
    </row>
    <row r="20" spans="1:11" s="136" customFormat="1" ht="31.5" x14ac:dyDescent="0.25">
      <c r="A20" s="116" t="s">
        <v>489</v>
      </c>
      <c r="B20" s="345" t="s">
        <v>432</v>
      </c>
      <c r="C20" s="427">
        <v>904800</v>
      </c>
      <c r="D20" s="427">
        <v>-800</v>
      </c>
      <c r="E20" s="427">
        <f>SUM(C20:D20)</f>
        <v>904000</v>
      </c>
      <c r="F20" s="427">
        <v>0</v>
      </c>
      <c r="G20" s="427"/>
      <c r="H20" s="427">
        <f>SUM(F20:G20)</f>
        <v>0</v>
      </c>
      <c r="I20" s="117">
        <f>SUM(C20+F20)</f>
        <v>904800</v>
      </c>
      <c r="J20" s="117">
        <f t="shared" ref="J20:K21" si="8">SUM(D20+G20)</f>
        <v>-800</v>
      </c>
      <c r="K20" s="117">
        <f t="shared" si="8"/>
        <v>904000</v>
      </c>
    </row>
    <row r="21" spans="1:11" s="136" customFormat="1" ht="31.5" x14ac:dyDescent="0.25">
      <c r="A21" s="116" t="s">
        <v>491</v>
      </c>
      <c r="B21" s="345" t="s">
        <v>490</v>
      </c>
      <c r="C21" s="427">
        <v>15846723</v>
      </c>
      <c r="D21" s="427">
        <v>-6373787</v>
      </c>
      <c r="E21" s="427">
        <f>SUM(C21:D21)</f>
        <v>9472936</v>
      </c>
      <c r="F21" s="427">
        <v>0</v>
      </c>
      <c r="G21" s="427"/>
      <c r="H21" s="427">
        <f>SUM(F21:G21)</f>
        <v>0</v>
      </c>
      <c r="I21" s="117">
        <f>SUM(C21+F21)</f>
        <v>15846723</v>
      </c>
      <c r="J21" s="117">
        <f t="shared" si="8"/>
        <v>-6373787</v>
      </c>
      <c r="K21" s="117">
        <f t="shared" si="8"/>
        <v>9472936</v>
      </c>
    </row>
    <row r="22" spans="1:11" s="139" customFormat="1" ht="31.5" x14ac:dyDescent="0.25">
      <c r="A22" s="107" t="s">
        <v>492</v>
      </c>
      <c r="B22" s="141" t="s">
        <v>357</v>
      </c>
      <c r="C22" s="140">
        <f>SUM(C20+C21)</f>
        <v>16751523</v>
      </c>
      <c r="D22" s="140">
        <f t="shared" ref="D22:H22" si="9">SUM(D20+D21)</f>
        <v>-6374587</v>
      </c>
      <c r="E22" s="140">
        <f t="shared" si="9"/>
        <v>10376936</v>
      </c>
      <c r="F22" s="140">
        <f t="shared" si="9"/>
        <v>0</v>
      </c>
      <c r="G22" s="140">
        <f t="shared" si="9"/>
        <v>0</v>
      </c>
      <c r="H22" s="140">
        <f t="shared" si="9"/>
        <v>0</v>
      </c>
      <c r="I22" s="140">
        <f>SUM(I20+I21)</f>
        <v>16751523</v>
      </c>
      <c r="J22" s="140">
        <f t="shared" ref="J22:K22" si="10">SUM(J20+J21)</f>
        <v>-6374587</v>
      </c>
      <c r="K22" s="140">
        <f t="shared" si="10"/>
        <v>10376936</v>
      </c>
    </row>
    <row r="23" spans="1:11" ht="31.5" x14ac:dyDescent="0.25">
      <c r="A23" s="110" t="s">
        <v>493</v>
      </c>
      <c r="B23" s="110" t="s">
        <v>434</v>
      </c>
      <c r="C23" s="115">
        <v>200</v>
      </c>
      <c r="D23" s="115">
        <v>-31</v>
      </c>
      <c r="E23" s="115">
        <f>SUM(C23:D23)</f>
        <v>169</v>
      </c>
      <c r="F23" s="112">
        <v>0</v>
      </c>
      <c r="G23" s="112"/>
      <c r="H23" s="112">
        <f>SUM(F23:G23)</f>
        <v>0</v>
      </c>
      <c r="I23" s="106">
        <f>SUM(F23+C23)</f>
        <v>200</v>
      </c>
      <c r="J23" s="106">
        <f t="shared" ref="J23:K23" si="11">SUM(G23+D23)</f>
        <v>-31</v>
      </c>
      <c r="K23" s="106">
        <f t="shared" si="11"/>
        <v>169</v>
      </c>
    </row>
    <row r="24" spans="1:11" s="136" customFormat="1" x14ac:dyDescent="0.25">
      <c r="A24" s="116" t="s">
        <v>494</v>
      </c>
      <c r="B24" s="116" t="s">
        <v>433</v>
      </c>
      <c r="C24" s="117">
        <f>SUM(C23)</f>
        <v>200</v>
      </c>
      <c r="D24" s="117">
        <f t="shared" ref="D24:H24" si="12">SUM(D23)</f>
        <v>-31</v>
      </c>
      <c r="E24" s="117">
        <f t="shared" si="12"/>
        <v>169</v>
      </c>
      <c r="F24" s="117">
        <f t="shared" si="12"/>
        <v>0</v>
      </c>
      <c r="G24" s="117">
        <f t="shared" si="12"/>
        <v>0</v>
      </c>
      <c r="H24" s="117">
        <f t="shared" si="12"/>
        <v>0</v>
      </c>
      <c r="I24" s="117">
        <f>SUM(I23)</f>
        <v>200</v>
      </c>
      <c r="J24" s="117">
        <f t="shared" ref="J24:K24" si="13">SUM(J23)</f>
        <v>-31</v>
      </c>
      <c r="K24" s="117">
        <f t="shared" si="13"/>
        <v>169</v>
      </c>
    </row>
    <row r="25" spans="1:11" x14ac:dyDescent="0.25">
      <c r="A25" s="110" t="s">
        <v>864</v>
      </c>
      <c r="B25" s="110" t="s">
        <v>435</v>
      </c>
      <c r="C25" s="115">
        <v>1800000</v>
      </c>
      <c r="D25" s="115">
        <v>8545</v>
      </c>
      <c r="E25" s="115">
        <f>SUM(C25:D25)</f>
        <v>1808545</v>
      </c>
      <c r="F25" s="115">
        <v>0</v>
      </c>
      <c r="G25" s="115"/>
      <c r="H25" s="115">
        <f>SUM(F25:G25)</f>
        <v>0</v>
      </c>
      <c r="I25" s="106">
        <f>SUM(F25+C25)</f>
        <v>1800000</v>
      </c>
      <c r="J25" s="106">
        <f t="shared" ref="J25:K26" si="14">SUM(G25+D25)</f>
        <v>8545</v>
      </c>
      <c r="K25" s="106">
        <f t="shared" si="14"/>
        <v>1808545</v>
      </c>
    </row>
    <row r="26" spans="1:11" x14ac:dyDescent="0.25">
      <c r="A26" s="110" t="s">
        <v>1392</v>
      </c>
      <c r="B26" s="110" t="s">
        <v>435</v>
      </c>
      <c r="C26" s="115">
        <v>0</v>
      </c>
      <c r="D26" s="115">
        <v>1504</v>
      </c>
      <c r="E26" s="115">
        <f>SUM(C26:D26)</f>
        <v>1504</v>
      </c>
      <c r="F26" s="115"/>
      <c r="G26" s="115"/>
      <c r="H26" s="115">
        <f>SUM(F26:G26)</f>
        <v>0</v>
      </c>
      <c r="I26" s="106">
        <f>SUM(F26+C26)</f>
        <v>0</v>
      </c>
      <c r="J26" s="106">
        <f t="shared" si="14"/>
        <v>1504</v>
      </c>
      <c r="K26" s="106">
        <f t="shared" si="14"/>
        <v>1504</v>
      </c>
    </row>
    <row r="27" spans="1:11" s="119" customFormat="1" ht="31.5" x14ac:dyDescent="0.25">
      <c r="A27" s="116" t="s">
        <v>1393</v>
      </c>
      <c r="B27" s="116" t="s">
        <v>435</v>
      </c>
      <c r="C27" s="117">
        <f>SUM(C25:C26)</f>
        <v>1800000</v>
      </c>
      <c r="D27" s="117">
        <f>SUM(D25:D26)</f>
        <v>10049</v>
      </c>
      <c r="E27" s="117">
        <f>SUM(E25:E26)</f>
        <v>1810049</v>
      </c>
      <c r="F27" s="117">
        <f t="shared" ref="F27:H27" si="15">SUM(F25:F25)</f>
        <v>0</v>
      </c>
      <c r="G27" s="117">
        <f t="shared" si="15"/>
        <v>0</v>
      </c>
      <c r="H27" s="117">
        <f t="shared" si="15"/>
        <v>0</v>
      </c>
      <c r="I27" s="117">
        <f>SUM(I25:I26)</f>
        <v>1800000</v>
      </c>
      <c r="J27" s="117">
        <f>SUM(J25:J26)</f>
        <v>10049</v>
      </c>
      <c r="K27" s="117">
        <f>SUM(K25:K26)</f>
        <v>1810049</v>
      </c>
    </row>
    <row r="28" spans="1:11" x14ac:dyDescent="0.25">
      <c r="A28" s="110" t="s">
        <v>679</v>
      </c>
      <c r="B28" s="110" t="s">
        <v>436</v>
      </c>
      <c r="C28" s="115">
        <v>12700000</v>
      </c>
      <c r="D28" s="115">
        <v>2422307</v>
      </c>
      <c r="E28" s="115">
        <f>SUM(C28:D28)</f>
        <v>15122307</v>
      </c>
      <c r="F28" s="115">
        <v>0</v>
      </c>
      <c r="G28" s="115"/>
      <c r="H28" s="115">
        <f>SUM(F28:G28)</f>
        <v>0</v>
      </c>
      <c r="I28" s="106">
        <f>SUM(F28+C28)</f>
        <v>12700000</v>
      </c>
      <c r="J28" s="106">
        <f t="shared" ref="J28:K28" si="16">SUM(G28+D28)</f>
        <v>2422307</v>
      </c>
      <c r="K28" s="106">
        <f t="shared" si="16"/>
        <v>15122307</v>
      </c>
    </row>
    <row r="29" spans="1:11" s="136" customFormat="1" x14ac:dyDescent="0.25">
      <c r="A29" s="116" t="s">
        <v>680</v>
      </c>
      <c r="B29" s="116" t="s">
        <v>436</v>
      </c>
      <c r="C29" s="117">
        <f>SUM(C28)</f>
        <v>12700000</v>
      </c>
      <c r="D29" s="117">
        <f t="shared" ref="D29:H29" si="17">SUM(D28)</f>
        <v>2422307</v>
      </c>
      <c r="E29" s="117">
        <f t="shared" si="17"/>
        <v>15122307</v>
      </c>
      <c r="F29" s="117">
        <f t="shared" si="17"/>
        <v>0</v>
      </c>
      <c r="G29" s="117">
        <f t="shared" si="17"/>
        <v>0</v>
      </c>
      <c r="H29" s="117">
        <f t="shared" si="17"/>
        <v>0</v>
      </c>
      <c r="I29" s="117">
        <f>SUM(I28)</f>
        <v>12700000</v>
      </c>
      <c r="J29" s="117">
        <f t="shared" ref="J29:K29" si="18">SUM(J28)</f>
        <v>2422307</v>
      </c>
      <c r="K29" s="117">
        <f t="shared" si="18"/>
        <v>15122307</v>
      </c>
    </row>
    <row r="30" spans="1:11" s="136" customFormat="1" x14ac:dyDescent="0.25">
      <c r="A30" s="116" t="s">
        <v>681</v>
      </c>
      <c r="B30" s="116" t="s">
        <v>437</v>
      </c>
      <c r="C30" s="117">
        <v>350000</v>
      </c>
      <c r="D30" s="117">
        <v>14709</v>
      </c>
      <c r="E30" s="117">
        <f>SUM(C30:D30)</f>
        <v>364709</v>
      </c>
      <c r="F30" s="124">
        <v>0</v>
      </c>
      <c r="G30" s="124"/>
      <c r="H30" s="124">
        <f>SUM(F30:G30)</f>
        <v>0</v>
      </c>
      <c r="I30" s="117">
        <f>SUM(F30+C30)</f>
        <v>350000</v>
      </c>
      <c r="J30" s="117">
        <f t="shared" ref="J30:K32" si="19">SUM(G30+D30)</f>
        <v>14709</v>
      </c>
      <c r="K30" s="117">
        <f t="shared" si="19"/>
        <v>364709</v>
      </c>
    </row>
    <row r="31" spans="1:11" s="109" customFormat="1" x14ac:dyDescent="0.25">
      <c r="A31" s="110" t="s">
        <v>682</v>
      </c>
      <c r="B31" s="110" t="s">
        <v>438</v>
      </c>
      <c r="C31" s="105">
        <v>10000</v>
      </c>
      <c r="D31" s="105">
        <v>-10000</v>
      </c>
      <c r="E31" s="105">
        <f>SUM(C31:D31)</f>
        <v>0</v>
      </c>
      <c r="F31" s="105">
        <v>0</v>
      </c>
      <c r="G31" s="105"/>
      <c r="H31" s="105">
        <f>SUM(F31:G31)</f>
        <v>0</v>
      </c>
      <c r="I31" s="105">
        <f>SUM(F31+C31)</f>
        <v>10000</v>
      </c>
      <c r="J31" s="105">
        <f t="shared" si="19"/>
        <v>-10000</v>
      </c>
      <c r="K31" s="105">
        <f t="shared" si="19"/>
        <v>0</v>
      </c>
    </row>
    <row r="32" spans="1:11" x14ac:dyDescent="0.25">
      <c r="A32" s="110" t="s">
        <v>683</v>
      </c>
      <c r="B32" s="110" t="s">
        <v>438</v>
      </c>
      <c r="C32" s="115">
        <v>46000</v>
      </c>
      <c r="D32" s="115">
        <v>16043</v>
      </c>
      <c r="E32" s="105">
        <f>SUM(C32:D32)</f>
        <v>62043</v>
      </c>
      <c r="F32" s="115">
        <v>0</v>
      </c>
      <c r="G32" s="115"/>
      <c r="H32" s="115">
        <f>SUM(F32:G32)</f>
        <v>0</v>
      </c>
      <c r="I32" s="106">
        <f>SUM(F32+C32)</f>
        <v>46000</v>
      </c>
      <c r="J32" s="106">
        <f t="shared" si="19"/>
        <v>16043</v>
      </c>
      <c r="K32" s="106">
        <f t="shared" si="19"/>
        <v>62043</v>
      </c>
    </row>
    <row r="33" spans="1:11" s="136" customFormat="1" ht="31.5" x14ac:dyDescent="0.25">
      <c r="A33" s="116" t="s">
        <v>684</v>
      </c>
      <c r="B33" s="116" t="s">
        <v>438</v>
      </c>
      <c r="C33" s="117">
        <f>SUM(C31:C32)</f>
        <v>56000</v>
      </c>
      <c r="D33" s="117">
        <f t="shared" ref="D33:H33" si="20">SUM(D31:D32)</f>
        <v>6043</v>
      </c>
      <c r="E33" s="117">
        <f t="shared" si="20"/>
        <v>62043</v>
      </c>
      <c r="F33" s="117">
        <f t="shared" si="20"/>
        <v>0</v>
      </c>
      <c r="G33" s="117">
        <f t="shared" si="20"/>
        <v>0</v>
      </c>
      <c r="H33" s="117">
        <f t="shared" si="20"/>
        <v>0</v>
      </c>
      <c r="I33" s="117">
        <f>SUM(I31:I32)</f>
        <v>56000</v>
      </c>
      <c r="J33" s="117">
        <f t="shared" ref="J33:K33" si="21">SUM(J31:J32)</f>
        <v>6043</v>
      </c>
      <c r="K33" s="117">
        <f t="shared" si="21"/>
        <v>62043</v>
      </c>
    </row>
    <row r="34" spans="1:11" s="136" customFormat="1" ht="31.5" x14ac:dyDescent="0.25">
      <c r="A34" s="116" t="s">
        <v>685</v>
      </c>
      <c r="B34" s="116" t="s">
        <v>439</v>
      </c>
      <c r="C34" s="117">
        <f>SUM(C33+C30+C29)</f>
        <v>13106000</v>
      </c>
      <c r="D34" s="117">
        <f t="shared" ref="D34:H34" si="22">SUM(D33+D30+D29)</f>
        <v>2443059</v>
      </c>
      <c r="E34" s="117">
        <f t="shared" si="22"/>
        <v>15549059</v>
      </c>
      <c r="F34" s="117">
        <f t="shared" si="22"/>
        <v>0</v>
      </c>
      <c r="G34" s="117">
        <f t="shared" si="22"/>
        <v>0</v>
      </c>
      <c r="H34" s="117">
        <f t="shared" si="22"/>
        <v>0</v>
      </c>
      <c r="I34" s="117">
        <f>SUM(I33+I30+I29)</f>
        <v>13106000</v>
      </c>
      <c r="J34" s="117">
        <f t="shared" ref="J34:K34" si="23">SUM(J33+J30+J29)</f>
        <v>2443059</v>
      </c>
      <c r="K34" s="117">
        <f t="shared" si="23"/>
        <v>15549059</v>
      </c>
    </row>
    <row r="35" spans="1:11" s="109" customFormat="1" x14ac:dyDescent="0.25">
      <c r="A35" s="110" t="s">
        <v>686</v>
      </c>
      <c r="B35" s="110" t="s">
        <v>440</v>
      </c>
      <c r="C35" s="112">
        <v>0</v>
      </c>
      <c r="D35" s="112"/>
      <c r="E35" s="112">
        <f>SUM(C35:D35)</f>
        <v>0</v>
      </c>
      <c r="F35" s="112">
        <v>989</v>
      </c>
      <c r="G35" s="112">
        <v>-959</v>
      </c>
      <c r="H35" s="112">
        <f>SUM(F35:G35)</f>
        <v>30</v>
      </c>
      <c r="I35" s="105">
        <f t="shared" ref="I35:I42" si="24">SUM(F35+C35)</f>
        <v>989</v>
      </c>
      <c r="J35" s="105">
        <f t="shared" ref="J35:K42" si="25">SUM(G35+D35)</f>
        <v>-959</v>
      </c>
      <c r="K35" s="105">
        <f t="shared" si="25"/>
        <v>30</v>
      </c>
    </row>
    <row r="36" spans="1:11" s="109" customFormat="1" x14ac:dyDescent="0.25">
      <c r="A36" s="110" t="s">
        <v>687</v>
      </c>
      <c r="B36" s="110" t="s">
        <v>440</v>
      </c>
      <c r="C36" s="105">
        <v>714</v>
      </c>
      <c r="D36" s="105">
        <v>-346</v>
      </c>
      <c r="E36" s="112">
        <f t="shared" ref="E36:E42" si="26">SUM(C36:D36)</f>
        <v>368</v>
      </c>
      <c r="F36" s="105">
        <v>0</v>
      </c>
      <c r="G36" s="105"/>
      <c r="H36" s="112">
        <f t="shared" ref="H36:H42" si="27">SUM(F36:G36)</f>
        <v>0</v>
      </c>
      <c r="I36" s="105">
        <f t="shared" si="24"/>
        <v>714</v>
      </c>
      <c r="J36" s="105">
        <f t="shared" si="25"/>
        <v>-346</v>
      </c>
      <c r="K36" s="105">
        <f t="shared" si="25"/>
        <v>368</v>
      </c>
    </row>
    <row r="37" spans="1:11" s="109" customFormat="1" x14ac:dyDescent="0.25">
      <c r="A37" s="110" t="s">
        <v>688</v>
      </c>
      <c r="B37" s="110" t="s">
        <v>440</v>
      </c>
      <c r="C37" s="105">
        <v>0</v>
      </c>
      <c r="D37" s="105"/>
      <c r="E37" s="112">
        <f t="shared" si="26"/>
        <v>0</v>
      </c>
      <c r="F37" s="105">
        <v>0</v>
      </c>
      <c r="G37" s="105"/>
      <c r="H37" s="112">
        <f t="shared" si="27"/>
        <v>0</v>
      </c>
      <c r="I37" s="105">
        <f t="shared" si="24"/>
        <v>0</v>
      </c>
      <c r="J37" s="105">
        <f t="shared" si="25"/>
        <v>0</v>
      </c>
      <c r="K37" s="105">
        <f t="shared" si="25"/>
        <v>0</v>
      </c>
    </row>
    <row r="38" spans="1:11" s="109" customFormat="1" x14ac:dyDescent="0.25">
      <c r="A38" s="110" t="s">
        <v>689</v>
      </c>
      <c r="B38" s="110" t="s">
        <v>440</v>
      </c>
      <c r="C38" s="105">
        <v>50000</v>
      </c>
      <c r="D38" s="105">
        <v>13958</v>
      </c>
      <c r="E38" s="112">
        <f t="shared" si="26"/>
        <v>63958</v>
      </c>
      <c r="F38" s="105">
        <v>0</v>
      </c>
      <c r="G38" s="105"/>
      <c r="H38" s="112">
        <f t="shared" si="27"/>
        <v>0</v>
      </c>
      <c r="I38" s="105">
        <f t="shared" si="24"/>
        <v>50000</v>
      </c>
      <c r="J38" s="105">
        <f t="shared" si="25"/>
        <v>13958</v>
      </c>
      <c r="K38" s="105">
        <f t="shared" si="25"/>
        <v>63958</v>
      </c>
    </row>
    <row r="39" spans="1:11" s="109" customFormat="1" ht="31.5" x14ac:dyDescent="0.25">
      <c r="A39" s="110" t="s">
        <v>690</v>
      </c>
      <c r="B39" s="110" t="s">
        <v>440</v>
      </c>
      <c r="C39" s="105">
        <v>85146</v>
      </c>
      <c r="D39" s="105">
        <v>15863</v>
      </c>
      <c r="E39" s="112">
        <f t="shared" si="26"/>
        <v>101009</v>
      </c>
      <c r="F39" s="105">
        <v>0</v>
      </c>
      <c r="G39" s="105"/>
      <c r="H39" s="112">
        <f t="shared" si="27"/>
        <v>0</v>
      </c>
      <c r="I39" s="105">
        <f t="shared" si="24"/>
        <v>85146</v>
      </c>
      <c r="J39" s="105">
        <f t="shared" si="25"/>
        <v>15863</v>
      </c>
      <c r="K39" s="105">
        <f t="shared" si="25"/>
        <v>101009</v>
      </c>
    </row>
    <row r="40" spans="1:11" s="109" customFormat="1" x14ac:dyDescent="0.25">
      <c r="A40" s="110" t="s">
        <v>1394</v>
      </c>
      <c r="B40" s="110" t="s">
        <v>440</v>
      </c>
      <c r="C40" s="105">
        <v>0</v>
      </c>
      <c r="D40" s="105">
        <v>129</v>
      </c>
      <c r="E40" s="112">
        <f t="shared" si="26"/>
        <v>129</v>
      </c>
      <c r="F40" s="105">
        <v>0</v>
      </c>
      <c r="G40" s="105"/>
      <c r="H40" s="112">
        <f t="shared" si="27"/>
        <v>0</v>
      </c>
      <c r="I40" s="105">
        <f t="shared" si="24"/>
        <v>0</v>
      </c>
      <c r="J40" s="105">
        <f t="shared" si="25"/>
        <v>129</v>
      </c>
      <c r="K40" s="105">
        <f t="shared" si="25"/>
        <v>129</v>
      </c>
    </row>
    <row r="41" spans="1:11" s="109" customFormat="1" x14ac:dyDescent="0.25">
      <c r="A41" s="110" t="s">
        <v>1395</v>
      </c>
      <c r="B41" s="110" t="s">
        <v>440</v>
      </c>
      <c r="C41" s="105">
        <v>0</v>
      </c>
      <c r="D41" s="105">
        <v>13795</v>
      </c>
      <c r="E41" s="112">
        <f t="shared" si="26"/>
        <v>13795</v>
      </c>
      <c r="F41" s="105">
        <v>0</v>
      </c>
      <c r="G41" s="105">
        <v>70</v>
      </c>
      <c r="H41" s="112">
        <f t="shared" si="27"/>
        <v>70</v>
      </c>
      <c r="I41" s="105">
        <f t="shared" si="24"/>
        <v>0</v>
      </c>
      <c r="J41" s="105">
        <f t="shared" si="25"/>
        <v>13865</v>
      </c>
      <c r="K41" s="105">
        <f t="shared" si="25"/>
        <v>13865</v>
      </c>
    </row>
    <row r="42" spans="1:11" s="109" customFormat="1" x14ac:dyDescent="0.25">
      <c r="A42" s="110" t="s">
        <v>691</v>
      </c>
      <c r="B42" s="110" t="s">
        <v>440</v>
      </c>
      <c r="C42" s="105">
        <v>5000</v>
      </c>
      <c r="D42" s="105">
        <v>-2878</v>
      </c>
      <c r="E42" s="112">
        <f t="shared" si="26"/>
        <v>2122</v>
      </c>
      <c r="F42" s="105">
        <v>0</v>
      </c>
      <c r="G42" s="105">
        <v>1181</v>
      </c>
      <c r="H42" s="112">
        <f t="shared" si="27"/>
        <v>1181</v>
      </c>
      <c r="I42" s="105">
        <f t="shared" si="24"/>
        <v>5000</v>
      </c>
      <c r="J42" s="105">
        <f t="shared" si="25"/>
        <v>-1697</v>
      </c>
      <c r="K42" s="105">
        <f t="shared" si="25"/>
        <v>3303</v>
      </c>
    </row>
    <row r="43" spans="1:11" s="136" customFormat="1" ht="31.5" x14ac:dyDescent="0.25">
      <c r="A43" s="116" t="s">
        <v>1396</v>
      </c>
      <c r="B43" s="116" t="s">
        <v>440</v>
      </c>
      <c r="C43" s="117">
        <f>SUM(C35:C42)</f>
        <v>140860</v>
      </c>
      <c r="D43" s="117">
        <f t="shared" ref="D43:H43" si="28">SUM(D35:D42)</f>
        <v>40521</v>
      </c>
      <c r="E43" s="117">
        <f t="shared" si="28"/>
        <v>181381</v>
      </c>
      <c r="F43" s="117">
        <f t="shared" si="28"/>
        <v>989</v>
      </c>
      <c r="G43" s="117">
        <f t="shared" si="28"/>
        <v>292</v>
      </c>
      <c r="H43" s="117">
        <f t="shared" si="28"/>
        <v>1281</v>
      </c>
      <c r="I43" s="117">
        <f>SUM(I35:I42)</f>
        <v>141849</v>
      </c>
      <c r="J43" s="117">
        <f t="shared" ref="J43:K43" si="29">SUM(J35:J42)</f>
        <v>40813</v>
      </c>
      <c r="K43" s="117">
        <f t="shared" si="29"/>
        <v>182662</v>
      </c>
    </row>
    <row r="44" spans="1:11" s="109" customFormat="1" ht="31.5" x14ac:dyDescent="0.25">
      <c r="A44" s="107" t="s">
        <v>692</v>
      </c>
      <c r="B44" s="107" t="s">
        <v>358</v>
      </c>
      <c r="C44" s="108">
        <f>SUM(C24+C27+C34+C43)</f>
        <v>15047060</v>
      </c>
      <c r="D44" s="108">
        <f t="shared" ref="D44:H44" si="30">SUM(D24+D27+D34+D43)</f>
        <v>2493598</v>
      </c>
      <c r="E44" s="108">
        <f t="shared" si="30"/>
        <v>17540658</v>
      </c>
      <c r="F44" s="108">
        <f t="shared" si="30"/>
        <v>989</v>
      </c>
      <c r="G44" s="108">
        <f t="shared" si="30"/>
        <v>292</v>
      </c>
      <c r="H44" s="108">
        <f t="shared" si="30"/>
        <v>1281</v>
      </c>
      <c r="I44" s="108">
        <f>SUM(I24+I27+I34+I43)</f>
        <v>15048049</v>
      </c>
      <c r="J44" s="108">
        <f t="shared" ref="J44:K44" si="31">SUM(J24+J27+J34+J43)</f>
        <v>2493890</v>
      </c>
      <c r="K44" s="108">
        <f t="shared" si="31"/>
        <v>17541939</v>
      </c>
    </row>
    <row r="45" spans="1:11" s="109" customFormat="1" x14ac:dyDescent="0.25">
      <c r="A45" s="107" t="s">
        <v>693</v>
      </c>
      <c r="B45" s="107" t="s">
        <v>359</v>
      </c>
      <c r="C45" s="108">
        <v>3592148</v>
      </c>
      <c r="D45" s="108">
        <v>-1708243</v>
      </c>
      <c r="E45" s="108">
        <f>SUM(C45:D45)</f>
        <v>1883905</v>
      </c>
      <c r="F45" s="108">
        <v>1642684</v>
      </c>
      <c r="G45" s="108">
        <v>118204</v>
      </c>
      <c r="H45" s="108">
        <f>SUM(F45:G45)</f>
        <v>1760888</v>
      </c>
      <c r="I45" s="108">
        <f t="shared" ref="I45:K46" si="32">SUM(C45+F45)</f>
        <v>5234832</v>
      </c>
      <c r="J45" s="108">
        <f t="shared" si="32"/>
        <v>-1590039</v>
      </c>
      <c r="K45" s="108">
        <f t="shared" si="32"/>
        <v>3644793</v>
      </c>
    </row>
    <row r="46" spans="1:11" s="109" customFormat="1" x14ac:dyDescent="0.25">
      <c r="A46" s="110" t="s">
        <v>449</v>
      </c>
      <c r="B46" s="110" t="s">
        <v>441</v>
      </c>
      <c r="C46" s="112">
        <v>388859</v>
      </c>
      <c r="D46" s="112">
        <v>11748</v>
      </c>
      <c r="E46" s="112">
        <f>SUM(C46:D46)</f>
        <v>400607</v>
      </c>
      <c r="F46" s="725">
        <v>0</v>
      </c>
      <c r="G46" s="726"/>
      <c r="H46" s="726">
        <f>SUM(F46:G46)</f>
        <v>0</v>
      </c>
      <c r="I46" s="113">
        <f t="shared" si="32"/>
        <v>388859</v>
      </c>
      <c r="J46" s="113">
        <f t="shared" si="32"/>
        <v>11748</v>
      </c>
      <c r="K46" s="113">
        <f t="shared" si="32"/>
        <v>400607</v>
      </c>
    </row>
    <row r="47" spans="1:11" s="109" customFormat="1" ht="31.5" x14ac:dyDescent="0.25">
      <c r="A47" s="329" t="s">
        <v>450</v>
      </c>
      <c r="B47" s="110" t="s">
        <v>451</v>
      </c>
      <c r="C47" s="105">
        <v>2634801</v>
      </c>
      <c r="D47" s="105">
        <v>-1958958</v>
      </c>
      <c r="E47" s="112">
        <f t="shared" ref="E47:E51" si="33">SUM(C47:D47)</f>
        <v>675843</v>
      </c>
      <c r="F47" s="105">
        <v>486954</v>
      </c>
      <c r="G47" s="104">
        <v>28999</v>
      </c>
      <c r="H47" s="726">
        <f t="shared" ref="H47:H51" si="34">SUM(F47:G47)</f>
        <v>515953</v>
      </c>
      <c r="I47" s="113">
        <f t="shared" ref="I47:K51" si="35">SUM(C47+F47)</f>
        <v>3121755</v>
      </c>
      <c r="J47" s="113">
        <f t="shared" si="35"/>
        <v>-1929959</v>
      </c>
      <c r="K47" s="113">
        <f t="shared" si="35"/>
        <v>1191796</v>
      </c>
    </row>
    <row r="48" spans="1:11" x14ac:dyDescent="0.25">
      <c r="A48" s="328" t="s">
        <v>452</v>
      </c>
      <c r="B48" s="110" t="s">
        <v>442</v>
      </c>
      <c r="C48" s="105">
        <v>100000</v>
      </c>
      <c r="D48" s="105">
        <v>105789</v>
      </c>
      <c r="E48" s="112">
        <f t="shared" si="33"/>
        <v>205789</v>
      </c>
      <c r="F48" s="105">
        <v>682</v>
      </c>
      <c r="G48" s="104">
        <v>33</v>
      </c>
      <c r="H48" s="726">
        <f t="shared" si="34"/>
        <v>715</v>
      </c>
      <c r="I48" s="113">
        <f t="shared" si="35"/>
        <v>100682</v>
      </c>
      <c r="J48" s="113">
        <f t="shared" si="35"/>
        <v>105822</v>
      </c>
      <c r="K48" s="113">
        <f t="shared" si="35"/>
        <v>206504</v>
      </c>
    </row>
    <row r="49" spans="1:11" ht="30.75" customHeight="1" x14ac:dyDescent="0.25">
      <c r="A49" s="133" t="s">
        <v>694</v>
      </c>
      <c r="B49" s="133" t="s">
        <v>443</v>
      </c>
      <c r="C49" s="134">
        <v>145010</v>
      </c>
      <c r="D49" s="134">
        <v>58674</v>
      </c>
      <c r="E49" s="112">
        <f t="shared" si="33"/>
        <v>203684</v>
      </c>
      <c r="F49" s="134">
        <v>0</v>
      </c>
      <c r="G49" s="134"/>
      <c r="H49" s="726">
        <f t="shared" si="34"/>
        <v>0</v>
      </c>
      <c r="I49" s="113">
        <f t="shared" si="35"/>
        <v>145010</v>
      </c>
      <c r="J49" s="113">
        <f t="shared" si="35"/>
        <v>58674</v>
      </c>
      <c r="K49" s="113">
        <f t="shared" si="35"/>
        <v>203684</v>
      </c>
    </row>
    <row r="50" spans="1:11" x14ac:dyDescent="0.25">
      <c r="A50" s="133" t="s">
        <v>1397</v>
      </c>
      <c r="B50" s="133" t="s">
        <v>1398</v>
      </c>
      <c r="C50" s="134">
        <v>0</v>
      </c>
      <c r="D50" s="134">
        <v>468</v>
      </c>
      <c r="E50" s="112">
        <f t="shared" si="33"/>
        <v>468</v>
      </c>
      <c r="F50" s="134">
        <v>0</v>
      </c>
      <c r="G50" s="134">
        <v>22</v>
      </c>
      <c r="H50" s="726">
        <f t="shared" si="34"/>
        <v>22</v>
      </c>
      <c r="I50" s="113">
        <f t="shared" si="35"/>
        <v>0</v>
      </c>
      <c r="J50" s="113">
        <f t="shared" si="35"/>
        <v>490</v>
      </c>
      <c r="K50" s="113">
        <f t="shared" si="35"/>
        <v>490</v>
      </c>
    </row>
    <row r="51" spans="1:11" ht="31.5" x14ac:dyDescent="0.25">
      <c r="A51" s="133" t="s">
        <v>1399</v>
      </c>
      <c r="B51" s="133" t="s">
        <v>1400</v>
      </c>
      <c r="C51" s="134">
        <v>0</v>
      </c>
      <c r="D51" s="134">
        <v>22838</v>
      </c>
      <c r="E51" s="112">
        <f t="shared" si="33"/>
        <v>22838</v>
      </c>
      <c r="F51" s="134">
        <v>0</v>
      </c>
      <c r="G51" s="134"/>
      <c r="H51" s="726">
        <f t="shared" si="34"/>
        <v>0</v>
      </c>
      <c r="I51" s="113">
        <f t="shared" si="35"/>
        <v>0</v>
      </c>
      <c r="J51" s="113">
        <f t="shared" si="35"/>
        <v>22838</v>
      </c>
      <c r="K51" s="113">
        <f t="shared" si="35"/>
        <v>22838</v>
      </c>
    </row>
    <row r="52" spans="1:11" s="109" customFormat="1" ht="31.5" x14ac:dyDescent="0.25">
      <c r="A52" s="331" t="s">
        <v>1401</v>
      </c>
      <c r="B52" s="331" t="s">
        <v>360</v>
      </c>
      <c r="C52" s="106">
        <f t="shared" ref="C52:K52" si="36">SUM(C49:C51)</f>
        <v>145010</v>
      </c>
      <c r="D52" s="106">
        <f t="shared" si="36"/>
        <v>81980</v>
      </c>
      <c r="E52" s="106">
        <f t="shared" si="36"/>
        <v>226990</v>
      </c>
      <c r="F52" s="106">
        <f t="shared" si="36"/>
        <v>0</v>
      </c>
      <c r="G52" s="106">
        <f t="shared" si="36"/>
        <v>22</v>
      </c>
      <c r="H52" s="106">
        <f t="shared" si="36"/>
        <v>22</v>
      </c>
      <c r="I52" s="106">
        <f t="shared" si="36"/>
        <v>145010</v>
      </c>
      <c r="J52" s="106">
        <f t="shared" si="36"/>
        <v>82002</v>
      </c>
      <c r="K52" s="106">
        <f t="shared" si="36"/>
        <v>227012</v>
      </c>
    </row>
    <row r="53" spans="1:11" s="109" customFormat="1" x14ac:dyDescent="0.25">
      <c r="A53" s="128" t="s">
        <v>737</v>
      </c>
      <c r="B53" s="128" t="s">
        <v>361</v>
      </c>
      <c r="C53" s="130">
        <v>153182</v>
      </c>
      <c r="D53" s="130">
        <v>-106450</v>
      </c>
      <c r="E53" s="130">
        <f>SUM(C53:D53)</f>
        <v>46732</v>
      </c>
      <c r="F53" s="130">
        <v>180202</v>
      </c>
      <c r="G53" s="130">
        <v>26703</v>
      </c>
      <c r="H53" s="130">
        <f>SUM(F53:G53)</f>
        <v>206905</v>
      </c>
      <c r="I53" s="106">
        <f>SUM(C53+F53)</f>
        <v>333384</v>
      </c>
      <c r="J53" s="106">
        <f t="shared" ref="J53:K54" si="37">SUM(D53+G53)</f>
        <v>-79747</v>
      </c>
      <c r="K53" s="106">
        <f t="shared" si="37"/>
        <v>253637</v>
      </c>
    </row>
    <row r="54" spans="1:11" s="109" customFormat="1" ht="16.5" thickBot="1" x14ac:dyDescent="0.3">
      <c r="A54" s="141" t="s">
        <v>738</v>
      </c>
      <c r="B54" s="141" t="s">
        <v>362</v>
      </c>
      <c r="C54" s="363">
        <v>461430</v>
      </c>
      <c r="D54" s="363">
        <v>-244071</v>
      </c>
      <c r="E54" s="130">
        <f>SUM(C54:D54)</f>
        <v>217359</v>
      </c>
      <c r="F54" s="363">
        <v>0</v>
      </c>
      <c r="G54" s="363">
        <v>2235</v>
      </c>
      <c r="H54" s="130">
        <f>SUM(F54:G54)</f>
        <v>2235</v>
      </c>
      <c r="I54" s="140">
        <f>SUM(C54+F54)</f>
        <v>461430</v>
      </c>
      <c r="J54" s="140">
        <f t="shared" si="37"/>
        <v>-241836</v>
      </c>
      <c r="K54" s="140">
        <f t="shared" si="37"/>
        <v>219594</v>
      </c>
    </row>
    <row r="55" spans="1:11" s="109" customFormat="1" ht="33" thickTop="1" thickBot="1" x14ac:dyDescent="0.3">
      <c r="A55" s="142" t="s">
        <v>1067</v>
      </c>
      <c r="B55" s="142"/>
      <c r="C55" s="145">
        <f>SUM(C53+C45+C44+C19)</f>
        <v>23276082</v>
      </c>
      <c r="D55" s="145">
        <f t="shared" ref="D55:H55" si="38">SUM(D53+D45+D44+D19)</f>
        <v>656557</v>
      </c>
      <c r="E55" s="145">
        <f t="shared" si="38"/>
        <v>23932639</v>
      </c>
      <c r="F55" s="145">
        <f t="shared" si="38"/>
        <v>2954836</v>
      </c>
      <c r="G55" s="145">
        <f t="shared" si="38"/>
        <v>459754</v>
      </c>
      <c r="H55" s="145">
        <f t="shared" si="38"/>
        <v>3414590</v>
      </c>
      <c r="I55" s="145">
        <f>SUM(I53+I45+I44+I19)</f>
        <v>26230918</v>
      </c>
      <c r="J55" s="145">
        <f t="shared" ref="J55:K55" si="39">SUM(J53+J45+J44+J19)</f>
        <v>1116311</v>
      </c>
      <c r="K55" s="145">
        <f t="shared" si="39"/>
        <v>27347229</v>
      </c>
    </row>
    <row r="56" spans="1:11" s="109" customFormat="1" ht="33" thickTop="1" thickBot="1" x14ac:dyDescent="0.3">
      <c r="A56" s="142" t="s">
        <v>1068</v>
      </c>
      <c r="B56" s="142"/>
      <c r="C56" s="145">
        <f>SUM(C22+C54+C52)</f>
        <v>17357963</v>
      </c>
      <c r="D56" s="145">
        <f t="shared" ref="D56:H56" si="40">SUM(D22+D54+D52)</f>
        <v>-6536678</v>
      </c>
      <c r="E56" s="145">
        <f t="shared" si="40"/>
        <v>10821285</v>
      </c>
      <c r="F56" s="145">
        <f t="shared" si="40"/>
        <v>0</v>
      </c>
      <c r="G56" s="145">
        <f t="shared" si="40"/>
        <v>2257</v>
      </c>
      <c r="H56" s="145">
        <f t="shared" si="40"/>
        <v>2257</v>
      </c>
      <c r="I56" s="145">
        <f>SUM(I22+I54+I52)</f>
        <v>17357963</v>
      </c>
      <c r="J56" s="145">
        <f t="shared" ref="J56:K56" si="41">SUM(J22+J54+J52)</f>
        <v>-6534421</v>
      </c>
      <c r="K56" s="145">
        <f t="shared" si="41"/>
        <v>10823542</v>
      </c>
    </row>
    <row r="57" spans="1:11" ht="33" thickTop="1" thickBot="1" x14ac:dyDescent="0.3">
      <c r="A57" s="142" t="s">
        <v>1069</v>
      </c>
      <c r="B57" s="142" t="s">
        <v>612</v>
      </c>
      <c r="C57" s="132">
        <f>SUM(C55+C56)</f>
        <v>40634045</v>
      </c>
      <c r="D57" s="132">
        <f t="shared" ref="D57:H57" si="42">SUM(D55+D56)</f>
        <v>-5880121</v>
      </c>
      <c r="E57" s="132">
        <f t="shared" si="42"/>
        <v>34753924</v>
      </c>
      <c r="F57" s="132">
        <f t="shared" si="42"/>
        <v>2954836</v>
      </c>
      <c r="G57" s="132">
        <f t="shared" si="42"/>
        <v>462011</v>
      </c>
      <c r="H57" s="132">
        <f t="shared" si="42"/>
        <v>3416847</v>
      </c>
      <c r="I57" s="132">
        <f>SUM(I55+I56)</f>
        <v>43588881</v>
      </c>
      <c r="J57" s="132">
        <f t="shared" ref="J57:K57" si="43">SUM(J55+J56)</f>
        <v>-5418110</v>
      </c>
      <c r="K57" s="132">
        <f t="shared" si="43"/>
        <v>38170771</v>
      </c>
    </row>
    <row r="58" spans="1:11" ht="15.75" customHeight="1" thickTop="1" thickBot="1" x14ac:dyDescent="0.3">
      <c r="A58" s="147"/>
      <c r="B58" s="326"/>
      <c r="C58" s="148"/>
      <c r="D58" s="148"/>
      <c r="E58" s="148"/>
      <c r="F58" s="148"/>
      <c r="G58" s="148"/>
      <c r="H58" s="148"/>
      <c r="I58" s="149"/>
      <c r="J58" s="149"/>
      <c r="K58" s="149"/>
    </row>
    <row r="59" spans="1:11" ht="32.25" thickTop="1" x14ac:dyDescent="0.25">
      <c r="A59" s="150" t="s">
        <v>699</v>
      </c>
      <c r="B59" s="150"/>
      <c r="C59" s="556">
        <f>SUM(C60-C61)</f>
        <v>-353284</v>
      </c>
      <c r="D59" s="557">
        <f t="shared" ref="D59:H59" si="44">SUM(D60-D61)</f>
        <v>24638</v>
      </c>
      <c r="E59" s="556">
        <f t="shared" si="44"/>
        <v>-328646</v>
      </c>
      <c r="F59" s="727">
        <f t="shared" si="44"/>
        <v>-10245455</v>
      </c>
      <c r="G59" s="557">
        <f t="shared" si="44"/>
        <v>-152028</v>
      </c>
      <c r="H59" s="568">
        <f t="shared" si="44"/>
        <v>-10397483</v>
      </c>
      <c r="I59" s="728">
        <f>SUM(I60-I61)</f>
        <v>-10598739</v>
      </c>
      <c r="J59" s="568">
        <f t="shared" ref="J59:K59" si="45">SUM(J60-J61)</f>
        <v>-127390</v>
      </c>
      <c r="K59" s="568">
        <f t="shared" si="45"/>
        <v>-10726129</v>
      </c>
    </row>
    <row r="60" spans="1:11" s="119" customFormat="1" x14ac:dyDescent="0.25">
      <c r="A60" s="530" t="s">
        <v>475</v>
      </c>
      <c r="B60" s="530" t="s">
        <v>612</v>
      </c>
      <c r="C60" s="558">
        <f>SUM(C57)</f>
        <v>40634045</v>
      </c>
      <c r="D60" s="559">
        <f t="shared" ref="D60:H60" si="46">SUM(D57)</f>
        <v>-5880121</v>
      </c>
      <c r="E60" s="569">
        <f t="shared" si="46"/>
        <v>34753924</v>
      </c>
      <c r="F60" s="558">
        <f t="shared" si="46"/>
        <v>2954836</v>
      </c>
      <c r="G60" s="559">
        <f t="shared" si="46"/>
        <v>462011</v>
      </c>
      <c r="H60" s="569">
        <f t="shared" si="46"/>
        <v>3416847</v>
      </c>
      <c r="I60" s="729">
        <f>SUM(I57)</f>
        <v>43588881</v>
      </c>
      <c r="J60" s="569">
        <f t="shared" ref="J60:K60" si="47">SUM(J57)</f>
        <v>-5418110</v>
      </c>
      <c r="K60" s="569">
        <f t="shared" si="47"/>
        <v>38170771</v>
      </c>
    </row>
    <row r="61" spans="1:11" s="119" customFormat="1" x14ac:dyDescent="0.25">
      <c r="A61" s="530" t="s">
        <v>476</v>
      </c>
      <c r="B61" s="530" t="s">
        <v>608</v>
      </c>
      <c r="C61" s="560">
        <f>'4 kiadás(szűkített)'!C22</f>
        <v>40987329</v>
      </c>
      <c r="D61" s="561">
        <f>'4 kiadás(szűkített)'!D22</f>
        <v>-5904759</v>
      </c>
      <c r="E61" s="570">
        <f>'4 kiadás(szűkített)'!E22</f>
        <v>35082570</v>
      </c>
      <c r="F61" s="730">
        <f>'4 kiadás(szűkített)'!F22</f>
        <v>13200291</v>
      </c>
      <c r="G61" s="561">
        <f>'4 kiadás(szűkített)'!G22</f>
        <v>614039</v>
      </c>
      <c r="H61" s="570">
        <f>'4 kiadás(szűkített)'!H22</f>
        <v>13814330</v>
      </c>
      <c r="I61" s="731">
        <f>SUM(C61+F61)</f>
        <v>54187620</v>
      </c>
      <c r="J61" s="570">
        <f>SUM(D61+G61)</f>
        <v>-5290720</v>
      </c>
      <c r="K61" s="570">
        <f>SUM(E61+H61)</f>
        <v>48896900</v>
      </c>
    </row>
    <row r="62" spans="1:11" x14ac:dyDescent="0.25">
      <c r="A62" s="154" t="s">
        <v>365</v>
      </c>
      <c r="B62" s="154"/>
      <c r="C62" s="364"/>
      <c r="D62" s="562"/>
      <c r="E62" s="571"/>
      <c r="F62" s="732"/>
      <c r="G62" s="733"/>
      <c r="H62" s="571"/>
      <c r="I62" s="734"/>
      <c r="J62" s="571"/>
      <c r="K62" s="571"/>
    </row>
    <row r="63" spans="1:11" ht="31.5" x14ac:dyDescent="0.25">
      <c r="A63" s="155" t="s">
        <v>386</v>
      </c>
      <c r="B63" s="155"/>
      <c r="C63" s="399">
        <v>643386</v>
      </c>
      <c r="D63" s="152"/>
      <c r="E63" s="533">
        <f>SUM(C63:D63)</f>
        <v>643386</v>
      </c>
      <c r="F63" s="703">
        <v>284718</v>
      </c>
      <c r="G63" s="735"/>
      <c r="H63" s="533">
        <f>SUM(F63:G63)</f>
        <v>284718</v>
      </c>
      <c r="I63" s="534">
        <f t="shared" ref="I63:K64" si="48">SUM(C63+F63)</f>
        <v>928104</v>
      </c>
      <c r="J63" s="533">
        <f t="shared" si="48"/>
        <v>0</v>
      </c>
      <c r="K63" s="533">
        <f t="shared" si="48"/>
        <v>928104</v>
      </c>
    </row>
    <row r="64" spans="1:11" ht="31.5" x14ac:dyDescent="0.25">
      <c r="A64" s="155" t="s">
        <v>363</v>
      </c>
      <c r="B64" s="155"/>
      <c r="C64" s="399"/>
      <c r="D64" s="152"/>
      <c r="E64" s="533"/>
      <c r="F64" s="703"/>
      <c r="G64" s="735"/>
      <c r="H64" s="533"/>
      <c r="I64" s="534">
        <f t="shared" si="48"/>
        <v>0</v>
      </c>
      <c r="J64" s="533">
        <f t="shared" si="48"/>
        <v>0</v>
      </c>
      <c r="K64" s="533">
        <f t="shared" si="48"/>
        <v>0</v>
      </c>
    </row>
    <row r="65" spans="1:11" x14ac:dyDescent="0.25">
      <c r="A65" s="151" t="s">
        <v>364</v>
      </c>
      <c r="B65" s="151" t="s">
        <v>453</v>
      </c>
      <c r="C65" s="399">
        <f t="shared" ref="C65:K65" si="49">SUM(C63:C64)</f>
        <v>643386</v>
      </c>
      <c r="D65" s="152">
        <f t="shared" si="49"/>
        <v>0</v>
      </c>
      <c r="E65" s="533">
        <f t="shared" si="49"/>
        <v>643386</v>
      </c>
      <c r="F65" s="703">
        <f t="shared" si="49"/>
        <v>284718</v>
      </c>
      <c r="G65" s="735">
        <f t="shared" si="49"/>
        <v>0</v>
      </c>
      <c r="H65" s="533">
        <f t="shared" si="49"/>
        <v>284718</v>
      </c>
      <c r="I65" s="533">
        <f t="shared" si="49"/>
        <v>928104</v>
      </c>
      <c r="J65" s="533">
        <f t="shared" si="49"/>
        <v>0</v>
      </c>
      <c r="K65" s="533">
        <f t="shared" si="49"/>
        <v>928104</v>
      </c>
    </row>
    <row r="66" spans="1:11" x14ac:dyDescent="0.25">
      <c r="A66" s="535" t="s">
        <v>1402</v>
      </c>
      <c r="B66" s="535" t="s">
        <v>1403</v>
      </c>
      <c r="C66" s="563">
        <v>0</v>
      </c>
      <c r="D66" s="564">
        <v>127390</v>
      </c>
      <c r="E66" s="572">
        <f>SUM(C66:D66)</f>
        <v>127390</v>
      </c>
      <c r="F66" s="736"/>
      <c r="G66" s="737"/>
      <c r="H66" s="572"/>
      <c r="I66" s="738">
        <f t="shared" ref="I66:K69" si="50">SUM(C66+F66)</f>
        <v>0</v>
      </c>
      <c r="J66" s="572">
        <f t="shared" si="50"/>
        <v>127390</v>
      </c>
      <c r="K66" s="572">
        <f t="shared" si="50"/>
        <v>127390</v>
      </c>
    </row>
    <row r="67" spans="1:11" x14ac:dyDescent="0.25">
      <c r="A67" s="535" t="s">
        <v>672</v>
      </c>
      <c r="B67" s="535" t="s">
        <v>673</v>
      </c>
      <c r="C67" s="563"/>
      <c r="D67" s="564"/>
      <c r="E67" s="572"/>
      <c r="F67" s="736">
        <v>9960737</v>
      </c>
      <c r="G67" s="737">
        <v>152028</v>
      </c>
      <c r="H67" s="572">
        <f>SUM(F67:G67)</f>
        <v>10112765</v>
      </c>
      <c r="I67" s="738">
        <f t="shared" si="50"/>
        <v>9960737</v>
      </c>
      <c r="J67" s="572">
        <f t="shared" si="50"/>
        <v>152028</v>
      </c>
      <c r="K67" s="572">
        <f t="shared" si="50"/>
        <v>10112765</v>
      </c>
    </row>
    <row r="68" spans="1:11" x14ac:dyDescent="0.25">
      <c r="A68" s="535" t="s">
        <v>739</v>
      </c>
      <c r="B68" s="535" t="s">
        <v>674</v>
      </c>
      <c r="C68" s="563">
        <v>6800000</v>
      </c>
      <c r="D68" s="564"/>
      <c r="E68" s="572">
        <f>SUM(C68:D68)</f>
        <v>6800000</v>
      </c>
      <c r="F68" s="736"/>
      <c r="G68" s="737"/>
      <c r="H68" s="572"/>
      <c r="I68" s="738">
        <f t="shared" si="50"/>
        <v>6800000</v>
      </c>
      <c r="J68" s="572">
        <f t="shared" si="50"/>
        <v>0</v>
      </c>
      <c r="K68" s="572">
        <f t="shared" si="50"/>
        <v>6800000</v>
      </c>
    </row>
    <row r="69" spans="1:11" ht="31.5" x14ac:dyDescent="0.25">
      <c r="A69" s="535" t="s">
        <v>1135</v>
      </c>
      <c r="B69" s="535" t="s">
        <v>1136</v>
      </c>
      <c r="C69" s="563">
        <v>7800000</v>
      </c>
      <c r="D69" s="564"/>
      <c r="E69" s="572">
        <f>SUM(C69:D69)</f>
        <v>7800000</v>
      </c>
      <c r="F69" s="736"/>
      <c r="G69" s="737"/>
      <c r="H69" s="572"/>
      <c r="I69" s="738">
        <f t="shared" si="50"/>
        <v>7800000</v>
      </c>
      <c r="J69" s="572">
        <f t="shared" si="50"/>
        <v>0</v>
      </c>
      <c r="K69" s="572">
        <f t="shared" si="50"/>
        <v>7800000</v>
      </c>
    </row>
    <row r="70" spans="1:11" s="119" customFormat="1" ht="31.5" x14ac:dyDescent="0.25">
      <c r="A70" s="541" t="s">
        <v>1404</v>
      </c>
      <c r="B70" s="541" t="s">
        <v>366</v>
      </c>
      <c r="C70" s="565">
        <f>SUM(C65+C66+C67+C68+C69)</f>
        <v>15243386</v>
      </c>
      <c r="D70" s="566">
        <f>SUM(D65:D69)</f>
        <v>127390</v>
      </c>
      <c r="E70" s="573">
        <f>SUM(E65:E69)</f>
        <v>15370776</v>
      </c>
      <c r="F70" s="739">
        <f>SUM(F65+F67+F68)</f>
        <v>10245455</v>
      </c>
      <c r="G70" s="740">
        <f>SUM(G65:G68)</f>
        <v>152028</v>
      </c>
      <c r="H70" s="573">
        <f>SUM(H65:H68)</f>
        <v>10397483</v>
      </c>
      <c r="I70" s="741">
        <f>SUM(I65+I66+I67+I68+I69)</f>
        <v>25488841</v>
      </c>
      <c r="J70" s="573">
        <f>SUM(J65+J66+J67+J68+J69)</f>
        <v>279418</v>
      </c>
      <c r="K70" s="573">
        <f>SUM(K65+K66+K67+K68+K69)</f>
        <v>25768259</v>
      </c>
    </row>
    <row r="71" spans="1:11" s="119" customFormat="1" x14ac:dyDescent="0.25">
      <c r="A71" s="541" t="s">
        <v>675</v>
      </c>
      <c r="B71" s="541" t="s">
        <v>448</v>
      </c>
      <c r="C71" s="565">
        <f>'4 kiadás(szűkített)'!C27</f>
        <v>14890102</v>
      </c>
      <c r="D71" s="566">
        <f>'4 kiadás(szűkített)'!D27</f>
        <v>152028</v>
      </c>
      <c r="E71" s="573">
        <f>'4 kiadás(szűkített)'!E27</f>
        <v>15042130</v>
      </c>
      <c r="F71" s="565">
        <f>'4 kiadás(szűkített)'!F27</f>
        <v>0</v>
      </c>
      <c r="G71" s="566">
        <f>'4 kiadás(szűkített)'!G27</f>
        <v>0</v>
      </c>
      <c r="H71" s="573">
        <f>'4 kiadás(szűkített)'!H27</f>
        <v>0</v>
      </c>
      <c r="I71" s="741">
        <f>SUM(C71+F71)</f>
        <v>14890102</v>
      </c>
      <c r="J71" s="573">
        <f>SUM(D71+G71)</f>
        <v>152028</v>
      </c>
      <c r="K71" s="573">
        <f t="shared" ref="K71" si="51">SUM(E71:H71)</f>
        <v>15042130</v>
      </c>
    </row>
    <row r="72" spans="1:11" s="157" customFormat="1" x14ac:dyDescent="0.25">
      <c r="A72" s="156" t="s">
        <v>676</v>
      </c>
      <c r="B72" s="156"/>
      <c r="C72" s="364">
        <f>SUM(C70-C71)</f>
        <v>353284</v>
      </c>
      <c r="D72" s="562">
        <f t="shared" ref="D72:H72" si="52">SUM(D70-D71)</f>
        <v>-24638</v>
      </c>
      <c r="E72" s="571">
        <f t="shared" si="52"/>
        <v>328646</v>
      </c>
      <c r="F72" s="364">
        <f t="shared" si="52"/>
        <v>10245455</v>
      </c>
      <c r="G72" s="562">
        <f t="shared" si="52"/>
        <v>152028</v>
      </c>
      <c r="H72" s="571">
        <f t="shared" si="52"/>
        <v>10397483</v>
      </c>
      <c r="I72" s="734">
        <f>SUM(I70-I71)</f>
        <v>10598739</v>
      </c>
      <c r="J72" s="571">
        <f t="shared" ref="J72:K72" si="53">SUM(J70-J71)</f>
        <v>127390</v>
      </c>
      <c r="K72" s="571">
        <f t="shared" si="53"/>
        <v>10726129</v>
      </c>
    </row>
    <row r="73" spans="1:11" s="157" customFormat="1" ht="16.5" thickBot="1" x14ac:dyDescent="0.3">
      <c r="A73" s="158" t="s">
        <v>677</v>
      </c>
      <c r="B73" s="158"/>
      <c r="C73" s="567">
        <f t="shared" ref="C73:K73" si="54">SUM(C59+C72)</f>
        <v>0</v>
      </c>
      <c r="D73" s="742">
        <f t="shared" si="54"/>
        <v>0</v>
      </c>
      <c r="E73" s="743">
        <f t="shared" si="54"/>
        <v>0</v>
      </c>
      <c r="F73" s="567">
        <f t="shared" si="54"/>
        <v>0</v>
      </c>
      <c r="G73" s="742">
        <f t="shared" si="54"/>
        <v>0</v>
      </c>
      <c r="H73" s="743">
        <f t="shared" si="54"/>
        <v>0</v>
      </c>
      <c r="I73" s="552">
        <f t="shared" si="54"/>
        <v>0</v>
      </c>
      <c r="J73" s="527">
        <f t="shared" si="54"/>
        <v>0</v>
      </c>
      <c r="K73" s="527">
        <f t="shared" si="54"/>
        <v>0</v>
      </c>
    </row>
    <row r="74" spans="1:11" s="157" customFormat="1" ht="16.5" thickTop="1" x14ac:dyDescent="0.25"/>
    <row r="75" spans="1:11" s="157" customFormat="1" x14ac:dyDescent="0.25"/>
    <row r="76" spans="1:11" s="157" customFormat="1" x14ac:dyDescent="0.25"/>
    <row r="77" spans="1:11" s="157" customFormat="1" x14ac:dyDescent="0.25">
      <c r="A77" s="160"/>
      <c r="B77" s="160"/>
    </row>
    <row r="78" spans="1:11" s="162" customFormat="1" x14ac:dyDescent="0.25">
      <c r="A78" s="161"/>
      <c r="B78" s="161"/>
      <c r="C78" s="157"/>
      <c r="D78" s="157"/>
      <c r="E78" s="157"/>
      <c r="F78" s="157"/>
      <c r="G78" s="157"/>
      <c r="H78" s="157"/>
      <c r="I78" s="157"/>
      <c r="J78" s="157"/>
      <c r="K78" s="157"/>
    </row>
    <row r="79" spans="1:11" s="162" customFormat="1" x14ac:dyDescent="0.25">
      <c r="A79" s="163"/>
      <c r="B79" s="163"/>
      <c r="C79" s="157"/>
      <c r="D79" s="157"/>
      <c r="E79" s="157"/>
      <c r="F79" s="157"/>
      <c r="G79" s="157"/>
      <c r="H79" s="157"/>
      <c r="I79" s="157"/>
      <c r="J79" s="157"/>
      <c r="K79" s="157"/>
    </row>
    <row r="80" spans="1:11" s="162" customFormat="1" x14ac:dyDescent="0.25">
      <c r="A80" s="164"/>
      <c r="B80" s="164"/>
    </row>
    <row r="81" spans="1:2" s="162" customFormat="1" x14ac:dyDescent="0.25">
      <c r="A81" s="165"/>
      <c r="B81" s="165"/>
    </row>
    <row r="82" spans="1:2" s="162" customFormat="1" x14ac:dyDescent="0.25">
      <c r="A82" s="166"/>
      <c r="B82" s="166"/>
    </row>
    <row r="83" spans="1:2" s="162" customFormat="1" x14ac:dyDescent="0.25">
      <c r="A83" s="164"/>
      <c r="B83" s="164"/>
    </row>
    <row r="84" spans="1:2" s="162" customFormat="1" x14ac:dyDescent="0.25">
      <c r="A84" s="165"/>
      <c r="B84" s="165"/>
    </row>
    <row r="85" spans="1:2" s="162" customFormat="1" x14ac:dyDescent="0.25">
      <c r="A85" s="165"/>
      <c r="B85" s="165"/>
    </row>
    <row r="86" spans="1:2" s="162" customFormat="1" x14ac:dyDescent="0.25">
      <c r="A86" s="164"/>
      <c r="B86" s="164"/>
    </row>
    <row r="87" spans="1:2" s="162" customFormat="1" x14ac:dyDescent="0.25">
      <c r="A87" s="165"/>
      <c r="B87" s="165"/>
    </row>
    <row r="88" spans="1:2" s="162" customFormat="1" x14ac:dyDescent="0.25">
      <c r="A88" s="165"/>
      <c r="B88" s="165"/>
    </row>
    <row r="89" spans="1:2" s="162" customFormat="1" x14ac:dyDescent="0.25">
      <c r="A89" s="165"/>
      <c r="B89" s="165"/>
    </row>
    <row r="90" spans="1:2" s="162" customFormat="1" x14ac:dyDescent="0.25">
      <c r="A90" s="165"/>
      <c r="B90" s="165"/>
    </row>
    <row r="91" spans="1:2" s="162" customFormat="1" x14ac:dyDescent="0.25">
      <c r="A91" s="164"/>
      <c r="B91" s="164"/>
    </row>
    <row r="92" spans="1:2" s="162" customFormat="1" x14ac:dyDescent="0.25">
      <c r="A92" s="165"/>
      <c r="B92" s="165"/>
    </row>
    <row r="93" spans="1:2" s="162" customFormat="1" x14ac:dyDescent="0.25">
      <c r="A93" s="165"/>
      <c r="B93" s="165"/>
    </row>
    <row r="94" spans="1:2" s="162" customFormat="1" x14ac:dyDescent="0.25">
      <c r="A94" s="165"/>
      <c r="B94" s="165"/>
    </row>
    <row r="95" spans="1:2" s="162" customFormat="1" x14ac:dyDescent="0.25">
      <c r="A95" s="165"/>
      <c r="B95" s="165"/>
    </row>
    <row r="96" spans="1:2" s="162" customFormat="1" x14ac:dyDescent="0.25">
      <c r="A96" s="165"/>
      <c r="B96" s="165"/>
    </row>
    <row r="97" spans="1:11" x14ac:dyDescent="0.25">
      <c r="A97" s="165"/>
      <c r="B97" s="165"/>
      <c r="C97" s="162"/>
      <c r="D97" s="162"/>
      <c r="E97" s="162"/>
      <c r="F97" s="162"/>
      <c r="G97" s="162"/>
      <c r="H97" s="162"/>
      <c r="I97" s="162"/>
      <c r="J97" s="162"/>
      <c r="K97" s="162"/>
    </row>
    <row r="98" spans="1:11" x14ac:dyDescent="0.25">
      <c r="A98" s="165"/>
      <c r="B98" s="165"/>
      <c r="C98" s="162"/>
      <c r="D98" s="162"/>
      <c r="E98" s="162"/>
      <c r="F98" s="162"/>
      <c r="G98" s="162"/>
      <c r="H98" s="162"/>
      <c r="I98" s="162"/>
      <c r="J98" s="162"/>
      <c r="K98" s="162"/>
    </row>
    <row r="99" spans="1:11" x14ac:dyDescent="0.25">
      <c r="A99" s="167"/>
      <c r="B99" s="167"/>
    </row>
    <row r="100" spans="1:11" x14ac:dyDescent="0.25">
      <c r="A100" s="167"/>
      <c r="B100" s="167"/>
    </row>
    <row r="101" spans="1:11" x14ac:dyDescent="0.25">
      <c r="A101" s="167"/>
      <c r="B101" s="167"/>
    </row>
    <row r="102" spans="1:11" x14ac:dyDescent="0.25">
      <c r="A102" s="167"/>
      <c r="B102" s="167"/>
    </row>
    <row r="103" spans="1:11" x14ac:dyDescent="0.25">
      <c r="A103" s="167"/>
      <c r="B103" s="167"/>
    </row>
    <row r="104" spans="1:11" x14ac:dyDescent="0.25">
      <c r="A104" s="167"/>
      <c r="B104" s="167"/>
    </row>
    <row r="105" spans="1:11" x14ac:dyDescent="0.25">
      <c r="A105" s="167"/>
      <c r="B105" s="167"/>
    </row>
    <row r="106" spans="1:11" x14ac:dyDescent="0.25">
      <c r="A106" s="167"/>
      <c r="B106" s="167"/>
    </row>
    <row r="107" spans="1:11" x14ac:dyDescent="0.25">
      <c r="A107" s="167"/>
      <c r="B107" s="167"/>
    </row>
    <row r="108" spans="1:11" x14ac:dyDescent="0.25">
      <c r="A108" s="167"/>
      <c r="B108" s="167"/>
    </row>
    <row r="109" spans="1:11" x14ac:dyDescent="0.25">
      <c r="A109" s="167"/>
      <c r="B109" s="167"/>
    </row>
    <row r="110" spans="1:11" x14ac:dyDescent="0.25">
      <c r="A110" s="167"/>
      <c r="B110" s="167"/>
    </row>
    <row r="111" spans="1:11" x14ac:dyDescent="0.25">
      <c r="A111" s="167"/>
      <c r="B111" s="167"/>
    </row>
    <row r="112" spans="1:11" x14ac:dyDescent="0.25">
      <c r="A112" s="167"/>
      <c r="B112" s="167"/>
    </row>
    <row r="113" spans="1:2" x14ac:dyDescent="0.25">
      <c r="A113" s="167"/>
      <c r="B113" s="167"/>
    </row>
    <row r="114" spans="1:2" x14ac:dyDescent="0.25">
      <c r="A114" s="167"/>
      <c r="B114" s="167"/>
    </row>
    <row r="115" spans="1:2" x14ac:dyDescent="0.25">
      <c r="A115" s="167"/>
      <c r="B115" s="167"/>
    </row>
    <row r="116" spans="1:2" x14ac:dyDescent="0.25">
      <c r="A116" s="167"/>
      <c r="B116" s="167"/>
    </row>
    <row r="117" spans="1:2" x14ac:dyDescent="0.25">
      <c r="A117" s="167"/>
      <c r="B117" s="167"/>
    </row>
    <row r="118" spans="1:2" x14ac:dyDescent="0.25">
      <c r="A118" s="167"/>
      <c r="B118" s="167"/>
    </row>
    <row r="119" spans="1:2" x14ac:dyDescent="0.25">
      <c r="A119" s="167"/>
      <c r="B119" s="167"/>
    </row>
    <row r="120" spans="1:2" x14ac:dyDescent="0.25">
      <c r="A120" s="167"/>
      <c r="B120" s="167"/>
    </row>
    <row r="121" spans="1:2" x14ac:dyDescent="0.25">
      <c r="A121" s="167"/>
      <c r="B121" s="167"/>
    </row>
    <row r="122" spans="1:2" x14ac:dyDescent="0.25">
      <c r="A122" s="167"/>
      <c r="B122" s="167"/>
    </row>
    <row r="123" spans="1:2" x14ac:dyDescent="0.25">
      <c r="A123" s="167"/>
      <c r="B123" s="167"/>
    </row>
    <row r="124" spans="1:2" x14ac:dyDescent="0.25">
      <c r="A124" s="167"/>
      <c r="B124" s="167"/>
    </row>
    <row r="125" spans="1:2" x14ac:dyDescent="0.25">
      <c r="A125" s="167"/>
      <c r="B125" s="167"/>
    </row>
    <row r="126" spans="1:2" x14ac:dyDescent="0.25">
      <c r="A126" s="167"/>
      <c r="B126" s="167"/>
    </row>
    <row r="127" spans="1:2" x14ac:dyDescent="0.25">
      <c r="A127" s="167"/>
      <c r="B127" s="167"/>
    </row>
    <row r="128" spans="1:2" x14ac:dyDescent="0.25">
      <c r="A128" s="167"/>
      <c r="B128" s="167"/>
    </row>
    <row r="129" spans="1:2" x14ac:dyDescent="0.25">
      <c r="A129" s="167"/>
      <c r="B129" s="167"/>
    </row>
    <row r="130" spans="1:2" x14ac:dyDescent="0.25">
      <c r="A130" s="167"/>
      <c r="B130" s="167"/>
    </row>
    <row r="131" spans="1:2" x14ac:dyDescent="0.25">
      <c r="A131" s="167"/>
      <c r="B131" s="167"/>
    </row>
    <row r="132" spans="1:2" x14ac:dyDescent="0.25">
      <c r="A132" s="167"/>
      <c r="B132" s="167"/>
    </row>
    <row r="133" spans="1:2" x14ac:dyDescent="0.25">
      <c r="A133" s="167"/>
      <c r="B133" s="167"/>
    </row>
    <row r="134" spans="1:2" x14ac:dyDescent="0.25">
      <c r="A134" s="167"/>
      <c r="B134" s="167"/>
    </row>
    <row r="135" spans="1:2" x14ac:dyDescent="0.25">
      <c r="A135" s="167"/>
      <c r="B135" s="167"/>
    </row>
    <row r="136" spans="1:2" x14ac:dyDescent="0.25">
      <c r="A136" s="167"/>
      <c r="B136" s="167"/>
    </row>
    <row r="137" spans="1:2" x14ac:dyDescent="0.25">
      <c r="A137" s="167"/>
      <c r="B137" s="167"/>
    </row>
    <row r="138" spans="1:2" x14ac:dyDescent="0.25">
      <c r="A138" s="167"/>
      <c r="B138" s="167"/>
    </row>
    <row r="139" spans="1:2" x14ac:dyDescent="0.25">
      <c r="A139" s="167"/>
      <c r="B139" s="167"/>
    </row>
    <row r="140" spans="1:2" x14ac:dyDescent="0.25">
      <c r="A140" s="167"/>
      <c r="B140" s="167"/>
    </row>
    <row r="141" spans="1:2" x14ac:dyDescent="0.25">
      <c r="A141" s="167"/>
      <c r="B141" s="167"/>
    </row>
    <row r="142" spans="1:2" x14ac:dyDescent="0.25">
      <c r="A142" s="167"/>
      <c r="B142" s="167"/>
    </row>
    <row r="143" spans="1:2" x14ac:dyDescent="0.25">
      <c r="A143" s="167"/>
      <c r="B143" s="167"/>
    </row>
    <row r="144" spans="1:2" x14ac:dyDescent="0.25">
      <c r="A144" s="167"/>
      <c r="B144" s="167"/>
    </row>
    <row r="145" spans="1:2" x14ac:dyDescent="0.25">
      <c r="A145" s="167"/>
      <c r="B145" s="167"/>
    </row>
    <row r="146" spans="1:2" x14ac:dyDescent="0.25">
      <c r="A146" s="167"/>
      <c r="B146" s="167"/>
    </row>
    <row r="147" spans="1:2" x14ac:dyDescent="0.25">
      <c r="A147" s="167"/>
      <c r="B147" s="167"/>
    </row>
    <row r="148" spans="1:2" x14ac:dyDescent="0.25">
      <c r="A148" s="167"/>
      <c r="B148" s="167"/>
    </row>
    <row r="149" spans="1:2" x14ac:dyDescent="0.25">
      <c r="A149" s="167"/>
      <c r="B149" s="167"/>
    </row>
    <row r="150" spans="1:2" x14ac:dyDescent="0.25">
      <c r="A150" s="167"/>
      <c r="B150" s="167"/>
    </row>
    <row r="151" spans="1:2" x14ac:dyDescent="0.25">
      <c r="A151" s="167"/>
      <c r="B151" s="167"/>
    </row>
    <row r="152" spans="1:2" x14ac:dyDescent="0.25">
      <c r="A152" s="167"/>
      <c r="B152" s="167"/>
    </row>
    <row r="153" spans="1:2" x14ac:dyDescent="0.25">
      <c r="A153" s="167"/>
      <c r="B153" s="167"/>
    </row>
    <row r="154" spans="1:2" x14ac:dyDescent="0.25">
      <c r="A154" s="167"/>
      <c r="B154" s="167"/>
    </row>
    <row r="155" spans="1:2" x14ac:dyDescent="0.25">
      <c r="A155" s="167"/>
      <c r="B155" s="167"/>
    </row>
    <row r="156" spans="1:2" x14ac:dyDescent="0.25">
      <c r="A156" s="167"/>
      <c r="B156" s="167"/>
    </row>
    <row r="157" spans="1:2" x14ac:dyDescent="0.25">
      <c r="A157" s="167"/>
      <c r="B157" s="167"/>
    </row>
    <row r="158" spans="1:2" x14ac:dyDescent="0.25">
      <c r="A158" s="167"/>
      <c r="B158" s="167"/>
    </row>
    <row r="159" spans="1:2" x14ac:dyDescent="0.25">
      <c r="A159" s="167"/>
      <c r="B159" s="167"/>
    </row>
    <row r="160" spans="1:2" x14ac:dyDescent="0.25">
      <c r="A160" s="167"/>
      <c r="B160" s="167"/>
    </row>
    <row r="161" spans="1:2" x14ac:dyDescent="0.25">
      <c r="A161" s="167"/>
      <c r="B161" s="167"/>
    </row>
    <row r="162" spans="1:2" x14ac:dyDescent="0.25">
      <c r="A162" s="167"/>
      <c r="B162" s="167"/>
    </row>
    <row r="163" spans="1:2" x14ac:dyDescent="0.25">
      <c r="A163" s="167"/>
      <c r="B163" s="167"/>
    </row>
    <row r="164" spans="1:2" x14ac:dyDescent="0.25">
      <c r="A164" s="167"/>
      <c r="B164" s="167"/>
    </row>
    <row r="165" spans="1:2" x14ac:dyDescent="0.25">
      <c r="A165" s="167"/>
      <c r="B165" s="167"/>
    </row>
    <row r="166" spans="1:2" x14ac:dyDescent="0.25">
      <c r="A166" s="167"/>
      <c r="B166" s="167"/>
    </row>
    <row r="167" spans="1:2" x14ac:dyDescent="0.25">
      <c r="A167" s="167"/>
      <c r="B167" s="167"/>
    </row>
    <row r="168" spans="1:2" x14ac:dyDescent="0.25">
      <c r="A168" s="167"/>
      <c r="B168" s="167"/>
    </row>
    <row r="169" spans="1:2" x14ac:dyDescent="0.25">
      <c r="A169" s="167"/>
      <c r="B169" s="167"/>
    </row>
    <row r="170" spans="1:2" x14ac:dyDescent="0.25">
      <c r="A170" s="167"/>
      <c r="B170" s="167"/>
    </row>
    <row r="171" spans="1:2" x14ac:dyDescent="0.25">
      <c r="A171" s="167"/>
      <c r="B171" s="167"/>
    </row>
    <row r="172" spans="1:2" x14ac:dyDescent="0.25">
      <c r="A172" s="167"/>
      <c r="B172" s="167"/>
    </row>
    <row r="173" spans="1:2" x14ac:dyDescent="0.25">
      <c r="A173" s="167"/>
      <c r="B173" s="167"/>
    </row>
    <row r="174" spans="1:2" x14ac:dyDescent="0.25">
      <c r="A174" s="167"/>
      <c r="B174" s="167"/>
    </row>
    <row r="175" spans="1:2" x14ac:dyDescent="0.25">
      <c r="A175" s="167"/>
      <c r="B175" s="167"/>
    </row>
    <row r="176" spans="1:2" x14ac:dyDescent="0.25">
      <c r="A176" s="167"/>
      <c r="B176" s="167"/>
    </row>
    <row r="177" spans="1:2" x14ac:dyDescent="0.25">
      <c r="A177" s="167"/>
      <c r="B177" s="167"/>
    </row>
    <row r="178" spans="1:2" x14ac:dyDescent="0.25">
      <c r="A178" s="167"/>
      <c r="B178" s="167"/>
    </row>
    <row r="179" spans="1:2" x14ac:dyDescent="0.25">
      <c r="A179" s="167"/>
      <c r="B179" s="167"/>
    </row>
    <row r="180" spans="1:2" x14ac:dyDescent="0.25">
      <c r="A180" s="167"/>
      <c r="B180" s="167"/>
    </row>
    <row r="181" spans="1:2" x14ac:dyDescent="0.25">
      <c r="A181" s="167"/>
      <c r="B181" s="167"/>
    </row>
    <row r="182" spans="1:2" x14ac:dyDescent="0.25">
      <c r="A182" s="167"/>
      <c r="B182" s="167"/>
    </row>
    <row r="183" spans="1:2" x14ac:dyDescent="0.25">
      <c r="A183" s="167"/>
      <c r="B183" s="167"/>
    </row>
    <row r="184" spans="1:2" x14ac:dyDescent="0.25">
      <c r="A184" s="167"/>
      <c r="B184" s="167"/>
    </row>
    <row r="185" spans="1:2" x14ac:dyDescent="0.25">
      <c r="A185" s="167"/>
      <c r="B185" s="167"/>
    </row>
    <row r="186" spans="1:2" x14ac:dyDescent="0.25">
      <c r="A186" s="167"/>
      <c r="B186" s="167"/>
    </row>
    <row r="187" spans="1:2" x14ac:dyDescent="0.25">
      <c r="A187" s="167"/>
      <c r="B187" s="167"/>
    </row>
    <row r="188" spans="1:2" x14ac:dyDescent="0.25">
      <c r="A188" s="167"/>
      <c r="B188" s="167"/>
    </row>
    <row r="189" spans="1:2" x14ac:dyDescent="0.25">
      <c r="A189" s="167"/>
      <c r="B189" s="167"/>
    </row>
    <row r="190" spans="1:2" x14ac:dyDescent="0.25">
      <c r="A190" s="167"/>
      <c r="B190" s="167"/>
    </row>
    <row r="191" spans="1:2" x14ac:dyDescent="0.25">
      <c r="A191" s="167"/>
      <c r="B191" s="167"/>
    </row>
    <row r="192" spans="1:2" x14ac:dyDescent="0.25">
      <c r="A192" s="167"/>
      <c r="B192" s="167"/>
    </row>
    <row r="193" spans="1:2" x14ac:dyDescent="0.25">
      <c r="A193" s="167"/>
      <c r="B193" s="167"/>
    </row>
    <row r="194" spans="1:2" x14ac:dyDescent="0.25">
      <c r="A194" s="167"/>
      <c r="B194" s="167"/>
    </row>
    <row r="195" spans="1:2" x14ac:dyDescent="0.25">
      <c r="A195" s="167"/>
      <c r="B195" s="167"/>
    </row>
    <row r="196" spans="1:2" x14ac:dyDescent="0.25">
      <c r="A196" s="167"/>
      <c r="B196" s="167"/>
    </row>
    <row r="197" spans="1:2" x14ac:dyDescent="0.25">
      <c r="A197" s="167"/>
      <c r="B197" s="167"/>
    </row>
    <row r="198" spans="1:2" x14ac:dyDescent="0.25">
      <c r="A198" s="167"/>
      <c r="B198" s="167"/>
    </row>
    <row r="199" spans="1:2" x14ac:dyDescent="0.25">
      <c r="A199" s="167"/>
      <c r="B199" s="167"/>
    </row>
    <row r="200" spans="1:2" x14ac:dyDescent="0.25">
      <c r="A200" s="167"/>
      <c r="B200" s="167"/>
    </row>
    <row r="201" spans="1:2" x14ac:dyDescent="0.25">
      <c r="A201" s="167"/>
      <c r="B201" s="167"/>
    </row>
    <row r="202" spans="1:2" x14ac:dyDescent="0.25">
      <c r="A202" s="167"/>
      <c r="B202" s="167"/>
    </row>
    <row r="203" spans="1:2" x14ac:dyDescent="0.25">
      <c r="A203" s="167"/>
      <c r="B203" s="167"/>
    </row>
    <row r="204" spans="1:2" x14ac:dyDescent="0.25">
      <c r="A204" s="167"/>
      <c r="B204" s="167"/>
    </row>
    <row r="205" spans="1:2" x14ac:dyDescent="0.25">
      <c r="A205" s="167"/>
      <c r="B205" s="167"/>
    </row>
    <row r="206" spans="1:2" x14ac:dyDescent="0.25">
      <c r="A206" s="167"/>
      <c r="B206" s="167"/>
    </row>
    <row r="207" spans="1:2" x14ac:dyDescent="0.25">
      <c r="A207" s="167"/>
      <c r="B207" s="167"/>
    </row>
    <row r="208" spans="1:2" x14ac:dyDescent="0.25">
      <c r="A208" s="167"/>
      <c r="B208" s="167"/>
    </row>
    <row r="209" spans="1:2" x14ac:dyDescent="0.25">
      <c r="A209" s="167"/>
      <c r="B209" s="167"/>
    </row>
    <row r="210" spans="1:2" x14ac:dyDescent="0.25">
      <c r="A210" s="167"/>
      <c r="B210" s="167"/>
    </row>
    <row r="211" spans="1:2" x14ac:dyDescent="0.25">
      <c r="A211" s="167"/>
      <c r="B211" s="167"/>
    </row>
    <row r="212" spans="1:2" x14ac:dyDescent="0.25">
      <c r="A212" s="167"/>
      <c r="B212" s="167"/>
    </row>
    <row r="213" spans="1:2" x14ac:dyDescent="0.25">
      <c r="A213" s="167"/>
      <c r="B213" s="167"/>
    </row>
    <row r="214" spans="1:2" x14ac:dyDescent="0.25">
      <c r="A214" s="167"/>
      <c r="B214" s="167"/>
    </row>
    <row r="215" spans="1:2" x14ac:dyDescent="0.25">
      <c r="A215" s="167"/>
      <c r="B215" s="167"/>
    </row>
    <row r="216" spans="1:2" x14ac:dyDescent="0.25">
      <c r="A216" s="167"/>
      <c r="B216" s="167"/>
    </row>
    <row r="217" spans="1:2" x14ac:dyDescent="0.25">
      <c r="A217" s="167"/>
      <c r="B217" s="167"/>
    </row>
    <row r="218" spans="1:2" x14ac:dyDescent="0.25">
      <c r="A218" s="167"/>
      <c r="B218" s="167"/>
    </row>
    <row r="219" spans="1:2" x14ac:dyDescent="0.25">
      <c r="A219" s="167"/>
      <c r="B219" s="167"/>
    </row>
    <row r="220" spans="1:2" x14ac:dyDescent="0.25">
      <c r="A220" s="167"/>
      <c r="B220" s="167"/>
    </row>
    <row r="221" spans="1:2" x14ac:dyDescent="0.25">
      <c r="A221" s="167"/>
      <c r="B221" s="167"/>
    </row>
    <row r="222" spans="1:2" x14ac:dyDescent="0.25">
      <c r="A222" s="167"/>
      <c r="B222" s="167"/>
    </row>
    <row r="223" spans="1:2" x14ac:dyDescent="0.25">
      <c r="A223" s="167"/>
      <c r="B223" s="167"/>
    </row>
    <row r="224" spans="1:2" x14ac:dyDescent="0.25">
      <c r="A224" s="167"/>
      <c r="B224" s="167"/>
    </row>
    <row r="225" spans="1:2" x14ac:dyDescent="0.25">
      <c r="A225" s="167"/>
      <c r="B225" s="167"/>
    </row>
    <row r="226" spans="1:2" x14ac:dyDescent="0.25">
      <c r="A226" s="167"/>
      <c r="B226" s="167"/>
    </row>
    <row r="227" spans="1:2" x14ac:dyDescent="0.25">
      <c r="A227" s="167"/>
      <c r="B227" s="167"/>
    </row>
    <row r="228" spans="1:2" x14ac:dyDescent="0.25">
      <c r="A228" s="167"/>
      <c r="B228" s="167"/>
    </row>
    <row r="229" spans="1:2" x14ac:dyDescent="0.25">
      <c r="A229" s="167"/>
      <c r="B229" s="167"/>
    </row>
    <row r="230" spans="1:2" x14ac:dyDescent="0.25">
      <c r="A230" s="167"/>
      <c r="B230" s="167"/>
    </row>
    <row r="231" spans="1:2" x14ac:dyDescent="0.25">
      <c r="A231" s="167"/>
      <c r="B231" s="167"/>
    </row>
    <row r="232" spans="1:2" x14ac:dyDescent="0.25">
      <c r="A232" s="167"/>
      <c r="B232" s="167"/>
    </row>
    <row r="233" spans="1:2" x14ac:dyDescent="0.25">
      <c r="A233" s="167"/>
      <c r="B233" s="167"/>
    </row>
    <row r="234" spans="1:2" x14ac:dyDescent="0.25">
      <c r="A234" s="167"/>
      <c r="B234" s="167"/>
    </row>
    <row r="235" spans="1:2" x14ac:dyDescent="0.25">
      <c r="A235" s="167"/>
      <c r="B235" s="167"/>
    </row>
    <row r="236" spans="1:2" x14ac:dyDescent="0.25">
      <c r="A236" s="167"/>
      <c r="B236" s="167"/>
    </row>
    <row r="237" spans="1:2" x14ac:dyDescent="0.25">
      <c r="A237" s="167"/>
      <c r="B237" s="167"/>
    </row>
    <row r="238" spans="1:2" x14ac:dyDescent="0.25">
      <c r="A238" s="167"/>
      <c r="B238" s="167"/>
    </row>
    <row r="239" spans="1:2" x14ac:dyDescent="0.25">
      <c r="A239" s="167"/>
      <c r="B239" s="167"/>
    </row>
    <row r="240" spans="1:2" x14ac:dyDescent="0.25">
      <c r="A240" s="167"/>
      <c r="B240" s="167"/>
    </row>
    <row r="241" spans="1:2" x14ac:dyDescent="0.25">
      <c r="A241" s="167"/>
      <c r="B241" s="167"/>
    </row>
    <row r="242" spans="1:2" x14ac:dyDescent="0.25">
      <c r="A242" s="167"/>
      <c r="B242" s="167"/>
    </row>
    <row r="243" spans="1:2" x14ac:dyDescent="0.25">
      <c r="A243" s="167"/>
      <c r="B243" s="167"/>
    </row>
    <row r="244" spans="1:2" x14ac:dyDescent="0.25">
      <c r="A244" s="167"/>
      <c r="B244" s="167"/>
    </row>
    <row r="245" spans="1:2" x14ac:dyDescent="0.25">
      <c r="A245" s="167"/>
      <c r="B245" s="167"/>
    </row>
    <row r="246" spans="1:2" x14ac:dyDescent="0.25">
      <c r="A246" s="167"/>
      <c r="B246" s="167"/>
    </row>
    <row r="247" spans="1:2" x14ac:dyDescent="0.25">
      <c r="A247" s="167"/>
      <c r="B247" s="167"/>
    </row>
    <row r="248" spans="1:2" x14ac:dyDescent="0.25">
      <c r="A248" s="167"/>
      <c r="B248" s="167"/>
    </row>
    <row r="249" spans="1:2" x14ac:dyDescent="0.25">
      <c r="A249" s="167"/>
      <c r="B249" s="167"/>
    </row>
    <row r="250" spans="1:2" x14ac:dyDescent="0.25">
      <c r="A250" s="167"/>
      <c r="B250" s="167"/>
    </row>
    <row r="251" spans="1:2" x14ac:dyDescent="0.25">
      <c r="A251" s="167"/>
      <c r="B251" s="167"/>
    </row>
    <row r="252" spans="1:2" x14ac:dyDescent="0.25">
      <c r="A252" s="167"/>
      <c r="B252" s="167"/>
    </row>
    <row r="253" spans="1:2" x14ac:dyDescent="0.25">
      <c r="A253" s="167"/>
      <c r="B253" s="167"/>
    </row>
    <row r="254" spans="1:2" x14ac:dyDescent="0.25">
      <c r="A254" s="167"/>
      <c r="B254" s="167"/>
    </row>
    <row r="255" spans="1:2" x14ac:dyDescent="0.25">
      <c r="A255" s="167"/>
      <c r="B255" s="167"/>
    </row>
    <row r="256" spans="1:2" x14ac:dyDescent="0.25">
      <c r="A256" s="167"/>
      <c r="B256" s="167"/>
    </row>
    <row r="257" spans="1:2" x14ac:dyDescent="0.25">
      <c r="A257" s="167"/>
      <c r="B257" s="167"/>
    </row>
    <row r="258" spans="1:2" x14ac:dyDescent="0.25">
      <c r="A258" s="167"/>
      <c r="B258" s="167"/>
    </row>
    <row r="259" spans="1:2" x14ac:dyDescent="0.25">
      <c r="A259" s="167"/>
      <c r="B259" s="167"/>
    </row>
    <row r="260" spans="1:2" x14ac:dyDescent="0.25">
      <c r="A260" s="167"/>
      <c r="B260" s="167"/>
    </row>
    <row r="261" spans="1:2" x14ac:dyDescent="0.25">
      <c r="A261" s="167"/>
      <c r="B261" s="167"/>
    </row>
    <row r="262" spans="1:2" x14ac:dyDescent="0.25">
      <c r="A262" s="167"/>
      <c r="B262" s="167"/>
    </row>
    <row r="263" spans="1:2" x14ac:dyDescent="0.25">
      <c r="A263" s="167"/>
      <c r="B263" s="167"/>
    </row>
    <row r="264" spans="1:2" x14ac:dyDescent="0.25">
      <c r="A264" s="167"/>
      <c r="B264" s="167"/>
    </row>
    <row r="265" spans="1:2" x14ac:dyDescent="0.25">
      <c r="A265" s="167"/>
      <c r="B265" s="167"/>
    </row>
    <row r="266" spans="1:2" x14ac:dyDescent="0.25">
      <c r="A266" s="167"/>
      <c r="B266" s="167"/>
    </row>
    <row r="267" spans="1:2" x14ac:dyDescent="0.25">
      <c r="A267" s="167"/>
      <c r="B267" s="167"/>
    </row>
    <row r="268" spans="1:2" x14ac:dyDescent="0.25">
      <c r="A268" s="167"/>
      <c r="B268" s="167"/>
    </row>
    <row r="269" spans="1:2" x14ac:dyDescent="0.25">
      <c r="A269" s="167"/>
      <c r="B269" s="167"/>
    </row>
    <row r="270" spans="1:2" x14ac:dyDescent="0.25">
      <c r="A270" s="167"/>
      <c r="B270" s="167"/>
    </row>
    <row r="271" spans="1:2" x14ac:dyDescent="0.25">
      <c r="A271" s="167"/>
      <c r="B271" s="167"/>
    </row>
    <row r="272" spans="1:2" x14ac:dyDescent="0.25">
      <c r="A272" s="167"/>
      <c r="B272" s="167"/>
    </row>
    <row r="273" spans="1:2" x14ac:dyDescent="0.25">
      <c r="A273" s="167"/>
      <c r="B273" s="167"/>
    </row>
    <row r="274" spans="1:2" x14ac:dyDescent="0.25">
      <c r="A274" s="167"/>
      <c r="B274" s="167"/>
    </row>
    <row r="275" spans="1:2" x14ac:dyDescent="0.25">
      <c r="A275" s="167"/>
      <c r="B275" s="167"/>
    </row>
    <row r="276" spans="1:2" x14ac:dyDescent="0.25">
      <c r="A276" s="167"/>
      <c r="B276" s="167"/>
    </row>
    <row r="277" spans="1:2" x14ac:dyDescent="0.25">
      <c r="A277" s="167"/>
      <c r="B277" s="167"/>
    </row>
    <row r="278" spans="1:2" x14ac:dyDescent="0.25">
      <c r="A278" s="167"/>
      <c r="B278" s="167"/>
    </row>
    <row r="279" spans="1:2" x14ac:dyDescent="0.25">
      <c r="A279" s="167"/>
      <c r="B279" s="167"/>
    </row>
    <row r="280" spans="1:2" x14ac:dyDescent="0.25">
      <c r="A280" s="167"/>
      <c r="B280" s="167"/>
    </row>
    <row r="281" spans="1:2" x14ac:dyDescent="0.25">
      <c r="A281" s="167"/>
      <c r="B281" s="167"/>
    </row>
    <row r="282" spans="1:2" x14ac:dyDescent="0.25">
      <c r="A282" s="167"/>
      <c r="B282" s="167"/>
    </row>
    <row r="283" spans="1:2" x14ac:dyDescent="0.25">
      <c r="A283" s="167"/>
      <c r="B283" s="167"/>
    </row>
    <row r="284" spans="1:2" x14ac:dyDescent="0.25">
      <c r="A284" s="167"/>
      <c r="B284" s="167"/>
    </row>
    <row r="285" spans="1:2" x14ac:dyDescent="0.25">
      <c r="A285" s="167"/>
      <c r="B285" s="167"/>
    </row>
    <row r="286" spans="1:2" x14ac:dyDescent="0.25">
      <c r="A286" s="167"/>
      <c r="B286" s="167"/>
    </row>
    <row r="287" spans="1:2" x14ac:dyDescent="0.25">
      <c r="A287" s="167"/>
      <c r="B287" s="167"/>
    </row>
    <row r="288" spans="1:2" x14ac:dyDescent="0.25">
      <c r="A288" s="167"/>
      <c r="B288" s="167"/>
    </row>
    <row r="289" spans="1:2" x14ac:dyDescent="0.25">
      <c r="A289" s="167"/>
      <c r="B289" s="167"/>
    </row>
    <row r="290" spans="1:2" x14ac:dyDescent="0.25">
      <c r="A290" s="167"/>
      <c r="B290" s="167"/>
    </row>
    <row r="291" spans="1:2" x14ac:dyDescent="0.25">
      <c r="A291" s="167"/>
      <c r="B291" s="167"/>
    </row>
    <row r="292" spans="1:2" x14ac:dyDescent="0.25">
      <c r="A292" s="167"/>
      <c r="B292" s="167"/>
    </row>
    <row r="293" spans="1:2" x14ac:dyDescent="0.25">
      <c r="A293" s="167"/>
      <c r="B293" s="167"/>
    </row>
    <row r="294" spans="1:2" x14ac:dyDescent="0.25">
      <c r="A294" s="167"/>
      <c r="B294" s="167"/>
    </row>
    <row r="295" spans="1:2" x14ac:dyDescent="0.25">
      <c r="A295" s="167"/>
      <c r="B295" s="167"/>
    </row>
    <row r="296" spans="1:2" x14ac:dyDescent="0.25">
      <c r="A296" s="167"/>
      <c r="B296" s="167"/>
    </row>
    <row r="297" spans="1:2" x14ac:dyDescent="0.25">
      <c r="A297" s="167"/>
      <c r="B297" s="167"/>
    </row>
    <row r="298" spans="1:2" x14ac:dyDescent="0.25">
      <c r="A298" s="167"/>
      <c r="B298" s="167"/>
    </row>
    <row r="299" spans="1:2" x14ac:dyDescent="0.25">
      <c r="A299" s="167"/>
      <c r="B299" s="167"/>
    </row>
    <row r="300" spans="1:2" x14ac:dyDescent="0.25">
      <c r="A300" s="167"/>
      <c r="B300" s="167"/>
    </row>
    <row r="301" spans="1:2" x14ac:dyDescent="0.25">
      <c r="A301" s="167"/>
      <c r="B301" s="167"/>
    </row>
    <row r="302" spans="1:2" x14ac:dyDescent="0.25">
      <c r="A302" s="167"/>
      <c r="B302" s="167"/>
    </row>
    <row r="303" spans="1:2" x14ac:dyDescent="0.25">
      <c r="A303" s="167"/>
      <c r="B303" s="167"/>
    </row>
    <row r="304" spans="1:2" x14ac:dyDescent="0.25">
      <c r="A304" s="167"/>
      <c r="B304" s="167"/>
    </row>
    <row r="305" spans="1:2" x14ac:dyDescent="0.25">
      <c r="A305" s="167"/>
      <c r="B305" s="167"/>
    </row>
    <row r="306" spans="1:2" x14ac:dyDescent="0.25">
      <c r="A306" s="167"/>
      <c r="B306" s="167"/>
    </row>
    <row r="307" spans="1:2" x14ac:dyDescent="0.25">
      <c r="A307" s="167"/>
      <c r="B307" s="167"/>
    </row>
    <row r="308" spans="1:2" x14ac:dyDescent="0.25">
      <c r="A308" s="167"/>
      <c r="B308" s="167"/>
    </row>
    <row r="309" spans="1:2" x14ac:dyDescent="0.25">
      <c r="A309" s="167"/>
      <c r="B309" s="167"/>
    </row>
    <row r="310" spans="1:2" x14ac:dyDescent="0.25">
      <c r="A310" s="167"/>
      <c r="B310" s="167"/>
    </row>
    <row r="311" spans="1:2" x14ac:dyDescent="0.25">
      <c r="A311" s="167"/>
      <c r="B311" s="167"/>
    </row>
    <row r="312" spans="1:2" x14ac:dyDescent="0.25">
      <c r="A312" s="167"/>
      <c r="B312" s="167"/>
    </row>
    <row r="313" spans="1:2" x14ac:dyDescent="0.25">
      <c r="A313" s="167"/>
      <c r="B313" s="167"/>
    </row>
    <row r="314" spans="1:2" x14ac:dyDescent="0.25">
      <c r="A314" s="167"/>
      <c r="B314" s="167"/>
    </row>
    <row r="315" spans="1:2" x14ac:dyDescent="0.25">
      <c r="A315" s="167"/>
      <c r="B315" s="167"/>
    </row>
    <row r="316" spans="1:2" x14ac:dyDescent="0.25">
      <c r="A316" s="167"/>
      <c r="B316" s="167"/>
    </row>
    <row r="317" spans="1:2" x14ac:dyDescent="0.25">
      <c r="A317" s="167"/>
      <c r="B317" s="167"/>
    </row>
    <row r="318" spans="1:2" x14ac:dyDescent="0.25">
      <c r="A318" s="167"/>
      <c r="B318" s="167"/>
    </row>
    <row r="319" spans="1:2" x14ac:dyDescent="0.25">
      <c r="A319" s="167"/>
      <c r="B319" s="167"/>
    </row>
    <row r="320" spans="1:2" x14ac:dyDescent="0.25">
      <c r="A320" s="167"/>
      <c r="B320" s="167"/>
    </row>
    <row r="321" spans="1:2" x14ac:dyDescent="0.25">
      <c r="A321" s="167"/>
      <c r="B321" s="167"/>
    </row>
    <row r="322" spans="1:2" x14ac:dyDescent="0.25">
      <c r="A322" s="167"/>
      <c r="B322" s="167"/>
    </row>
    <row r="323" spans="1:2" x14ac:dyDescent="0.25">
      <c r="A323" s="167"/>
      <c r="B323" s="167"/>
    </row>
    <row r="324" spans="1:2" x14ac:dyDescent="0.25">
      <c r="A324" s="167"/>
      <c r="B324" s="167"/>
    </row>
    <row r="325" spans="1:2" x14ac:dyDescent="0.25">
      <c r="A325" s="167"/>
      <c r="B325" s="167"/>
    </row>
    <row r="326" spans="1:2" x14ac:dyDescent="0.25">
      <c r="A326" s="167"/>
      <c r="B326" s="167"/>
    </row>
    <row r="327" spans="1:2" x14ac:dyDescent="0.25">
      <c r="A327" s="167"/>
      <c r="B327" s="167"/>
    </row>
    <row r="328" spans="1:2" x14ac:dyDescent="0.25">
      <c r="A328" s="167"/>
      <c r="B328" s="167"/>
    </row>
    <row r="329" spans="1:2" x14ac:dyDescent="0.25">
      <c r="A329" s="167"/>
      <c r="B329" s="167"/>
    </row>
    <row r="330" spans="1:2" x14ac:dyDescent="0.25">
      <c r="A330" s="167"/>
      <c r="B330" s="167"/>
    </row>
    <row r="331" spans="1:2" x14ac:dyDescent="0.25">
      <c r="A331" s="167"/>
      <c r="B331" s="167"/>
    </row>
    <row r="332" spans="1:2" x14ac:dyDescent="0.25">
      <c r="A332" s="167"/>
      <c r="B332" s="167"/>
    </row>
    <row r="333" spans="1:2" x14ac:dyDescent="0.25">
      <c r="A333" s="167"/>
      <c r="B333" s="167"/>
    </row>
    <row r="334" spans="1:2" x14ac:dyDescent="0.25">
      <c r="A334" s="167"/>
      <c r="B334" s="167"/>
    </row>
    <row r="335" spans="1:2" x14ac:dyDescent="0.25">
      <c r="A335" s="167"/>
      <c r="B335" s="167"/>
    </row>
    <row r="336" spans="1:2" x14ac:dyDescent="0.25">
      <c r="A336" s="167"/>
      <c r="B336" s="167"/>
    </row>
    <row r="337" spans="1:2" x14ac:dyDescent="0.25">
      <c r="A337" s="167"/>
      <c r="B337" s="167"/>
    </row>
    <row r="338" spans="1:2" x14ac:dyDescent="0.25">
      <c r="A338" s="167"/>
      <c r="B338" s="167"/>
    </row>
    <row r="339" spans="1:2" x14ac:dyDescent="0.25">
      <c r="A339" s="167"/>
      <c r="B339" s="167"/>
    </row>
    <row r="340" spans="1:2" x14ac:dyDescent="0.25">
      <c r="A340" s="167"/>
      <c r="B340" s="167"/>
    </row>
    <row r="341" spans="1:2" x14ac:dyDescent="0.25">
      <c r="A341" s="167"/>
      <c r="B341" s="167"/>
    </row>
    <row r="342" spans="1:2" x14ac:dyDescent="0.25">
      <c r="A342" s="167"/>
      <c r="B342" s="167"/>
    </row>
    <row r="343" spans="1:2" x14ac:dyDescent="0.25">
      <c r="A343" s="167"/>
      <c r="B343" s="167"/>
    </row>
    <row r="344" spans="1:2" x14ac:dyDescent="0.25">
      <c r="A344" s="167"/>
      <c r="B344" s="167"/>
    </row>
    <row r="345" spans="1:2" x14ac:dyDescent="0.25">
      <c r="A345" s="167"/>
      <c r="B345" s="167"/>
    </row>
    <row r="346" spans="1:2" x14ac:dyDescent="0.25">
      <c r="A346" s="167"/>
      <c r="B346" s="167"/>
    </row>
    <row r="347" spans="1:2" x14ac:dyDescent="0.25">
      <c r="A347" s="167"/>
      <c r="B347" s="167"/>
    </row>
    <row r="348" spans="1:2" x14ac:dyDescent="0.25">
      <c r="A348" s="167"/>
      <c r="B348" s="167"/>
    </row>
    <row r="349" spans="1:2" x14ac:dyDescent="0.25">
      <c r="A349" s="167"/>
      <c r="B349" s="167"/>
    </row>
    <row r="350" spans="1:2" x14ac:dyDescent="0.25">
      <c r="A350" s="167"/>
      <c r="B350" s="167"/>
    </row>
    <row r="351" spans="1:2" x14ac:dyDescent="0.25">
      <c r="A351" s="167"/>
      <c r="B351" s="167"/>
    </row>
    <row r="352" spans="1:2" x14ac:dyDescent="0.25">
      <c r="A352" s="167"/>
      <c r="B352" s="167"/>
    </row>
    <row r="353" spans="1:2" x14ac:dyDescent="0.25">
      <c r="A353" s="167"/>
      <c r="B353" s="167"/>
    </row>
    <row r="354" spans="1:2" x14ac:dyDescent="0.25">
      <c r="A354" s="167"/>
      <c r="B354" s="167"/>
    </row>
    <row r="355" spans="1:2" x14ac:dyDescent="0.25">
      <c r="A355" s="167"/>
      <c r="B355" s="167"/>
    </row>
    <row r="356" spans="1:2" x14ac:dyDescent="0.25">
      <c r="A356" s="167"/>
      <c r="B356" s="167"/>
    </row>
    <row r="357" spans="1:2" x14ac:dyDescent="0.25">
      <c r="A357" s="167"/>
      <c r="B357" s="167"/>
    </row>
    <row r="358" spans="1:2" x14ac:dyDescent="0.25">
      <c r="A358" s="167"/>
      <c r="B358" s="167"/>
    </row>
    <row r="359" spans="1:2" x14ac:dyDescent="0.25">
      <c r="A359" s="167"/>
      <c r="B359" s="167"/>
    </row>
    <row r="360" spans="1:2" x14ac:dyDescent="0.25">
      <c r="A360" s="167"/>
      <c r="B360" s="167"/>
    </row>
    <row r="361" spans="1:2" x14ac:dyDescent="0.25">
      <c r="A361" s="167"/>
      <c r="B361" s="167"/>
    </row>
    <row r="362" spans="1:2" x14ac:dyDescent="0.25">
      <c r="A362" s="167"/>
      <c r="B362" s="167"/>
    </row>
    <row r="363" spans="1:2" x14ac:dyDescent="0.25">
      <c r="A363" s="167"/>
      <c r="B363" s="167"/>
    </row>
    <row r="364" spans="1:2" x14ac:dyDescent="0.25">
      <c r="A364" s="167"/>
      <c r="B364" s="167"/>
    </row>
    <row r="365" spans="1:2" x14ac:dyDescent="0.25">
      <c r="A365" s="167"/>
      <c r="B365" s="167"/>
    </row>
    <row r="366" spans="1:2" x14ac:dyDescent="0.25">
      <c r="A366" s="167"/>
      <c r="B366" s="167"/>
    </row>
    <row r="367" spans="1:2" x14ac:dyDescent="0.25">
      <c r="A367" s="167"/>
      <c r="B367" s="167"/>
    </row>
    <row r="368" spans="1:2" x14ac:dyDescent="0.25">
      <c r="A368" s="167"/>
      <c r="B368" s="167"/>
    </row>
    <row r="369" spans="1:2" x14ac:dyDescent="0.25">
      <c r="A369" s="167"/>
      <c r="B369" s="167"/>
    </row>
    <row r="370" spans="1:2" x14ac:dyDescent="0.25">
      <c r="A370" s="167"/>
      <c r="B370" s="167"/>
    </row>
    <row r="371" spans="1:2" x14ac:dyDescent="0.25">
      <c r="A371" s="167"/>
      <c r="B371" s="167"/>
    </row>
    <row r="372" spans="1:2" x14ac:dyDescent="0.25">
      <c r="A372" s="167"/>
      <c r="B372" s="167"/>
    </row>
    <row r="373" spans="1:2" x14ac:dyDescent="0.25">
      <c r="A373" s="167"/>
      <c r="B373" s="167"/>
    </row>
    <row r="374" spans="1:2" x14ac:dyDescent="0.25">
      <c r="A374" s="167"/>
      <c r="B374" s="167"/>
    </row>
    <row r="375" spans="1:2" x14ac:dyDescent="0.25">
      <c r="A375" s="167"/>
      <c r="B375" s="167"/>
    </row>
    <row r="376" spans="1:2" x14ac:dyDescent="0.25">
      <c r="A376" s="167"/>
      <c r="B376" s="167"/>
    </row>
    <row r="377" spans="1:2" x14ac:dyDescent="0.25">
      <c r="A377" s="167"/>
      <c r="B377" s="167"/>
    </row>
    <row r="378" spans="1:2" x14ac:dyDescent="0.25">
      <c r="A378" s="167"/>
      <c r="B378" s="167"/>
    </row>
    <row r="379" spans="1:2" x14ac:dyDescent="0.25">
      <c r="A379" s="167"/>
      <c r="B379" s="167"/>
    </row>
    <row r="380" spans="1:2" x14ac:dyDescent="0.25">
      <c r="A380" s="167"/>
      <c r="B380" s="167"/>
    </row>
    <row r="381" spans="1:2" x14ac:dyDescent="0.25">
      <c r="A381" s="167"/>
      <c r="B381" s="167"/>
    </row>
    <row r="382" spans="1:2" x14ac:dyDescent="0.25">
      <c r="A382" s="167"/>
      <c r="B382" s="167"/>
    </row>
    <row r="383" spans="1:2" x14ac:dyDescent="0.25">
      <c r="A383" s="167"/>
      <c r="B383" s="167"/>
    </row>
    <row r="384" spans="1:2" x14ac:dyDescent="0.25">
      <c r="A384" s="167"/>
      <c r="B384" s="167"/>
    </row>
    <row r="385" spans="1:2" x14ac:dyDescent="0.25">
      <c r="A385" s="167"/>
      <c r="B385" s="167"/>
    </row>
    <row r="386" spans="1:2" x14ac:dyDescent="0.25">
      <c r="A386" s="167"/>
      <c r="B386" s="167"/>
    </row>
    <row r="387" spans="1:2" x14ac:dyDescent="0.25">
      <c r="A387" s="167"/>
      <c r="B387" s="167"/>
    </row>
    <row r="388" spans="1:2" x14ac:dyDescent="0.25">
      <c r="A388" s="167"/>
      <c r="B388" s="167"/>
    </row>
    <row r="389" spans="1:2" x14ac:dyDescent="0.25">
      <c r="A389" s="167"/>
      <c r="B389" s="167"/>
    </row>
    <row r="390" spans="1:2" x14ac:dyDescent="0.25">
      <c r="A390" s="167"/>
      <c r="B390" s="167"/>
    </row>
    <row r="391" spans="1:2" x14ac:dyDescent="0.25">
      <c r="A391" s="167"/>
      <c r="B391" s="167"/>
    </row>
    <row r="392" spans="1:2" x14ac:dyDescent="0.25">
      <c r="A392" s="167"/>
      <c r="B392" s="167"/>
    </row>
    <row r="393" spans="1:2" x14ac:dyDescent="0.25">
      <c r="A393" s="167"/>
      <c r="B393" s="167"/>
    </row>
    <row r="394" spans="1:2" x14ac:dyDescent="0.25">
      <c r="A394" s="167"/>
      <c r="B394" s="167"/>
    </row>
    <row r="395" spans="1:2" x14ac:dyDescent="0.25">
      <c r="A395" s="167"/>
      <c r="B395" s="167"/>
    </row>
    <row r="396" spans="1:2" x14ac:dyDescent="0.25">
      <c r="A396" s="167"/>
      <c r="B396" s="167"/>
    </row>
    <row r="397" spans="1:2" x14ac:dyDescent="0.25">
      <c r="A397" s="167"/>
      <c r="B397" s="167"/>
    </row>
    <row r="398" spans="1:2" x14ac:dyDescent="0.25">
      <c r="A398" s="167"/>
      <c r="B398" s="167"/>
    </row>
    <row r="399" spans="1:2" x14ac:dyDescent="0.25">
      <c r="A399" s="167"/>
      <c r="B399" s="167"/>
    </row>
    <row r="400" spans="1:2" x14ac:dyDescent="0.25">
      <c r="A400" s="167"/>
      <c r="B400" s="167"/>
    </row>
    <row r="401" spans="1:2" x14ac:dyDescent="0.25">
      <c r="A401" s="167"/>
      <c r="B401" s="167"/>
    </row>
    <row r="402" spans="1:2" x14ac:dyDescent="0.25">
      <c r="A402" s="167"/>
      <c r="B402" s="167"/>
    </row>
    <row r="403" spans="1:2" x14ac:dyDescent="0.25">
      <c r="A403" s="167"/>
      <c r="B403" s="167"/>
    </row>
    <row r="404" spans="1:2" x14ac:dyDescent="0.25">
      <c r="A404" s="167"/>
      <c r="B404" s="167"/>
    </row>
    <row r="405" spans="1:2" x14ac:dyDescent="0.25">
      <c r="A405" s="167"/>
      <c r="B405" s="167"/>
    </row>
    <row r="406" spans="1:2" x14ac:dyDescent="0.25">
      <c r="A406" s="167"/>
      <c r="B406" s="167"/>
    </row>
    <row r="407" spans="1:2" x14ac:dyDescent="0.25">
      <c r="A407" s="167"/>
      <c r="B407" s="167"/>
    </row>
    <row r="408" spans="1:2" x14ac:dyDescent="0.25">
      <c r="A408" s="167"/>
      <c r="B408" s="167"/>
    </row>
    <row r="409" spans="1:2" x14ac:dyDescent="0.25">
      <c r="A409" s="167"/>
      <c r="B409" s="167"/>
    </row>
    <row r="410" spans="1:2" x14ac:dyDescent="0.25">
      <c r="A410" s="167"/>
      <c r="B410" s="167"/>
    </row>
    <row r="411" spans="1:2" x14ac:dyDescent="0.25">
      <c r="A411" s="167"/>
      <c r="B411" s="167"/>
    </row>
    <row r="412" spans="1:2" x14ac:dyDescent="0.25">
      <c r="A412" s="167"/>
      <c r="B412" s="167"/>
    </row>
    <row r="413" spans="1:2" x14ac:dyDescent="0.25">
      <c r="A413" s="167"/>
      <c r="B413" s="167"/>
    </row>
    <row r="414" spans="1:2" x14ac:dyDescent="0.25">
      <c r="A414" s="167"/>
      <c r="B414" s="167"/>
    </row>
    <row r="415" spans="1:2" x14ac:dyDescent="0.25">
      <c r="A415" s="167"/>
      <c r="B415" s="167"/>
    </row>
    <row r="416" spans="1:2" x14ac:dyDescent="0.25">
      <c r="A416" s="167"/>
      <c r="B416" s="167"/>
    </row>
    <row r="417" spans="1:2" x14ac:dyDescent="0.25">
      <c r="A417" s="167"/>
      <c r="B417" s="167"/>
    </row>
    <row r="418" spans="1:2" x14ac:dyDescent="0.25">
      <c r="A418" s="167"/>
      <c r="B418" s="167"/>
    </row>
    <row r="419" spans="1:2" x14ac:dyDescent="0.25">
      <c r="A419" s="167"/>
      <c r="B419" s="167"/>
    </row>
    <row r="420" spans="1:2" x14ac:dyDescent="0.25">
      <c r="A420" s="167"/>
      <c r="B420" s="167"/>
    </row>
    <row r="421" spans="1:2" x14ac:dyDescent="0.25">
      <c r="A421" s="167"/>
      <c r="B421" s="167"/>
    </row>
    <row r="422" spans="1:2" x14ac:dyDescent="0.25">
      <c r="A422" s="167"/>
      <c r="B422" s="167"/>
    </row>
    <row r="423" spans="1:2" x14ac:dyDescent="0.25">
      <c r="A423" s="167"/>
      <c r="B423" s="167"/>
    </row>
    <row r="424" spans="1:2" x14ac:dyDescent="0.25">
      <c r="A424" s="167"/>
      <c r="B424" s="167"/>
    </row>
    <row r="425" spans="1:2" x14ac:dyDescent="0.25">
      <c r="A425" s="167"/>
      <c r="B425" s="167"/>
    </row>
    <row r="426" spans="1:2" x14ac:dyDescent="0.25">
      <c r="A426" s="167"/>
      <c r="B426" s="167"/>
    </row>
    <row r="427" spans="1:2" x14ac:dyDescent="0.25">
      <c r="A427" s="167"/>
      <c r="B427" s="167"/>
    </row>
    <row r="428" spans="1:2" x14ac:dyDescent="0.25">
      <c r="A428" s="167"/>
      <c r="B428" s="167"/>
    </row>
    <row r="429" spans="1:2" x14ac:dyDescent="0.25">
      <c r="A429" s="167"/>
      <c r="B429" s="167"/>
    </row>
    <row r="430" spans="1:2" x14ac:dyDescent="0.25">
      <c r="A430" s="167"/>
      <c r="B430" s="167"/>
    </row>
    <row r="431" spans="1:2" x14ac:dyDescent="0.25">
      <c r="A431" s="167"/>
      <c r="B431" s="167"/>
    </row>
    <row r="432" spans="1:2" x14ac:dyDescent="0.25">
      <c r="A432" s="167"/>
      <c r="B432" s="167"/>
    </row>
    <row r="433" spans="1:2" x14ac:dyDescent="0.25">
      <c r="A433" s="167"/>
      <c r="B433" s="167"/>
    </row>
    <row r="434" spans="1:2" x14ac:dyDescent="0.25">
      <c r="A434" s="167"/>
      <c r="B434" s="167"/>
    </row>
    <row r="435" spans="1:2" x14ac:dyDescent="0.25">
      <c r="A435" s="167"/>
      <c r="B435" s="167"/>
    </row>
    <row r="436" spans="1:2" x14ac:dyDescent="0.25">
      <c r="A436" s="167"/>
      <c r="B436" s="167"/>
    </row>
    <row r="437" spans="1:2" x14ac:dyDescent="0.25">
      <c r="A437" s="167"/>
      <c r="B437" s="167"/>
    </row>
    <row r="438" spans="1:2" x14ac:dyDescent="0.25">
      <c r="A438" s="167"/>
      <c r="B438" s="167"/>
    </row>
    <row r="439" spans="1:2" x14ac:dyDescent="0.25">
      <c r="A439" s="167"/>
      <c r="B439" s="167"/>
    </row>
    <row r="440" spans="1:2" x14ac:dyDescent="0.25">
      <c r="A440" s="167"/>
      <c r="B440" s="167"/>
    </row>
    <row r="441" spans="1:2" x14ac:dyDescent="0.25">
      <c r="A441" s="167"/>
      <c r="B441" s="167"/>
    </row>
    <row r="442" spans="1:2" x14ac:dyDescent="0.25">
      <c r="A442" s="167"/>
      <c r="B442" s="167"/>
    </row>
    <row r="443" spans="1:2" x14ac:dyDescent="0.25">
      <c r="A443" s="167"/>
      <c r="B443" s="167"/>
    </row>
    <row r="444" spans="1:2" x14ac:dyDescent="0.25">
      <c r="A444" s="167"/>
      <c r="B444" s="167"/>
    </row>
    <row r="445" spans="1:2" x14ac:dyDescent="0.25">
      <c r="A445" s="167"/>
      <c r="B445" s="167"/>
    </row>
    <row r="446" spans="1:2" x14ac:dyDescent="0.25">
      <c r="A446" s="167"/>
      <c r="B446" s="167"/>
    </row>
    <row r="447" spans="1:2" x14ac:dyDescent="0.25">
      <c r="A447" s="167"/>
      <c r="B447" s="167"/>
    </row>
    <row r="448" spans="1:2" x14ac:dyDescent="0.25">
      <c r="A448" s="167"/>
      <c r="B448" s="167"/>
    </row>
    <row r="449" spans="1:2" x14ac:dyDescent="0.25">
      <c r="A449" s="167"/>
      <c r="B449" s="167"/>
    </row>
    <row r="450" spans="1:2" x14ac:dyDescent="0.25">
      <c r="A450" s="167"/>
      <c r="B450" s="167"/>
    </row>
    <row r="451" spans="1:2" x14ac:dyDescent="0.25">
      <c r="A451" s="167"/>
      <c r="B451" s="167"/>
    </row>
    <row r="452" spans="1:2" x14ac:dyDescent="0.25">
      <c r="A452" s="167"/>
      <c r="B452" s="167"/>
    </row>
    <row r="453" spans="1:2" x14ac:dyDescent="0.25">
      <c r="A453" s="167"/>
      <c r="B453" s="167"/>
    </row>
    <row r="454" spans="1:2" x14ac:dyDescent="0.25">
      <c r="A454" s="167"/>
      <c r="B454" s="167"/>
    </row>
    <row r="455" spans="1:2" x14ac:dyDescent="0.25">
      <c r="A455" s="167"/>
      <c r="B455" s="167"/>
    </row>
    <row r="456" spans="1:2" x14ac:dyDescent="0.25">
      <c r="A456" s="167"/>
      <c r="B456" s="167"/>
    </row>
    <row r="457" spans="1:2" x14ac:dyDescent="0.25">
      <c r="A457" s="167"/>
      <c r="B457" s="167"/>
    </row>
    <row r="458" spans="1:2" x14ac:dyDescent="0.25">
      <c r="A458" s="167"/>
      <c r="B458" s="167"/>
    </row>
    <row r="459" spans="1:2" x14ac:dyDescent="0.25">
      <c r="A459" s="167"/>
      <c r="B459" s="167"/>
    </row>
    <row r="460" spans="1:2" x14ac:dyDescent="0.25">
      <c r="A460" s="167"/>
      <c r="B460" s="167"/>
    </row>
    <row r="461" spans="1:2" x14ac:dyDescent="0.25">
      <c r="A461" s="167"/>
      <c r="B461" s="167"/>
    </row>
    <row r="462" spans="1:2" x14ac:dyDescent="0.25">
      <c r="A462" s="167"/>
      <c r="B462" s="167"/>
    </row>
    <row r="463" spans="1:2" x14ac:dyDescent="0.25">
      <c r="A463" s="167"/>
      <c r="B463" s="167"/>
    </row>
    <row r="464" spans="1:2" x14ac:dyDescent="0.25">
      <c r="A464" s="167"/>
      <c r="B464" s="167"/>
    </row>
    <row r="465" spans="1:2" x14ac:dyDescent="0.25">
      <c r="A465" s="167"/>
      <c r="B465" s="167"/>
    </row>
    <row r="466" spans="1:2" x14ac:dyDescent="0.25">
      <c r="A466" s="167"/>
      <c r="B466" s="167"/>
    </row>
    <row r="467" spans="1:2" x14ac:dyDescent="0.25">
      <c r="A467" s="167"/>
      <c r="B467" s="167"/>
    </row>
    <row r="468" spans="1:2" x14ac:dyDescent="0.25">
      <c r="A468" s="167"/>
      <c r="B468" s="167"/>
    </row>
    <row r="469" spans="1:2" x14ac:dyDescent="0.25">
      <c r="A469" s="167"/>
      <c r="B469" s="167"/>
    </row>
    <row r="470" spans="1:2" x14ac:dyDescent="0.25">
      <c r="A470" s="167"/>
      <c r="B470" s="167"/>
    </row>
    <row r="471" spans="1:2" x14ac:dyDescent="0.25">
      <c r="A471" s="167"/>
      <c r="B471" s="167"/>
    </row>
    <row r="472" spans="1:2" x14ac:dyDescent="0.25">
      <c r="A472" s="167"/>
      <c r="B472" s="167"/>
    </row>
    <row r="473" spans="1:2" x14ac:dyDescent="0.25">
      <c r="A473" s="167"/>
      <c r="B473" s="167"/>
    </row>
    <row r="474" spans="1:2" x14ac:dyDescent="0.25">
      <c r="A474" s="167"/>
      <c r="B474" s="167"/>
    </row>
    <row r="475" spans="1:2" x14ac:dyDescent="0.25">
      <c r="A475" s="167"/>
      <c r="B475" s="167"/>
    </row>
    <row r="476" spans="1:2" x14ac:dyDescent="0.25">
      <c r="A476" s="167"/>
      <c r="B476" s="167"/>
    </row>
    <row r="477" spans="1:2" x14ac:dyDescent="0.25">
      <c r="A477" s="167"/>
      <c r="B477" s="167"/>
    </row>
    <row r="478" spans="1:2" x14ac:dyDescent="0.25">
      <c r="A478" s="167"/>
      <c r="B478" s="167"/>
    </row>
    <row r="479" spans="1:2" x14ac:dyDescent="0.25">
      <c r="A479" s="167"/>
      <c r="B479" s="167"/>
    </row>
    <row r="480" spans="1:2" x14ac:dyDescent="0.25">
      <c r="A480" s="167"/>
      <c r="B480" s="167"/>
    </row>
    <row r="481" spans="1:2" x14ac:dyDescent="0.25">
      <c r="A481" s="167"/>
      <c r="B481" s="167"/>
    </row>
    <row r="482" spans="1:2" x14ac:dyDescent="0.25">
      <c r="A482" s="167"/>
      <c r="B482" s="167"/>
    </row>
    <row r="483" spans="1:2" x14ac:dyDescent="0.25">
      <c r="A483" s="167"/>
      <c r="B483" s="167"/>
    </row>
    <row r="484" spans="1:2" x14ac:dyDescent="0.25">
      <c r="A484" s="167"/>
      <c r="B484" s="167"/>
    </row>
    <row r="485" spans="1:2" x14ac:dyDescent="0.25">
      <c r="A485" s="167"/>
      <c r="B485" s="167"/>
    </row>
    <row r="486" spans="1:2" x14ac:dyDescent="0.25">
      <c r="A486" s="167"/>
      <c r="B486" s="167"/>
    </row>
    <row r="487" spans="1:2" x14ac:dyDescent="0.25">
      <c r="A487" s="167"/>
      <c r="B487" s="167"/>
    </row>
    <row r="488" spans="1:2" x14ac:dyDescent="0.25">
      <c r="A488" s="167"/>
      <c r="B488" s="167"/>
    </row>
    <row r="489" spans="1:2" x14ac:dyDescent="0.25">
      <c r="A489" s="167"/>
      <c r="B489" s="167"/>
    </row>
    <row r="490" spans="1:2" x14ac:dyDescent="0.25">
      <c r="A490" s="167"/>
      <c r="B490" s="167"/>
    </row>
    <row r="491" spans="1:2" x14ac:dyDescent="0.25">
      <c r="A491" s="167"/>
      <c r="B491" s="167"/>
    </row>
    <row r="492" spans="1:2" x14ac:dyDescent="0.25">
      <c r="A492" s="167"/>
      <c r="B492" s="167"/>
    </row>
    <row r="493" spans="1:2" x14ac:dyDescent="0.25">
      <c r="A493" s="167"/>
      <c r="B493" s="167"/>
    </row>
    <row r="494" spans="1:2" x14ac:dyDescent="0.25">
      <c r="A494" s="167"/>
      <c r="B494" s="167"/>
    </row>
    <row r="495" spans="1:2" x14ac:dyDescent="0.25">
      <c r="A495" s="167"/>
      <c r="B495" s="167"/>
    </row>
    <row r="496" spans="1:2" x14ac:dyDescent="0.25">
      <c r="A496" s="167"/>
      <c r="B496" s="167"/>
    </row>
    <row r="497" spans="1:2" x14ac:dyDescent="0.25">
      <c r="A497" s="167"/>
      <c r="B497" s="167"/>
    </row>
    <row r="498" spans="1:2" x14ac:dyDescent="0.25">
      <c r="A498" s="167"/>
      <c r="B498" s="167"/>
    </row>
    <row r="499" spans="1:2" x14ac:dyDescent="0.25">
      <c r="A499" s="167"/>
      <c r="B499" s="167"/>
    </row>
    <row r="500" spans="1:2" x14ac:dyDescent="0.25">
      <c r="A500" s="167"/>
      <c r="B500" s="167"/>
    </row>
    <row r="501" spans="1:2" x14ac:dyDescent="0.25">
      <c r="A501" s="167"/>
      <c r="B501" s="167"/>
    </row>
    <row r="502" spans="1:2" x14ac:dyDescent="0.25">
      <c r="A502" s="167"/>
      <c r="B502" s="167"/>
    </row>
    <row r="503" spans="1:2" x14ac:dyDescent="0.25">
      <c r="A503" s="167"/>
      <c r="B503" s="167"/>
    </row>
    <row r="504" spans="1:2" x14ac:dyDescent="0.25">
      <c r="A504" s="167"/>
      <c r="B504" s="167"/>
    </row>
    <row r="505" spans="1:2" x14ac:dyDescent="0.25">
      <c r="A505" s="167"/>
      <c r="B505" s="167"/>
    </row>
    <row r="506" spans="1:2" x14ac:dyDescent="0.25">
      <c r="A506" s="167"/>
      <c r="B506" s="167"/>
    </row>
    <row r="507" spans="1:2" x14ac:dyDescent="0.25">
      <c r="A507" s="167"/>
      <c r="B507" s="167"/>
    </row>
    <row r="508" spans="1:2" x14ac:dyDescent="0.25">
      <c r="A508" s="167"/>
      <c r="B508" s="167"/>
    </row>
    <row r="509" spans="1:2" x14ac:dyDescent="0.25">
      <c r="A509" s="167"/>
      <c r="B509" s="167"/>
    </row>
    <row r="510" spans="1:2" x14ac:dyDescent="0.25">
      <c r="A510" s="167"/>
      <c r="B510" s="167"/>
    </row>
    <row r="511" spans="1:2" x14ac:dyDescent="0.25">
      <c r="A511" s="167"/>
      <c r="B511" s="167"/>
    </row>
    <row r="512" spans="1:2" x14ac:dyDescent="0.25">
      <c r="A512" s="167"/>
      <c r="B512" s="167"/>
    </row>
    <row r="513" spans="1:2" x14ac:dyDescent="0.25">
      <c r="A513" s="167"/>
      <c r="B513" s="167"/>
    </row>
    <row r="514" spans="1:2" x14ac:dyDescent="0.25">
      <c r="A514" s="167"/>
      <c r="B514" s="167"/>
    </row>
    <row r="515" spans="1:2" x14ac:dyDescent="0.25">
      <c r="A515" s="167"/>
      <c r="B515" s="167"/>
    </row>
    <row r="516" spans="1:2" x14ac:dyDescent="0.25">
      <c r="A516" s="167"/>
      <c r="B516" s="167"/>
    </row>
    <row r="517" spans="1:2" x14ac:dyDescent="0.25">
      <c r="A517" s="167"/>
      <c r="B517" s="167"/>
    </row>
    <row r="518" spans="1:2" x14ac:dyDescent="0.25">
      <c r="A518" s="167"/>
      <c r="B518" s="167"/>
    </row>
    <row r="519" spans="1:2" x14ac:dyDescent="0.25">
      <c r="A519" s="167"/>
      <c r="B519" s="167"/>
    </row>
    <row r="520" spans="1:2" x14ac:dyDescent="0.25">
      <c r="A520" s="167"/>
      <c r="B520" s="167"/>
    </row>
    <row r="521" spans="1:2" x14ac:dyDescent="0.25">
      <c r="A521" s="167"/>
      <c r="B521" s="167"/>
    </row>
    <row r="522" spans="1:2" x14ac:dyDescent="0.25">
      <c r="A522" s="167"/>
      <c r="B522" s="167"/>
    </row>
    <row r="523" spans="1:2" x14ac:dyDescent="0.25">
      <c r="A523" s="167"/>
      <c r="B523" s="167"/>
    </row>
    <row r="524" spans="1:2" x14ac:dyDescent="0.25">
      <c r="A524" s="167"/>
      <c r="B524" s="167"/>
    </row>
    <row r="525" spans="1:2" x14ac:dyDescent="0.25">
      <c r="A525" s="167"/>
      <c r="B525" s="167"/>
    </row>
    <row r="526" spans="1:2" x14ac:dyDescent="0.25">
      <c r="A526" s="167"/>
      <c r="B526" s="167"/>
    </row>
    <row r="527" spans="1:2" x14ac:dyDescent="0.25">
      <c r="A527" s="167"/>
      <c r="B527" s="167"/>
    </row>
    <row r="528" spans="1:2" x14ac:dyDescent="0.25">
      <c r="A528" s="167"/>
      <c r="B528" s="167"/>
    </row>
    <row r="529" spans="1:2" x14ac:dyDescent="0.25">
      <c r="A529" s="167"/>
      <c r="B529" s="167"/>
    </row>
    <row r="530" spans="1:2" x14ac:dyDescent="0.25">
      <c r="A530" s="167"/>
      <c r="B530" s="167"/>
    </row>
    <row r="531" spans="1:2" x14ac:dyDescent="0.25">
      <c r="A531" s="167"/>
      <c r="B531" s="167"/>
    </row>
    <row r="532" spans="1:2" x14ac:dyDescent="0.25">
      <c r="A532" s="167"/>
      <c r="B532" s="167"/>
    </row>
    <row r="533" spans="1:2" x14ac:dyDescent="0.25">
      <c r="A533" s="167"/>
      <c r="B533" s="167"/>
    </row>
    <row r="534" spans="1:2" x14ac:dyDescent="0.25">
      <c r="A534" s="167"/>
      <c r="B534" s="167"/>
    </row>
    <row r="535" spans="1:2" x14ac:dyDescent="0.25">
      <c r="A535" s="167"/>
      <c r="B535" s="167"/>
    </row>
    <row r="536" spans="1:2" x14ac:dyDescent="0.25">
      <c r="A536" s="167"/>
      <c r="B536" s="167"/>
    </row>
    <row r="537" spans="1:2" x14ac:dyDescent="0.25">
      <c r="A537" s="167"/>
      <c r="B537" s="167"/>
    </row>
    <row r="538" spans="1:2" x14ac:dyDescent="0.25">
      <c r="A538" s="167"/>
      <c r="B538" s="167"/>
    </row>
    <row r="539" spans="1:2" x14ac:dyDescent="0.25">
      <c r="A539" s="167"/>
      <c r="B539" s="167"/>
    </row>
    <row r="540" spans="1:2" x14ac:dyDescent="0.25">
      <c r="A540" s="167"/>
      <c r="B540" s="167"/>
    </row>
    <row r="541" spans="1:2" x14ac:dyDescent="0.25">
      <c r="A541" s="167"/>
      <c r="B541" s="167"/>
    </row>
    <row r="542" spans="1:2" x14ac:dyDescent="0.25">
      <c r="A542" s="167"/>
      <c r="B542" s="167"/>
    </row>
    <row r="543" spans="1:2" x14ac:dyDescent="0.25">
      <c r="A543" s="167"/>
      <c r="B543" s="167"/>
    </row>
    <row r="544" spans="1:2" x14ac:dyDescent="0.25">
      <c r="A544" s="167"/>
      <c r="B544" s="167"/>
    </row>
    <row r="545" spans="1:2" x14ac:dyDescent="0.25">
      <c r="A545" s="167"/>
      <c r="B545" s="167"/>
    </row>
    <row r="546" spans="1:2" x14ac:dyDescent="0.25">
      <c r="A546" s="167"/>
      <c r="B546" s="167"/>
    </row>
    <row r="547" spans="1:2" x14ac:dyDescent="0.25">
      <c r="A547" s="167"/>
      <c r="B547" s="167"/>
    </row>
    <row r="548" spans="1:2" x14ac:dyDescent="0.25">
      <c r="A548" s="167"/>
      <c r="B548" s="167"/>
    </row>
    <row r="549" spans="1:2" x14ac:dyDescent="0.25">
      <c r="A549" s="167"/>
      <c r="B549" s="167"/>
    </row>
    <row r="550" spans="1:2" x14ac:dyDescent="0.25">
      <c r="A550" s="167"/>
      <c r="B550" s="167"/>
    </row>
    <row r="551" spans="1:2" x14ac:dyDescent="0.25">
      <c r="A551" s="167"/>
      <c r="B551" s="167"/>
    </row>
    <row r="552" spans="1:2" x14ac:dyDescent="0.25">
      <c r="A552" s="167"/>
      <c r="B552" s="167"/>
    </row>
    <row r="553" spans="1:2" x14ac:dyDescent="0.25">
      <c r="A553" s="167"/>
      <c r="B553" s="167"/>
    </row>
    <row r="554" spans="1:2" x14ac:dyDescent="0.25">
      <c r="A554" s="167"/>
      <c r="B554" s="167"/>
    </row>
    <row r="555" spans="1:2" x14ac:dyDescent="0.25">
      <c r="A555" s="167"/>
      <c r="B555" s="167"/>
    </row>
    <row r="556" spans="1:2" x14ac:dyDescent="0.25">
      <c r="A556" s="167"/>
      <c r="B556" s="167"/>
    </row>
    <row r="557" spans="1:2" x14ac:dyDescent="0.25">
      <c r="A557" s="167"/>
      <c r="B557" s="167"/>
    </row>
    <row r="558" spans="1:2" x14ac:dyDescent="0.25">
      <c r="A558" s="167"/>
      <c r="B558" s="167"/>
    </row>
    <row r="559" spans="1:2" x14ac:dyDescent="0.25">
      <c r="A559" s="167"/>
      <c r="B559" s="167"/>
    </row>
    <row r="560" spans="1:2" x14ac:dyDescent="0.25">
      <c r="A560" s="167"/>
      <c r="B560" s="167"/>
    </row>
    <row r="561" spans="1:2" x14ac:dyDescent="0.25">
      <c r="A561" s="167"/>
      <c r="B561" s="167"/>
    </row>
    <row r="562" spans="1:2" x14ac:dyDescent="0.25">
      <c r="A562" s="167"/>
      <c r="B562" s="167"/>
    </row>
    <row r="563" spans="1:2" x14ac:dyDescent="0.25">
      <c r="A563" s="167"/>
      <c r="B563" s="167"/>
    </row>
    <row r="564" spans="1:2" x14ac:dyDescent="0.25">
      <c r="A564" s="167"/>
      <c r="B564" s="167"/>
    </row>
    <row r="565" spans="1:2" x14ac:dyDescent="0.25">
      <c r="A565" s="167"/>
      <c r="B565" s="167"/>
    </row>
    <row r="566" spans="1:2" x14ac:dyDescent="0.25">
      <c r="A566" s="167"/>
      <c r="B566" s="167"/>
    </row>
    <row r="567" spans="1:2" x14ac:dyDescent="0.25">
      <c r="A567" s="167"/>
      <c r="B567" s="167"/>
    </row>
    <row r="568" spans="1:2" x14ac:dyDescent="0.25">
      <c r="A568" s="167"/>
      <c r="B568" s="167"/>
    </row>
    <row r="569" spans="1:2" x14ac:dyDescent="0.25">
      <c r="A569" s="167"/>
      <c r="B569" s="167"/>
    </row>
    <row r="570" spans="1:2" x14ac:dyDescent="0.25">
      <c r="A570" s="167"/>
      <c r="B570" s="167"/>
    </row>
    <row r="571" spans="1:2" x14ac:dyDescent="0.25">
      <c r="A571" s="167"/>
      <c r="B571" s="167"/>
    </row>
    <row r="572" spans="1:2" x14ac:dyDescent="0.25">
      <c r="A572" s="167"/>
      <c r="B572" s="167"/>
    </row>
    <row r="573" spans="1:2" x14ac:dyDescent="0.25">
      <c r="A573" s="167"/>
      <c r="B573" s="167"/>
    </row>
    <row r="574" spans="1:2" x14ac:dyDescent="0.25">
      <c r="A574" s="167"/>
      <c r="B574" s="167"/>
    </row>
    <row r="575" spans="1:2" x14ac:dyDescent="0.25">
      <c r="A575" s="167"/>
      <c r="B575" s="167"/>
    </row>
    <row r="576" spans="1:2" x14ac:dyDescent="0.25">
      <c r="A576" s="167"/>
      <c r="B576" s="167"/>
    </row>
    <row r="577" spans="1:2" x14ac:dyDescent="0.25">
      <c r="A577" s="167"/>
      <c r="B577" s="167"/>
    </row>
    <row r="578" spans="1:2" x14ac:dyDescent="0.25">
      <c r="A578" s="167"/>
      <c r="B578" s="167"/>
    </row>
    <row r="579" spans="1:2" x14ac:dyDescent="0.25">
      <c r="A579" s="167"/>
      <c r="B579" s="167"/>
    </row>
    <row r="580" spans="1:2" x14ac:dyDescent="0.25">
      <c r="A580" s="167"/>
      <c r="B580" s="167"/>
    </row>
    <row r="581" spans="1:2" x14ac:dyDescent="0.25">
      <c r="A581" s="167"/>
      <c r="B581" s="167"/>
    </row>
    <row r="582" spans="1:2" x14ac:dyDescent="0.25">
      <c r="A582" s="167"/>
      <c r="B582" s="167"/>
    </row>
    <row r="583" spans="1:2" x14ac:dyDescent="0.25">
      <c r="A583" s="167"/>
      <c r="B583" s="167"/>
    </row>
    <row r="584" spans="1:2" x14ac:dyDescent="0.25">
      <c r="A584" s="167"/>
      <c r="B584" s="167"/>
    </row>
    <row r="585" spans="1:2" x14ac:dyDescent="0.25">
      <c r="A585" s="167"/>
      <c r="B585" s="167"/>
    </row>
    <row r="586" spans="1:2" x14ac:dyDescent="0.25">
      <c r="A586" s="167"/>
      <c r="B586" s="167"/>
    </row>
    <row r="587" spans="1:2" x14ac:dyDescent="0.25">
      <c r="A587" s="167"/>
      <c r="B587" s="167"/>
    </row>
    <row r="588" spans="1:2" x14ac:dyDescent="0.25">
      <c r="A588" s="167"/>
      <c r="B588" s="167"/>
    </row>
    <row r="589" spans="1:2" x14ac:dyDescent="0.25">
      <c r="A589" s="167"/>
      <c r="B589" s="167"/>
    </row>
    <row r="590" spans="1:2" x14ac:dyDescent="0.25">
      <c r="A590" s="167"/>
      <c r="B590" s="167"/>
    </row>
    <row r="591" spans="1:2" x14ac:dyDescent="0.25">
      <c r="A591" s="167"/>
      <c r="B591" s="167"/>
    </row>
    <row r="592" spans="1:2" x14ac:dyDescent="0.25">
      <c r="A592" s="167"/>
      <c r="B592" s="167"/>
    </row>
    <row r="593" spans="1:2" x14ac:dyDescent="0.25">
      <c r="A593" s="167"/>
      <c r="B593" s="167"/>
    </row>
    <row r="594" spans="1:2" x14ac:dyDescent="0.25">
      <c r="A594" s="167"/>
      <c r="B594" s="167"/>
    </row>
    <row r="595" spans="1:2" x14ac:dyDescent="0.25">
      <c r="A595" s="167"/>
      <c r="B595" s="167"/>
    </row>
    <row r="596" spans="1:2" x14ac:dyDescent="0.25">
      <c r="A596" s="167"/>
      <c r="B596" s="167"/>
    </row>
    <row r="597" spans="1:2" x14ac:dyDescent="0.25">
      <c r="A597" s="167"/>
      <c r="B597" s="167"/>
    </row>
    <row r="598" spans="1:2" x14ac:dyDescent="0.25">
      <c r="A598" s="167"/>
      <c r="B598" s="167"/>
    </row>
    <row r="599" spans="1:2" x14ac:dyDescent="0.25">
      <c r="A599" s="167"/>
      <c r="B599" s="167"/>
    </row>
    <row r="600" spans="1:2" x14ac:dyDescent="0.25">
      <c r="A600" s="167"/>
      <c r="B600" s="167"/>
    </row>
    <row r="601" spans="1:2" x14ac:dyDescent="0.25">
      <c r="A601" s="167"/>
      <c r="B601" s="167"/>
    </row>
    <row r="602" spans="1:2" x14ac:dyDescent="0.25">
      <c r="A602" s="167"/>
      <c r="B602" s="167"/>
    </row>
    <row r="603" spans="1:2" x14ac:dyDescent="0.25">
      <c r="A603" s="167"/>
      <c r="B603" s="167"/>
    </row>
    <row r="604" spans="1:2" x14ac:dyDescent="0.25">
      <c r="A604" s="167"/>
      <c r="B604" s="167"/>
    </row>
    <row r="605" spans="1:2" x14ac:dyDescent="0.25">
      <c r="A605" s="167"/>
      <c r="B605" s="167"/>
    </row>
    <row r="606" spans="1:2" x14ac:dyDescent="0.25">
      <c r="A606" s="167"/>
      <c r="B606" s="167"/>
    </row>
    <row r="607" spans="1:2" x14ac:dyDescent="0.25">
      <c r="A607" s="167"/>
      <c r="B607" s="167"/>
    </row>
    <row r="608" spans="1:2" x14ac:dyDescent="0.25">
      <c r="A608" s="167"/>
      <c r="B608" s="167"/>
    </row>
    <row r="609" spans="1:2" x14ac:dyDescent="0.25">
      <c r="A609" s="167"/>
      <c r="B609" s="167"/>
    </row>
    <row r="610" spans="1:2" x14ac:dyDescent="0.25">
      <c r="A610" s="167"/>
      <c r="B610" s="167"/>
    </row>
    <row r="611" spans="1:2" x14ac:dyDescent="0.25">
      <c r="A611" s="167"/>
      <c r="B611" s="167"/>
    </row>
    <row r="612" spans="1:2" x14ac:dyDescent="0.25">
      <c r="A612" s="167"/>
      <c r="B612" s="167"/>
    </row>
    <row r="613" spans="1:2" x14ac:dyDescent="0.25">
      <c r="A613" s="167"/>
      <c r="B613" s="167"/>
    </row>
    <row r="614" spans="1:2" x14ac:dyDescent="0.25">
      <c r="A614" s="167"/>
      <c r="B614" s="167"/>
    </row>
    <row r="615" spans="1:2" x14ac:dyDescent="0.25">
      <c r="A615" s="167"/>
      <c r="B615" s="167"/>
    </row>
    <row r="616" spans="1:2" x14ac:dyDescent="0.25">
      <c r="A616" s="167"/>
      <c r="B616" s="167"/>
    </row>
    <row r="617" spans="1:2" x14ac:dyDescent="0.25">
      <c r="A617" s="167"/>
      <c r="B617" s="167"/>
    </row>
    <row r="618" spans="1:2" x14ac:dyDescent="0.25">
      <c r="A618" s="167"/>
      <c r="B618" s="167"/>
    </row>
    <row r="619" spans="1:2" x14ac:dyDescent="0.25">
      <c r="A619" s="167"/>
      <c r="B619" s="167"/>
    </row>
    <row r="620" spans="1:2" x14ac:dyDescent="0.25">
      <c r="A620" s="167"/>
      <c r="B620" s="167"/>
    </row>
    <row r="621" spans="1:2" x14ac:dyDescent="0.25">
      <c r="A621" s="167"/>
      <c r="B621" s="167"/>
    </row>
    <row r="622" spans="1:2" x14ac:dyDescent="0.25">
      <c r="A622" s="167"/>
      <c r="B622" s="167"/>
    </row>
    <row r="623" spans="1:2" x14ac:dyDescent="0.25">
      <c r="A623" s="167"/>
      <c r="B623" s="167"/>
    </row>
    <row r="624" spans="1:2" x14ac:dyDescent="0.25">
      <c r="A624" s="167"/>
      <c r="B624" s="167"/>
    </row>
    <row r="625" spans="1:2" x14ac:dyDescent="0.25">
      <c r="A625" s="167"/>
      <c r="B625" s="167"/>
    </row>
    <row r="626" spans="1:2" x14ac:dyDescent="0.25">
      <c r="A626" s="167"/>
      <c r="B626" s="167"/>
    </row>
    <row r="627" spans="1:2" x14ac:dyDescent="0.25">
      <c r="A627" s="167"/>
      <c r="B627" s="167"/>
    </row>
    <row r="628" spans="1:2" x14ac:dyDescent="0.25">
      <c r="A628" s="167"/>
      <c r="B628" s="167"/>
    </row>
    <row r="629" spans="1:2" x14ac:dyDescent="0.25">
      <c r="A629" s="167"/>
      <c r="B629" s="167"/>
    </row>
    <row r="630" spans="1:2" x14ac:dyDescent="0.25">
      <c r="A630" s="167"/>
      <c r="B630" s="167"/>
    </row>
    <row r="631" spans="1:2" x14ac:dyDescent="0.25">
      <c r="A631" s="167"/>
      <c r="B631" s="167"/>
    </row>
    <row r="632" spans="1:2" x14ac:dyDescent="0.25">
      <c r="A632" s="167"/>
      <c r="B632" s="167"/>
    </row>
    <row r="633" spans="1:2" x14ac:dyDescent="0.25">
      <c r="A633" s="167"/>
      <c r="B633" s="167"/>
    </row>
    <row r="634" spans="1:2" x14ac:dyDescent="0.25">
      <c r="A634" s="167"/>
      <c r="B634" s="167"/>
    </row>
    <row r="635" spans="1:2" x14ac:dyDescent="0.25">
      <c r="A635" s="167"/>
      <c r="B635" s="167"/>
    </row>
    <row r="636" spans="1:2" x14ac:dyDescent="0.25">
      <c r="A636" s="167"/>
      <c r="B636" s="167"/>
    </row>
    <row r="637" spans="1:2" x14ac:dyDescent="0.25">
      <c r="A637" s="167"/>
      <c r="B637" s="167"/>
    </row>
    <row r="638" spans="1:2" x14ac:dyDescent="0.25">
      <c r="A638" s="167"/>
      <c r="B638" s="167"/>
    </row>
    <row r="639" spans="1:2" x14ac:dyDescent="0.25">
      <c r="A639" s="167"/>
      <c r="B639" s="167"/>
    </row>
    <row r="640" spans="1:2" x14ac:dyDescent="0.25">
      <c r="A640" s="167"/>
      <c r="B640" s="167"/>
    </row>
    <row r="641" spans="1:2" x14ac:dyDescent="0.25">
      <c r="A641" s="167"/>
      <c r="B641" s="167"/>
    </row>
    <row r="642" spans="1:2" x14ac:dyDescent="0.25">
      <c r="A642" s="167"/>
      <c r="B642" s="167"/>
    </row>
    <row r="643" spans="1:2" x14ac:dyDescent="0.25">
      <c r="A643" s="167"/>
      <c r="B643" s="167"/>
    </row>
    <row r="644" spans="1:2" x14ac:dyDescent="0.25">
      <c r="A644" s="167"/>
      <c r="B644" s="167"/>
    </row>
    <row r="645" spans="1:2" x14ac:dyDescent="0.25">
      <c r="A645" s="167"/>
      <c r="B645" s="167"/>
    </row>
    <row r="646" spans="1:2" x14ac:dyDescent="0.25">
      <c r="A646" s="167"/>
      <c r="B646" s="167"/>
    </row>
    <row r="647" spans="1:2" x14ac:dyDescent="0.25">
      <c r="A647" s="167"/>
      <c r="B647" s="167"/>
    </row>
    <row r="648" spans="1:2" x14ac:dyDescent="0.25">
      <c r="A648" s="167"/>
      <c r="B648" s="167"/>
    </row>
    <row r="649" spans="1:2" x14ac:dyDescent="0.25">
      <c r="A649" s="167"/>
      <c r="B649" s="167"/>
    </row>
    <row r="650" spans="1:2" x14ac:dyDescent="0.25">
      <c r="A650" s="167"/>
      <c r="B650" s="167"/>
    </row>
    <row r="651" spans="1:2" x14ac:dyDescent="0.25">
      <c r="A651" s="167"/>
      <c r="B651" s="167"/>
    </row>
    <row r="652" spans="1:2" x14ac:dyDescent="0.25">
      <c r="A652" s="167"/>
      <c r="B652" s="167"/>
    </row>
    <row r="653" spans="1:2" x14ac:dyDescent="0.25">
      <c r="A653" s="167"/>
      <c r="B653" s="167"/>
    </row>
    <row r="654" spans="1:2" x14ac:dyDescent="0.25">
      <c r="A654" s="167"/>
      <c r="B654" s="167"/>
    </row>
    <row r="655" spans="1:2" x14ac:dyDescent="0.25">
      <c r="A655" s="167"/>
      <c r="B655" s="167"/>
    </row>
    <row r="656" spans="1:2" x14ac:dyDescent="0.25">
      <c r="A656" s="167"/>
      <c r="B656" s="167"/>
    </row>
    <row r="657" spans="1:2" x14ac:dyDescent="0.25">
      <c r="A657" s="167"/>
      <c r="B657" s="167"/>
    </row>
    <row r="658" spans="1:2" x14ac:dyDescent="0.25">
      <c r="A658" s="167"/>
      <c r="B658" s="167"/>
    </row>
    <row r="659" spans="1:2" x14ac:dyDescent="0.25">
      <c r="A659" s="167"/>
      <c r="B659" s="167"/>
    </row>
    <row r="660" spans="1:2" x14ac:dyDescent="0.25">
      <c r="A660" s="167"/>
      <c r="B660" s="167"/>
    </row>
    <row r="661" spans="1:2" x14ac:dyDescent="0.25">
      <c r="A661" s="167"/>
      <c r="B661" s="167"/>
    </row>
    <row r="662" spans="1:2" x14ac:dyDescent="0.25">
      <c r="A662" s="167"/>
      <c r="B662" s="167"/>
    </row>
    <row r="663" spans="1:2" x14ac:dyDescent="0.25">
      <c r="A663" s="167"/>
      <c r="B663" s="167"/>
    </row>
    <row r="664" spans="1:2" x14ac:dyDescent="0.25">
      <c r="A664" s="167"/>
      <c r="B664" s="167"/>
    </row>
    <row r="665" spans="1:2" x14ac:dyDescent="0.25">
      <c r="A665" s="167"/>
      <c r="B665" s="167"/>
    </row>
    <row r="666" spans="1:2" x14ac:dyDescent="0.25">
      <c r="A666" s="167"/>
      <c r="B666" s="167"/>
    </row>
    <row r="667" spans="1:2" x14ac:dyDescent="0.25">
      <c r="A667" s="167"/>
      <c r="B667" s="167"/>
    </row>
    <row r="668" spans="1:2" x14ac:dyDescent="0.25">
      <c r="A668" s="167"/>
      <c r="B668" s="167"/>
    </row>
    <row r="669" spans="1:2" x14ac:dyDescent="0.25">
      <c r="A669" s="167"/>
      <c r="B669" s="167"/>
    </row>
    <row r="670" spans="1:2" x14ac:dyDescent="0.25">
      <c r="A670" s="167"/>
      <c r="B670" s="167"/>
    </row>
    <row r="671" spans="1:2" x14ac:dyDescent="0.25">
      <c r="A671" s="167"/>
      <c r="B671" s="167"/>
    </row>
    <row r="672" spans="1:2" x14ac:dyDescent="0.25">
      <c r="A672" s="167"/>
      <c r="B672" s="167"/>
    </row>
    <row r="673" spans="1:2" x14ac:dyDescent="0.25">
      <c r="A673" s="167"/>
      <c r="B673" s="167"/>
    </row>
    <row r="674" spans="1:2" x14ac:dyDescent="0.25">
      <c r="A674" s="167"/>
      <c r="B674" s="167"/>
    </row>
    <row r="675" spans="1:2" x14ac:dyDescent="0.25">
      <c r="A675" s="167"/>
      <c r="B675" s="167"/>
    </row>
    <row r="676" spans="1:2" x14ac:dyDescent="0.25">
      <c r="A676" s="167"/>
      <c r="B676" s="167"/>
    </row>
    <row r="677" spans="1:2" x14ac:dyDescent="0.25">
      <c r="A677" s="167"/>
      <c r="B677" s="167"/>
    </row>
    <row r="678" spans="1:2" x14ac:dyDescent="0.25">
      <c r="A678" s="167"/>
      <c r="B678" s="167"/>
    </row>
    <row r="679" spans="1:2" x14ac:dyDescent="0.25">
      <c r="A679" s="167"/>
      <c r="B679" s="167"/>
    </row>
    <row r="680" spans="1:2" x14ac:dyDescent="0.25">
      <c r="A680" s="167"/>
      <c r="B680" s="167"/>
    </row>
    <row r="681" spans="1:2" x14ac:dyDescent="0.25">
      <c r="A681" s="167"/>
      <c r="B681" s="167"/>
    </row>
    <row r="682" spans="1:2" x14ac:dyDescent="0.25">
      <c r="A682" s="167"/>
      <c r="B682" s="167"/>
    </row>
    <row r="683" spans="1:2" x14ac:dyDescent="0.25">
      <c r="A683" s="167"/>
      <c r="B683" s="167"/>
    </row>
    <row r="684" spans="1:2" x14ac:dyDescent="0.25">
      <c r="A684" s="167"/>
      <c r="B684" s="167"/>
    </row>
    <row r="685" spans="1:2" x14ac:dyDescent="0.25">
      <c r="A685" s="167"/>
      <c r="B685" s="167"/>
    </row>
    <row r="686" spans="1:2" x14ac:dyDescent="0.25">
      <c r="A686" s="167"/>
      <c r="B686" s="167"/>
    </row>
    <row r="687" spans="1:2" x14ac:dyDescent="0.25">
      <c r="A687" s="167"/>
      <c r="B687" s="167"/>
    </row>
    <row r="688" spans="1:2" x14ac:dyDescent="0.25">
      <c r="A688" s="167"/>
      <c r="B688" s="167"/>
    </row>
    <row r="689" spans="1:2" x14ac:dyDescent="0.25">
      <c r="A689" s="167"/>
      <c r="B689" s="167"/>
    </row>
    <row r="690" spans="1:2" x14ac:dyDescent="0.25">
      <c r="A690" s="167"/>
      <c r="B690" s="167"/>
    </row>
    <row r="691" spans="1:2" x14ac:dyDescent="0.25">
      <c r="A691" s="167"/>
      <c r="B691" s="167"/>
    </row>
    <row r="692" spans="1:2" x14ac:dyDescent="0.25">
      <c r="A692" s="167"/>
      <c r="B692" s="167"/>
    </row>
    <row r="693" spans="1:2" x14ac:dyDescent="0.25">
      <c r="A693" s="167"/>
      <c r="B693" s="167"/>
    </row>
    <row r="694" spans="1:2" x14ac:dyDescent="0.25">
      <c r="A694" s="167"/>
      <c r="B694" s="167"/>
    </row>
    <row r="695" spans="1:2" x14ac:dyDescent="0.25">
      <c r="A695" s="167"/>
      <c r="B695" s="167"/>
    </row>
    <row r="696" spans="1:2" x14ac:dyDescent="0.25">
      <c r="A696" s="167"/>
      <c r="B696" s="167"/>
    </row>
    <row r="697" spans="1:2" x14ac:dyDescent="0.25">
      <c r="A697" s="167"/>
      <c r="B697" s="167"/>
    </row>
    <row r="698" spans="1:2" x14ac:dyDescent="0.25">
      <c r="A698" s="167"/>
      <c r="B698" s="167"/>
    </row>
    <row r="699" spans="1:2" x14ac:dyDescent="0.25">
      <c r="A699" s="167"/>
      <c r="B699" s="167"/>
    </row>
    <row r="700" spans="1:2" x14ac:dyDescent="0.25">
      <c r="A700" s="167"/>
      <c r="B700" s="167"/>
    </row>
    <row r="701" spans="1:2" x14ac:dyDescent="0.25">
      <c r="A701" s="167"/>
      <c r="B701" s="167"/>
    </row>
    <row r="702" spans="1:2" x14ac:dyDescent="0.25">
      <c r="A702" s="167"/>
      <c r="B702" s="167"/>
    </row>
    <row r="703" spans="1:2" x14ac:dyDescent="0.25">
      <c r="A703" s="167"/>
      <c r="B703" s="167"/>
    </row>
    <row r="704" spans="1:2" x14ac:dyDescent="0.25">
      <c r="A704" s="167"/>
      <c r="B704" s="167"/>
    </row>
    <row r="705" spans="1:2" x14ac:dyDescent="0.25">
      <c r="A705" s="167"/>
      <c r="B705" s="167"/>
    </row>
    <row r="706" spans="1:2" x14ac:dyDescent="0.25">
      <c r="A706" s="167"/>
      <c r="B706" s="167"/>
    </row>
    <row r="707" spans="1:2" x14ac:dyDescent="0.25">
      <c r="A707" s="167"/>
      <c r="B707" s="167"/>
    </row>
    <row r="708" spans="1:2" x14ac:dyDescent="0.25">
      <c r="A708" s="167"/>
      <c r="B708" s="167"/>
    </row>
    <row r="709" spans="1:2" x14ac:dyDescent="0.25">
      <c r="A709" s="167"/>
      <c r="B709" s="167"/>
    </row>
    <row r="710" spans="1:2" x14ac:dyDescent="0.25">
      <c r="A710" s="167"/>
      <c r="B710" s="167"/>
    </row>
    <row r="711" spans="1:2" x14ac:dyDescent="0.25">
      <c r="A711" s="167"/>
      <c r="B711" s="167"/>
    </row>
    <row r="712" spans="1:2" x14ac:dyDescent="0.25">
      <c r="A712" s="167"/>
      <c r="B712" s="167"/>
    </row>
    <row r="713" spans="1:2" x14ac:dyDescent="0.25">
      <c r="A713" s="167"/>
      <c r="B713" s="167"/>
    </row>
    <row r="714" spans="1:2" x14ac:dyDescent="0.25">
      <c r="A714" s="167"/>
      <c r="B714" s="167"/>
    </row>
    <row r="715" spans="1:2" x14ac:dyDescent="0.25">
      <c r="A715" s="167"/>
      <c r="B715" s="167"/>
    </row>
    <row r="716" spans="1:2" x14ac:dyDescent="0.25">
      <c r="A716" s="167"/>
      <c r="B716" s="167"/>
    </row>
    <row r="717" spans="1:2" x14ac:dyDescent="0.25">
      <c r="A717" s="167"/>
      <c r="B717" s="167"/>
    </row>
    <row r="718" spans="1:2" x14ac:dyDescent="0.25">
      <c r="A718" s="167"/>
      <c r="B718" s="167"/>
    </row>
    <row r="719" spans="1:2" x14ac:dyDescent="0.25">
      <c r="A719" s="167"/>
      <c r="B719" s="167"/>
    </row>
    <row r="720" spans="1:2" x14ac:dyDescent="0.25">
      <c r="A720" s="167"/>
      <c r="B720" s="167"/>
    </row>
    <row r="721" spans="1:2" x14ac:dyDescent="0.25">
      <c r="A721" s="167"/>
      <c r="B721" s="167"/>
    </row>
    <row r="722" spans="1:2" x14ac:dyDescent="0.25">
      <c r="A722" s="167"/>
      <c r="B722" s="167"/>
    </row>
    <row r="723" spans="1:2" x14ac:dyDescent="0.25">
      <c r="A723" s="167"/>
      <c r="B723" s="167"/>
    </row>
    <row r="724" spans="1:2" x14ac:dyDescent="0.25">
      <c r="A724" s="167"/>
      <c r="B724" s="167"/>
    </row>
    <row r="725" spans="1:2" x14ac:dyDescent="0.25">
      <c r="A725" s="167"/>
      <c r="B725" s="167"/>
    </row>
    <row r="726" spans="1:2" x14ac:dyDescent="0.25">
      <c r="A726" s="167"/>
      <c r="B726" s="167"/>
    </row>
    <row r="727" spans="1:2" x14ac:dyDescent="0.25">
      <c r="A727" s="167"/>
      <c r="B727" s="167"/>
    </row>
    <row r="728" spans="1:2" x14ac:dyDescent="0.25">
      <c r="A728" s="167"/>
      <c r="B728" s="167"/>
    </row>
    <row r="729" spans="1:2" x14ac:dyDescent="0.25">
      <c r="A729" s="167"/>
      <c r="B729" s="167"/>
    </row>
    <row r="730" spans="1:2" x14ac:dyDescent="0.25">
      <c r="A730" s="167"/>
      <c r="B730" s="167"/>
    </row>
    <row r="731" spans="1:2" x14ac:dyDescent="0.25">
      <c r="A731" s="167"/>
      <c r="B731" s="167"/>
    </row>
    <row r="732" spans="1:2" x14ac:dyDescent="0.25">
      <c r="A732" s="167"/>
      <c r="B732" s="167"/>
    </row>
    <row r="733" spans="1:2" x14ac:dyDescent="0.25">
      <c r="A733" s="167"/>
      <c r="B733" s="167"/>
    </row>
    <row r="734" spans="1:2" x14ac:dyDescent="0.25">
      <c r="A734" s="167"/>
      <c r="B734" s="167"/>
    </row>
    <row r="735" spans="1:2" x14ac:dyDescent="0.25">
      <c r="A735" s="167"/>
      <c r="B735" s="167"/>
    </row>
    <row r="736" spans="1:2" x14ac:dyDescent="0.25">
      <c r="A736" s="167"/>
      <c r="B736" s="167"/>
    </row>
    <row r="737" spans="1:2" x14ac:dyDescent="0.25">
      <c r="A737" s="167"/>
      <c r="B737" s="167"/>
    </row>
    <row r="738" spans="1:2" x14ac:dyDescent="0.25">
      <c r="A738" s="167"/>
      <c r="B738" s="167"/>
    </row>
    <row r="739" spans="1:2" x14ac:dyDescent="0.25">
      <c r="A739" s="167"/>
      <c r="B739" s="167"/>
    </row>
    <row r="740" spans="1:2" x14ac:dyDescent="0.25">
      <c r="A740" s="167"/>
      <c r="B740" s="167"/>
    </row>
    <row r="741" spans="1:2" x14ac:dyDescent="0.25">
      <c r="A741" s="167"/>
      <c r="B741" s="167"/>
    </row>
    <row r="742" spans="1:2" x14ac:dyDescent="0.25">
      <c r="A742" s="167"/>
      <c r="B742" s="167"/>
    </row>
    <row r="743" spans="1:2" x14ac:dyDescent="0.25">
      <c r="A743" s="167"/>
      <c r="B743" s="167"/>
    </row>
    <row r="744" spans="1:2" x14ac:dyDescent="0.25">
      <c r="A744" s="167"/>
      <c r="B744" s="167"/>
    </row>
    <row r="745" spans="1:2" x14ac:dyDescent="0.25">
      <c r="A745" s="167"/>
      <c r="B745" s="167"/>
    </row>
    <row r="746" spans="1:2" x14ac:dyDescent="0.25">
      <c r="A746" s="167"/>
      <c r="B746" s="167"/>
    </row>
    <row r="747" spans="1:2" x14ac:dyDescent="0.25">
      <c r="A747" s="167"/>
      <c r="B747" s="167"/>
    </row>
    <row r="748" spans="1:2" x14ac:dyDescent="0.25">
      <c r="A748" s="167"/>
      <c r="B748" s="167"/>
    </row>
    <row r="749" spans="1:2" x14ac:dyDescent="0.25">
      <c r="A749" s="167"/>
      <c r="B749" s="167"/>
    </row>
    <row r="750" spans="1:2" x14ac:dyDescent="0.25">
      <c r="A750" s="167"/>
      <c r="B750" s="167"/>
    </row>
    <row r="751" spans="1:2" x14ac:dyDescent="0.25">
      <c r="A751" s="167"/>
      <c r="B751" s="167"/>
    </row>
    <row r="752" spans="1:2" x14ac:dyDescent="0.25">
      <c r="A752" s="167"/>
      <c r="B752" s="167"/>
    </row>
    <row r="753" spans="1:2" x14ac:dyDescent="0.25">
      <c r="A753" s="167"/>
      <c r="B753" s="167"/>
    </row>
    <row r="754" spans="1:2" x14ac:dyDescent="0.25">
      <c r="A754" s="167"/>
      <c r="B754" s="167"/>
    </row>
    <row r="755" spans="1:2" x14ac:dyDescent="0.25">
      <c r="A755" s="167"/>
      <c r="B755" s="167"/>
    </row>
    <row r="756" spans="1:2" x14ac:dyDescent="0.25">
      <c r="A756" s="167"/>
      <c r="B756" s="167"/>
    </row>
    <row r="757" spans="1:2" x14ac:dyDescent="0.25">
      <c r="A757" s="167"/>
      <c r="B757" s="167"/>
    </row>
    <row r="758" spans="1:2" x14ac:dyDescent="0.25">
      <c r="A758" s="167"/>
      <c r="B758" s="167"/>
    </row>
    <row r="759" spans="1:2" x14ac:dyDescent="0.25">
      <c r="A759" s="167"/>
      <c r="B759" s="167"/>
    </row>
    <row r="760" spans="1:2" x14ac:dyDescent="0.25">
      <c r="A760" s="167"/>
      <c r="B760" s="167"/>
    </row>
    <row r="761" spans="1:2" x14ac:dyDescent="0.25">
      <c r="A761" s="167"/>
      <c r="B761" s="167"/>
    </row>
    <row r="762" spans="1:2" x14ac:dyDescent="0.25">
      <c r="A762" s="167"/>
      <c r="B762" s="167"/>
    </row>
    <row r="763" spans="1:2" x14ac:dyDescent="0.25">
      <c r="A763" s="167"/>
      <c r="B763" s="167"/>
    </row>
    <row r="764" spans="1:2" x14ac:dyDescent="0.25">
      <c r="A764" s="167"/>
      <c r="B764" s="167"/>
    </row>
    <row r="765" spans="1:2" x14ac:dyDescent="0.25">
      <c r="A765" s="167"/>
      <c r="B765" s="167"/>
    </row>
    <row r="766" spans="1:2" x14ac:dyDescent="0.25">
      <c r="A766" s="167"/>
      <c r="B766" s="167"/>
    </row>
    <row r="767" spans="1:2" x14ac:dyDescent="0.25">
      <c r="A767" s="167"/>
      <c r="B767" s="167"/>
    </row>
    <row r="768" spans="1:2" x14ac:dyDescent="0.25">
      <c r="A768" s="167"/>
      <c r="B768" s="167"/>
    </row>
    <row r="769" spans="1:2" x14ac:dyDescent="0.25">
      <c r="A769" s="167"/>
      <c r="B769" s="167"/>
    </row>
    <row r="770" spans="1:2" x14ac:dyDescent="0.25">
      <c r="A770" s="167"/>
      <c r="B770" s="167"/>
    </row>
    <row r="771" spans="1:2" x14ac:dyDescent="0.25">
      <c r="A771" s="167"/>
      <c r="B771" s="167"/>
    </row>
    <row r="772" spans="1:2" x14ac:dyDescent="0.25">
      <c r="A772" s="167"/>
      <c r="B772" s="167"/>
    </row>
    <row r="773" spans="1:2" x14ac:dyDescent="0.25">
      <c r="A773" s="167"/>
      <c r="B773" s="167"/>
    </row>
    <row r="774" spans="1:2" x14ac:dyDescent="0.25">
      <c r="A774" s="167"/>
      <c r="B774" s="167"/>
    </row>
    <row r="775" spans="1:2" x14ac:dyDescent="0.25">
      <c r="A775" s="167"/>
      <c r="B775" s="167"/>
    </row>
    <row r="776" spans="1:2" x14ac:dyDescent="0.25">
      <c r="A776" s="167"/>
      <c r="B776" s="167"/>
    </row>
    <row r="777" spans="1:2" x14ac:dyDescent="0.25">
      <c r="A777" s="167"/>
      <c r="B777" s="167"/>
    </row>
    <row r="778" spans="1:2" x14ac:dyDescent="0.25">
      <c r="A778" s="167"/>
      <c r="B778" s="167"/>
    </row>
    <row r="779" spans="1:2" x14ac:dyDescent="0.25">
      <c r="A779" s="167"/>
      <c r="B779" s="167"/>
    </row>
    <row r="780" spans="1:2" x14ac:dyDescent="0.25">
      <c r="A780" s="167"/>
      <c r="B780" s="167"/>
    </row>
    <row r="781" spans="1:2" x14ac:dyDescent="0.25">
      <c r="A781" s="167"/>
      <c r="B781" s="167"/>
    </row>
    <row r="782" spans="1:2" x14ac:dyDescent="0.25">
      <c r="A782" s="167"/>
      <c r="B782" s="167"/>
    </row>
    <row r="783" spans="1:2" x14ac:dyDescent="0.25">
      <c r="A783" s="167"/>
      <c r="B783" s="167"/>
    </row>
    <row r="784" spans="1:2" x14ac:dyDescent="0.25">
      <c r="A784" s="167"/>
      <c r="B784" s="167"/>
    </row>
    <row r="785" spans="1:2" x14ac:dyDescent="0.25">
      <c r="A785" s="167"/>
      <c r="B785" s="167"/>
    </row>
    <row r="786" spans="1:2" x14ac:dyDescent="0.25">
      <c r="A786" s="167"/>
      <c r="B786" s="167"/>
    </row>
    <row r="787" spans="1:2" x14ac:dyDescent="0.25">
      <c r="A787" s="167"/>
      <c r="B787" s="167"/>
    </row>
    <row r="788" spans="1:2" x14ac:dyDescent="0.25">
      <c r="A788" s="167"/>
      <c r="B788" s="167"/>
    </row>
    <row r="789" spans="1:2" x14ac:dyDescent="0.25">
      <c r="A789" s="167"/>
      <c r="B789" s="167"/>
    </row>
    <row r="790" spans="1:2" x14ac:dyDescent="0.25">
      <c r="A790" s="167"/>
      <c r="B790" s="167"/>
    </row>
    <row r="791" spans="1:2" x14ac:dyDescent="0.25">
      <c r="A791" s="167"/>
      <c r="B791" s="167"/>
    </row>
    <row r="792" spans="1:2" x14ac:dyDescent="0.25">
      <c r="A792" s="167"/>
      <c r="B792" s="167"/>
    </row>
    <row r="793" spans="1:2" x14ac:dyDescent="0.25">
      <c r="A793" s="167"/>
      <c r="B793" s="167"/>
    </row>
    <row r="794" spans="1:2" x14ac:dyDescent="0.25">
      <c r="A794" s="167"/>
      <c r="B794" s="167"/>
    </row>
    <row r="795" spans="1:2" x14ac:dyDescent="0.25">
      <c r="A795" s="167"/>
      <c r="B795" s="167"/>
    </row>
    <row r="796" spans="1:2" x14ac:dyDescent="0.25">
      <c r="A796" s="167"/>
      <c r="B796" s="167"/>
    </row>
    <row r="797" spans="1:2" x14ac:dyDescent="0.25">
      <c r="A797" s="167"/>
      <c r="B797" s="167"/>
    </row>
    <row r="798" spans="1:2" x14ac:dyDescent="0.25">
      <c r="A798" s="167"/>
      <c r="B798" s="167"/>
    </row>
    <row r="799" spans="1:2" x14ac:dyDescent="0.25">
      <c r="A799" s="167"/>
      <c r="B799" s="167"/>
    </row>
    <row r="800" spans="1:2" x14ac:dyDescent="0.25">
      <c r="A800" s="167"/>
      <c r="B800" s="167"/>
    </row>
    <row r="801" spans="1:2" x14ac:dyDescent="0.25">
      <c r="A801" s="167"/>
      <c r="B801" s="167"/>
    </row>
    <row r="802" spans="1:2" x14ac:dyDescent="0.25">
      <c r="A802" s="167"/>
      <c r="B802" s="167"/>
    </row>
    <row r="803" spans="1:2" x14ac:dyDescent="0.25">
      <c r="A803" s="167"/>
      <c r="B803" s="167"/>
    </row>
    <row r="804" spans="1:2" x14ac:dyDescent="0.25">
      <c r="A804" s="167"/>
      <c r="B804" s="167"/>
    </row>
    <row r="805" spans="1:2" x14ac:dyDescent="0.25">
      <c r="A805" s="167"/>
      <c r="B805" s="167"/>
    </row>
    <row r="806" spans="1:2" x14ac:dyDescent="0.25">
      <c r="A806" s="167"/>
      <c r="B806" s="167"/>
    </row>
    <row r="807" spans="1:2" x14ac:dyDescent="0.25">
      <c r="A807" s="167"/>
      <c r="B807" s="167"/>
    </row>
    <row r="808" spans="1:2" x14ac:dyDescent="0.25">
      <c r="A808" s="167"/>
      <c r="B808" s="167"/>
    </row>
    <row r="809" spans="1:2" x14ac:dyDescent="0.25">
      <c r="A809" s="167"/>
      <c r="B809" s="167"/>
    </row>
    <row r="810" spans="1:2" x14ac:dyDescent="0.25">
      <c r="A810" s="167"/>
      <c r="B810" s="167"/>
    </row>
    <row r="811" spans="1:2" x14ac:dyDescent="0.25">
      <c r="A811" s="167"/>
      <c r="B811" s="167"/>
    </row>
    <row r="812" spans="1:2" x14ac:dyDescent="0.25">
      <c r="A812" s="167"/>
      <c r="B812" s="167"/>
    </row>
    <row r="813" spans="1:2" x14ac:dyDescent="0.25">
      <c r="A813" s="167"/>
      <c r="B813" s="167"/>
    </row>
    <row r="814" spans="1:2" x14ac:dyDescent="0.25">
      <c r="A814" s="167"/>
      <c r="B814" s="167"/>
    </row>
    <row r="815" spans="1:2" x14ac:dyDescent="0.25">
      <c r="A815" s="167"/>
      <c r="B815" s="167"/>
    </row>
    <row r="816" spans="1:2" x14ac:dyDescent="0.25">
      <c r="A816" s="167"/>
      <c r="B816" s="167"/>
    </row>
    <row r="817" spans="1:2" x14ac:dyDescent="0.25">
      <c r="A817" s="167"/>
      <c r="B817" s="167"/>
    </row>
    <row r="818" spans="1:2" x14ac:dyDescent="0.25">
      <c r="A818" s="167"/>
      <c r="B818" s="167"/>
    </row>
    <row r="819" spans="1:2" x14ac:dyDescent="0.25">
      <c r="A819" s="167"/>
      <c r="B819" s="167"/>
    </row>
    <row r="820" spans="1:2" x14ac:dyDescent="0.25">
      <c r="A820" s="167"/>
      <c r="B820" s="167"/>
    </row>
    <row r="821" spans="1:2" x14ac:dyDescent="0.25">
      <c r="A821" s="167"/>
      <c r="B821" s="167"/>
    </row>
    <row r="822" spans="1:2" x14ac:dyDescent="0.25">
      <c r="A822" s="167"/>
      <c r="B822" s="167"/>
    </row>
    <row r="823" spans="1:2" x14ac:dyDescent="0.25">
      <c r="A823" s="167"/>
      <c r="B823" s="167"/>
    </row>
    <row r="824" spans="1:2" x14ac:dyDescent="0.25">
      <c r="A824" s="167"/>
      <c r="B824" s="167"/>
    </row>
    <row r="825" spans="1:2" x14ac:dyDescent="0.25">
      <c r="A825" s="167"/>
      <c r="B825" s="167"/>
    </row>
    <row r="826" spans="1:2" x14ac:dyDescent="0.25">
      <c r="A826" s="167"/>
      <c r="B826" s="167"/>
    </row>
    <row r="827" spans="1:2" x14ac:dyDescent="0.25">
      <c r="A827" s="167"/>
      <c r="B827" s="167"/>
    </row>
    <row r="828" spans="1:2" x14ac:dyDescent="0.25">
      <c r="A828" s="167"/>
      <c r="B828" s="167"/>
    </row>
    <row r="829" spans="1:2" x14ac:dyDescent="0.25">
      <c r="A829" s="167"/>
      <c r="B829" s="167"/>
    </row>
    <row r="830" spans="1:2" x14ac:dyDescent="0.25">
      <c r="A830" s="167"/>
      <c r="B830" s="167"/>
    </row>
    <row r="831" spans="1:2" x14ac:dyDescent="0.25">
      <c r="A831" s="167"/>
      <c r="B831" s="167"/>
    </row>
    <row r="832" spans="1:2" x14ac:dyDescent="0.25">
      <c r="A832" s="167"/>
      <c r="B832" s="167"/>
    </row>
    <row r="833" spans="1:2" x14ac:dyDescent="0.25">
      <c r="A833" s="167"/>
      <c r="B833" s="167"/>
    </row>
    <row r="834" spans="1:2" x14ac:dyDescent="0.25">
      <c r="A834" s="167"/>
      <c r="B834" s="167"/>
    </row>
    <row r="835" spans="1:2" x14ac:dyDescent="0.25">
      <c r="A835" s="167"/>
      <c r="B835" s="167"/>
    </row>
    <row r="836" spans="1:2" x14ac:dyDescent="0.25">
      <c r="A836" s="167"/>
      <c r="B836" s="167"/>
    </row>
    <row r="837" spans="1:2" x14ac:dyDescent="0.25">
      <c r="A837" s="167"/>
      <c r="B837" s="167"/>
    </row>
    <row r="838" spans="1:2" x14ac:dyDescent="0.25">
      <c r="A838" s="167"/>
      <c r="B838" s="167"/>
    </row>
    <row r="839" spans="1:2" x14ac:dyDescent="0.25">
      <c r="A839" s="167"/>
      <c r="B839" s="167"/>
    </row>
    <row r="840" spans="1:2" x14ac:dyDescent="0.25">
      <c r="A840" s="167"/>
      <c r="B840" s="167"/>
    </row>
    <row r="841" spans="1:2" x14ac:dyDescent="0.25">
      <c r="A841" s="167"/>
      <c r="B841" s="167"/>
    </row>
    <row r="842" spans="1:2" x14ac:dyDescent="0.25">
      <c r="A842" s="167"/>
      <c r="B842" s="167"/>
    </row>
    <row r="843" spans="1:2" x14ac:dyDescent="0.25">
      <c r="A843" s="167"/>
      <c r="B843" s="167"/>
    </row>
    <row r="844" spans="1:2" x14ac:dyDescent="0.25">
      <c r="A844" s="167"/>
      <c r="B844" s="167"/>
    </row>
    <row r="845" spans="1:2" x14ac:dyDescent="0.25">
      <c r="A845" s="167"/>
      <c r="B845" s="167"/>
    </row>
    <row r="846" spans="1:2" x14ac:dyDescent="0.25">
      <c r="A846" s="167"/>
      <c r="B846" s="167"/>
    </row>
    <row r="847" spans="1:2" x14ac:dyDescent="0.25">
      <c r="A847" s="167"/>
      <c r="B847" s="167"/>
    </row>
    <row r="848" spans="1:2" x14ac:dyDescent="0.25">
      <c r="A848" s="167"/>
      <c r="B848" s="167"/>
    </row>
    <row r="849" spans="1:2" x14ac:dyDescent="0.25">
      <c r="A849" s="167"/>
      <c r="B849" s="167"/>
    </row>
    <row r="850" spans="1:2" x14ac:dyDescent="0.25">
      <c r="A850" s="167"/>
      <c r="B850" s="167"/>
    </row>
    <row r="851" spans="1:2" x14ac:dyDescent="0.25">
      <c r="A851" s="167"/>
      <c r="B851" s="167"/>
    </row>
    <row r="852" spans="1:2" x14ac:dyDescent="0.25">
      <c r="A852" s="167"/>
      <c r="B852" s="167"/>
    </row>
    <row r="853" spans="1:2" x14ac:dyDescent="0.25">
      <c r="A853" s="167"/>
      <c r="B853" s="167"/>
    </row>
    <row r="854" spans="1:2" x14ac:dyDescent="0.25">
      <c r="A854" s="167"/>
      <c r="B854" s="167"/>
    </row>
    <row r="855" spans="1:2" x14ac:dyDescent="0.25">
      <c r="A855" s="167"/>
      <c r="B855" s="167"/>
    </row>
    <row r="856" spans="1:2" x14ac:dyDescent="0.25">
      <c r="A856" s="167"/>
      <c r="B856" s="167"/>
    </row>
    <row r="857" spans="1:2" x14ac:dyDescent="0.25">
      <c r="A857" s="167"/>
      <c r="B857" s="167"/>
    </row>
    <row r="858" spans="1:2" x14ac:dyDescent="0.25">
      <c r="A858" s="167"/>
      <c r="B858" s="167"/>
    </row>
    <row r="859" spans="1:2" x14ac:dyDescent="0.25">
      <c r="A859" s="167"/>
      <c r="B859" s="167"/>
    </row>
    <row r="860" spans="1:2" x14ac:dyDescent="0.25">
      <c r="A860" s="167"/>
      <c r="B860" s="167"/>
    </row>
    <row r="861" spans="1:2" x14ac:dyDescent="0.25">
      <c r="A861" s="167"/>
      <c r="B861" s="167"/>
    </row>
    <row r="862" spans="1:2" x14ac:dyDescent="0.25">
      <c r="A862" s="167"/>
      <c r="B862" s="167"/>
    </row>
    <row r="863" spans="1:2" x14ac:dyDescent="0.25">
      <c r="A863" s="167"/>
      <c r="B863" s="167"/>
    </row>
    <row r="864" spans="1:2" x14ac:dyDescent="0.25">
      <c r="A864" s="167"/>
      <c r="B864" s="167"/>
    </row>
    <row r="865" spans="1:2" x14ac:dyDescent="0.25">
      <c r="A865" s="167"/>
      <c r="B865" s="167"/>
    </row>
    <row r="866" spans="1:2" x14ac:dyDescent="0.25">
      <c r="A866" s="167"/>
      <c r="B866" s="167"/>
    </row>
    <row r="867" spans="1:2" x14ac:dyDescent="0.25">
      <c r="A867" s="167"/>
      <c r="B867" s="167"/>
    </row>
    <row r="868" spans="1:2" x14ac:dyDescent="0.25">
      <c r="A868" s="167"/>
      <c r="B868" s="167"/>
    </row>
    <row r="869" spans="1:2" x14ac:dyDescent="0.25">
      <c r="A869" s="167"/>
      <c r="B869" s="167"/>
    </row>
    <row r="870" spans="1:2" x14ac:dyDescent="0.25">
      <c r="A870" s="167"/>
      <c r="B870" s="167"/>
    </row>
    <row r="871" spans="1:2" x14ac:dyDescent="0.25">
      <c r="A871" s="167"/>
      <c r="B871" s="167"/>
    </row>
    <row r="872" spans="1:2" x14ac:dyDescent="0.25">
      <c r="A872" s="167"/>
      <c r="B872" s="167"/>
    </row>
    <row r="873" spans="1:2" x14ac:dyDescent="0.25">
      <c r="A873" s="167"/>
      <c r="B873" s="167"/>
    </row>
    <row r="874" spans="1:2" x14ac:dyDescent="0.25">
      <c r="A874" s="167"/>
      <c r="B874" s="167"/>
    </row>
    <row r="875" spans="1:2" x14ac:dyDescent="0.25">
      <c r="A875" s="167"/>
      <c r="B875" s="167"/>
    </row>
    <row r="876" spans="1:2" x14ac:dyDescent="0.25">
      <c r="A876" s="167"/>
      <c r="B876" s="167"/>
    </row>
    <row r="877" spans="1:2" x14ac:dyDescent="0.25">
      <c r="A877" s="167"/>
      <c r="B877" s="167"/>
    </row>
    <row r="878" spans="1:2" x14ac:dyDescent="0.25">
      <c r="A878" s="167"/>
      <c r="B878" s="167"/>
    </row>
    <row r="879" spans="1:2" x14ac:dyDescent="0.25">
      <c r="A879" s="167"/>
      <c r="B879" s="167"/>
    </row>
    <row r="880" spans="1:2" x14ac:dyDescent="0.25">
      <c r="A880" s="167"/>
      <c r="B880" s="167"/>
    </row>
    <row r="881" spans="1:2" x14ac:dyDescent="0.25">
      <c r="A881" s="167"/>
      <c r="B881" s="167"/>
    </row>
    <row r="882" spans="1:2" x14ac:dyDescent="0.25">
      <c r="A882" s="167"/>
      <c r="B882" s="167"/>
    </row>
    <row r="883" spans="1:2" x14ac:dyDescent="0.25">
      <c r="A883" s="167"/>
      <c r="B883" s="167"/>
    </row>
    <row r="884" spans="1:2" x14ac:dyDescent="0.25">
      <c r="A884" s="167"/>
      <c r="B884" s="167"/>
    </row>
    <row r="885" spans="1:2" x14ac:dyDescent="0.25">
      <c r="A885" s="167"/>
      <c r="B885" s="167"/>
    </row>
    <row r="886" spans="1:2" x14ac:dyDescent="0.25">
      <c r="A886" s="167"/>
      <c r="B886" s="167"/>
    </row>
    <row r="887" spans="1:2" x14ac:dyDescent="0.25">
      <c r="A887" s="167"/>
      <c r="B887" s="167"/>
    </row>
    <row r="888" spans="1:2" x14ac:dyDescent="0.25">
      <c r="A888" s="167"/>
      <c r="B888" s="167"/>
    </row>
    <row r="889" spans="1:2" x14ac:dyDescent="0.25">
      <c r="A889" s="167"/>
      <c r="B889" s="167"/>
    </row>
    <row r="890" spans="1:2" x14ac:dyDescent="0.25">
      <c r="A890" s="167"/>
      <c r="B890" s="167"/>
    </row>
    <row r="891" spans="1:2" x14ac:dyDescent="0.25">
      <c r="A891" s="167"/>
      <c r="B891" s="167"/>
    </row>
    <row r="892" spans="1:2" x14ac:dyDescent="0.25">
      <c r="A892" s="167"/>
      <c r="B892" s="167"/>
    </row>
    <row r="893" spans="1:2" x14ac:dyDescent="0.25">
      <c r="A893" s="167"/>
      <c r="B893" s="167"/>
    </row>
    <row r="894" spans="1:2" x14ac:dyDescent="0.25">
      <c r="A894" s="167"/>
      <c r="B894" s="167"/>
    </row>
    <row r="895" spans="1:2" x14ac:dyDescent="0.25">
      <c r="A895" s="167"/>
      <c r="B895" s="167"/>
    </row>
    <row r="896" spans="1:2" x14ac:dyDescent="0.25">
      <c r="A896" s="167"/>
      <c r="B896" s="167"/>
    </row>
    <row r="897" spans="1:2" x14ac:dyDescent="0.25">
      <c r="A897" s="167"/>
      <c r="B897" s="167"/>
    </row>
    <row r="898" spans="1:2" x14ac:dyDescent="0.25">
      <c r="A898" s="167"/>
      <c r="B898" s="167"/>
    </row>
    <row r="899" spans="1:2" x14ac:dyDescent="0.25">
      <c r="A899" s="167"/>
      <c r="B899" s="167"/>
    </row>
    <row r="900" spans="1:2" x14ac:dyDescent="0.25">
      <c r="A900" s="167"/>
      <c r="B900" s="167"/>
    </row>
    <row r="901" spans="1:2" x14ac:dyDescent="0.25">
      <c r="A901" s="167"/>
      <c r="B901" s="167"/>
    </row>
    <row r="902" spans="1:2" x14ac:dyDescent="0.25">
      <c r="A902" s="167"/>
      <c r="B902" s="167"/>
    </row>
    <row r="903" spans="1:2" x14ac:dyDescent="0.25">
      <c r="A903" s="167"/>
      <c r="B903" s="167"/>
    </row>
    <row r="904" spans="1:2" x14ac:dyDescent="0.25">
      <c r="A904" s="167"/>
      <c r="B904" s="167"/>
    </row>
    <row r="905" spans="1:2" x14ac:dyDescent="0.25">
      <c r="A905" s="167"/>
      <c r="B905" s="167"/>
    </row>
    <row r="906" spans="1:2" x14ac:dyDescent="0.25">
      <c r="A906" s="167"/>
      <c r="B906" s="167"/>
    </row>
    <row r="907" spans="1:2" x14ac:dyDescent="0.25">
      <c r="A907" s="167"/>
      <c r="B907" s="167"/>
    </row>
    <row r="908" spans="1:2" x14ac:dyDescent="0.25">
      <c r="A908" s="167"/>
      <c r="B908" s="167"/>
    </row>
    <row r="909" spans="1:2" x14ac:dyDescent="0.25">
      <c r="A909" s="167"/>
      <c r="B909" s="167"/>
    </row>
    <row r="910" spans="1:2" x14ac:dyDescent="0.25">
      <c r="A910" s="167"/>
      <c r="B910" s="167"/>
    </row>
    <row r="911" spans="1:2" x14ac:dyDescent="0.25">
      <c r="A911" s="167"/>
      <c r="B911" s="167"/>
    </row>
    <row r="912" spans="1:2" x14ac:dyDescent="0.25">
      <c r="A912" s="167"/>
      <c r="B912" s="167"/>
    </row>
    <row r="913" spans="1:2" x14ac:dyDescent="0.25">
      <c r="A913" s="167"/>
      <c r="B913" s="167"/>
    </row>
    <row r="914" spans="1:2" x14ac:dyDescent="0.25">
      <c r="A914" s="167"/>
      <c r="B914" s="167"/>
    </row>
    <row r="915" spans="1:2" x14ac:dyDescent="0.25">
      <c r="A915" s="167"/>
      <c r="B915" s="167"/>
    </row>
    <row r="916" spans="1:2" x14ac:dyDescent="0.25">
      <c r="A916" s="167"/>
      <c r="B916" s="167"/>
    </row>
    <row r="917" spans="1:2" x14ac:dyDescent="0.25">
      <c r="A917" s="167"/>
      <c r="B917" s="167"/>
    </row>
    <row r="918" spans="1:2" x14ac:dyDescent="0.25">
      <c r="A918" s="167"/>
      <c r="B918" s="167"/>
    </row>
    <row r="919" spans="1:2" x14ac:dyDescent="0.25">
      <c r="A919" s="167"/>
      <c r="B919" s="167"/>
    </row>
    <row r="920" spans="1:2" x14ac:dyDescent="0.25">
      <c r="A920" s="167"/>
      <c r="B920" s="167"/>
    </row>
    <row r="921" spans="1:2" x14ac:dyDescent="0.25">
      <c r="A921" s="167"/>
      <c r="B921" s="167"/>
    </row>
    <row r="922" spans="1:2" x14ac:dyDescent="0.25">
      <c r="A922" s="167"/>
      <c r="B922" s="167"/>
    </row>
    <row r="923" spans="1:2" x14ac:dyDescent="0.25">
      <c r="A923" s="167"/>
      <c r="B923" s="167"/>
    </row>
    <row r="924" spans="1:2" x14ac:dyDescent="0.25">
      <c r="A924" s="167"/>
      <c r="B924" s="167"/>
    </row>
    <row r="925" spans="1:2" x14ac:dyDescent="0.25">
      <c r="A925" s="167"/>
      <c r="B925" s="167"/>
    </row>
    <row r="926" spans="1:2" x14ac:dyDescent="0.25">
      <c r="A926" s="167"/>
      <c r="B926" s="167"/>
    </row>
    <row r="927" spans="1:2" x14ac:dyDescent="0.25">
      <c r="A927" s="167"/>
      <c r="B927" s="167"/>
    </row>
    <row r="928" spans="1:2" x14ac:dyDescent="0.25">
      <c r="A928" s="167"/>
      <c r="B928" s="167"/>
    </row>
    <row r="929" spans="1:2" x14ac:dyDescent="0.25">
      <c r="A929" s="167"/>
      <c r="B929" s="167"/>
    </row>
    <row r="930" spans="1:2" x14ac:dyDescent="0.25">
      <c r="A930" s="167"/>
      <c r="B930" s="167"/>
    </row>
    <row r="931" spans="1:2" x14ac:dyDescent="0.25">
      <c r="A931" s="167"/>
      <c r="B931" s="167"/>
    </row>
    <row r="932" spans="1:2" x14ac:dyDescent="0.25">
      <c r="A932" s="167"/>
      <c r="B932" s="167"/>
    </row>
    <row r="933" spans="1:2" x14ac:dyDescent="0.25">
      <c r="A933" s="167"/>
      <c r="B933" s="167"/>
    </row>
    <row r="934" spans="1:2" x14ac:dyDescent="0.25">
      <c r="A934" s="167"/>
      <c r="B934" s="167"/>
    </row>
    <row r="935" spans="1:2" x14ac:dyDescent="0.25">
      <c r="A935" s="167"/>
      <c r="B935" s="167"/>
    </row>
    <row r="936" spans="1:2" x14ac:dyDescent="0.25">
      <c r="A936" s="167"/>
      <c r="B936" s="167"/>
    </row>
    <row r="937" spans="1:2" x14ac:dyDescent="0.25">
      <c r="A937" s="167"/>
      <c r="B937" s="167"/>
    </row>
    <row r="938" spans="1:2" x14ac:dyDescent="0.25">
      <c r="A938" s="167"/>
      <c r="B938" s="167"/>
    </row>
    <row r="939" spans="1:2" x14ac:dyDescent="0.25">
      <c r="A939" s="167"/>
      <c r="B939" s="167"/>
    </row>
    <row r="940" spans="1:2" x14ac:dyDescent="0.25">
      <c r="A940" s="167"/>
      <c r="B940" s="167"/>
    </row>
    <row r="941" spans="1:2" x14ac:dyDescent="0.25">
      <c r="A941" s="167"/>
      <c r="B941" s="167"/>
    </row>
    <row r="942" spans="1:2" x14ac:dyDescent="0.25">
      <c r="A942" s="167"/>
      <c r="B942" s="167"/>
    </row>
    <row r="943" spans="1:2" x14ac:dyDescent="0.25">
      <c r="A943" s="167"/>
      <c r="B943" s="167"/>
    </row>
    <row r="944" spans="1:2" x14ac:dyDescent="0.25">
      <c r="A944" s="167"/>
      <c r="B944" s="167"/>
    </row>
    <row r="945" spans="1:2" x14ac:dyDescent="0.25">
      <c r="A945" s="167"/>
      <c r="B945" s="167"/>
    </row>
    <row r="946" spans="1:2" x14ac:dyDescent="0.25">
      <c r="A946" s="167"/>
      <c r="B946" s="167"/>
    </row>
    <row r="947" spans="1:2" x14ac:dyDescent="0.25">
      <c r="A947" s="167"/>
      <c r="B947" s="167"/>
    </row>
    <row r="948" spans="1:2" x14ac:dyDescent="0.25">
      <c r="A948" s="167"/>
      <c r="B948" s="167"/>
    </row>
    <row r="949" spans="1:2" x14ac:dyDescent="0.25">
      <c r="A949" s="167"/>
      <c r="B949" s="167"/>
    </row>
    <row r="950" spans="1:2" x14ac:dyDescent="0.25">
      <c r="A950" s="167"/>
      <c r="B950" s="167"/>
    </row>
    <row r="951" spans="1:2" x14ac:dyDescent="0.25">
      <c r="A951" s="167"/>
      <c r="B951" s="167"/>
    </row>
    <row r="952" spans="1:2" x14ac:dyDescent="0.25">
      <c r="A952" s="167"/>
      <c r="B952" s="167"/>
    </row>
    <row r="953" spans="1:2" x14ac:dyDescent="0.25">
      <c r="A953" s="167"/>
      <c r="B953" s="167"/>
    </row>
    <row r="954" spans="1:2" x14ac:dyDescent="0.25">
      <c r="A954" s="167"/>
      <c r="B954" s="167"/>
    </row>
    <row r="955" spans="1:2" x14ac:dyDescent="0.25">
      <c r="A955" s="167"/>
      <c r="B955" s="167"/>
    </row>
    <row r="956" spans="1:2" x14ac:dyDescent="0.25">
      <c r="A956" s="167"/>
      <c r="B956" s="167"/>
    </row>
    <row r="957" spans="1:2" x14ac:dyDescent="0.25">
      <c r="A957" s="167"/>
      <c r="B957" s="167"/>
    </row>
    <row r="958" spans="1:2" x14ac:dyDescent="0.25">
      <c r="A958" s="167"/>
      <c r="B958" s="167"/>
    </row>
    <row r="959" spans="1:2" x14ac:dyDescent="0.25">
      <c r="A959" s="167"/>
      <c r="B959" s="167"/>
    </row>
    <row r="960" spans="1:2" x14ac:dyDescent="0.25">
      <c r="A960" s="167"/>
      <c r="B960" s="167"/>
    </row>
    <row r="961" spans="1:2" x14ac:dyDescent="0.25">
      <c r="A961" s="167"/>
      <c r="B961" s="167"/>
    </row>
    <row r="962" spans="1:2" x14ac:dyDescent="0.25">
      <c r="A962" s="167"/>
      <c r="B962" s="167"/>
    </row>
    <row r="963" spans="1:2" x14ac:dyDescent="0.25">
      <c r="A963" s="167"/>
      <c r="B963" s="167"/>
    </row>
    <row r="964" spans="1:2" x14ac:dyDescent="0.25">
      <c r="A964" s="167"/>
      <c r="B964" s="167"/>
    </row>
    <row r="965" spans="1:2" x14ac:dyDescent="0.25">
      <c r="A965" s="167"/>
      <c r="B965" s="167"/>
    </row>
    <row r="966" spans="1:2" x14ac:dyDescent="0.25">
      <c r="A966" s="167"/>
      <c r="B966" s="167"/>
    </row>
    <row r="967" spans="1:2" x14ac:dyDescent="0.25">
      <c r="A967" s="167"/>
      <c r="B967" s="167"/>
    </row>
    <row r="968" spans="1:2" x14ac:dyDescent="0.25">
      <c r="A968" s="167"/>
      <c r="B968" s="167"/>
    </row>
    <row r="969" spans="1:2" x14ac:dyDescent="0.25">
      <c r="A969" s="167"/>
      <c r="B969" s="167"/>
    </row>
    <row r="970" spans="1:2" x14ac:dyDescent="0.25">
      <c r="A970" s="167"/>
      <c r="B970" s="167"/>
    </row>
    <row r="971" spans="1:2" x14ac:dyDescent="0.25">
      <c r="A971" s="167"/>
      <c r="B971" s="167"/>
    </row>
    <row r="972" spans="1:2" x14ac:dyDescent="0.25">
      <c r="A972" s="167"/>
      <c r="B972" s="167"/>
    </row>
    <row r="973" spans="1:2" x14ac:dyDescent="0.25">
      <c r="A973" s="167"/>
      <c r="B973" s="167"/>
    </row>
    <row r="974" spans="1:2" x14ac:dyDescent="0.25">
      <c r="A974" s="167"/>
      <c r="B974" s="167"/>
    </row>
    <row r="975" spans="1:2" x14ac:dyDescent="0.25">
      <c r="A975" s="167"/>
      <c r="B975" s="167"/>
    </row>
    <row r="976" spans="1:2" x14ac:dyDescent="0.25">
      <c r="A976" s="167"/>
      <c r="B976" s="167"/>
    </row>
    <row r="977" spans="1:2" x14ac:dyDescent="0.25">
      <c r="A977" s="167"/>
      <c r="B977" s="167"/>
    </row>
    <row r="978" spans="1:2" x14ac:dyDescent="0.25">
      <c r="A978" s="167"/>
      <c r="B978" s="167"/>
    </row>
    <row r="979" spans="1:2" x14ac:dyDescent="0.25">
      <c r="A979" s="167"/>
      <c r="B979" s="167"/>
    </row>
    <row r="980" spans="1:2" x14ac:dyDescent="0.25">
      <c r="A980" s="167"/>
      <c r="B980" s="167"/>
    </row>
    <row r="981" spans="1:2" x14ac:dyDescent="0.25">
      <c r="A981" s="167"/>
      <c r="B981" s="167"/>
    </row>
    <row r="982" spans="1:2" x14ac:dyDescent="0.25">
      <c r="A982" s="167"/>
      <c r="B982" s="167"/>
    </row>
    <row r="983" spans="1:2" x14ac:dyDescent="0.25">
      <c r="A983" s="167"/>
      <c r="B983" s="167"/>
    </row>
    <row r="984" spans="1:2" x14ac:dyDescent="0.25">
      <c r="A984" s="167"/>
      <c r="B984" s="167"/>
    </row>
    <row r="985" spans="1:2" x14ac:dyDescent="0.25">
      <c r="A985" s="167"/>
      <c r="B985" s="167"/>
    </row>
    <row r="986" spans="1:2" x14ac:dyDescent="0.25">
      <c r="A986" s="167"/>
      <c r="B986" s="167"/>
    </row>
    <row r="987" spans="1:2" x14ac:dyDescent="0.25">
      <c r="A987" s="167"/>
      <c r="B987" s="167"/>
    </row>
    <row r="988" spans="1:2" x14ac:dyDescent="0.25">
      <c r="A988" s="167"/>
      <c r="B988" s="167"/>
    </row>
    <row r="989" spans="1:2" x14ac:dyDescent="0.25">
      <c r="A989" s="167"/>
      <c r="B989" s="167"/>
    </row>
    <row r="990" spans="1:2" x14ac:dyDescent="0.25">
      <c r="A990" s="167"/>
      <c r="B990" s="167"/>
    </row>
    <row r="991" spans="1:2" x14ac:dyDescent="0.25">
      <c r="A991" s="167"/>
      <c r="B991" s="167"/>
    </row>
    <row r="992" spans="1:2" x14ac:dyDescent="0.25">
      <c r="A992" s="167"/>
      <c r="B992" s="167"/>
    </row>
    <row r="993" spans="1:2" x14ac:dyDescent="0.25">
      <c r="A993" s="167"/>
      <c r="B993" s="167"/>
    </row>
    <row r="994" spans="1:2" x14ac:dyDescent="0.25">
      <c r="A994" s="167"/>
      <c r="B994" s="167"/>
    </row>
    <row r="995" spans="1:2" x14ac:dyDescent="0.25">
      <c r="A995" s="167"/>
      <c r="B995" s="167"/>
    </row>
    <row r="996" spans="1:2" x14ac:dyDescent="0.25">
      <c r="A996" s="167"/>
      <c r="B996" s="167"/>
    </row>
    <row r="997" spans="1:2" x14ac:dyDescent="0.25">
      <c r="A997" s="167"/>
      <c r="B997" s="167"/>
    </row>
    <row r="998" spans="1:2" x14ac:dyDescent="0.25">
      <c r="A998" s="167"/>
      <c r="B998" s="167"/>
    </row>
    <row r="999" spans="1:2" x14ac:dyDescent="0.25">
      <c r="A999" s="167"/>
      <c r="B999" s="167"/>
    </row>
    <row r="1000" spans="1:2" x14ac:dyDescent="0.25">
      <c r="A1000" s="167"/>
      <c r="B1000" s="167"/>
    </row>
    <row r="1001" spans="1:2" x14ac:dyDescent="0.25">
      <c r="A1001" s="167"/>
      <c r="B1001" s="167"/>
    </row>
    <row r="1002" spans="1:2" x14ac:dyDescent="0.25">
      <c r="A1002" s="167"/>
      <c r="B1002" s="167"/>
    </row>
    <row r="1003" spans="1:2" x14ac:dyDescent="0.25">
      <c r="A1003" s="167"/>
      <c r="B1003" s="167"/>
    </row>
    <row r="1004" spans="1:2" x14ac:dyDescent="0.25">
      <c r="A1004" s="167"/>
      <c r="B1004" s="167"/>
    </row>
    <row r="1005" spans="1:2" x14ac:dyDescent="0.25">
      <c r="A1005" s="167"/>
      <c r="B1005" s="167"/>
    </row>
    <row r="1006" spans="1:2" x14ac:dyDescent="0.25">
      <c r="A1006" s="167"/>
      <c r="B1006" s="167"/>
    </row>
    <row r="1007" spans="1:2" x14ac:dyDescent="0.25">
      <c r="A1007" s="167"/>
      <c r="B1007" s="167"/>
    </row>
    <row r="1008" spans="1:2" x14ac:dyDescent="0.25">
      <c r="A1008" s="167"/>
      <c r="B1008" s="167"/>
    </row>
    <row r="1009" spans="1:2" x14ac:dyDescent="0.25">
      <c r="A1009" s="167"/>
      <c r="B1009" s="167"/>
    </row>
    <row r="1010" spans="1:2" x14ac:dyDescent="0.25">
      <c r="A1010" s="167"/>
      <c r="B1010" s="167"/>
    </row>
    <row r="1011" spans="1:2" x14ac:dyDescent="0.25">
      <c r="A1011" s="167"/>
      <c r="B1011" s="167"/>
    </row>
    <row r="1012" spans="1:2" x14ac:dyDescent="0.25">
      <c r="A1012" s="167"/>
      <c r="B1012" s="167"/>
    </row>
    <row r="1013" spans="1:2" x14ac:dyDescent="0.25">
      <c r="A1013" s="167"/>
      <c r="B1013" s="167"/>
    </row>
    <row r="1014" spans="1:2" x14ac:dyDescent="0.25">
      <c r="A1014" s="167"/>
      <c r="B1014" s="167"/>
    </row>
    <row r="1015" spans="1:2" x14ac:dyDescent="0.25">
      <c r="A1015" s="167"/>
      <c r="B1015" s="167"/>
    </row>
    <row r="1016" spans="1:2" x14ac:dyDescent="0.25">
      <c r="A1016" s="167"/>
      <c r="B1016" s="167"/>
    </row>
    <row r="1017" spans="1:2" x14ac:dyDescent="0.25">
      <c r="A1017" s="167"/>
      <c r="B1017" s="167"/>
    </row>
    <row r="1018" spans="1:2" x14ac:dyDescent="0.25">
      <c r="A1018" s="167"/>
      <c r="B1018" s="167"/>
    </row>
    <row r="1019" spans="1:2" x14ac:dyDescent="0.25">
      <c r="A1019" s="167"/>
      <c r="B1019" s="167"/>
    </row>
    <row r="1020" spans="1:2" x14ac:dyDescent="0.25">
      <c r="A1020" s="167"/>
      <c r="B1020" s="167"/>
    </row>
    <row r="1021" spans="1:2" x14ac:dyDescent="0.25">
      <c r="A1021" s="167"/>
      <c r="B1021" s="167"/>
    </row>
    <row r="1022" spans="1:2" x14ac:dyDescent="0.25">
      <c r="A1022" s="167"/>
      <c r="B1022" s="167"/>
    </row>
    <row r="1023" spans="1:2" x14ac:dyDescent="0.25">
      <c r="A1023" s="167"/>
      <c r="B1023" s="167"/>
    </row>
    <row r="1024" spans="1:2" x14ac:dyDescent="0.25">
      <c r="A1024" s="167"/>
      <c r="B1024" s="167"/>
    </row>
    <row r="1025" spans="1:2" x14ac:dyDescent="0.25">
      <c r="A1025" s="167"/>
      <c r="B1025" s="167"/>
    </row>
    <row r="1026" spans="1:2" x14ac:dyDescent="0.25">
      <c r="A1026" s="167"/>
      <c r="B1026" s="167"/>
    </row>
    <row r="1027" spans="1:2" x14ac:dyDescent="0.25">
      <c r="A1027" s="167"/>
      <c r="B1027" s="167"/>
    </row>
    <row r="1028" spans="1:2" x14ac:dyDescent="0.25">
      <c r="A1028" s="167"/>
      <c r="B1028" s="167"/>
    </row>
    <row r="1029" spans="1:2" x14ac:dyDescent="0.25">
      <c r="A1029" s="167"/>
      <c r="B1029" s="167"/>
    </row>
    <row r="1030" spans="1:2" x14ac:dyDescent="0.25">
      <c r="A1030" s="167"/>
      <c r="B1030" s="167"/>
    </row>
    <row r="1031" spans="1:2" x14ac:dyDescent="0.25">
      <c r="A1031" s="167"/>
      <c r="B1031" s="167"/>
    </row>
    <row r="1032" spans="1:2" x14ac:dyDescent="0.25">
      <c r="A1032" s="167"/>
      <c r="B1032" s="167"/>
    </row>
    <row r="1033" spans="1:2" x14ac:dyDescent="0.25">
      <c r="A1033" s="167"/>
      <c r="B1033" s="167"/>
    </row>
    <row r="1034" spans="1:2" x14ac:dyDescent="0.25">
      <c r="A1034" s="167"/>
      <c r="B1034" s="167"/>
    </row>
    <row r="1035" spans="1:2" x14ac:dyDescent="0.25">
      <c r="A1035" s="167"/>
      <c r="B1035" s="167"/>
    </row>
    <row r="1036" spans="1:2" x14ac:dyDescent="0.25">
      <c r="A1036" s="167"/>
      <c r="B1036" s="167"/>
    </row>
    <row r="1037" spans="1:2" x14ac:dyDescent="0.25">
      <c r="A1037" s="167"/>
      <c r="B1037" s="167"/>
    </row>
    <row r="1038" spans="1:2" x14ac:dyDescent="0.25">
      <c r="A1038" s="167"/>
      <c r="B1038" s="167"/>
    </row>
    <row r="1039" spans="1:2" x14ac:dyDescent="0.25">
      <c r="A1039" s="167"/>
      <c r="B1039" s="167"/>
    </row>
    <row r="1040" spans="1:2" x14ac:dyDescent="0.25">
      <c r="A1040" s="167"/>
      <c r="B1040" s="167"/>
    </row>
    <row r="1041" spans="1:2" x14ac:dyDescent="0.25">
      <c r="A1041" s="167"/>
      <c r="B1041" s="167"/>
    </row>
    <row r="1042" spans="1:2" x14ac:dyDescent="0.25">
      <c r="A1042" s="167"/>
      <c r="B1042" s="167"/>
    </row>
    <row r="1043" spans="1:2" x14ac:dyDescent="0.25">
      <c r="A1043" s="167"/>
      <c r="B1043" s="167"/>
    </row>
    <row r="1044" spans="1:2" x14ac:dyDescent="0.25">
      <c r="A1044" s="167"/>
      <c r="B1044" s="167"/>
    </row>
    <row r="1045" spans="1:2" x14ac:dyDescent="0.25">
      <c r="A1045" s="167"/>
      <c r="B1045" s="167"/>
    </row>
    <row r="1046" spans="1:2" x14ac:dyDescent="0.25">
      <c r="A1046" s="167"/>
      <c r="B1046" s="167"/>
    </row>
    <row r="1047" spans="1:2" x14ac:dyDescent="0.25">
      <c r="A1047" s="167"/>
      <c r="B1047" s="167"/>
    </row>
    <row r="1048" spans="1:2" x14ac:dyDescent="0.25">
      <c r="A1048" s="167"/>
      <c r="B1048" s="167"/>
    </row>
    <row r="1049" spans="1:2" x14ac:dyDescent="0.25">
      <c r="A1049" s="167"/>
      <c r="B1049" s="167"/>
    </row>
    <row r="1050" spans="1:2" x14ac:dyDescent="0.25">
      <c r="A1050" s="167"/>
      <c r="B1050" s="167"/>
    </row>
    <row r="1051" spans="1:2" x14ac:dyDescent="0.25">
      <c r="A1051" s="167"/>
      <c r="B1051" s="167"/>
    </row>
    <row r="1052" spans="1:2" x14ac:dyDescent="0.25">
      <c r="A1052" s="167"/>
      <c r="B1052" s="167"/>
    </row>
    <row r="1053" spans="1:2" x14ac:dyDescent="0.25">
      <c r="A1053" s="167"/>
      <c r="B1053" s="167"/>
    </row>
    <row r="1054" spans="1:2" x14ac:dyDescent="0.25">
      <c r="A1054" s="167"/>
      <c r="B1054" s="167"/>
    </row>
    <row r="1055" spans="1:2" x14ac:dyDescent="0.25">
      <c r="A1055" s="167"/>
      <c r="B1055" s="167"/>
    </row>
    <row r="1056" spans="1:2" x14ac:dyDescent="0.25">
      <c r="A1056" s="167"/>
      <c r="B1056" s="167"/>
    </row>
    <row r="1057" spans="1:2" x14ac:dyDescent="0.25">
      <c r="A1057" s="167"/>
      <c r="B1057" s="167"/>
    </row>
    <row r="1058" spans="1:2" x14ac:dyDescent="0.25">
      <c r="A1058" s="167"/>
      <c r="B1058" s="167"/>
    </row>
    <row r="1059" spans="1:2" x14ac:dyDescent="0.25">
      <c r="A1059" s="167"/>
      <c r="B1059" s="167"/>
    </row>
    <row r="1060" spans="1:2" x14ac:dyDescent="0.25">
      <c r="A1060" s="167"/>
      <c r="B1060" s="167"/>
    </row>
    <row r="1061" spans="1:2" x14ac:dyDescent="0.25">
      <c r="A1061" s="167"/>
      <c r="B1061" s="167"/>
    </row>
    <row r="1062" spans="1:2" x14ac:dyDescent="0.25">
      <c r="A1062" s="167"/>
      <c r="B1062" s="167"/>
    </row>
    <row r="1063" spans="1:2" x14ac:dyDescent="0.25">
      <c r="A1063" s="167"/>
      <c r="B1063" s="167"/>
    </row>
    <row r="1064" spans="1:2" x14ac:dyDescent="0.25">
      <c r="A1064" s="167"/>
      <c r="B1064" s="167"/>
    </row>
    <row r="1065" spans="1:2" x14ac:dyDescent="0.25">
      <c r="A1065" s="167"/>
      <c r="B1065" s="167"/>
    </row>
    <row r="1066" spans="1:2" x14ac:dyDescent="0.25">
      <c r="A1066" s="167"/>
      <c r="B1066" s="167"/>
    </row>
    <row r="1067" spans="1:2" x14ac:dyDescent="0.25">
      <c r="A1067" s="167"/>
      <c r="B1067" s="167"/>
    </row>
    <row r="1068" spans="1:2" x14ac:dyDescent="0.25">
      <c r="A1068" s="167"/>
      <c r="B1068" s="167"/>
    </row>
    <row r="1069" spans="1:2" x14ac:dyDescent="0.25">
      <c r="A1069" s="167"/>
      <c r="B1069" s="167"/>
    </row>
    <row r="1070" spans="1:2" x14ac:dyDescent="0.25">
      <c r="A1070" s="167"/>
      <c r="B1070" s="167"/>
    </row>
    <row r="1071" spans="1:2" x14ac:dyDescent="0.25">
      <c r="A1071" s="167"/>
      <c r="B1071" s="167"/>
    </row>
    <row r="1072" spans="1:2" x14ac:dyDescent="0.25">
      <c r="A1072" s="167"/>
      <c r="B1072" s="167"/>
    </row>
    <row r="1073" spans="1:2" x14ac:dyDescent="0.25">
      <c r="A1073" s="167"/>
      <c r="B1073" s="167"/>
    </row>
    <row r="1074" spans="1:2" x14ac:dyDescent="0.25">
      <c r="A1074" s="167"/>
      <c r="B1074" s="167"/>
    </row>
    <row r="1075" spans="1:2" x14ac:dyDescent="0.25">
      <c r="A1075" s="167"/>
      <c r="B1075" s="167"/>
    </row>
    <row r="1076" spans="1:2" x14ac:dyDescent="0.25">
      <c r="A1076" s="167"/>
      <c r="B1076" s="167"/>
    </row>
    <row r="1077" spans="1:2" x14ac:dyDescent="0.25">
      <c r="A1077" s="167"/>
      <c r="B1077" s="167"/>
    </row>
    <row r="1078" spans="1:2" x14ac:dyDescent="0.25">
      <c r="A1078" s="167"/>
      <c r="B1078" s="167"/>
    </row>
    <row r="1079" spans="1:2" x14ac:dyDescent="0.25">
      <c r="A1079" s="167"/>
      <c r="B1079" s="167"/>
    </row>
    <row r="1080" spans="1:2" x14ac:dyDescent="0.25">
      <c r="A1080" s="167"/>
      <c r="B1080" s="167"/>
    </row>
    <row r="1081" spans="1:2" x14ac:dyDescent="0.25">
      <c r="A1081" s="167"/>
      <c r="B1081" s="167"/>
    </row>
    <row r="1082" spans="1:2" x14ac:dyDescent="0.25">
      <c r="A1082" s="167"/>
      <c r="B1082" s="167"/>
    </row>
    <row r="1083" spans="1:2" x14ac:dyDescent="0.25">
      <c r="A1083" s="167"/>
      <c r="B1083" s="167"/>
    </row>
    <row r="1084" spans="1:2" x14ac:dyDescent="0.25">
      <c r="A1084" s="167"/>
      <c r="B1084" s="167"/>
    </row>
    <row r="1085" spans="1:2" x14ac:dyDescent="0.25">
      <c r="A1085" s="167"/>
      <c r="B1085" s="167"/>
    </row>
    <row r="1086" spans="1:2" x14ac:dyDescent="0.25">
      <c r="A1086" s="167"/>
      <c r="B1086" s="167"/>
    </row>
    <row r="1087" spans="1:2" x14ac:dyDescent="0.25">
      <c r="A1087" s="167"/>
      <c r="B1087" s="167"/>
    </row>
    <row r="1088" spans="1:2" x14ac:dyDescent="0.25">
      <c r="A1088" s="167"/>
      <c r="B1088" s="167"/>
    </row>
    <row r="1089" spans="1:2" x14ac:dyDescent="0.25">
      <c r="A1089" s="167"/>
      <c r="B1089" s="167"/>
    </row>
    <row r="1090" spans="1:2" x14ac:dyDescent="0.25">
      <c r="A1090" s="167"/>
      <c r="B1090" s="167"/>
    </row>
    <row r="1091" spans="1:2" x14ac:dyDescent="0.25">
      <c r="A1091" s="167"/>
      <c r="B1091" s="167"/>
    </row>
    <row r="1092" spans="1:2" x14ac:dyDescent="0.25">
      <c r="A1092" s="167"/>
      <c r="B1092" s="167"/>
    </row>
    <row r="1093" spans="1:2" x14ac:dyDescent="0.25">
      <c r="A1093" s="167"/>
      <c r="B1093" s="167"/>
    </row>
    <row r="1094" spans="1:2" x14ac:dyDescent="0.25">
      <c r="A1094" s="167"/>
      <c r="B1094" s="167"/>
    </row>
    <row r="1095" spans="1:2" x14ac:dyDescent="0.25">
      <c r="A1095" s="167"/>
      <c r="B1095" s="167"/>
    </row>
    <row r="1096" spans="1:2" x14ac:dyDescent="0.25">
      <c r="A1096" s="167"/>
      <c r="B1096" s="167"/>
    </row>
    <row r="1097" spans="1:2" x14ac:dyDescent="0.25">
      <c r="A1097" s="167"/>
      <c r="B1097" s="167"/>
    </row>
    <row r="1098" spans="1:2" x14ac:dyDescent="0.25">
      <c r="A1098" s="167"/>
      <c r="B1098" s="167"/>
    </row>
    <row r="1099" spans="1:2" x14ac:dyDescent="0.25">
      <c r="A1099" s="167"/>
      <c r="B1099" s="167"/>
    </row>
    <row r="1100" spans="1:2" x14ac:dyDescent="0.25">
      <c r="A1100" s="167"/>
      <c r="B1100" s="167"/>
    </row>
    <row r="1101" spans="1:2" x14ac:dyDescent="0.25">
      <c r="A1101" s="167"/>
      <c r="B1101" s="167"/>
    </row>
    <row r="1102" spans="1:2" x14ac:dyDescent="0.25">
      <c r="A1102" s="167"/>
      <c r="B1102" s="167"/>
    </row>
    <row r="1103" spans="1:2" x14ac:dyDescent="0.25">
      <c r="A1103" s="167"/>
      <c r="B1103" s="167"/>
    </row>
    <row r="1104" spans="1:2" x14ac:dyDescent="0.25">
      <c r="A1104" s="167"/>
      <c r="B1104" s="167"/>
    </row>
    <row r="1105" spans="1:2" x14ac:dyDescent="0.25">
      <c r="A1105" s="167"/>
      <c r="B1105" s="167"/>
    </row>
    <row r="1106" spans="1:2" x14ac:dyDescent="0.25">
      <c r="A1106" s="167"/>
      <c r="B1106" s="167"/>
    </row>
    <row r="1107" spans="1:2" x14ac:dyDescent="0.25">
      <c r="A1107" s="167"/>
      <c r="B1107" s="167"/>
    </row>
    <row r="1108" spans="1:2" x14ac:dyDescent="0.25">
      <c r="A1108" s="167"/>
      <c r="B1108" s="167"/>
    </row>
    <row r="1109" spans="1:2" x14ac:dyDescent="0.25">
      <c r="A1109" s="167"/>
      <c r="B1109" s="167"/>
    </row>
    <row r="1110" spans="1:2" x14ac:dyDescent="0.25">
      <c r="A1110" s="167"/>
      <c r="B1110" s="167"/>
    </row>
    <row r="1111" spans="1:2" x14ac:dyDescent="0.25">
      <c r="A1111" s="167"/>
      <c r="B1111" s="167"/>
    </row>
    <row r="1112" spans="1:2" x14ac:dyDescent="0.25">
      <c r="A1112" s="167"/>
      <c r="B1112" s="167"/>
    </row>
    <row r="1113" spans="1:2" x14ac:dyDescent="0.25">
      <c r="A1113" s="167"/>
      <c r="B1113" s="167"/>
    </row>
    <row r="1114" spans="1:2" x14ac:dyDescent="0.25">
      <c r="A1114" s="167"/>
      <c r="B1114" s="167"/>
    </row>
    <row r="1115" spans="1:2" x14ac:dyDescent="0.25">
      <c r="A1115" s="167"/>
      <c r="B1115" s="167"/>
    </row>
    <row r="1116" spans="1:2" x14ac:dyDescent="0.25">
      <c r="A1116" s="167"/>
      <c r="B1116" s="167"/>
    </row>
    <row r="1117" spans="1:2" x14ac:dyDescent="0.25">
      <c r="A1117" s="167"/>
      <c r="B1117" s="167"/>
    </row>
    <row r="1118" spans="1:2" x14ac:dyDescent="0.25">
      <c r="A1118" s="167"/>
      <c r="B1118" s="167"/>
    </row>
    <row r="1119" spans="1:2" x14ac:dyDescent="0.25">
      <c r="A1119" s="167"/>
      <c r="B1119" s="167"/>
    </row>
    <row r="1120" spans="1:2" x14ac:dyDescent="0.25">
      <c r="A1120" s="167"/>
      <c r="B1120" s="167"/>
    </row>
    <row r="1121" spans="1:2" x14ac:dyDescent="0.25">
      <c r="A1121" s="167"/>
      <c r="B1121" s="167"/>
    </row>
    <row r="1122" spans="1:2" x14ac:dyDescent="0.25">
      <c r="A1122" s="167"/>
      <c r="B1122" s="167"/>
    </row>
    <row r="1123" spans="1:2" x14ac:dyDescent="0.25">
      <c r="A1123" s="167"/>
      <c r="B1123" s="167"/>
    </row>
    <row r="1124" spans="1:2" x14ac:dyDescent="0.25">
      <c r="A1124" s="167"/>
      <c r="B1124" s="167"/>
    </row>
    <row r="1125" spans="1:2" x14ac:dyDescent="0.25">
      <c r="A1125" s="167"/>
      <c r="B1125" s="167"/>
    </row>
    <row r="1126" spans="1:2" x14ac:dyDescent="0.25">
      <c r="A1126" s="167"/>
      <c r="B1126" s="167"/>
    </row>
    <row r="1127" spans="1:2" x14ac:dyDescent="0.25">
      <c r="A1127" s="167"/>
      <c r="B1127" s="167"/>
    </row>
    <row r="1128" spans="1:2" x14ac:dyDescent="0.25">
      <c r="A1128" s="167"/>
      <c r="B1128" s="167"/>
    </row>
    <row r="1129" spans="1:2" x14ac:dyDescent="0.25">
      <c r="A1129" s="167"/>
      <c r="B1129" s="167"/>
    </row>
    <row r="1130" spans="1:2" x14ac:dyDescent="0.25">
      <c r="A1130" s="167"/>
      <c r="B1130" s="167"/>
    </row>
    <row r="1131" spans="1:2" x14ac:dyDescent="0.25">
      <c r="A1131" s="167"/>
      <c r="B1131" s="167"/>
    </row>
    <row r="1132" spans="1:2" x14ac:dyDescent="0.25">
      <c r="A1132" s="167"/>
      <c r="B1132" s="167"/>
    </row>
    <row r="1133" spans="1:2" x14ac:dyDescent="0.25">
      <c r="A1133" s="167"/>
      <c r="B1133" s="167"/>
    </row>
    <row r="1134" spans="1:2" x14ac:dyDescent="0.25">
      <c r="A1134" s="167"/>
      <c r="B1134" s="167"/>
    </row>
    <row r="1135" spans="1:2" x14ac:dyDescent="0.25">
      <c r="A1135" s="167"/>
      <c r="B1135" s="167"/>
    </row>
    <row r="1136" spans="1:2" x14ac:dyDescent="0.25">
      <c r="A1136" s="167"/>
      <c r="B1136" s="167"/>
    </row>
    <row r="1137" spans="1:2" x14ac:dyDescent="0.25">
      <c r="A1137" s="167"/>
      <c r="B1137" s="167"/>
    </row>
    <row r="1138" spans="1:2" x14ac:dyDescent="0.25">
      <c r="A1138" s="167"/>
      <c r="B1138" s="167"/>
    </row>
    <row r="1139" spans="1:2" x14ac:dyDescent="0.25">
      <c r="A1139" s="167"/>
      <c r="B1139" s="167"/>
    </row>
    <row r="1140" spans="1:2" x14ac:dyDescent="0.25">
      <c r="A1140" s="167"/>
      <c r="B1140" s="167"/>
    </row>
    <row r="1141" spans="1:2" x14ac:dyDescent="0.25">
      <c r="A1141" s="167"/>
      <c r="B1141" s="167"/>
    </row>
    <row r="1142" spans="1:2" x14ac:dyDescent="0.25">
      <c r="A1142" s="167"/>
      <c r="B1142" s="167"/>
    </row>
    <row r="1143" spans="1:2" x14ac:dyDescent="0.25">
      <c r="A1143" s="167"/>
      <c r="B1143" s="167"/>
    </row>
    <row r="1144" spans="1:2" x14ac:dyDescent="0.25">
      <c r="A1144" s="167"/>
      <c r="B1144" s="167"/>
    </row>
    <row r="1145" spans="1:2" x14ac:dyDescent="0.25">
      <c r="A1145" s="167"/>
      <c r="B1145" s="167"/>
    </row>
    <row r="1146" spans="1:2" x14ac:dyDescent="0.25">
      <c r="A1146" s="167"/>
      <c r="B1146" s="167"/>
    </row>
    <row r="1147" spans="1:2" x14ac:dyDescent="0.25">
      <c r="A1147" s="167"/>
      <c r="B1147" s="167"/>
    </row>
    <row r="1148" spans="1:2" x14ac:dyDescent="0.25">
      <c r="A1148" s="167"/>
      <c r="B1148" s="167"/>
    </row>
    <row r="1149" spans="1:2" x14ac:dyDescent="0.25">
      <c r="A1149" s="167"/>
      <c r="B1149" s="167"/>
    </row>
    <row r="1150" spans="1:2" x14ac:dyDescent="0.25">
      <c r="A1150" s="167"/>
      <c r="B1150" s="167"/>
    </row>
    <row r="1151" spans="1:2" x14ac:dyDescent="0.25">
      <c r="A1151" s="167"/>
      <c r="B1151" s="167"/>
    </row>
    <row r="1152" spans="1:2" x14ac:dyDescent="0.25">
      <c r="A1152" s="167"/>
      <c r="B1152" s="167"/>
    </row>
    <row r="1153" spans="1:2" x14ac:dyDescent="0.25">
      <c r="A1153" s="167"/>
      <c r="B1153" s="167"/>
    </row>
    <row r="1154" spans="1:2" x14ac:dyDescent="0.25">
      <c r="A1154" s="167"/>
      <c r="B1154" s="167"/>
    </row>
    <row r="1155" spans="1:2" x14ac:dyDescent="0.25">
      <c r="A1155" s="167"/>
      <c r="B1155" s="167"/>
    </row>
    <row r="1156" spans="1:2" x14ac:dyDescent="0.25">
      <c r="A1156" s="167"/>
      <c r="B1156" s="167"/>
    </row>
    <row r="1157" spans="1:2" x14ac:dyDescent="0.25">
      <c r="A1157" s="167"/>
      <c r="B1157" s="167"/>
    </row>
    <row r="1158" spans="1:2" x14ac:dyDescent="0.25">
      <c r="A1158" s="167"/>
      <c r="B1158" s="167"/>
    </row>
    <row r="1159" spans="1:2" x14ac:dyDescent="0.25">
      <c r="A1159" s="167"/>
      <c r="B1159" s="167"/>
    </row>
    <row r="1160" spans="1:2" x14ac:dyDescent="0.25">
      <c r="A1160" s="167"/>
      <c r="B1160" s="167"/>
    </row>
    <row r="1161" spans="1:2" x14ac:dyDescent="0.25">
      <c r="A1161" s="167"/>
      <c r="B1161" s="167"/>
    </row>
    <row r="1162" spans="1:2" x14ac:dyDescent="0.25">
      <c r="A1162" s="167"/>
      <c r="B1162" s="167"/>
    </row>
    <row r="1163" spans="1:2" x14ac:dyDescent="0.25">
      <c r="A1163" s="167"/>
      <c r="B1163" s="167"/>
    </row>
    <row r="1164" spans="1:2" x14ac:dyDescent="0.25">
      <c r="A1164" s="167"/>
      <c r="B1164" s="167"/>
    </row>
    <row r="1165" spans="1:2" x14ac:dyDescent="0.25">
      <c r="A1165" s="167"/>
      <c r="B1165" s="167"/>
    </row>
    <row r="1166" spans="1:2" x14ac:dyDescent="0.25">
      <c r="A1166" s="167"/>
      <c r="B1166" s="167"/>
    </row>
    <row r="1167" spans="1:2" x14ac:dyDescent="0.25">
      <c r="A1167" s="167"/>
      <c r="B1167" s="167"/>
    </row>
    <row r="1168" spans="1:2" x14ac:dyDescent="0.25">
      <c r="A1168" s="167"/>
      <c r="B1168" s="167"/>
    </row>
    <row r="1169" spans="1:2" x14ac:dyDescent="0.25">
      <c r="A1169" s="167"/>
      <c r="B1169" s="167"/>
    </row>
    <row r="1170" spans="1:2" x14ac:dyDescent="0.25">
      <c r="A1170" s="167"/>
      <c r="B1170" s="167"/>
    </row>
    <row r="1171" spans="1:2" x14ac:dyDescent="0.25">
      <c r="A1171" s="167"/>
      <c r="B1171" s="167"/>
    </row>
    <row r="1172" spans="1:2" x14ac:dyDescent="0.25">
      <c r="A1172" s="167"/>
      <c r="B1172" s="167"/>
    </row>
    <row r="1173" spans="1:2" x14ac:dyDescent="0.25">
      <c r="A1173" s="167"/>
      <c r="B1173" s="167"/>
    </row>
    <row r="1174" spans="1:2" x14ac:dyDescent="0.25">
      <c r="A1174" s="167"/>
      <c r="B1174" s="167"/>
    </row>
    <row r="1175" spans="1:2" x14ac:dyDescent="0.25">
      <c r="A1175" s="167"/>
      <c r="B1175" s="167"/>
    </row>
    <row r="1176" spans="1:2" x14ac:dyDescent="0.25">
      <c r="A1176" s="167"/>
      <c r="B1176" s="167"/>
    </row>
    <row r="1177" spans="1:2" x14ac:dyDescent="0.25">
      <c r="A1177" s="167"/>
      <c r="B1177" s="167"/>
    </row>
    <row r="1178" spans="1:2" x14ac:dyDescent="0.25">
      <c r="A1178" s="167"/>
      <c r="B1178" s="167"/>
    </row>
    <row r="1179" spans="1:2" x14ac:dyDescent="0.25">
      <c r="A1179" s="167"/>
      <c r="B1179" s="167"/>
    </row>
    <row r="1180" spans="1:2" x14ac:dyDescent="0.25">
      <c r="A1180" s="167"/>
      <c r="B1180" s="167"/>
    </row>
    <row r="1181" spans="1:2" x14ac:dyDescent="0.25">
      <c r="A1181" s="167"/>
      <c r="B1181" s="167"/>
    </row>
    <row r="1182" spans="1:2" x14ac:dyDescent="0.25">
      <c r="A1182" s="167"/>
      <c r="B1182" s="167"/>
    </row>
    <row r="1183" spans="1:2" x14ac:dyDescent="0.25">
      <c r="A1183" s="167"/>
      <c r="B1183" s="167"/>
    </row>
    <row r="1184" spans="1:2" x14ac:dyDescent="0.25">
      <c r="A1184" s="167"/>
      <c r="B1184" s="167"/>
    </row>
    <row r="1185" spans="1:2" x14ac:dyDescent="0.25">
      <c r="A1185" s="167"/>
      <c r="B1185" s="167"/>
    </row>
    <row r="1186" spans="1:2" x14ac:dyDescent="0.25">
      <c r="A1186" s="167"/>
      <c r="B1186" s="167"/>
    </row>
    <row r="1187" spans="1:2" x14ac:dyDescent="0.25">
      <c r="A1187" s="167"/>
      <c r="B1187" s="167"/>
    </row>
    <row r="1188" spans="1:2" x14ac:dyDescent="0.25">
      <c r="A1188" s="167"/>
      <c r="B1188" s="167"/>
    </row>
    <row r="1189" spans="1:2" x14ac:dyDescent="0.25">
      <c r="A1189" s="167"/>
      <c r="B1189" s="167"/>
    </row>
    <row r="1190" spans="1:2" x14ac:dyDescent="0.25">
      <c r="A1190" s="167"/>
      <c r="B1190" s="167"/>
    </row>
    <row r="1191" spans="1:2" x14ac:dyDescent="0.25">
      <c r="A1191" s="167"/>
      <c r="B1191" s="167"/>
    </row>
    <row r="1192" spans="1:2" x14ac:dyDescent="0.25">
      <c r="A1192" s="167"/>
      <c r="B1192" s="167"/>
    </row>
    <row r="1193" spans="1:2" x14ac:dyDescent="0.25">
      <c r="A1193" s="167"/>
      <c r="B1193" s="167"/>
    </row>
    <row r="1194" spans="1:2" x14ac:dyDescent="0.25">
      <c r="A1194" s="167"/>
      <c r="B1194" s="167"/>
    </row>
    <row r="1195" spans="1:2" x14ac:dyDescent="0.25">
      <c r="A1195" s="167"/>
      <c r="B1195" s="167"/>
    </row>
    <row r="1196" spans="1:2" x14ac:dyDescent="0.25">
      <c r="A1196" s="167"/>
      <c r="B1196" s="167"/>
    </row>
    <row r="1197" spans="1:2" x14ac:dyDescent="0.25">
      <c r="A1197" s="167"/>
      <c r="B1197" s="167"/>
    </row>
    <row r="1198" spans="1:2" x14ac:dyDescent="0.25">
      <c r="A1198" s="167"/>
      <c r="B1198" s="167"/>
    </row>
    <row r="1199" spans="1:2" x14ac:dyDescent="0.25">
      <c r="A1199" s="167"/>
      <c r="B1199" s="167"/>
    </row>
    <row r="1200" spans="1:2" x14ac:dyDescent="0.25">
      <c r="A1200" s="167"/>
      <c r="B1200" s="167"/>
    </row>
    <row r="1201" spans="1:2" x14ac:dyDescent="0.25">
      <c r="A1201" s="167"/>
      <c r="B1201" s="167"/>
    </row>
    <row r="1202" spans="1:2" x14ac:dyDescent="0.25">
      <c r="A1202" s="167"/>
      <c r="B1202" s="167"/>
    </row>
    <row r="1203" spans="1:2" x14ac:dyDescent="0.25">
      <c r="A1203" s="167"/>
      <c r="B1203" s="167"/>
    </row>
    <row r="1204" spans="1:2" x14ac:dyDescent="0.25">
      <c r="A1204" s="167"/>
      <c r="B1204" s="167"/>
    </row>
    <row r="1205" spans="1:2" x14ac:dyDescent="0.25">
      <c r="A1205" s="167"/>
      <c r="B1205" s="167"/>
    </row>
    <row r="1206" spans="1:2" x14ac:dyDescent="0.25">
      <c r="A1206" s="167"/>
      <c r="B1206" s="167"/>
    </row>
    <row r="1207" spans="1:2" x14ac:dyDescent="0.25">
      <c r="A1207" s="167"/>
      <c r="B1207" s="167"/>
    </row>
    <row r="1208" spans="1:2" x14ac:dyDescent="0.25">
      <c r="A1208" s="167"/>
      <c r="B1208" s="167"/>
    </row>
    <row r="1209" spans="1:2" x14ac:dyDescent="0.25">
      <c r="A1209" s="167"/>
      <c r="B1209" s="167"/>
    </row>
    <row r="1210" spans="1:2" x14ac:dyDescent="0.25">
      <c r="A1210" s="167"/>
      <c r="B1210" s="167"/>
    </row>
    <row r="1211" spans="1:2" x14ac:dyDescent="0.25">
      <c r="A1211" s="167"/>
      <c r="B1211" s="167"/>
    </row>
    <row r="1212" spans="1:2" x14ac:dyDescent="0.25">
      <c r="A1212" s="167"/>
      <c r="B1212" s="167"/>
    </row>
    <row r="1213" spans="1:2" x14ac:dyDescent="0.25">
      <c r="A1213" s="167"/>
      <c r="B1213" s="167"/>
    </row>
    <row r="1214" spans="1:2" x14ac:dyDescent="0.25">
      <c r="A1214" s="167"/>
      <c r="B1214" s="167"/>
    </row>
    <row r="1215" spans="1:2" x14ac:dyDescent="0.25">
      <c r="A1215" s="167"/>
      <c r="B1215" s="167"/>
    </row>
    <row r="1216" spans="1:2" x14ac:dyDescent="0.25">
      <c r="A1216" s="167"/>
      <c r="B1216" s="167"/>
    </row>
    <row r="1217" spans="1:2" x14ac:dyDescent="0.25">
      <c r="A1217" s="167"/>
      <c r="B1217" s="167"/>
    </row>
    <row r="1218" spans="1:2" x14ac:dyDescent="0.25">
      <c r="A1218" s="167"/>
      <c r="B1218" s="167"/>
    </row>
    <row r="1219" spans="1:2" x14ac:dyDescent="0.25">
      <c r="A1219" s="167"/>
      <c r="B1219" s="167"/>
    </row>
    <row r="1220" spans="1:2" x14ac:dyDescent="0.25">
      <c r="A1220" s="167"/>
      <c r="B1220" s="167"/>
    </row>
    <row r="1221" spans="1:2" x14ac:dyDescent="0.25">
      <c r="A1221" s="167"/>
      <c r="B1221" s="167"/>
    </row>
    <row r="1222" spans="1:2" x14ac:dyDescent="0.25">
      <c r="A1222" s="167"/>
      <c r="B1222" s="167"/>
    </row>
    <row r="1223" spans="1:2" x14ac:dyDescent="0.25">
      <c r="A1223" s="167"/>
      <c r="B1223" s="167"/>
    </row>
    <row r="1224" spans="1:2" x14ac:dyDescent="0.25">
      <c r="A1224" s="167"/>
      <c r="B1224" s="167"/>
    </row>
    <row r="1225" spans="1:2" x14ac:dyDescent="0.25">
      <c r="A1225" s="167"/>
      <c r="B1225" s="167"/>
    </row>
    <row r="1226" spans="1:2" x14ac:dyDescent="0.25">
      <c r="A1226" s="167"/>
      <c r="B1226" s="167"/>
    </row>
    <row r="1227" spans="1:2" x14ac:dyDescent="0.25">
      <c r="A1227" s="167"/>
      <c r="B1227" s="167"/>
    </row>
    <row r="1228" spans="1:2" x14ac:dyDescent="0.25">
      <c r="A1228" s="167"/>
      <c r="B1228" s="167"/>
    </row>
    <row r="1229" spans="1:2" x14ac:dyDescent="0.25">
      <c r="A1229" s="167"/>
      <c r="B1229" s="167"/>
    </row>
    <row r="1230" spans="1:2" x14ac:dyDescent="0.25">
      <c r="A1230" s="167"/>
      <c r="B1230" s="167"/>
    </row>
    <row r="1231" spans="1:2" x14ac:dyDescent="0.25">
      <c r="A1231" s="167"/>
      <c r="B1231" s="167"/>
    </row>
    <row r="1232" spans="1:2" x14ac:dyDescent="0.25">
      <c r="A1232" s="167"/>
      <c r="B1232" s="167"/>
    </row>
    <row r="1233" spans="1:2" x14ac:dyDescent="0.25">
      <c r="A1233" s="167"/>
      <c r="B1233" s="167"/>
    </row>
    <row r="1234" spans="1:2" x14ac:dyDescent="0.25">
      <c r="A1234" s="167"/>
      <c r="B1234" s="167"/>
    </row>
    <row r="1235" spans="1:2" x14ac:dyDescent="0.25">
      <c r="A1235" s="167"/>
      <c r="B1235" s="167"/>
    </row>
    <row r="1236" spans="1:2" x14ac:dyDescent="0.25">
      <c r="A1236" s="167"/>
      <c r="B1236" s="167"/>
    </row>
    <row r="1237" spans="1:2" x14ac:dyDescent="0.25">
      <c r="A1237" s="167"/>
      <c r="B1237" s="167"/>
    </row>
    <row r="1238" spans="1:2" x14ac:dyDescent="0.25">
      <c r="A1238" s="167"/>
      <c r="B1238" s="167"/>
    </row>
    <row r="1239" spans="1:2" x14ac:dyDescent="0.25">
      <c r="A1239" s="167"/>
      <c r="B1239" s="167"/>
    </row>
    <row r="1240" spans="1:2" x14ac:dyDescent="0.25">
      <c r="A1240" s="167"/>
      <c r="B1240" s="167"/>
    </row>
    <row r="1241" spans="1:2" x14ac:dyDescent="0.25">
      <c r="A1241" s="167"/>
      <c r="B1241" s="167"/>
    </row>
    <row r="1242" spans="1:2" x14ac:dyDescent="0.25">
      <c r="A1242" s="167"/>
      <c r="B1242" s="167"/>
    </row>
    <row r="1243" spans="1:2" x14ac:dyDescent="0.25">
      <c r="A1243" s="167"/>
      <c r="B1243" s="167"/>
    </row>
    <row r="1244" spans="1:2" x14ac:dyDescent="0.25">
      <c r="A1244" s="167"/>
      <c r="B1244" s="167"/>
    </row>
    <row r="1245" spans="1:2" x14ac:dyDescent="0.25">
      <c r="A1245" s="167"/>
      <c r="B1245" s="167"/>
    </row>
    <row r="1246" spans="1:2" x14ac:dyDescent="0.25">
      <c r="A1246" s="167"/>
      <c r="B1246" s="167"/>
    </row>
    <row r="1247" spans="1:2" x14ac:dyDescent="0.25">
      <c r="A1247" s="167"/>
      <c r="B1247" s="167"/>
    </row>
    <row r="1248" spans="1:2" x14ac:dyDescent="0.25">
      <c r="A1248" s="167"/>
      <c r="B1248" s="167"/>
    </row>
    <row r="1249" spans="1:2" x14ac:dyDescent="0.25">
      <c r="A1249" s="167"/>
      <c r="B1249" s="167"/>
    </row>
    <row r="1250" spans="1:2" x14ac:dyDescent="0.25">
      <c r="A1250" s="167"/>
      <c r="B1250" s="167"/>
    </row>
    <row r="1251" spans="1:2" x14ac:dyDescent="0.25">
      <c r="A1251" s="167"/>
      <c r="B1251" s="167"/>
    </row>
    <row r="1252" spans="1:2" x14ac:dyDescent="0.25">
      <c r="A1252" s="167"/>
      <c r="B1252" s="167"/>
    </row>
    <row r="1253" spans="1:2" x14ac:dyDescent="0.25">
      <c r="A1253" s="167"/>
      <c r="B1253" s="167"/>
    </row>
    <row r="1254" spans="1:2" x14ac:dyDescent="0.25">
      <c r="A1254" s="167"/>
      <c r="B1254" s="167"/>
    </row>
    <row r="1255" spans="1:2" x14ac:dyDescent="0.25">
      <c r="A1255" s="167"/>
      <c r="B1255" s="167"/>
    </row>
    <row r="1256" spans="1:2" x14ac:dyDescent="0.25">
      <c r="A1256" s="167"/>
      <c r="B1256" s="167"/>
    </row>
    <row r="1257" spans="1:2" x14ac:dyDescent="0.25">
      <c r="A1257" s="167"/>
      <c r="B1257" s="167"/>
    </row>
    <row r="1258" spans="1:2" x14ac:dyDescent="0.25">
      <c r="A1258" s="167"/>
      <c r="B1258" s="167"/>
    </row>
    <row r="1259" spans="1:2" x14ac:dyDescent="0.25">
      <c r="A1259" s="167"/>
      <c r="B1259" s="167"/>
    </row>
    <row r="1260" spans="1:2" x14ac:dyDescent="0.25">
      <c r="A1260" s="167"/>
      <c r="B1260" s="167"/>
    </row>
    <row r="1261" spans="1:2" x14ac:dyDescent="0.25">
      <c r="A1261" s="167"/>
      <c r="B1261" s="167"/>
    </row>
    <row r="1262" spans="1:2" x14ac:dyDescent="0.25">
      <c r="A1262" s="167"/>
      <c r="B1262" s="167"/>
    </row>
    <row r="1263" spans="1:2" x14ac:dyDescent="0.25">
      <c r="A1263" s="167"/>
      <c r="B1263" s="167"/>
    </row>
    <row r="1264" spans="1:2" x14ac:dyDescent="0.25">
      <c r="A1264" s="167"/>
      <c r="B1264" s="167"/>
    </row>
    <row r="1265" spans="1:2" x14ac:dyDescent="0.25">
      <c r="A1265" s="167"/>
      <c r="B1265" s="167"/>
    </row>
    <row r="1266" spans="1:2" x14ac:dyDescent="0.25">
      <c r="A1266" s="167"/>
      <c r="B1266" s="167"/>
    </row>
    <row r="1267" spans="1:2" x14ac:dyDescent="0.25">
      <c r="A1267" s="167"/>
      <c r="B1267" s="167"/>
    </row>
    <row r="1268" spans="1:2" x14ac:dyDescent="0.25">
      <c r="A1268" s="167"/>
      <c r="B1268" s="167"/>
    </row>
    <row r="1269" spans="1:2" x14ac:dyDescent="0.25">
      <c r="A1269" s="167"/>
      <c r="B1269" s="167"/>
    </row>
    <row r="1270" spans="1:2" x14ac:dyDescent="0.25">
      <c r="A1270" s="167"/>
      <c r="B1270" s="167"/>
    </row>
    <row r="1271" spans="1:2" x14ac:dyDescent="0.25">
      <c r="A1271" s="167"/>
      <c r="B1271" s="167"/>
    </row>
    <row r="1272" spans="1:2" x14ac:dyDescent="0.25">
      <c r="A1272" s="167"/>
      <c r="B1272" s="167"/>
    </row>
    <row r="1273" spans="1:2" x14ac:dyDescent="0.25">
      <c r="A1273" s="167"/>
      <c r="B1273" s="167"/>
    </row>
    <row r="1274" spans="1:2" x14ac:dyDescent="0.25">
      <c r="A1274" s="167"/>
      <c r="B1274" s="167"/>
    </row>
    <row r="1275" spans="1:2" x14ac:dyDescent="0.25">
      <c r="A1275" s="167"/>
      <c r="B1275" s="167"/>
    </row>
    <row r="1276" spans="1:2" x14ac:dyDescent="0.25">
      <c r="A1276" s="167"/>
      <c r="B1276" s="167"/>
    </row>
    <row r="1277" spans="1:2" x14ac:dyDescent="0.25">
      <c r="A1277" s="167"/>
      <c r="B1277" s="167"/>
    </row>
    <row r="1278" spans="1:2" x14ac:dyDescent="0.25">
      <c r="A1278" s="167"/>
      <c r="B1278" s="167"/>
    </row>
    <row r="1279" spans="1:2" x14ac:dyDescent="0.25">
      <c r="A1279" s="167"/>
      <c r="B1279" s="167"/>
    </row>
    <row r="1280" spans="1:2" x14ac:dyDescent="0.25">
      <c r="A1280" s="167"/>
      <c r="B1280" s="167"/>
    </row>
    <row r="1281" spans="1:2" x14ac:dyDescent="0.25">
      <c r="A1281" s="167"/>
      <c r="B1281" s="167"/>
    </row>
    <row r="1282" spans="1:2" x14ac:dyDescent="0.25">
      <c r="A1282" s="167"/>
      <c r="B1282" s="167"/>
    </row>
    <row r="1283" spans="1:2" x14ac:dyDescent="0.25">
      <c r="A1283" s="167"/>
      <c r="B1283" s="167"/>
    </row>
    <row r="1284" spans="1:2" x14ac:dyDescent="0.25">
      <c r="A1284" s="167"/>
      <c r="B1284" s="167"/>
    </row>
    <row r="1285" spans="1:2" x14ac:dyDescent="0.25">
      <c r="A1285" s="167"/>
      <c r="B1285" s="167"/>
    </row>
    <row r="1286" spans="1:2" x14ac:dyDescent="0.25">
      <c r="A1286" s="167"/>
      <c r="B1286" s="167"/>
    </row>
    <row r="1287" spans="1:2" x14ac:dyDescent="0.25">
      <c r="A1287" s="167"/>
      <c r="B1287" s="167"/>
    </row>
    <row r="1288" spans="1:2" x14ac:dyDescent="0.25">
      <c r="A1288" s="167"/>
      <c r="B1288" s="167"/>
    </row>
    <row r="1289" spans="1:2" x14ac:dyDescent="0.25">
      <c r="A1289" s="167"/>
      <c r="B1289" s="167"/>
    </row>
    <row r="1290" spans="1:2" x14ac:dyDescent="0.25">
      <c r="A1290" s="167"/>
      <c r="B1290" s="167"/>
    </row>
    <row r="1291" spans="1:2" x14ac:dyDescent="0.25">
      <c r="A1291" s="167"/>
      <c r="B1291" s="167"/>
    </row>
    <row r="1292" spans="1:2" x14ac:dyDescent="0.25">
      <c r="A1292" s="167"/>
      <c r="B1292" s="167"/>
    </row>
    <row r="1293" spans="1:2" x14ac:dyDescent="0.25">
      <c r="A1293" s="167"/>
      <c r="B1293" s="167"/>
    </row>
    <row r="1294" spans="1:2" x14ac:dyDescent="0.25">
      <c r="A1294" s="167"/>
      <c r="B1294" s="167"/>
    </row>
    <row r="1295" spans="1:2" x14ac:dyDescent="0.25">
      <c r="A1295" s="167"/>
      <c r="B1295" s="167"/>
    </row>
    <row r="1296" spans="1:2" x14ac:dyDescent="0.25">
      <c r="A1296" s="167"/>
      <c r="B1296" s="167"/>
    </row>
    <row r="1297" spans="1:2" x14ac:dyDescent="0.25">
      <c r="A1297" s="167"/>
      <c r="B1297" s="167"/>
    </row>
    <row r="1298" spans="1:2" x14ac:dyDescent="0.25">
      <c r="A1298" s="167"/>
      <c r="B1298" s="167"/>
    </row>
    <row r="1299" spans="1:2" x14ac:dyDescent="0.25">
      <c r="A1299" s="167"/>
      <c r="B1299" s="167"/>
    </row>
    <row r="1300" spans="1:2" x14ac:dyDescent="0.25">
      <c r="A1300" s="167"/>
      <c r="B1300" s="167"/>
    </row>
    <row r="1301" spans="1:2" x14ac:dyDescent="0.25">
      <c r="A1301" s="167"/>
      <c r="B1301" s="167"/>
    </row>
    <row r="1302" spans="1:2" x14ac:dyDescent="0.25">
      <c r="A1302" s="167"/>
      <c r="B1302" s="167"/>
    </row>
    <row r="1303" spans="1:2" x14ac:dyDescent="0.25">
      <c r="A1303" s="167"/>
      <c r="B1303" s="167"/>
    </row>
    <row r="1304" spans="1:2" x14ac:dyDescent="0.25">
      <c r="A1304" s="167"/>
      <c r="B1304" s="167"/>
    </row>
    <row r="1305" spans="1:2" x14ac:dyDescent="0.25">
      <c r="A1305" s="167"/>
      <c r="B1305" s="167"/>
    </row>
    <row r="1306" spans="1:2" x14ac:dyDescent="0.25">
      <c r="A1306" s="167"/>
      <c r="B1306" s="167"/>
    </row>
    <row r="1307" spans="1:2" x14ac:dyDescent="0.25">
      <c r="A1307" s="167"/>
      <c r="B1307" s="167"/>
    </row>
    <row r="1308" spans="1:2" x14ac:dyDescent="0.25">
      <c r="A1308" s="167"/>
      <c r="B1308" s="167"/>
    </row>
    <row r="1309" spans="1:2" x14ac:dyDescent="0.25">
      <c r="A1309" s="167"/>
      <c r="B1309" s="167"/>
    </row>
    <row r="1310" spans="1:2" x14ac:dyDescent="0.25">
      <c r="A1310" s="167"/>
      <c r="B1310" s="167"/>
    </row>
    <row r="1311" spans="1:2" x14ac:dyDescent="0.25">
      <c r="A1311" s="167"/>
      <c r="B1311" s="167"/>
    </row>
    <row r="1312" spans="1:2" x14ac:dyDescent="0.25">
      <c r="A1312" s="167"/>
      <c r="B1312" s="167"/>
    </row>
    <row r="1313" spans="1:2" x14ac:dyDescent="0.25">
      <c r="A1313" s="167"/>
      <c r="B1313" s="167"/>
    </row>
    <row r="1314" spans="1:2" x14ac:dyDescent="0.25">
      <c r="A1314" s="167"/>
      <c r="B1314" s="167"/>
    </row>
    <row r="1315" spans="1:2" x14ac:dyDescent="0.25">
      <c r="A1315" s="167"/>
      <c r="B1315" s="167"/>
    </row>
    <row r="1316" spans="1:2" x14ac:dyDescent="0.25">
      <c r="A1316" s="167"/>
      <c r="B1316" s="167"/>
    </row>
    <row r="1317" spans="1:2" x14ac:dyDescent="0.25">
      <c r="A1317" s="167"/>
      <c r="B1317" s="167"/>
    </row>
    <row r="1318" spans="1:2" x14ac:dyDescent="0.25">
      <c r="A1318" s="167"/>
      <c r="B1318" s="167"/>
    </row>
    <row r="1319" spans="1:2" x14ac:dyDescent="0.25">
      <c r="A1319" s="167"/>
      <c r="B1319" s="167"/>
    </row>
    <row r="1320" spans="1:2" x14ac:dyDescent="0.25">
      <c r="A1320" s="167"/>
      <c r="B1320" s="167"/>
    </row>
    <row r="1321" spans="1:2" x14ac:dyDescent="0.25">
      <c r="A1321" s="167"/>
      <c r="B1321" s="167"/>
    </row>
    <row r="1322" spans="1:2" x14ac:dyDescent="0.25">
      <c r="A1322" s="167"/>
      <c r="B1322" s="167"/>
    </row>
    <row r="1323" spans="1:2" x14ac:dyDescent="0.25">
      <c r="A1323" s="167"/>
      <c r="B1323" s="167"/>
    </row>
    <row r="1324" spans="1:2" x14ac:dyDescent="0.25">
      <c r="A1324" s="167"/>
      <c r="B1324" s="167"/>
    </row>
    <row r="1325" spans="1:2" x14ac:dyDescent="0.25">
      <c r="A1325" s="167"/>
      <c r="B1325" s="167"/>
    </row>
    <row r="1326" spans="1:2" x14ac:dyDescent="0.25">
      <c r="A1326" s="167"/>
      <c r="B1326" s="167"/>
    </row>
    <row r="1327" spans="1:2" x14ac:dyDescent="0.25">
      <c r="A1327" s="167"/>
      <c r="B1327" s="167"/>
    </row>
    <row r="1328" spans="1:2" x14ac:dyDescent="0.25">
      <c r="A1328" s="167"/>
      <c r="B1328" s="167"/>
    </row>
    <row r="1329" spans="1:2" x14ac:dyDescent="0.25">
      <c r="A1329" s="167"/>
      <c r="B1329" s="167"/>
    </row>
    <row r="1330" spans="1:2" x14ac:dyDescent="0.25">
      <c r="A1330" s="167"/>
      <c r="B1330" s="167"/>
    </row>
    <row r="1331" spans="1:2" x14ac:dyDescent="0.25">
      <c r="A1331" s="167"/>
      <c r="B1331" s="167"/>
    </row>
    <row r="1332" spans="1:2" x14ac:dyDescent="0.25">
      <c r="A1332" s="167"/>
      <c r="B1332" s="167"/>
    </row>
    <row r="1333" spans="1:2" x14ac:dyDescent="0.25">
      <c r="A1333" s="167"/>
      <c r="B1333" s="167"/>
    </row>
    <row r="1334" spans="1:2" x14ac:dyDescent="0.25">
      <c r="A1334" s="167"/>
      <c r="B1334" s="167"/>
    </row>
    <row r="1335" spans="1:2" x14ac:dyDescent="0.25">
      <c r="A1335" s="167"/>
      <c r="B1335" s="167"/>
    </row>
    <row r="1336" spans="1:2" x14ac:dyDescent="0.25">
      <c r="A1336" s="167"/>
      <c r="B1336" s="167"/>
    </row>
    <row r="1337" spans="1:2" x14ac:dyDescent="0.25">
      <c r="A1337" s="167"/>
      <c r="B1337" s="167"/>
    </row>
    <row r="1338" spans="1:2" x14ac:dyDescent="0.25">
      <c r="A1338" s="167"/>
      <c r="B1338" s="167"/>
    </row>
    <row r="1339" spans="1:2" x14ac:dyDescent="0.25">
      <c r="A1339" s="167"/>
      <c r="B1339" s="167"/>
    </row>
    <row r="1340" spans="1:2" x14ac:dyDescent="0.25">
      <c r="A1340" s="167"/>
      <c r="B1340" s="167"/>
    </row>
    <row r="1341" spans="1:2" x14ac:dyDescent="0.25">
      <c r="A1341" s="167"/>
      <c r="B1341" s="167"/>
    </row>
    <row r="1342" spans="1:2" x14ac:dyDescent="0.25">
      <c r="A1342" s="167"/>
      <c r="B1342" s="167"/>
    </row>
    <row r="1343" spans="1:2" x14ac:dyDescent="0.25">
      <c r="A1343" s="167"/>
      <c r="B1343" s="167"/>
    </row>
    <row r="1344" spans="1:2" x14ac:dyDescent="0.25">
      <c r="A1344" s="167"/>
      <c r="B1344" s="167"/>
    </row>
    <row r="1345" spans="1:2" x14ac:dyDescent="0.25">
      <c r="A1345" s="167"/>
      <c r="B1345" s="167"/>
    </row>
    <row r="1346" spans="1:2" x14ac:dyDescent="0.25">
      <c r="A1346" s="167"/>
      <c r="B1346" s="167"/>
    </row>
    <row r="1347" spans="1:2" x14ac:dyDescent="0.25">
      <c r="A1347" s="167"/>
      <c r="B1347" s="167"/>
    </row>
    <row r="1348" spans="1:2" x14ac:dyDescent="0.25">
      <c r="A1348" s="167"/>
      <c r="B1348" s="167"/>
    </row>
    <row r="1349" spans="1:2" x14ac:dyDescent="0.25">
      <c r="A1349" s="167"/>
      <c r="B1349" s="167"/>
    </row>
    <row r="1350" spans="1:2" x14ac:dyDescent="0.25">
      <c r="A1350" s="167"/>
      <c r="B1350" s="167"/>
    </row>
    <row r="1351" spans="1:2" x14ac:dyDescent="0.25">
      <c r="A1351" s="167"/>
      <c r="B1351" s="167"/>
    </row>
    <row r="1352" spans="1:2" x14ac:dyDescent="0.25">
      <c r="A1352" s="167"/>
      <c r="B1352" s="167"/>
    </row>
    <row r="1353" spans="1:2" x14ac:dyDescent="0.25">
      <c r="A1353" s="167"/>
      <c r="B1353" s="167"/>
    </row>
    <row r="1354" spans="1:2" x14ac:dyDescent="0.25">
      <c r="A1354" s="167"/>
      <c r="B1354" s="167"/>
    </row>
    <row r="1355" spans="1:2" x14ac:dyDescent="0.25">
      <c r="A1355" s="167"/>
      <c r="B1355" s="167"/>
    </row>
    <row r="1356" spans="1:2" x14ac:dyDescent="0.25">
      <c r="A1356" s="167"/>
      <c r="B1356" s="167"/>
    </row>
    <row r="1357" spans="1:2" x14ac:dyDescent="0.25">
      <c r="A1357" s="167"/>
      <c r="B1357" s="167"/>
    </row>
    <row r="1358" spans="1:2" x14ac:dyDescent="0.25">
      <c r="A1358" s="167"/>
      <c r="B1358" s="167"/>
    </row>
    <row r="1359" spans="1:2" x14ac:dyDescent="0.25">
      <c r="A1359" s="167"/>
      <c r="B1359" s="167"/>
    </row>
    <row r="1360" spans="1:2" x14ac:dyDescent="0.25">
      <c r="A1360" s="167"/>
      <c r="B1360" s="167"/>
    </row>
    <row r="1361" spans="1:2" x14ac:dyDescent="0.25">
      <c r="A1361" s="167"/>
      <c r="B1361" s="167"/>
    </row>
    <row r="1362" spans="1:2" x14ac:dyDescent="0.25">
      <c r="A1362" s="167"/>
      <c r="B1362" s="167"/>
    </row>
    <row r="1363" spans="1:2" x14ac:dyDescent="0.25">
      <c r="A1363" s="167"/>
      <c r="B1363" s="167"/>
    </row>
    <row r="1364" spans="1:2" x14ac:dyDescent="0.25">
      <c r="A1364" s="167"/>
      <c r="B1364" s="167"/>
    </row>
    <row r="1365" spans="1:2" x14ac:dyDescent="0.25">
      <c r="A1365" s="167"/>
      <c r="B1365" s="167"/>
    </row>
    <row r="1366" spans="1:2" x14ac:dyDescent="0.25">
      <c r="A1366" s="167"/>
      <c r="B1366" s="167"/>
    </row>
    <row r="1367" spans="1:2" x14ac:dyDescent="0.25">
      <c r="A1367" s="167"/>
      <c r="B1367" s="167"/>
    </row>
    <row r="1368" spans="1:2" x14ac:dyDescent="0.25">
      <c r="A1368" s="167"/>
      <c r="B1368" s="167"/>
    </row>
    <row r="1369" spans="1:2" x14ac:dyDescent="0.25">
      <c r="A1369" s="167"/>
      <c r="B1369" s="167"/>
    </row>
    <row r="1370" spans="1:2" x14ac:dyDescent="0.25">
      <c r="A1370" s="167"/>
      <c r="B1370" s="167"/>
    </row>
    <row r="1371" spans="1:2" x14ac:dyDescent="0.25">
      <c r="A1371" s="167"/>
      <c r="B1371" s="167"/>
    </row>
    <row r="1372" spans="1:2" x14ac:dyDescent="0.25">
      <c r="A1372" s="167"/>
      <c r="B1372" s="167"/>
    </row>
    <row r="1373" spans="1:2" x14ac:dyDescent="0.25">
      <c r="A1373" s="167"/>
      <c r="B1373" s="167"/>
    </row>
    <row r="1374" spans="1:2" x14ac:dyDescent="0.25">
      <c r="A1374" s="167"/>
      <c r="B1374" s="167"/>
    </row>
    <row r="1375" spans="1:2" x14ac:dyDescent="0.25">
      <c r="A1375" s="167"/>
      <c r="B1375" s="167"/>
    </row>
    <row r="1376" spans="1:2" x14ac:dyDescent="0.25">
      <c r="A1376" s="167"/>
      <c r="B1376" s="167"/>
    </row>
    <row r="1377" spans="1:2" x14ac:dyDescent="0.25">
      <c r="A1377" s="167"/>
      <c r="B1377" s="167"/>
    </row>
    <row r="1378" spans="1:2" x14ac:dyDescent="0.25">
      <c r="A1378" s="167"/>
      <c r="B1378" s="167"/>
    </row>
    <row r="1379" spans="1:2" x14ac:dyDescent="0.25">
      <c r="A1379" s="167"/>
      <c r="B1379" s="167"/>
    </row>
    <row r="1380" spans="1:2" x14ac:dyDescent="0.25">
      <c r="A1380" s="167"/>
      <c r="B1380" s="167"/>
    </row>
    <row r="1381" spans="1:2" x14ac:dyDescent="0.25">
      <c r="A1381" s="167"/>
      <c r="B1381" s="167"/>
    </row>
    <row r="1382" spans="1:2" x14ac:dyDescent="0.25">
      <c r="A1382" s="167"/>
      <c r="B1382" s="167"/>
    </row>
    <row r="1383" spans="1:2" x14ac:dyDescent="0.25">
      <c r="A1383" s="167"/>
      <c r="B1383" s="167"/>
    </row>
    <row r="1384" spans="1:2" x14ac:dyDescent="0.25">
      <c r="A1384" s="167"/>
      <c r="B1384" s="167"/>
    </row>
    <row r="1385" spans="1:2" x14ac:dyDescent="0.25">
      <c r="A1385" s="167"/>
      <c r="B1385" s="167"/>
    </row>
    <row r="1386" spans="1:2" x14ac:dyDescent="0.25">
      <c r="A1386" s="167"/>
      <c r="B1386" s="167"/>
    </row>
    <row r="1387" spans="1:2" x14ac:dyDescent="0.25">
      <c r="A1387" s="167"/>
      <c r="B1387" s="167"/>
    </row>
    <row r="1388" spans="1:2" x14ac:dyDescent="0.25">
      <c r="A1388" s="167"/>
      <c r="B1388" s="167"/>
    </row>
    <row r="1389" spans="1:2" x14ac:dyDescent="0.25">
      <c r="A1389" s="167"/>
      <c r="B1389" s="167"/>
    </row>
    <row r="1390" spans="1:2" x14ac:dyDescent="0.25">
      <c r="A1390" s="167"/>
      <c r="B1390" s="167"/>
    </row>
    <row r="1391" spans="1:2" x14ac:dyDescent="0.25">
      <c r="A1391" s="167"/>
      <c r="B1391" s="167"/>
    </row>
    <row r="1392" spans="1:2" x14ac:dyDescent="0.25">
      <c r="A1392" s="167"/>
      <c r="B1392" s="167"/>
    </row>
    <row r="1393" spans="1:2" x14ac:dyDescent="0.25">
      <c r="A1393" s="167"/>
      <c r="B1393" s="167"/>
    </row>
    <row r="1394" spans="1:2" x14ac:dyDescent="0.25">
      <c r="A1394" s="167"/>
      <c r="B1394" s="167"/>
    </row>
    <row r="1395" spans="1:2" x14ac:dyDescent="0.25">
      <c r="A1395" s="167"/>
      <c r="B1395" s="167"/>
    </row>
    <row r="1396" spans="1:2" x14ac:dyDescent="0.25">
      <c r="A1396" s="167"/>
      <c r="B1396" s="167"/>
    </row>
    <row r="1397" spans="1:2" x14ac:dyDescent="0.25">
      <c r="A1397" s="167"/>
      <c r="B1397" s="167"/>
    </row>
    <row r="1398" spans="1:2" x14ac:dyDescent="0.25">
      <c r="A1398" s="167"/>
      <c r="B1398" s="167"/>
    </row>
    <row r="1399" spans="1:2" x14ac:dyDescent="0.25">
      <c r="A1399" s="167"/>
      <c r="B1399" s="167"/>
    </row>
    <row r="1400" spans="1:2" x14ac:dyDescent="0.25">
      <c r="A1400" s="167"/>
      <c r="B1400" s="167"/>
    </row>
    <row r="1401" spans="1:2" x14ac:dyDescent="0.25">
      <c r="A1401" s="167"/>
      <c r="B1401" s="167"/>
    </row>
    <row r="1402" spans="1:2" x14ac:dyDescent="0.25">
      <c r="A1402" s="167"/>
      <c r="B1402" s="167"/>
    </row>
    <row r="1403" spans="1:2" x14ac:dyDescent="0.25">
      <c r="A1403" s="167"/>
      <c r="B1403" s="167"/>
    </row>
    <row r="1404" spans="1:2" x14ac:dyDescent="0.25">
      <c r="A1404" s="167"/>
      <c r="B1404" s="167"/>
    </row>
    <row r="1405" spans="1:2" x14ac:dyDescent="0.25">
      <c r="A1405" s="167"/>
      <c r="B1405" s="167"/>
    </row>
    <row r="1406" spans="1:2" x14ac:dyDescent="0.25">
      <c r="A1406" s="167"/>
      <c r="B1406" s="167"/>
    </row>
    <row r="1407" spans="1:2" x14ac:dyDescent="0.25">
      <c r="A1407" s="167"/>
      <c r="B1407" s="167"/>
    </row>
    <row r="1408" spans="1:2" x14ac:dyDescent="0.25">
      <c r="A1408" s="167"/>
      <c r="B1408" s="167"/>
    </row>
    <row r="1409" spans="1:2" x14ac:dyDescent="0.25">
      <c r="A1409" s="167"/>
      <c r="B1409" s="167"/>
    </row>
    <row r="1410" spans="1:2" x14ac:dyDescent="0.25">
      <c r="A1410" s="167"/>
      <c r="B1410" s="167"/>
    </row>
    <row r="1411" spans="1:2" x14ac:dyDescent="0.25">
      <c r="A1411" s="167"/>
      <c r="B1411" s="167"/>
    </row>
    <row r="1412" spans="1:2" x14ac:dyDescent="0.25">
      <c r="A1412" s="167"/>
      <c r="B1412" s="167"/>
    </row>
    <row r="1413" spans="1:2" x14ac:dyDescent="0.25">
      <c r="A1413" s="167"/>
      <c r="B1413" s="167"/>
    </row>
    <row r="1414" spans="1:2" x14ac:dyDescent="0.25">
      <c r="A1414" s="167"/>
      <c r="B1414" s="167"/>
    </row>
    <row r="1415" spans="1:2" x14ac:dyDescent="0.25">
      <c r="A1415" s="167"/>
      <c r="B1415" s="167"/>
    </row>
    <row r="1416" spans="1:2" x14ac:dyDescent="0.25">
      <c r="A1416" s="167"/>
      <c r="B1416" s="167"/>
    </row>
    <row r="1417" spans="1:2" x14ac:dyDescent="0.25">
      <c r="A1417" s="167"/>
      <c r="B1417" s="167"/>
    </row>
    <row r="1418" spans="1:2" x14ac:dyDescent="0.25">
      <c r="A1418" s="167"/>
      <c r="B1418" s="167"/>
    </row>
    <row r="1419" spans="1:2" x14ac:dyDescent="0.25">
      <c r="A1419" s="167"/>
      <c r="B1419" s="167"/>
    </row>
    <row r="1420" spans="1:2" x14ac:dyDescent="0.25">
      <c r="A1420" s="167"/>
      <c r="B1420" s="167"/>
    </row>
    <row r="1421" spans="1:2" x14ac:dyDescent="0.25">
      <c r="A1421" s="167"/>
      <c r="B1421" s="167"/>
    </row>
    <row r="1422" spans="1:2" x14ac:dyDescent="0.25">
      <c r="A1422" s="167"/>
      <c r="B1422" s="167"/>
    </row>
    <row r="1423" spans="1:2" x14ac:dyDescent="0.25">
      <c r="A1423" s="167"/>
      <c r="B1423" s="167"/>
    </row>
    <row r="1424" spans="1:2" x14ac:dyDescent="0.25">
      <c r="A1424" s="167"/>
      <c r="B1424" s="167"/>
    </row>
    <row r="1425" spans="1:2" x14ac:dyDescent="0.25">
      <c r="A1425" s="167"/>
      <c r="B1425" s="167"/>
    </row>
    <row r="1426" spans="1:2" x14ac:dyDescent="0.25">
      <c r="A1426" s="167"/>
      <c r="B1426" s="167"/>
    </row>
    <row r="1427" spans="1:2" x14ac:dyDescent="0.25">
      <c r="A1427" s="167"/>
      <c r="B1427" s="167"/>
    </row>
    <row r="1428" spans="1:2" x14ac:dyDescent="0.25">
      <c r="A1428" s="167"/>
      <c r="B1428" s="167"/>
    </row>
    <row r="1429" spans="1:2" x14ac:dyDescent="0.25">
      <c r="A1429" s="167"/>
      <c r="B1429" s="167"/>
    </row>
    <row r="1430" spans="1:2" x14ac:dyDescent="0.25">
      <c r="A1430" s="167"/>
      <c r="B1430" s="167"/>
    </row>
    <row r="1431" spans="1:2" x14ac:dyDescent="0.25">
      <c r="A1431" s="167"/>
      <c r="B1431" s="167"/>
    </row>
    <row r="1432" spans="1:2" x14ac:dyDescent="0.25">
      <c r="A1432" s="167"/>
      <c r="B1432" s="167"/>
    </row>
    <row r="1433" spans="1:2" x14ac:dyDescent="0.25">
      <c r="A1433" s="167"/>
      <c r="B1433" s="167"/>
    </row>
    <row r="1434" spans="1:2" x14ac:dyDescent="0.25">
      <c r="A1434" s="167"/>
      <c r="B1434" s="167"/>
    </row>
    <row r="1435" spans="1:2" x14ac:dyDescent="0.25">
      <c r="A1435" s="167"/>
      <c r="B1435" s="167"/>
    </row>
    <row r="1436" spans="1:2" x14ac:dyDescent="0.25">
      <c r="A1436" s="167"/>
      <c r="B1436" s="167"/>
    </row>
    <row r="1437" spans="1:2" x14ac:dyDescent="0.25">
      <c r="A1437" s="167"/>
      <c r="B1437" s="167"/>
    </row>
    <row r="1438" spans="1:2" x14ac:dyDescent="0.25">
      <c r="A1438" s="167"/>
      <c r="B1438" s="167"/>
    </row>
    <row r="1439" spans="1:2" x14ac:dyDescent="0.25">
      <c r="A1439" s="167"/>
      <c r="B1439" s="167"/>
    </row>
    <row r="1440" spans="1:2" x14ac:dyDescent="0.25">
      <c r="A1440" s="167"/>
      <c r="B1440" s="167"/>
    </row>
    <row r="1441" spans="1:2" x14ac:dyDescent="0.25">
      <c r="A1441" s="167"/>
      <c r="B1441" s="167"/>
    </row>
    <row r="1442" spans="1:2" x14ac:dyDescent="0.25">
      <c r="A1442" s="167"/>
      <c r="B1442" s="167"/>
    </row>
    <row r="1443" spans="1:2" x14ac:dyDescent="0.25">
      <c r="A1443" s="167"/>
      <c r="B1443" s="167"/>
    </row>
    <row r="1444" spans="1:2" x14ac:dyDescent="0.25">
      <c r="A1444" s="167"/>
      <c r="B1444" s="167"/>
    </row>
    <row r="1445" spans="1:2" x14ac:dyDescent="0.25">
      <c r="A1445" s="167"/>
      <c r="B1445" s="167"/>
    </row>
    <row r="1446" spans="1:2" x14ac:dyDescent="0.25">
      <c r="A1446" s="167"/>
      <c r="B1446" s="167"/>
    </row>
    <row r="1447" spans="1:2" x14ac:dyDescent="0.25">
      <c r="A1447" s="167"/>
      <c r="B1447" s="167"/>
    </row>
    <row r="1448" spans="1:2" x14ac:dyDescent="0.25">
      <c r="A1448" s="167"/>
      <c r="B1448" s="167"/>
    </row>
    <row r="1449" spans="1:2" x14ac:dyDescent="0.25">
      <c r="A1449" s="167"/>
      <c r="B1449" s="167"/>
    </row>
    <row r="1450" spans="1:2" x14ac:dyDescent="0.25">
      <c r="A1450" s="167"/>
      <c r="B1450" s="167"/>
    </row>
    <row r="1451" spans="1:2" x14ac:dyDescent="0.25">
      <c r="A1451" s="167"/>
      <c r="B1451" s="167"/>
    </row>
    <row r="1452" spans="1:2" x14ac:dyDescent="0.25">
      <c r="A1452" s="167"/>
      <c r="B1452" s="167"/>
    </row>
    <row r="1453" spans="1:2" x14ac:dyDescent="0.25">
      <c r="A1453" s="167"/>
      <c r="B1453" s="167"/>
    </row>
    <row r="1454" spans="1:2" x14ac:dyDescent="0.25">
      <c r="A1454" s="167"/>
      <c r="B1454" s="167"/>
    </row>
    <row r="1455" spans="1:2" x14ac:dyDescent="0.25">
      <c r="A1455" s="167"/>
      <c r="B1455" s="167"/>
    </row>
    <row r="1456" spans="1:2" x14ac:dyDescent="0.25">
      <c r="A1456" s="167"/>
      <c r="B1456" s="167"/>
    </row>
    <row r="1457" spans="1:2" x14ac:dyDescent="0.25">
      <c r="A1457" s="167"/>
      <c r="B1457" s="167"/>
    </row>
    <row r="1458" spans="1:2" x14ac:dyDescent="0.25">
      <c r="A1458" s="167"/>
      <c r="B1458" s="167"/>
    </row>
    <row r="1459" spans="1:2" x14ac:dyDescent="0.25">
      <c r="A1459" s="167"/>
      <c r="B1459" s="167"/>
    </row>
    <row r="1460" spans="1:2" x14ac:dyDescent="0.25">
      <c r="A1460" s="167"/>
      <c r="B1460" s="167"/>
    </row>
    <row r="1461" spans="1:2" x14ac:dyDescent="0.25">
      <c r="A1461" s="167"/>
      <c r="B1461" s="167"/>
    </row>
    <row r="1462" spans="1:2" x14ac:dyDescent="0.25">
      <c r="A1462" s="167"/>
      <c r="B1462" s="167"/>
    </row>
    <row r="1463" spans="1:2" x14ac:dyDescent="0.25">
      <c r="A1463" s="167"/>
      <c r="B1463" s="167"/>
    </row>
    <row r="1464" spans="1:2" x14ac:dyDescent="0.25">
      <c r="A1464" s="167"/>
      <c r="B1464" s="167"/>
    </row>
    <row r="1465" spans="1:2" x14ac:dyDescent="0.25">
      <c r="A1465" s="167"/>
      <c r="B1465" s="167"/>
    </row>
    <row r="1466" spans="1:2" x14ac:dyDescent="0.25">
      <c r="A1466" s="167"/>
      <c r="B1466" s="167"/>
    </row>
    <row r="1467" spans="1:2" x14ac:dyDescent="0.25">
      <c r="A1467" s="167"/>
      <c r="B1467" s="167"/>
    </row>
    <row r="1468" spans="1:2" x14ac:dyDescent="0.25">
      <c r="A1468" s="167"/>
      <c r="B1468" s="167"/>
    </row>
    <row r="1469" spans="1:2" x14ac:dyDescent="0.25">
      <c r="A1469" s="167"/>
      <c r="B1469" s="167"/>
    </row>
    <row r="1470" spans="1:2" x14ac:dyDescent="0.25">
      <c r="A1470" s="167"/>
      <c r="B1470" s="167"/>
    </row>
    <row r="1471" spans="1:2" x14ac:dyDescent="0.25">
      <c r="A1471" s="167"/>
      <c r="B1471" s="167"/>
    </row>
    <row r="1472" spans="1:2" x14ac:dyDescent="0.25">
      <c r="A1472" s="167"/>
      <c r="B1472" s="167"/>
    </row>
    <row r="1473" spans="1:2" x14ac:dyDescent="0.25">
      <c r="A1473" s="167"/>
      <c r="B1473" s="167"/>
    </row>
    <row r="1474" spans="1:2" x14ac:dyDescent="0.25">
      <c r="A1474" s="167"/>
      <c r="B1474" s="167"/>
    </row>
    <row r="1475" spans="1:2" x14ac:dyDescent="0.25">
      <c r="A1475" s="167"/>
      <c r="B1475" s="167"/>
    </row>
    <row r="1476" spans="1:2" x14ac:dyDescent="0.25">
      <c r="A1476" s="167"/>
      <c r="B1476" s="167"/>
    </row>
    <row r="1477" spans="1:2" x14ac:dyDescent="0.25">
      <c r="A1477" s="167"/>
      <c r="B1477" s="167"/>
    </row>
    <row r="1478" spans="1:2" x14ac:dyDescent="0.25">
      <c r="A1478" s="167"/>
      <c r="B1478" s="167"/>
    </row>
    <row r="1479" spans="1:2" x14ac:dyDescent="0.25">
      <c r="A1479" s="167"/>
      <c r="B1479" s="167"/>
    </row>
    <row r="1480" spans="1:2" x14ac:dyDescent="0.25">
      <c r="A1480" s="167"/>
      <c r="B1480" s="167"/>
    </row>
    <row r="1481" spans="1:2" x14ac:dyDescent="0.25">
      <c r="A1481" s="167"/>
      <c r="B1481" s="167"/>
    </row>
    <row r="1482" spans="1:2" x14ac:dyDescent="0.25">
      <c r="A1482" s="167"/>
      <c r="B1482" s="167"/>
    </row>
    <row r="1483" spans="1:2" x14ac:dyDescent="0.25">
      <c r="A1483" s="167"/>
      <c r="B1483" s="167"/>
    </row>
    <row r="1484" spans="1:2" x14ac:dyDescent="0.25">
      <c r="A1484" s="167"/>
      <c r="B1484" s="167"/>
    </row>
    <row r="1485" spans="1:2" x14ac:dyDescent="0.25">
      <c r="A1485" s="167"/>
      <c r="B1485" s="167"/>
    </row>
    <row r="1486" spans="1:2" x14ac:dyDescent="0.25">
      <c r="A1486" s="167"/>
      <c r="B1486" s="167"/>
    </row>
    <row r="1487" spans="1:2" x14ac:dyDescent="0.25">
      <c r="A1487" s="167"/>
      <c r="B1487" s="167"/>
    </row>
    <row r="1488" spans="1:2" x14ac:dyDescent="0.25">
      <c r="A1488" s="167"/>
      <c r="B1488" s="167"/>
    </row>
    <row r="1489" spans="1:2" x14ac:dyDescent="0.25">
      <c r="A1489" s="167"/>
      <c r="B1489" s="167"/>
    </row>
    <row r="1490" spans="1:2" x14ac:dyDescent="0.25">
      <c r="A1490" s="167"/>
      <c r="B1490" s="167"/>
    </row>
    <row r="1491" spans="1:2" x14ac:dyDescent="0.25">
      <c r="A1491" s="167"/>
      <c r="B1491" s="167"/>
    </row>
    <row r="1492" spans="1:2" x14ac:dyDescent="0.25">
      <c r="A1492" s="167"/>
      <c r="B1492" s="167"/>
    </row>
    <row r="1493" spans="1:2" x14ac:dyDescent="0.25">
      <c r="A1493" s="167"/>
      <c r="B1493" s="167"/>
    </row>
    <row r="1494" spans="1:2" x14ac:dyDescent="0.25">
      <c r="A1494" s="167"/>
      <c r="B1494" s="167"/>
    </row>
    <row r="1495" spans="1:2" x14ac:dyDescent="0.25">
      <c r="A1495" s="167"/>
      <c r="B1495" s="167"/>
    </row>
    <row r="1496" spans="1:2" x14ac:dyDescent="0.25">
      <c r="A1496" s="167"/>
      <c r="B1496" s="167"/>
    </row>
    <row r="1497" spans="1:2" x14ac:dyDescent="0.25">
      <c r="A1497" s="167"/>
      <c r="B1497" s="167"/>
    </row>
    <row r="1498" spans="1:2" x14ac:dyDescent="0.25">
      <c r="A1498" s="167"/>
      <c r="B1498" s="167"/>
    </row>
    <row r="1499" spans="1:2" x14ac:dyDescent="0.25">
      <c r="A1499" s="167"/>
      <c r="B1499" s="167"/>
    </row>
    <row r="1500" spans="1:2" x14ac:dyDescent="0.25">
      <c r="A1500" s="167"/>
      <c r="B1500" s="167"/>
    </row>
    <row r="1501" spans="1:2" x14ac:dyDescent="0.25">
      <c r="A1501" s="167"/>
      <c r="B1501" s="167"/>
    </row>
    <row r="1502" spans="1:2" x14ac:dyDescent="0.25">
      <c r="A1502" s="167"/>
      <c r="B1502" s="167"/>
    </row>
    <row r="1503" spans="1:2" x14ac:dyDescent="0.25">
      <c r="A1503" s="167"/>
      <c r="B1503" s="167"/>
    </row>
    <row r="1504" spans="1:2" x14ac:dyDescent="0.25">
      <c r="A1504" s="167"/>
      <c r="B1504" s="167"/>
    </row>
    <row r="1505" spans="1:2" x14ac:dyDescent="0.25">
      <c r="A1505" s="167"/>
      <c r="B1505" s="167"/>
    </row>
    <row r="1506" spans="1:2" x14ac:dyDescent="0.25">
      <c r="A1506" s="167"/>
      <c r="B1506" s="167"/>
    </row>
    <row r="1507" spans="1:2" x14ac:dyDescent="0.25">
      <c r="A1507" s="167"/>
      <c r="B1507" s="167"/>
    </row>
    <row r="1508" spans="1:2" x14ac:dyDescent="0.25">
      <c r="A1508" s="167"/>
      <c r="B1508" s="167"/>
    </row>
    <row r="1509" spans="1:2" x14ac:dyDescent="0.25">
      <c r="A1509" s="167"/>
      <c r="B1509" s="167"/>
    </row>
    <row r="1510" spans="1:2" x14ac:dyDescent="0.25">
      <c r="A1510" s="167"/>
      <c r="B1510" s="167"/>
    </row>
    <row r="1511" spans="1:2" x14ac:dyDescent="0.25">
      <c r="A1511" s="167"/>
      <c r="B1511" s="167"/>
    </row>
    <row r="1512" spans="1:2" x14ac:dyDescent="0.25">
      <c r="A1512" s="167"/>
      <c r="B1512" s="167"/>
    </row>
    <row r="1513" spans="1:2" x14ac:dyDescent="0.25">
      <c r="A1513" s="167"/>
      <c r="B1513" s="167"/>
    </row>
    <row r="1514" spans="1:2" x14ac:dyDescent="0.25">
      <c r="A1514" s="167"/>
      <c r="B1514" s="167"/>
    </row>
    <row r="1515" spans="1:2" x14ac:dyDescent="0.25">
      <c r="A1515" s="167"/>
      <c r="B1515" s="167"/>
    </row>
    <row r="1516" spans="1:2" x14ac:dyDescent="0.25">
      <c r="A1516" s="167"/>
      <c r="B1516" s="167"/>
    </row>
    <row r="1517" spans="1:2" x14ac:dyDescent="0.25">
      <c r="A1517" s="167"/>
      <c r="B1517" s="167"/>
    </row>
    <row r="1518" spans="1:2" x14ac:dyDescent="0.25">
      <c r="A1518" s="167"/>
      <c r="B1518" s="167"/>
    </row>
    <row r="1519" spans="1:2" x14ac:dyDescent="0.25">
      <c r="A1519" s="167"/>
      <c r="B1519" s="167"/>
    </row>
    <row r="1520" spans="1:2" x14ac:dyDescent="0.25">
      <c r="A1520" s="167"/>
      <c r="B1520" s="167"/>
    </row>
    <row r="1521" spans="1:2" x14ac:dyDescent="0.25">
      <c r="A1521" s="167"/>
      <c r="B1521" s="167"/>
    </row>
    <row r="1522" spans="1:2" x14ac:dyDescent="0.25">
      <c r="A1522" s="167"/>
      <c r="B1522" s="167"/>
    </row>
    <row r="1523" spans="1:2" x14ac:dyDescent="0.25">
      <c r="A1523" s="167"/>
      <c r="B1523" s="167"/>
    </row>
    <row r="1524" spans="1:2" x14ac:dyDescent="0.25">
      <c r="A1524" s="167"/>
      <c r="B1524" s="167"/>
    </row>
    <row r="1525" spans="1:2" x14ac:dyDescent="0.25">
      <c r="A1525" s="167"/>
      <c r="B1525" s="167"/>
    </row>
    <row r="1526" spans="1:2" x14ac:dyDescent="0.25">
      <c r="A1526" s="167"/>
      <c r="B1526" s="167"/>
    </row>
    <row r="1527" spans="1:2" x14ac:dyDescent="0.25">
      <c r="A1527" s="167"/>
      <c r="B1527" s="167"/>
    </row>
    <row r="1528" spans="1:2" x14ac:dyDescent="0.25">
      <c r="A1528" s="167"/>
      <c r="B1528" s="167"/>
    </row>
    <row r="1529" spans="1:2" x14ac:dyDescent="0.25">
      <c r="A1529" s="167"/>
      <c r="B1529" s="167"/>
    </row>
    <row r="1530" spans="1:2" x14ac:dyDescent="0.25">
      <c r="A1530" s="167"/>
      <c r="B1530" s="167"/>
    </row>
    <row r="1531" spans="1:2" x14ac:dyDescent="0.25">
      <c r="A1531" s="167"/>
      <c r="B1531" s="167"/>
    </row>
    <row r="1532" spans="1:2" x14ac:dyDescent="0.25">
      <c r="A1532" s="167"/>
      <c r="B1532" s="167"/>
    </row>
    <row r="1533" spans="1:2" x14ac:dyDescent="0.25">
      <c r="A1533" s="167"/>
      <c r="B1533" s="167"/>
    </row>
    <row r="1534" spans="1:2" x14ac:dyDescent="0.25">
      <c r="A1534" s="167"/>
      <c r="B1534" s="167"/>
    </row>
    <row r="1535" spans="1:2" x14ac:dyDescent="0.25">
      <c r="A1535" s="167"/>
      <c r="B1535" s="167"/>
    </row>
    <row r="1536" spans="1:2" x14ac:dyDescent="0.25">
      <c r="A1536" s="167"/>
      <c r="B1536" s="167"/>
    </row>
    <row r="1537" spans="1:2" x14ac:dyDescent="0.25">
      <c r="A1537" s="167"/>
      <c r="B1537" s="167"/>
    </row>
    <row r="1538" spans="1:2" x14ac:dyDescent="0.25">
      <c r="A1538" s="167"/>
      <c r="B1538" s="167"/>
    </row>
    <row r="1539" spans="1:2" x14ac:dyDescent="0.25">
      <c r="A1539" s="167"/>
      <c r="B1539" s="167"/>
    </row>
    <row r="1540" spans="1:2" x14ac:dyDescent="0.25">
      <c r="A1540" s="167"/>
      <c r="B1540" s="167"/>
    </row>
    <row r="1541" spans="1:2" x14ac:dyDescent="0.25">
      <c r="A1541" s="167"/>
      <c r="B1541" s="167"/>
    </row>
    <row r="1542" spans="1:2" x14ac:dyDescent="0.25">
      <c r="A1542" s="167"/>
      <c r="B1542" s="167"/>
    </row>
    <row r="1543" spans="1:2" x14ac:dyDescent="0.25">
      <c r="A1543" s="167"/>
      <c r="B1543" s="167"/>
    </row>
    <row r="1544" spans="1:2" x14ac:dyDescent="0.25">
      <c r="A1544" s="167"/>
      <c r="B1544" s="167"/>
    </row>
    <row r="1545" spans="1:2" x14ac:dyDescent="0.25">
      <c r="A1545" s="167"/>
      <c r="B1545" s="167"/>
    </row>
    <row r="1546" spans="1:2" x14ac:dyDescent="0.25">
      <c r="A1546" s="167"/>
      <c r="B1546" s="167"/>
    </row>
    <row r="1547" spans="1:2" x14ac:dyDescent="0.25">
      <c r="A1547" s="167"/>
      <c r="B1547" s="167"/>
    </row>
    <row r="1548" spans="1:2" x14ac:dyDescent="0.25">
      <c r="A1548" s="167"/>
      <c r="B1548" s="167"/>
    </row>
    <row r="1549" spans="1:2" x14ac:dyDescent="0.25">
      <c r="A1549" s="167"/>
      <c r="B1549" s="167"/>
    </row>
    <row r="1550" spans="1:2" x14ac:dyDescent="0.25">
      <c r="A1550" s="167"/>
      <c r="B1550" s="167"/>
    </row>
    <row r="1551" spans="1:2" x14ac:dyDescent="0.25">
      <c r="A1551" s="167"/>
      <c r="B1551" s="167"/>
    </row>
    <row r="1552" spans="1:2" x14ac:dyDescent="0.25">
      <c r="A1552" s="167"/>
      <c r="B1552" s="167"/>
    </row>
    <row r="1553" spans="1:2" x14ac:dyDescent="0.25">
      <c r="A1553" s="167"/>
      <c r="B1553" s="167"/>
    </row>
    <row r="1554" spans="1:2" x14ac:dyDescent="0.25">
      <c r="A1554" s="167"/>
      <c r="B1554" s="167"/>
    </row>
    <row r="1555" spans="1:2" x14ac:dyDescent="0.25">
      <c r="A1555" s="167"/>
      <c r="B1555" s="167"/>
    </row>
    <row r="1556" spans="1:2" x14ac:dyDescent="0.25">
      <c r="A1556" s="167"/>
      <c r="B1556" s="167"/>
    </row>
    <row r="1557" spans="1:2" x14ac:dyDescent="0.25">
      <c r="A1557" s="167"/>
      <c r="B1557" s="167"/>
    </row>
    <row r="1558" spans="1:2" x14ac:dyDescent="0.25">
      <c r="A1558" s="167"/>
      <c r="B1558" s="167"/>
    </row>
    <row r="1559" spans="1:2" x14ac:dyDescent="0.25">
      <c r="A1559" s="167"/>
      <c r="B1559" s="167"/>
    </row>
    <row r="1560" spans="1:2" x14ac:dyDescent="0.25">
      <c r="A1560" s="167"/>
      <c r="B1560" s="167"/>
    </row>
    <row r="1561" spans="1:2" x14ac:dyDescent="0.25">
      <c r="A1561" s="167"/>
      <c r="B1561" s="167"/>
    </row>
    <row r="1562" spans="1:2" x14ac:dyDescent="0.25">
      <c r="A1562" s="167"/>
      <c r="B1562" s="167"/>
    </row>
    <row r="1563" spans="1:2" x14ac:dyDescent="0.25">
      <c r="A1563" s="167"/>
      <c r="B1563" s="167"/>
    </row>
    <row r="1564" spans="1:2" x14ac:dyDescent="0.25">
      <c r="A1564" s="167"/>
      <c r="B1564" s="167"/>
    </row>
    <row r="1565" spans="1:2" x14ac:dyDescent="0.25">
      <c r="A1565" s="167"/>
      <c r="B1565" s="167"/>
    </row>
    <row r="1566" spans="1:2" x14ac:dyDescent="0.25">
      <c r="A1566" s="167"/>
      <c r="B1566" s="167"/>
    </row>
    <row r="1567" spans="1:2" x14ac:dyDescent="0.25">
      <c r="A1567" s="167"/>
      <c r="B1567" s="167"/>
    </row>
    <row r="1568" spans="1:2" x14ac:dyDescent="0.25">
      <c r="A1568" s="167"/>
      <c r="B1568" s="167"/>
    </row>
    <row r="1569" spans="1:2" x14ac:dyDescent="0.25">
      <c r="A1569" s="167"/>
      <c r="B1569" s="167"/>
    </row>
    <row r="1570" spans="1:2" x14ac:dyDescent="0.25">
      <c r="A1570" s="167"/>
      <c r="B1570" s="167"/>
    </row>
    <row r="1571" spans="1:2" x14ac:dyDescent="0.25">
      <c r="A1571" s="167"/>
      <c r="B1571" s="167"/>
    </row>
    <row r="1572" spans="1:2" x14ac:dyDescent="0.25">
      <c r="A1572" s="167"/>
      <c r="B1572" s="167"/>
    </row>
    <row r="1573" spans="1:2" x14ac:dyDescent="0.25">
      <c r="A1573" s="167"/>
      <c r="B1573" s="167"/>
    </row>
    <row r="1574" spans="1:2" x14ac:dyDescent="0.25">
      <c r="A1574" s="167"/>
      <c r="B1574" s="167"/>
    </row>
    <row r="1575" spans="1:2" x14ac:dyDescent="0.25">
      <c r="A1575" s="167"/>
      <c r="B1575" s="167"/>
    </row>
    <row r="1576" spans="1:2" x14ac:dyDescent="0.25">
      <c r="A1576" s="167"/>
      <c r="B1576" s="167"/>
    </row>
    <row r="1577" spans="1:2" x14ac:dyDescent="0.25">
      <c r="A1577" s="167"/>
      <c r="B1577" s="167"/>
    </row>
    <row r="1578" spans="1:2" x14ac:dyDescent="0.25">
      <c r="A1578" s="167"/>
      <c r="B1578" s="167"/>
    </row>
    <row r="1579" spans="1:2" x14ac:dyDescent="0.25">
      <c r="A1579" s="167"/>
      <c r="B1579" s="167"/>
    </row>
    <row r="1580" spans="1:2" x14ac:dyDescent="0.25">
      <c r="A1580" s="167"/>
      <c r="B1580" s="167"/>
    </row>
    <row r="1581" spans="1:2" x14ac:dyDescent="0.25">
      <c r="A1581" s="167"/>
      <c r="B1581" s="167"/>
    </row>
    <row r="1582" spans="1:2" x14ac:dyDescent="0.25">
      <c r="A1582" s="167"/>
      <c r="B1582" s="167"/>
    </row>
    <row r="1583" spans="1:2" x14ac:dyDescent="0.25">
      <c r="A1583" s="167"/>
      <c r="B1583" s="167"/>
    </row>
    <row r="1584" spans="1:2" x14ac:dyDescent="0.25">
      <c r="A1584" s="167"/>
      <c r="B1584" s="167"/>
    </row>
    <row r="1585" spans="1:2" x14ac:dyDescent="0.25">
      <c r="A1585" s="167"/>
      <c r="B1585" s="167"/>
    </row>
    <row r="1586" spans="1:2" x14ac:dyDescent="0.25">
      <c r="A1586" s="167"/>
      <c r="B1586" s="167"/>
    </row>
    <row r="1587" spans="1:2" x14ac:dyDescent="0.25">
      <c r="A1587" s="167"/>
      <c r="B1587" s="167"/>
    </row>
    <row r="1588" spans="1:2" x14ac:dyDescent="0.25">
      <c r="A1588" s="167"/>
      <c r="B1588" s="167"/>
    </row>
    <row r="1589" spans="1:2" x14ac:dyDescent="0.25">
      <c r="A1589" s="167"/>
      <c r="B1589" s="167"/>
    </row>
    <row r="1590" spans="1:2" x14ac:dyDescent="0.25">
      <c r="A1590" s="167"/>
      <c r="B1590" s="167"/>
    </row>
    <row r="1591" spans="1:2" x14ac:dyDescent="0.25">
      <c r="A1591" s="167"/>
      <c r="B1591" s="167"/>
    </row>
    <row r="1592" spans="1:2" x14ac:dyDescent="0.25">
      <c r="A1592" s="167"/>
      <c r="B1592" s="167"/>
    </row>
    <row r="1593" spans="1:2" x14ac:dyDescent="0.25">
      <c r="A1593" s="167"/>
      <c r="B1593" s="167"/>
    </row>
    <row r="1594" spans="1:2" x14ac:dyDescent="0.25">
      <c r="A1594" s="167"/>
      <c r="B1594" s="167"/>
    </row>
    <row r="1595" spans="1:2" x14ac:dyDescent="0.25">
      <c r="A1595" s="167"/>
      <c r="B1595" s="167"/>
    </row>
    <row r="1596" spans="1:2" x14ac:dyDescent="0.25">
      <c r="A1596" s="167"/>
      <c r="B1596" s="167"/>
    </row>
    <row r="1597" spans="1:2" x14ac:dyDescent="0.25">
      <c r="A1597" s="167"/>
      <c r="B1597" s="167"/>
    </row>
    <row r="1598" spans="1:2" x14ac:dyDescent="0.25">
      <c r="A1598" s="167"/>
      <c r="B1598" s="167"/>
    </row>
    <row r="1599" spans="1:2" x14ac:dyDescent="0.25">
      <c r="A1599" s="167"/>
      <c r="B1599" s="167"/>
    </row>
    <row r="1600" spans="1:2" x14ac:dyDescent="0.25">
      <c r="A1600" s="167"/>
      <c r="B1600" s="167"/>
    </row>
    <row r="1601" spans="1:2" x14ac:dyDescent="0.25">
      <c r="A1601" s="167"/>
      <c r="B1601" s="167"/>
    </row>
    <row r="1602" spans="1:2" x14ac:dyDescent="0.25">
      <c r="A1602" s="167"/>
      <c r="B1602" s="167"/>
    </row>
    <row r="1603" spans="1:2" x14ac:dyDescent="0.25">
      <c r="A1603" s="167"/>
      <c r="B1603" s="167"/>
    </row>
    <row r="1604" spans="1:2" x14ac:dyDescent="0.25">
      <c r="A1604" s="167"/>
      <c r="B1604" s="167"/>
    </row>
    <row r="1605" spans="1:2" x14ac:dyDescent="0.25">
      <c r="A1605" s="167"/>
      <c r="B1605" s="167"/>
    </row>
    <row r="1606" spans="1:2" x14ac:dyDescent="0.25">
      <c r="A1606" s="167"/>
      <c r="B1606" s="167"/>
    </row>
    <row r="1607" spans="1:2" x14ac:dyDescent="0.25">
      <c r="A1607" s="167"/>
      <c r="B1607" s="167"/>
    </row>
    <row r="1608" spans="1:2" x14ac:dyDescent="0.25">
      <c r="A1608" s="167"/>
      <c r="B1608" s="167"/>
    </row>
    <row r="1609" spans="1:2" x14ac:dyDescent="0.25">
      <c r="A1609" s="167"/>
      <c r="B1609" s="167"/>
    </row>
    <row r="1610" spans="1:2" x14ac:dyDescent="0.25">
      <c r="A1610" s="167"/>
      <c r="B1610" s="167"/>
    </row>
    <row r="1611" spans="1:2" x14ac:dyDescent="0.25">
      <c r="A1611" s="167"/>
      <c r="B1611" s="167"/>
    </row>
    <row r="1612" spans="1:2" x14ac:dyDescent="0.25">
      <c r="A1612" s="167"/>
      <c r="B1612" s="167"/>
    </row>
    <row r="1613" spans="1:2" x14ac:dyDescent="0.25">
      <c r="A1613" s="167"/>
      <c r="B1613" s="167"/>
    </row>
    <row r="1614" spans="1:2" x14ac:dyDescent="0.25">
      <c r="A1614" s="167"/>
      <c r="B1614" s="167"/>
    </row>
    <row r="1615" spans="1:2" x14ac:dyDescent="0.25">
      <c r="A1615" s="167"/>
      <c r="B1615" s="167"/>
    </row>
    <row r="1616" spans="1:2" x14ac:dyDescent="0.25">
      <c r="A1616" s="167"/>
      <c r="B1616" s="167"/>
    </row>
    <row r="1617" spans="1:2" x14ac:dyDescent="0.25">
      <c r="A1617" s="167"/>
      <c r="B1617" s="167"/>
    </row>
    <row r="1618" spans="1:2" x14ac:dyDescent="0.25">
      <c r="A1618" s="167"/>
      <c r="B1618" s="167"/>
    </row>
    <row r="1619" spans="1:2" x14ac:dyDescent="0.25">
      <c r="A1619" s="167"/>
      <c r="B1619" s="167"/>
    </row>
    <row r="1620" spans="1:2" x14ac:dyDescent="0.25">
      <c r="A1620" s="167"/>
      <c r="B1620" s="167"/>
    </row>
    <row r="1621" spans="1:2" x14ac:dyDescent="0.25">
      <c r="A1621" s="167"/>
      <c r="B1621" s="167"/>
    </row>
    <row r="1622" spans="1:2" x14ac:dyDescent="0.25">
      <c r="A1622" s="167"/>
      <c r="B1622" s="167"/>
    </row>
    <row r="1623" spans="1:2" x14ac:dyDescent="0.25">
      <c r="A1623" s="167"/>
      <c r="B1623" s="167"/>
    </row>
    <row r="1624" spans="1:2" x14ac:dyDescent="0.25">
      <c r="A1624" s="167"/>
      <c r="B1624" s="167"/>
    </row>
    <row r="1625" spans="1:2" x14ac:dyDescent="0.25">
      <c r="A1625" s="167"/>
      <c r="B1625" s="167"/>
    </row>
    <row r="1626" spans="1:2" x14ac:dyDescent="0.25">
      <c r="A1626" s="167"/>
      <c r="B1626" s="167"/>
    </row>
    <row r="1627" spans="1:2" x14ac:dyDescent="0.25">
      <c r="A1627" s="167"/>
      <c r="B1627" s="167"/>
    </row>
    <row r="1628" spans="1:2" x14ac:dyDescent="0.25">
      <c r="A1628" s="167"/>
      <c r="B1628" s="167"/>
    </row>
    <row r="1629" spans="1:2" x14ac:dyDescent="0.25">
      <c r="A1629" s="167"/>
      <c r="B1629" s="167"/>
    </row>
    <row r="1630" spans="1:2" x14ac:dyDescent="0.25">
      <c r="A1630" s="167"/>
      <c r="B1630" s="167"/>
    </row>
    <row r="1631" spans="1:2" x14ac:dyDescent="0.25">
      <c r="A1631" s="167"/>
      <c r="B1631" s="167"/>
    </row>
    <row r="1632" spans="1:2" x14ac:dyDescent="0.25">
      <c r="A1632" s="167"/>
      <c r="B1632" s="167"/>
    </row>
    <row r="1633" spans="1:2" x14ac:dyDescent="0.25">
      <c r="A1633" s="167"/>
      <c r="B1633" s="167"/>
    </row>
    <row r="1634" spans="1:2" x14ac:dyDescent="0.25">
      <c r="A1634" s="167"/>
      <c r="B1634" s="167"/>
    </row>
    <row r="1635" spans="1:2" x14ac:dyDescent="0.25">
      <c r="A1635" s="167"/>
      <c r="B1635" s="167"/>
    </row>
    <row r="1636" spans="1:2" x14ac:dyDescent="0.25">
      <c r="A1636" s="167"/>
      <c r="B1636" s="167"/>
    </row>
    <row r="1637" spans="1:2" x14ac:dyDescent="0.25">
      <c r="A1637" s="167"/>
      <c r="B1637" s="167"/>
    </row>
    <row r="1638" spans="1:2" x14ac:dyDescent="0.25">
      <c r="A1638" s="167"/>
      <c r="B1638" s="167"/>
    </row>
    <row r="1639" spans="1:2" x14ac:dyDescent="0.25">
      <c r="A1639" s="167"/>
      <c r="B1639" s="167"/>
    </row>
    <row r="1640" spans="1:2" x14ac:dyDescent="0.25">
      <c r="A1640" s="167"/>
      <c r="B1640" s="167"/>
    </row>
    <row r="1641" spans="1:2" x14ac:dyDescent="0.25">
      <c r="A1641" s="167"/>
      <c r="B1641" s="167"/>
    </row>
    <row r="1642" spans="1:2" x14ac:dyDescent="0.25">
      <c r="A1642" s="167"/>
      <c r="B1642" s="167"/>
    </row>
    <row r="1643" spans="1:2" x14ac:dyDescent="0.25">
      <c r="A1643" s="167"/>
      <c r="B1643" s="167"/>
    </row>
    <row r="1644" spans="1:2" x14ac:dyDescent="0.25">
      <c r="A1644" s="167"/>
      <c r="B1644" s="167"/>
    </row>
    <row r="1645" spans="1:2" x14ac:dyDescent="0.25">
      <c r="A1645" s="167"/>
      <c r="B1645" s="167"/>
    </row>
    <row r="1646" spans="1:2" x14ac:dyDescent="0.25">
      <c r="A1646" s="167"/>
      <c r="B1646" s="167"/>
    </row>
    <row r="1647" spans="1:2" x14ac:dyDescent="0.25">
      <c r="A1647" s="167"/>
      <c r="B1647" s="167"/>
    </row>
    <row r="1648" spans="1:2" x14ac:dyDescent="0.25">
      <c r="A1648" s="167"/>
      <c r="B1648" s="167"/>
    </row>
    <row r="1649" spans="1:2" x14ac:dyDescent="0.25">
      <c r="A1649" s="167"/>
      <c r="B1649" s="167"/>
    </row>
    <row r="1650" spans="1:2" x14ac:dyDescent="0.25">
      <c r="A1650" s="167"/>
      <c r="B1650" s="167"/>
    </row>
    <row r="1651" spans="1:2" x14ac:dyDescent="0.25">
      <c r="A1651" s="167"/>
      <c r="B1651" s="167"/>
    </row>
    <row r="1652" spans="1:2" x14ac:dyDescent="0.25">
      <c r="A1652" s="167"/>
      <c r="B1652" s="167"/>
    </row>
    <row r="1653" spans="1:2" x14ac:dyDescent="0.25">
      <c r="A1653" s="167"/>
      <c r="B1653" s="167"/>
    </row>
    <row r="1654" spans="1:2" x14ac:dyDescent="0.25">
      <c r="A1654" s="167"/>
      <c r="B1654" s="167"/>
    </row>
    <row r="1655" spans="1:2" x14ac:dyDescent="0.25">
      <c r="A1655" s="167"/>
      <c r="B1655" s="167"/>
    </row>
    <row r="1656" spans="1:2" x14ac:dyDescent="0.25">
      <c r="A1656" s="167"/>
      <c r="B1656" s="167"/>
    </row>
    <row r="1657" spans="1:2" x14ac:dyDescent="0.25">
      <c r="A1657" s="167"/>
      <c r="B1657" s="167"/>
    </row>
    <row r="1658" spans="1:2" x14ac:dyDescent="0.25">
      <c r="A1658" s="167"/>
      <c r="B1658" s="167"/>
    </row>
    <row r="1659" spans="1:2" x14ac:dyDescent="0.25">
      <c r="A1659" s="167"/>
      <c r="B1659" s="167"/>
    </row>
    <row r="1660" spans="1:2" x14ac:dyDescent="0.25">
      <c r="A1660" s="167"/>
      <c r="B1660" s="167"/>
    </row>
    <row r="1661" spans="1:2" x14ac:dyDescent="0.25">
      <c r="A1661" s="167"/>
      <c r="B1661" s="167"/>
    </row>
    <row r="1662" spans="1:2" x14ac:dyDescent="0.25">
      <c r="A1662" s="167"/>
      <c r="B1662" s="167"/>
    </row>
    <row r="1663" spans="1:2" x14ac:dyDescent="0.25">
      <c r="A1663" s="167"/>
      <c r="B1663" s="167"/>
    </row>
    <row r="1664" spans="1:2" x14ac:dyDescent="0.25">
      <c r="A1664" s="167"/>
      <c r="B1664" s="167"/>
    </row>
    <row r="1665" spans="1:2" x14ac:dyDescent="0.25">
      <c r="A1665" s="167"/>
      <c r="B1665" s="167"/>
    </row>
    <row r="1666" spans="1:2" x14ac:dyDescent="0.25">
      <c r="A1666" s="167"/>
      <c r="B1666" s="167"/>
    </row>
    <row r="1667" spans="1:2" x14ac:dyDescent="0.25">
      <c r="A1667" s="167"/>
      <c r="B1667" s="167"/>
    </row>
    <row r="1668" spans="1:2" x14ac:dyDescent="0.25">
      <c r="A1668" s="167"/>
      <c r="B1668" s="167"/>
    </row>
    <row r="1669" spans="1:2" x14ac:dyDescent="0.25">
      <c r="A1669" s="167"/>
      <c r="B1669" s="167"/>
    </row>
    <row r="1670" spans="1:2" x14ac:dyDescent="0.25">
      <c r="A1670" s="167"/>
      <c r="B1670" s="167"/>
    </row>
    <row r="1671" spans="1:2" x14ac:dyDescent="0.25">
      <c r="A1671" s="167"/>
      <c r="B1671" s="167"/>
    </row>
    <row r="1672" spans="1:2" x14ac:dyDescent="0.25">
      <c r="A1672" s="167"/>
      <c r="B1672" s="167"/>
    </row>
    <row r="1673" spans="1:2" x14ac:dyDescent="0.25">
      <c r="A1673" s="167"/>
      <c r="B1673" s="167"/>
    </row>
    <row r="1674" spans="1:2" x14ac:dyDescent="0.25">
      <c r="A1674" s="167"/>
      <c r="B1674" s="167"/>
    </row>
    <row r="1675" spans="1:2" x14ac:dyDescent="0.25">
      <c r="A1675" s="167"/>
      <c r="B1675" s="167"/>
    </row>
    <row r="1676" spans="1:2" x14ac:dyDescent="0.25">
      <c r="A1676" s="167"/>
      <c r="B1676" s="167"/>
    </row>
    <row r="1677" spans="1:2" x14ac:dyDescent="0.25">
      <c r="A1677" s="167"/>
      <c r="B1677" s="167"/>
    </row>
    <row r="1678" spans="1:2" x14ac:dyDescent="0.25">
      <c r="A1678" s="167"/>
      <c r="B1678" s="167"/>
    </row>
    <row r="1679" spans="1:2" x14ac:dyDescent="0.25">
      <c r="A1679" s="167"/>
      <c r="B1679" s="167"/>
    </row>
    <row r="1680" spans="1:2" x14ac:dyDescent="0.25">
      <c r="A1680" s="167"/>
      <c r="B1680" s="167"/>
    </row>
    <row r="1681" spans="1:2" x14ac:dyDescent="0.25">
      <c r="A1681" s="167"/>
      <c r="B1681" s="167"/>
    </row>
    <row r="1682" spans="1:2" x14ac:dyDescent="0.25">
      <c r="A1682" s="167"/>
      <c r="B1682" s="167"/>
    </row>
    <row r="1683" spans="1:2" x14ac:dyDescent="0.25">
      <c r="A1683" s="167"/>
      <c r="B1683" s="167"/>
    </row>
    <row r="1684" spans="1:2" x14ac:dyDescent="0.25">
      <c r="A1684" s="167"/>
      <c r="B1684" s="167"/>
    </row>
    <row r="1685" spans="1:2" x14ac:dyDescent="0.25">
      <c r="A1685" s="167"/>
      <c r="B1685" s="167"/>
    </row>
    <row r="1686" spans="1:2" x14ac:dyDescent="0.25">
      <c r="A1686" s="167"/>
      <c r="B1686" s="167"/>
    </row>
    <row r="1687" spans="1:2" x14ac:dyDescent="0.25">
      <c r="A1687" s="167"/>
      <c r="B1687" s="167"/>
    </row>
    <row r="1688" spans="1:2" x14ac:dyDescent="0.25">
      <c r="A1688" s="167"/>
      <c r="B1688" s="167"/>
    </row>
    <row r="1689" spans="1:2" x14ac:dyDescent="0.25">
      <c r="A1689" s="167"/>
      <c r="B1689" s="167"/>
    </row>
    <row r="1690" spans="1:2" x14ac:dyDescent="0.25">
      <c r="A1690" s="167"/>
      <c r="B1690" s="167"/>
    </row>
    <row r="1691" spans="1:2" x14ac:dyDescent="0.25">
      <c r="A1691" s="167"/>
      <c r="B1691" s="167"/>
    </row>
    <row r="1692" spans="1:2" x14ac:dyDescent="0.25">
      <c r="A1692" s="167"/>
      <c r="B1692" s="167"/>
    </row>
    <row r="1693" spans="1:2" x14ac:dyDescent="0.25">
      <c r="A1693" s="167"/>
      <c r="B1693" s="167"/>
    </row>
    <row r="1694" spans="1:2" x14ac:dyDescent="0.25">
      <c r="A1694" s="167"/>
      <c r="B1694" s="167"/>
    </row>
    <row r="1695" spans="1:2" x14ac:dyDescent="0.25">
      <c r="A1695" s="167"/>
      <c r="B1695" s="167"/>
    </row>
    <row r="1696" spans="1:2" x14ac:dyDescent="0.25">
      <c r="A1696" s="167"/>
      <c r="B1696" s="167"/>
    </row>
    <row r="1697" spans="1:2" x14ac:dyDescent="0.25">
      <c r="A1697" s="167"/>
      <c r="B1697" s="167"/>
    </row>
    <row r="1698" spans="1:2" x14ac:dyDescent="0.25">
      <c r="A1698" s="167"/>
      <c r="B1698" s="167"/>
    </row>
    <row r="1699" spans="1:2" x14ac:dyDescent="0.25">
      <c r="A1699" s="167"/>
      <c r="B1699" s="167"/>
    </row>
    <row r="1700" spans="1:2" x14ac:dyDescent="0.25">
      <c r="A1700" s="167"/>
      <c r="B1700" s="167"/>
    </row>
    <row r="1701" spans="1:2" x14ac:dyDescent="0.25">
      <c r="A1701" s="167"/>
      <c r="B1701" s="167"/>
    </row>
    <row r="1702" spans="1:2" x14ac:dyDescent="0.25">
      <c r="A1702" s="167"/>
      <c r="B1702" s="167"/>
    </row>
    <row r="1703" spans="1:2" x14ac:dyDescent="0.25">
      <c r="A1703" s="167"/>
      <c r="B1703" s="167"/>
    </row>
    <row r="1704" spans="1:2" x14ac:dyDescent="0.25">
      <c r="A1704" s="167"/>
      <c r="B1704" s="167"/>
    </row>
    <row r="1705" spans="1:2" x14ac:dyDescent="0.25">
      <c r="A1705" s="167"/>
      <c r="B1705" s="167"/>
    </row>
    <row r="1706" spans="1:2" x14ac:dyDescent="0.25">
      <c r="A1706" s="167"/>
      <c r="B1706" s="167"/>
    </row>
    <row r="1707" spans="1:2" x14ac:dyDescent="0.25">
      <c r="A1707" s="167"/>
      <c r="B1707" s="167"/>
    </row>
    <row r="1708" spans="1:2" x14ac:dyDescent="0.25">
      <c r="A1708" s="167"/>
      <c r="B1708" s="167"/>
    </row>
    <row r="1709" spans="1:2" x14ac:dyDescent="0.25">
      <c r="A1709" s="167"/>
      <c r="B1709" s="167"/>
    </row>
    <row r="1710" spans="1:2" x14ac:dyDescent="0.25">
      <c r="A1710" s="167"/>
      <c r="B1710" s="167"/>
    </row>
    <row r="1711" spans="1:2" x14ac:dyDescent="0.25">
      <c r="A1711" s="167"/>
      <c r="B1711" s="167"/>
    </row>
    <row r="1712" spans="1:2" x14ac:dyDescent="0.25">
      <c r="A1712" s="167"/>
      <c r="B1712" s="167"/>
    </row>
    <row r="1713" spans="1:2" x14ac:dyDescent="0.25">
      <c r="A1713" s="167"/>
      <c r="B1713" s="167"/>
    </row>
    <row r="1714" spans="1:2" x14ac:dyDescent="0.25">
      <c r="A1714" s="167"/>
      <c r="B1714" s="167"/>
    </row>
    <row r="1715" spans="1:2" x14ac:dyDescent="0.25">
      <c r="A1715" s="167"/>
      <c r="B1715" s="167"/>
    </row>
    <row r="1716" spans="1:2" x14ac:dyDescent="0.25">
      <c r="A1716" s="167"/>
      <c r="B1716" s="167"/>
    </row>
    <row r="1717" spans="1:2" x14ac:dyDescent="0.25">
      <c r="A1717" s="167"/>
      <c r="B1717" s="167"/>
    </row>
    <row r="1718" spans="1:2" x14ac:dyDescent="0.25">
      <c r="A1718" s="167"/>
      <c r="B1718" s="167"/>
    </row>
    <row r="1719" spans="1:2" x14ac:dyDescent="0.25">
      <c r="A1719" s="167"/>
      <c r="B1719" s="167"/>
    </row>
    <row r="1720" spans="1:2" x14ac:dyDescent="0.25">
      <c r="A1720" s="167"/>
      <c r="B1720" s="167"/>
    </row>
    <row r="1721" spans="1:2" x14ac:dyDescent="0.25">
      <c r="A1721" s="167"/>
      <c r="B1721" s="167"/>
    </row>
    <row r="1722" spans="1:2" x14ac:dyDescent="0.25">
      <c r="A1722" s="167"/>
      <c r="B1722" s="167"/>
    </row>
    <row r="1723" spans="1:2" x14ac:dyDescent="0.25">
      <c r="A1723" s="167"/>
      <c r="B1723" s="167"/>
    </row>
    <row r="1724" spans="1:2" x14ac:dyDescent="0.25">
      <c r="A1724" s="167"/>
      <c r="B1724" s="167"/>
    </row>
    <row r="1725" spans="1:2" x14ac:dyDescent="0.25">
      <c r="A1725" s="167"/>
      <c r="B1725" s="167"/>
    </row>
    <row r="1726" spans="1:2" x14ac:dyDescent="0.25">
      <c r="A1726" s="167"/>
      <c r="B1726" s="167"/>
    </row>
    <row r="1727" spans="1:2" x14ac:dyDescent="0.25">
      <c r="A1727" s="167"/>
      <c r="B1727" s="167"/>
    </row>
    <row r="1728" spans="1:2" x14ac:dyDescent="0.25">
      <c r="A1728" s="167"/>
      <c r="B1728" s="167"/>
    </row>
    <row r="1729" spans="1:2" x14ac:dyDescent="0.25">
      <c r="A1729" s="167"/>
      <c r="B1729" s="167"/>
    </row>
    <row r="1730" spans="1:2" x14ac:dyDescent="0.25">
      <c r="A1730" s="167"/>
      <c r="B1730" s="167"/>
    </row>
    <row r="1731" spans="1:2" x14ac:dyDescent="0.25">
      <c r="A1731" s="167"/>
      <c r="B1731" s="167"/>
    </row>
    <row r="1732" spans="1:2" x14ac:dyDescent="0.25">
      <c r="A1732" s="167"/>
      <c r="B1732" s="167"/>
    </row>
    <row r="1733" spans="1:2" x14ac:dyDescent="0.25">
      <c r="A1733" s="167"/>
      <c r="B1733" s="167"/>
    </row>
    <row r="1734" spans="1:2" x14ac:dyDescent="0.25">
      <c r="A1734" s="167"/>
      <c r="B1734" s="167"/>
    </row>
    <row r="1735" spans="1:2" x14ac:dyDescent="0.25">
      <c r="A1735" s="167"/>
      <c r="B1735" s="167"/>
    </row>
    <row r="1736" spans="1:2" x14ac:dyDescent="0.25">
      <c r="A1736" s="167"/>
      <c r="B1736" s="167"/>
    </row>
    <row r="1737" spans="1:2" x14ac:dyDescent="0.25">
      <c r="A1737" s="167"/>
      <c r="B1737" s="167"/>
    </row>
    <row r="1738" spans="1:2" x14ac:dyDescent="0.25">
      <c r="A1738" s="167"/>
      <c r="B1738" s="167"/>
    </row>
    <row r="1739" spans="1:2" x14ac:dyDescent="0.25">
      <c r="A1739" s="167"/>
      <c r="B1739" s="167"/>
    </row>
    <row r="1740" spans="1:2" x14ac:dyDescent="0.25">
      <c r="A1740" s="167"/>
      <c r="B1740" s="167"/>
    </row>
    <row r="1741" spans="1:2" x14ac:dyDescent="0.25">
      <c r="A1741" s="167"/>
      <c r="B1741" s="167"/>
    </row>
    <row r="1742" spans="1:2" x14ac:dyDescent="0.25">
      <c r="A1742" s="167"/>
      <c r="B1742" s="167"/>
    </row>
    <row r="1743" spans="1:2" x14ac:dyDescent="0.25">
      <c r="A1743" s="167"/>
      <c r="B1743" s="167"/>
    </row>
    <row r="1744" spans="1:2" x14ac:dyDescent="0.25">
      <c r="A1744" s="167"/>
      <c r="B1744" s="167"/>
    </row>
    <row r="1745" spans="1:2" x14ac:dyDescent="0.25">
      <c r="A1745" s="167"/>
      <c r="B1745" s="167"/>
    </row>
    <row r="1746" spans="1:2" x14ac:dyDescent="0.25">
      <c r="A1746" s="167"/>
      <c r="B1746" s="167"/>
    </row>
    <row r="1747" spans="1:2" x14ac:dyDescent="0.25">
      <c r="A1747" s="167"/>
      <c r="B1747" s="167"/>
    </row>
    <row r="1748" spans="1:2" x14ac:dyDescent="0.25">
      <c r="A1748" s="167"/>
      <c r="B1748" s="167"/>
    </row>
    <row r="1749" spans="1:2" x14ac:dyDescent="0.25">
      <c r="A1749" s="167"/>
      <c r="B1749" s="167"/>
    </row>
    <row r="1750" spans="1:2" x14ac:dyDescent="0.25">
      <c r="A1750" s="167"/>
      <c r="B1750" s="167"/>
    </row>
    <row r="1751" spans="1:2" x14ac:dyDescent="0.25">
      <c r="A1751" s="167"/>
      <c r="B1751" s="167"/>
    </row>
    <row r="1752" spans="1:2" x14ac:dyDescent="0.25">
      <c r="A1752" s="167"/>
      <c r="B1752" s="167"/>
    </row>
    <row r="1753" spans="1:2" x14ac:dyDescent="0.25">
      <c r="A1753" s="167"/>
      <c r="B1753" s="167"/>
    </row>
    <row r="1754" spans="1:2" x14ac:dyDescent="0.25">
      <c r="A1754" s="167"/>
      <c r="B1754" s="167"/>
    </row>
    <row r="1755" spans="1:2" x14ac:dyDescent="0.25">
      <c r="A1755" s="167"/>
      <c r="B1755" s="167"/>
    </row>
    <row r="1756" spans="1:2" x14ac:dyDescent="0.25">
      <c r="A1756" s="167"/>
      <c r="B1756" s="167"/>
    </row>
    <row r="1757" spans="1:2" x14ac:dyDescent="0.25">
      <c r="A1757" s="167"/>
      <c r="B1757" s="167"/>
    </row>
    <row r="1758" spans="1:2" x14ac:dyDescent="0.25">
      <c r="A1758" s="167"/>
      <c r="B1758" s="167"/>
    </row>
    <row r="1759" spans="1:2" x14ac:dyDescent="0.25">
      <c r="A1759" s="167"/>
      <c r="B1759" s="167"/>
    </row>
    <row r="1760" spans="1:2" x14ac:dyDescent="0.25">
      <c r="A1760" s="167"/>
      <c r="B1760" s="167"/>
    </row>
    <row r="1761" spans="1:2" x14ac:dyDescent="0.25">
      <c r="A1761" s="167"/>
      <c r="B1761" s="167"/>
    </row>
    <row r="1762" spans="1:2" x14ac:dyDescent="0.25">
      <c r="A1762" s="167"/>
      <c r="B1762" s="167"/>
    </row>
    <row r="1763" spans="1:2" x14ac:dyDescent="0.25">
      <c r="A1763" s="167"/>
      <c r="B1763" s="167"/>
    </row>
    <row r="1764" spans="1:2" x14ac:dyDescent="0.25">
      <c r="A1764" s="167"/>
      <c r="B1764" s="167"/>
    </row>
    <row r="1765" spans="1:2" x14ac:dyDescent="0.25">
      <c r="A1765" s="167"/>
      <c r="B1765" s="167"/>
    </row>
    <row r="1766" spans="1:2" x14ac:dyDescent="0.25">
      <c r="A1766" s="167"/>
      <c r="B1766" s="167"/>
    </row>
    <row r="1767" spans="1:2" x14ac:dyDescent="0.25">
      <c r="A1767" s="167"/>
      <c r="B1767" s="167"/>
    </row>
    <row r="1768" spans="1:2" x14ac:dyDescent="0.25">
      <c r="A1768" s="167"/>
      <c r="B1768" s="167"/>
    </row>
    <row r="1769" spans="1:2" x14ac:dyDescent="0.25">
      <c r="A1769" s="167"/>
      <c r="B1769" s="167"/>
    </row>
    <row r="1770" spans="1:2" x14ac:dyDescent="0.25">
      <c r="A1770" s="167"/>
      <c r="B1770" s="167"/>
    </row>
    <row r="1771" spans="1:2" x14ac:dyDescent="0.25">
      <c r="A1771" s="167"/>
      <c r="B1771" s="167"/>
    </row>
    <row r="1772" spans="1:2" x14ac:dyDescent="0.25">
      <c r="A1772" s="167"/>
      <c r="B1772" s="167"/>
    </row>
    <row r="1773" spans="1:2" x14ac:dyDescent="0.25">
      <c r="A1773" s="167"/>
      <c r="B1773" s="167"/>
    </row>
    <row r="1774" spans="1:2" x14ac:dyDescent="0.25">
      <c r="A1774" s="167"/>
      <c r="B1774" s="167"/>
    </row>
    <row r="1775" spans="1:2" x14ac:dyDescent="0.25">
      <c r="A1775" s="167"/>
      <c r="B1775" s="167"/>
    </row>
    <row r="1776" spans="1:2" x14ac:dyDescent="0.25">
      <c r="A1776" s="167"/>
      <c r="B1776" s="167"/>
    </row>
    <row r="1777" spans="1:2" x14ac:dyDescent="0.25">
      <c r="A1777" s="167"/>
      <c r="B1777" s="167"/>
    </row>
    <row r="1778" spans="1:2" x14ac:dyDescent="0.25">
      <c r="A1778" s="167"/>
      <c r="B1778" s="167"/>
    </row>
    <row r="1779" spans="1:2" x14ac:dyDescent="0.25">
      <c r="A1779" s="167"/>
      <c r="B1779" s="167"/>
    </row>
    <row r="1780" spans="1:2" x14ac:dyDescent="0.25">
      <c r="A1780" s="167"/>
      <c r="B1780" s="167"/>
    </row>
    <row r="1781" spans="1:2" x14ac:dyDescent="0.25">
      <c r="A1781" s="167"/>
      <c r="B1781" s="167"/>
    </row>
    <row r="1782" spans="1:2" x14ac:dyDescent="0.25">
      <c r="A1782" s="167"/>
      <c r="B1782" s="167"/>
    </row>
    <row r="1783" spans="1:2" x14ac:dyDescent="0.25">
      <c r="A1783" s="167"/>
      <c r="B1783" s="167"/>
    </row>
    <row r="1784" spans="1:2" x14ac:dyDescent="0.25">
      <c r="A1784" s="167"/>
      <c r="B1784" s="167"/>
    </row>
    <row r="1785" spans="1:2" x14ac:dyDescent="0.25">
      <c r="A1785" s="167"/>
      <c r="B1785" s="167"/>
    </row>
    <row r="1786" spans="1:2" x14ac:dyDescent="0.25">
      <c r="A1786" s="167"/>
      <c r="B1786" s="167"/>
    </row>
    <row r="1787" spans="1:2" x14ac:dyDescent="0.25">
      <c r="A1787" s="167"/>
      <c r="B1787" s="167"/>
    </row>
    <row r="1788" spans="1:2" x14ac:dyDescent="0.25">
      <c r="A1788" s="167"/>
      <c r="B1788" s="167"/>
    </row>
    <row r="1789" spans="1:2" x14ac:dyDescent="0.25">
      <c r="A1789" s="167"/>
      <c r="B1789" s="167"/>
    </row>
    <row r="1790" spans="1:2" x14ac:dyDescent="0.25">
      <c r="A1790" s="167"/>
      <c r="B1790" s="167"/>
    </row>
    <row r="1791" spans="1:2" x14ac:dyDescent="0.25">
      <c r="A1791" s="167"/>
      <c r="B1791" s="167"/>
    </row>
    <row r="1792" spans="1:2" x14ac:dyDescent="0.25">
      <c r="A1792" s="167"/>
      <c r="B1792" s="167"/>
    </row>
    <row r="1793" spans="1:2" x14ac:dyDescent="0.25">
      <c r="A1793" s="167"/>
      <c r="B1793" s="167"/>
    </row>
    <row r="1794" spans="1:2" x14ac:dyDescent="0.25">
      <c r="A1794" s="167"/>
      <c r="B1794" s="167"/>
    </row>
    <row r="1795" spans="1:2" x14ac:dyDescent="0.25">
      <c r="A1795" s="167"/>
      <c r="B1795" s="167"/>
    </row>
    <row r="1796" spans="1:2" x14ac:dyDescent="0.25">
      <c r="A1796" s="167"/>
      <c r="B1796" s="167"/>
    </row>
    <row r="1797" spans="1:2" x14ac:dyDescent="0.25">
      <c r="A1797" s="167"/>
      <c r="B1797" s="167"/>
    </row>
    <row r="1798" spans="1:2" x14ac:dyDescent="0.25">
      <c r="A1798" s="167"/>
      <c r="B1798" s="167"/>
    </row>
    <row r="1799" spans="1:2" x14ac:dyDescent="0.25">
      <c r="A1799" s="167"/>
      <c r="B1799" s="167"/>
    </row>
    <row r="1800" spans="1:2" x14ac:dyDescent="0.25">
      <c r="A1800" s="167"/>
      <c r="B1800" s="167"/>
    </row>
    <row r="1801" spans="1:2" x14ac:dyDescent="0.25">
      <c r="A1801" s="167"/>
      <c r="B1801" s="167"/>
    </row>
    <row r="1802" spans="1:2" x14ac:dyDescent="0.25">
      <c r="A1802" s="167"/>
      <c r="B1802" s="167"/>
    </row>
    <row r="1803" spans="1:2" x14ac:dyDescent="0.25">
      <c r="A1803" s="167"/>
      <c r="B1803" s="167"/>
    </row>
    <row r="1804" spans="1:2" x14ac:dyDescent="0.25">
      <c r="A1804" s="167"/>
      <c r="B1804" s="167"/>
    </row>
    <row r="1805" spans="1:2" x14ac:dyDescent="0.25">
      <c r="A1805" s="167"/>
      <c r="B1805" s="167"/>
    </row>
    <row r="1806" spans="1:2" x14ac:dyDescent="0.25">
      <c r="A1806" s="167"/>
      <c r="B1806" s="167"/>
    </row>
    <row r="1807" spans="1:2" x14ac:dyDescent="0.25">
      <c r="A1807" s="167"/>
      <c r="B1807" s="167"/>
    </row>
    <row r="1808" spans="1:2" x14ac:dyDescent="0.25">
      <c r="A1808" s="167"/>
      <c r="B1808" s="167"/>
    </row>
    <row r="1809" spans="1:2" x14ac:dyDescent="0.25">
      <c r="A1809" s="167"/>
      <c r="B1809" s="167"/>
    </row>
    <row r="1810" spans="1:2" x14ac:dyDescent="0.25">
      <c r="A1810" s="167"/>
      <c r="B1810" s="167"/>
    </row>
    <row r="1811" spans="1:2" x14ac:dyDescent="0.25">
      <c r="A1811" s="167"/>
      <c r="B1811" s="167"/>
    </row>
    <row r="1812" spans="1:2" x14ac:dyDescent="0.25">
      <c r="A1812" s="167"/>
      <c r="B1812" s="167"/>
    </row>
    <row r="1813" spans="1:2" x14ac:dyDescent="0.25">
      <c r="A1813" s="167"/>
      <c r="B1813" s="167"/>
    </row>
    <row r="1814" spans="1:2" x14ac:dyDescent="0.25">
      <c r="A1814" s="167"/>
      <c r="B1814" s="167"/>
    </row>
    <row r="1815" spans="1:2" x14ac:dyDescent="0.25">
      <c r="A1815" s="167"/>
      <c r="B1815" s="167"/>
    </row>
    <row r="1816" spans="1:2" x14ac:dyDescent="0.25">
      <c r="A1816" s="167"/>
      <c r="B1816" s="167"/>
    </row>
    <row r="1817" spans="1:2" x14ac:dyDescent="0.25">
      <c r="A1817" s="167"/>
      <c r="B1817" s="167"/>
    </row>
    <row r="1818" spans="1:2" x14ac:dyDescent="0.25">
      <c r="A1818" s="167"/>
      <c r="B1818" s="167"/>
    </row>
    <row r="1819" spans="1:2" x14ac:dyDescent="0.25">
      <c r="A1819" s="167"/>
      <c r="B1819" s="167"/>
    </row>
    <row r="1820" spans="1:2" x14ac:dyDescent="0.25">
      <c r="A1820" s="167"/>
      <c r="B1820" s="167"/>
    </row>
    <row r="1821" spans="1:2" x14ac:dyDescent="0.25">
      <c r="A1821" s="167"/>
      <c r="B1821" s="167"/>
    </row>
    <row r="1822" spans="1:2" x14ac:dyDescent="0.25">
      <c r="A1822" s="167"/>
      <c r="B1822" s="167"/>
    </row>
    <row r="1823" spans="1:2" x14ac:dyDescent="0.25">
      <c r="A1823" s="167"/>
      <c r="B1823" s="167"/>
    </row>
    <row r="1824" spans="1:2" x14ac:dyDescent="0.25">
      <c r="A1824" s="167"/>
      <c r="B1824" s="167"/>
    </row>
    <row r="1825" spans="1:2" x14ac:dyDescent="0.25">
      <c r="A1825" s="167"/>
      <c r="B1825" s="167"/>
    </row>
    <row r="1826" spans="1:2" x14ac:dyDescent="0.25">
      <c r="A1826" s="167"/>
      <c r="B1826" s="167"/>
    </row>
    <row r="1827" spans="1:2" x14ac:dyDescent="0.25">
      <c r="A1827" s="167"/>
      <c r="B1827" s="167"/>
    </row>
    <row r="1828" spans="1:2" x14ac:dyDescent="0.25">
      <c r="A1828" s="167"/>
      <c r="B1828" s="167"/>
    </row>
    <row r="1829" spans="1:2" x14ac:dyDescent="0.25">
      <c r="A1829" s="167"/>
      <c r="B1829" s="167"/>
    </row>
    <row r="1830" spans="1:2" x14ac:dyDescent="0.25">
      <c r="A1830" s="167"/>
      <c r="B1830" s="167"/>
    </row>
    <row r="1831" spans="1:2" x14ac:dyDescent="0.25">
      <c r="A1831" s="167"/>
      <c r="B1831" s="167"/>
    </row>
    <row r="1832" spans="1:2" x14ac:dyDescent="0.25">
      <c r="A1832" s="167"/>
      <c r="B1832" s="167"/>
    </row>
    <row r="1833" spans="1:2" x14ac:dyDescent="0.25">
      <c r="A1833" s="167"/>
      <c r="B1833" s="167"/>
    </row>
    <row r="1834" spans="1:2" x14ac:dyDescent="0.25">
      <c r="A1834" s="167"/>
      <c r="B1834" s="167"/>
    </row>
    <row r="1835" spans="1:2" x14ac:dyDescent="0.25">
      <c r="A1835" s="167"/>
      <c r="B1835" s="167"/>
    </row>
    <row r="1836" spans="1:2" x14ac:dyDescent="0.25">
      <c r="A1836" s="167"/>
      <c r="B1836" s="167"/>
    </row>
    <row r="1837" spans="1:2" x14ac:dyDescent="0.25">
      <c r="A1837" s="167"/>
      <c r="B1837" s="167"/>
    </row>
    <row r="1838" spans="1:2" x14ac:dyDescent="0.25">
      <c r="A1838" s="167"/>
      <c r="B1838" s="167"/>
    </row>
    <row r="1839" spans="1:2" x14ac:dyDescent="0.25">
      <c r="A1839" s="167"/>
      <c r="B1839" s="167"/>
    </row>
    <row r="1840" spans="1:2" x14ac:dyDescent="0.25">
      <c r="A1840" s="167"/>
      <c r="B1840" s="167"/>
    </row>
    <row r="1841" spans="1:2" x14ac:dyDescent="0.25">
      <c r="A1841" s="167"/>
      <c r="B1841" s="167"/>
    </row>
    <row r="1842" spans="1:2" x14ac:dyDescent="0.25">
      <c r="A1842" s="167"/>
      <c r="B1842" s="167"/>
    </row>
    <row r="1843" spans="1:2" x14ac:dyDescent="0.25">
      <c r="A1843" s="167"/>
      <c r="B1843" s="167"/>
    </row>
    <row r="1844" spans="1:2" x14ac:dyDescent="0.25">
      <c r="A1844" s="167"/>
      <c r="B1844" s="167"/>
    </row>
    <row r="1845" spans="1:2" x14ac:dyDescent="0.25">
      <c r="A1845" s="167"/>
      <c r="B1845" s="167"/>
    </row>
    <row r="1846" spans="1:2" x14ac:dyDescent="0.25">
      <c r="A1846" s="167"/>
      <c r="B1846" s="167"/>
    </row>
    <row r="1847" spans="1:2" x14ac:dyDescent="0.25">
      <c r="A1847" s="167"/>
      <c r="B1847" s="167"/>
    </row>
    <row r="1848" spans="1:2" x14ac:dyDescent="0.25">
      <c r="A1848" s="167"/>
      <c r="B1848" s="167"/>
    </row>
    <row r="1849" spans="1:2" x14ac:dyDescent="0.25">
      <c r="A1849" s="167"/>
      <c r="B1849" s="167"/>
    </row>
    <row r="1850" spans="1:2" x14ac:dyDescent="0.25">
      <c r="A1850" s="167"/>
      <c r="B1850" s="167"/>
    </row>
    <row r="1851" spans="1:2" x14ac:dyDescent="0.25">
      <c r="A1851" s="167"/>
      <c r="B1851" s="167"/>
    </row>
    <row r="1852" spans="1:2" x14ac:dyDescent="0.25">
      <c r="A1852" s="167"/>
      <c r="B1852" s="167"/>
    </row>
    <row r="1853" spans="1:2" x14ac:dyDescent="0.25">
      <c r="A1853" s="167"/>
      <c r="B1853" s="167"/>
    </row>
    <row r="1854" spans="1:2" x14ac:dyDescent="0.25">
      <c r="A1854" s="167"/>
      <c r="B1854" s="167"/>
    </row>
    <row r="1855" spans="1:2" x14ac:dyDescent="0.25">
      <c r="A1855" s="167"/>
      <c r="B1855" s="167"/>
    </row>
    <row r="1856" spans="1:2" x14ac:dyDescent="0.25">
      <c r="A1856" s="167"/>
      <c r="B1856" s="167"/>
    </row>
    <row r="1857" spans="1:2" x14ac:dyDescent="0.25">
      <c r="A1857" s="167"/>
      <c r="B1857" s="167"/>
    </row>
    <row r="1858" spans="1:2" x14ac:dyDescent="0.25">
      <c r="A1858" s="167"/>
      <c r="B1858" s="167"/>
    </row>
    <row r="1859" spans="1:2" x14ac:dyDescent="0.25">
      <c r="A1859" s="167"/>
      <c r="B1859" s="167"/>
    </row>
    <row r="1860" spans="1:2" x14ac:dyDescent="0.25">
      <c r="A1860" s="167"/>
      <c r="B1860" s="167"/>
    </row>
    <row r="1861" spans="1:2" x14ac:dyDescent="0.25">
      <c r="A1861" s="167"/>
      <c r="B1861" s="167"/>
    </row>
    <row r="1862" spans="1:2" x14ac:dyDescent="0.25">
      <c r="A1862" s="167"/>
      <c r="B1862" s="167"/>
    </row>
    <row r="1863" spans="1:2" x14ac:dyDescent="0.25">
      <c r="A1863" s="167"/>
      <c r="B1863" s="167"/>
    </row>
    <row r="1864" spans="1:2" x14ac:dyDescent="0.25">
      <c r="A1864" s="167"/>
      <c r="B1864" s="167"/>
    </row>
    <row r="1865" spans="1:2" x14ac:dyDescent="0.25">
      <c r="A1865" s="167"/>
      <c r="B1865" s="167"/>
    </row>
    <row r="1866" spans="1:2" x14ac:dyDescent="0.25">
      <c r="A1866" s="167"/>
      <c r="B1866" s="167"/>
    </row>
    <row r="1867" spans="1:2" x14ac:dyDescent="0.25">
      <c r="A1867" s="167"/>
      <c r="B1867" s="167"/>
    </row>
    <row r="1868" spans="1:2" x14ac:dyDescent="0.25">
      <c r="A1868" s="167"/>
      <c r="B1868" s="167"/>
    </row>
    <row r="1869" spans="1:2" x14ac:dyDescent="0.25">
      <c r="A1869" s="167"/>
      <c r="B1869" s="167"/>
    </row>
    <row r="1870" spans="1:2" x14ac:dyDescent="0.25">
      <c r="A1870" s="167"/>
      <c r="B1870" s="167"/>
    </row>
    <row r="1871" spans="1:2" x14ac:dyDescent="0.25">
      <c r="A1871" s="167"/>
      <c r="B1871" s="167"/>
    </row>
    <row r="1872" spans="1:2" x14ac:dyDescent="0.25">
      <c r="A1872" s="167"/>
      <c r="B1872" s="167"/>
    </row>
    <row r="1873" spans="1:2" x14ac:dyDescent="0.25">
      <c r="A1873" s="167"/>
      <c r="B1873" s="167"/>
    </row>
    <row r="1874" spans="1:2" x14ac:dyDescent="0.25">
      <c r="A1874" s="167"/>
      <c r="B1874" s="167"/>
    </row>
    <row r="1875" spans="1:2" x14ac:dyDescent="0.25">
      <c r="A1875" s="167"/>
      <c r="B1875" s="167"/>
    </row>
    <row r="1876" spans="1:2" x14ac:dyDescent="0.25">
      <c r="A1876" s="167"/>
      <c r="B1876" s="167"/>
    </row>
    <row r="1877" spans="1:2" x14ac:dyDescent="0.25">
      <c r="A1877" s="167"/>
      <c r="B1877" s="167"/>
    </row>
    <row r="1878" spans="1:2" x14ac:dyDescent="0.25">
      <c r="A1878" s="167"/>
      <c r="B1878" s="167"/>
    </row>
    <row r="1879" spans="1:2" x14ac:dyDescent="0.25">
      <c r="A1879" s="167"/>
      <c r="B1879" s="167"/>
    </row>
    <row r="1880" spans="1:2" x14ac:dyDescent="0.25">
      <c r="A1880" s="167"/>
      <c r="B1880" s="167"/>
    </row>
    <row r="1881" spans="1:2" x14ac:dyDescent="0.25">
      <c r="A1881" s="167"/>
      <c r="B1881" s="167"/>
    </row>
    <row r="1882" spans="1:2" x14ac:dyDescent="0.25">
      <c r="A1882" s="167"/>
      <c r="B1882" s="167"/>
    </row>
    <row r="1883" spans="1:2" x14ac:dyDescent="0.25">
      <c r="A1883" s="167"/>
      <c r="B1883" s="167"/>
    </row>
    <row r="1884" spans="1:2" x14ac:dyDescent="0.25">
      <c r="A1884" s="167"/>
      <c r="B1884" s="167"/>
    </row>
    <row r="1885" spans="1:2" x14ac:dyDescent="0.25">
      <c r="A1885" s="167"/>
      <c r="B1885" s="167"/>
    </row>
    <row r="1886" spans="1:2" x14ac:dyDescent="0.25">
      <c r="A1886" s="167"/>
      <c r="B1886" s="167"/>
    </row>
    <row r="1887" spans="1:2" x14ac:dyDescent="0.25">
      <c r="A1887" s="167"/>
      <c r="B1887" s="167"/>
    </row>
    <row r="1888" spans="1:2" x14ac:dyDescent="0.25">
      <c r="A1888" s="167"/>
      <c r="B1888" s="167"/>
    </row>
    <row r="1889" spans="1:2" x14ac:dyDescent="0.25">
      <c r="A1889" s="167"/>
      <c r="B1889" s="167"/>
    </row>
    <row r="1890" spans="1:2" x14ac:dyDescent="0.25">
      <c r="A1890" s="167"/>
      <c r="B1890" s="167"/>
    </row>
    <row r="1891" spans="1:2" x14ac:dyDescent="0.25">
      <c r="A1891" s="167"/>
      <c r="B1891" s="167"/>
    </row>
    <row r="1892" spans="1:2" x14ac:dyDescent="0.25">
      <c r="A1892" s="167"/>
      <c r="B1892" s="167"/>
    </row>
    <row r="1893" spans="1:2" x14ac:dyDescent="0.25">
      <c r="A1893" s="167"/>
      <c r="B1893" s="167"/>
    </row>
    <row r="1894" spans="1:2" x14ac:dyDescent="0.25">
      <c r="A1894" s="167"/>
      <c r="B1894" s="167"/>
    </row>
    <row r="1895" spans="1:2" x14ac:dyDescent="0.25">
      <c r="A1895" s="167"/>
      <c r="B1895" s="167"/>
    </row>
    <row r="1896" spans="1:2" x14ac:dyDescent="0.25">
      <c r="A1896" s="167"/>
      <c r="B1896" s="167"/>
    </row>
    <row r="1897" spans="1:2" x14ac:dyDescent="0.25">
      <c r="A1897" s="167"/>
      <c r="B1897" s="167"/>
    </row>
    <row r="1898" spans="1:2" x14ac:dyDescent="0.25">
      <c r="A1898" s="167"/>
      <c r="B1898" s="167"/>
    </row>
    <row r="1899" spans="1:2" x14ac:dyDescent="0.25">
      <c r="A1899" s="167"/>
      <c r="B1899" s="167"/>
    </row>
    <row r="1900" spans="1:2" x14ac:dyDescent="0.25">
      <c r="A1900" s="167"/>
      <c r="B1900" s="167"/>
    </row>
    <row r="1901" spans="1:2" x14ac:dyDescent="0.25">
      <c r="A1901" s="167"/>
      <c r="B1901" s="167"/>
    </row>
    <row r="1902" spans="1:2" x14ac:dyDescent="0.25">
      <c r="A1902" s="167"/>
      <c r="B1902" s="167"/>
    </row>
    <row r="1903" spans="1:2" x14ac:dyDescent="0.25">
      <c r="A1903" s="167"/>
      <c r="B1903" s="167"/>
    </row>
    <row r="1904" spans="1:2" x14ac:dyDescent="0.25">
      <c r="A1904" s="167"/>
      <c r="B1904" s="167"/>
    </row>
    <row r="1905" spans="1:2" x14ac:dyDescent="0.25">
      <c r="A1905" s="167"/>
      <c r="B1905" s="167"/>
    </row>
    <row r="1906" spans="1:2" x14ac:dyDescent="0.25">
      <c r="A1906" s="167"/>
      <c r="B1906" s="167"/>
    </row>
    <row r="1907" spans="1:2" x14ac:dyDescent="0.25">
      <c r="A1907" s="167"/>
      <c r="B1907" s="167"/>
    </row>
    <row r="1908" spans="1:2" x14ac:dyDescent="0.25">
      <c r="A1908" s="167"/>
      <c r="B1908" s="167"/>
    </row>
    <row r="1909" spans="1:2" x14ac:dyDescent="0.25">
      <c r="A1909" s="167"/>
      <c r="B1909" s="167"/>
    </row>
    <row r="1910" spans="1:2" x14ac:dyDescent="0.25">
      <c r="A1910" s="167"/>
      <c r="B1910" s="167"/>
    </row>
    <row r="1911" spans="1:2" x14ac:dyDescent="0.25">
      <c r="A1911" s="167"/>
      <c r="B1911" s="167"/>
    </row>
    <row r="1912" spans="1:2" x14ac:dyDescent="0.25">
      <c r="A1912" s="167"/>
      <c r="B1912" s="167"/>
    </row>
    <row r="1913" spans="1:2" x14ac:dyDescent="0.25">
      <c r="A1913" s="167"/>
      <c r="B1913" s="167"/>
    </row>
    <row r="1914" spans="1:2" x14ac:dyDescent="0.25">
      <c r="A1914" s="167"/>
      <c r="B1914" s="167"/>
    </row>
    <row r="1915" spans="1:2" x14ac:dyDescent="0.25">
      <c r="A1915" s="167"/>
      <c r="B1915" s="167"/>
    </row>
    <row r="1916" spans="1:2" x14ac:dyDescent="0.25">
      <c r="A1916" s="167"/>
      <c r="B1916" s="167"/>
    </row>
    <row r="1917" spans="1:2" x14ac:dyDescent="0.25">
      <c r="A1917" s="167"/>
      <c r="B1917" s="167"/>
    </row>
    <row r="1918" spans="1:2" x14ac:dyDescent="0.25">
      <c r="A1918" s="167"/>
      <c r="B1918" s="167"/>
    </row>
    <row r="1919" spans="1:2" x14ac:dyDescent="0.25">
      <c r="A1919" s="167"/>
      <c r="B1919" s="167"/>
    </row>
    <row r="1920" spans="1:2" x14ac:dyDescent="0.25">
      <c r="A1920" s="167"/>
      <c r="B1920" s="167"/>
    </row>
    <row r="1921" spans="1:2" x14ac:dyDescent="0.25">
      <c r="A1921" s="167"/>
      <c r="B1921" s="167"/>
    </row>
    <row r="1922" spans="1:2" x14ac:dyDescent="0.25">
      <c r="A1922" s="167"/>
      <c r="B1922" s="167"/>
    </row>
    <row r="1923" spans="1:2" x14ac:dyDescent="0.25">
      <c r="A1923" s="167"/>
      <c r="B1923" s="167"/>
    </row>
    <row r="1924" spans="1:2" x14ac:dyDescent="0.25">
      <c r="A1924" s="167"/>
      <c r="B1924" s="167"/>
    </row>
    <row r="1925" spans="1:2" x14ac:dyDescent="0.25">
      <c r="A1925" s="167"/>
      <c r="B1925" s="167"/>
    </row>
    <row r="1926" spans="1:2" x14ac:dyDescent="0.25">
      <c r="A1926" s="167"/>
      <c r="B1926" s="167"/>
    </row>
    <row r="1927" spans="1:2" x14ac:dyDescent="0.25">
      <c r="A1927" s="167"/>
      <c r="B1927" s="167"/>
    </row>
    <row r="1928" spans="1:2" x14ac:dyDescent="0.25">
      <c r="A1928" s="167"/>
      <c r="B1928" s="167"/>
    </row>
    <row r="1929" spans="1:2" x14ac:dyDescent="0.25">
      <c r="A1929" s="167"/>
      <c r="B1929" s="167"/>
    </row>
    <row r="1930" spans="1:2" x14ac:dyDescent="0.25">
      <c r="A1930" s="167"/>
      <c r="B1930" s="167"/>
    </row>
    <row r="1931" spans="1:2" x14ac:dyDescent="0.25">
      <c r="A1931" s="167"/>
      <c r="B1931" s="167"/>
    </row>
    <row r="1932" spans="1:2" x14ac:dyDescent="0.25">
      <c r="A1932" s="167"/>
      <c r="B1932" s="167"/>
    </row>
    <row r="1933" spans="1:2" x14ac:dyDescent="0.25">
      <c r="A1933" s="167"/>
      <c r="B1933" s="167"/>
    </row>
    <row r="1934" spans="1:2" x14ac:dyDescent="0.25">
      <c r="A1934" s="167"/>
      <c r="B1934" s="167"/>
    </row>
    <row r="1935" spans="1:2" x14ac:dyDescent="0.25">
      <c r="A1935" s="167"/>
      <c r="B1935" s="167"/>
    </row>
    <row r="1936" spans="1:2" x14ac:dyDescent="0.25">
      <c r="A1936" s="167"/>
      <c r="B1936" s="167"/>
    </row>
    <row r="1937" spans="1:2" x14ac:dyDescent="0.25">
      <c r="A1937" s="167"/>
      <c r="B1937" s="167"/>
    </row>
    <row r="1938" spans="1:2" x14ac:dyDescent="0.25">
      <c r="A1938" s="167"/>
      <c r="B1938" s="167"/>
    </row>
    <row r="1939" spans="1:2" x14ac:dyDescent="0.25">
      <c r="A1939" s="167"/>
      <c r="B1939" s="167"/>
    </row>
    <row r="1940" spans="1:2" x14ac:dyDescent="0.25">
      <c r="A1940" s="167"/>
      <c r="B1940" s="167"/>
    </row>
    <row r="1941" spans="1:2" x14ac:dyDescent="0.25">
      <c r="A1941" s="167"/>
      <c r="B1941" s="167"/>
    </row>
    <row r="1942" spans="1:2" x14ac:dyDescent="0.25">
      <c r="A1942" s="167"/>
      <c r="B1942" s="167"/>
    </row>
    <row r="1943" spans="1:2" x14ac:dyDescent="0.25">
      <c r="A1943" s="167"/>
      <c r="B1943" s="167"/>
    </row>
    <row r="1944" spans="1:2" x14ac:dyDescent="0.25">
      <c r="A1944" s="167"/>
      <c r="B1944" s="167"/>
    </row>
    <row r="1945" spans="1:2" x14ac:dyDescent="0.25">
      <c r="A1945" s="167"/>
      <c r="B1945" s="167"/>
    </row>
    <row r="1946" spans="1:2" x14ac:dyDescent="0.25">
      <c r="A1946" s="167"/>
      <c r="B1946" s="167"/>
    </row>
    <row r="1947" spans="1:2" x14ac:dyDescent="0.25">
      <c r="A1947" s="167"/>
      <c r="B1947" s="167"/>
    </row>
    <row r="1948" spans="1:2" x14ac:dyDescent="0.25">
      <c r="A1948" s="167"/>
      <c r="B1948" s="167"/>
    </row>
    <row r="1949" spans="1:2" x14ac:dyDescent="0.25">
      <c r="A1949" s="167"/>
      <c r="B1949" s="167"/>
    </row>
    <row r="1950" spans="1:2" x14ac:dyDescent="0.25">
      <c r="A1950" s="167"/>
      <c r="B1950" s="167"/>
    </row>
    <row r="1951" spans="1:2" x14ac:dyDescent="0.25">
      <c r="A1951" s="167"/>
      <c r="B1951" s="167"/>
    </row>
    <row r="1952" spans="1:2" x14ac:dyDescent="0.25">
      <c r="A1952" s="167"/>
      <c r="B1952" s="167"/>
    </row>
    <row r="1953" spans="1:2" x14ac:dyDescent="0.25">
      <c r="A1953" s="167"/>
      <c r="B1953" s="167"/>
    </row>
    <row r="1954" spans="1:2" x14ac:dyDescent="0.25">
      <c r="A1954" s="167"/>
      <c r="B1954" s="167"/>
    </row>
    <row r="1955" spans="1:2" x14ac:dyDescent="0.25">
      <c r="A1955" s="167"/>
      <c r="B1955" s="167"/>
    </row>
    <row r="1956" spans="1:2" x14ac:dyDescent="0.25">
      <c r="A1956" s="167"/>
      <c r="B1956" s="167"/>
    </row>
    <row r="1957" spans="1:2" x14ac:dyDescent="0.25">
      <c r="A1957" s="167"/>
      <c r="B1957" s="167"/>
    </row>
    <row r="1958" spans="1:2" x14ac:dyDescent="0.25">
      <c r="A1958" s="167"/>
      <c r="B1958" s="167"/>
    </row>
    <row r="1959" spans="1:2" x14ac:dyDescent="0.25">
      <c r="A1959" s="167"/>
      <c r="B1959" s="167"/>
    </row>
    <row r="1960" spans="1:2" x14ac:dyDescent="0.25">
      <c r="A1960" s="167"/>
      <c r="B1960" s="167"/>
    </row>
    <row r="1961" spans="1:2" x14ac:dyDescent="0.25">
      <c r="A1961" s="167"/>
      <c r="B1961" s="167"/>
    </row>
    <row r="1962" spans="1:2" x14ac:dyDescent="0.25">
      <c r="A1962" s="167"/>
      <c r="B1962" s="167"/>
    </row>
    <row r="1963" spans="1:2" x14ac:dyDescent="0.25">
      <c r="A1963" s="167"/>
      <c r="B1963" s="167"/>
    </row>
    <row r="1964" spans="1:2" x14ac:dyDescent="0.25">
      <c r="A1964" s="167"/>
      <c r="B1964" s="167"/>
    </row>
    <row r="1965" spans="1:2" x14ac:dyDescent="0.25">
      <c r="A1965" s="167"/>
      <c r="B1965" s="167"/>
    </row>
    <row r="1966" spans="1:2" x14ac:dyDescent="0.25">
      <c r="A1966" s="167"/>
      <c r="B1966" s="167"/>
    </row>
    <row r="1967" spans="1:2" x14ac:dyDescent="0.25">
      <c r="A1967" s="167"/>
      <c r="B1967" s="167"/>
    </row>
    <row r="1968" spans="1:2" x14ac:dyDescent="0.25">
      <c r="A1968" s="167"/>
      <c r="B1968" s="167"/>
    </row>
    <row r="1969" spans="1:2" x14ac:dyDescent="0.25">
      <c r="A1969" s="167"/>
      <c r="B1969" s="167"/>
    </row>
    <row r="1970" spans="1:2" x14ac:dyDescent="0.25">
      <c r="A1970" s="167"/>
      <c r="B1970" s="167"/>
    </row>
    <row r="1971" spans="1:2" x14ac:dyDescent="0.25">
      <c r="A1971" s="167"/>
      <c r="B1971" s="167"/>
    </row>
    <row r="1972" spans="1:2" x14ac:dyDescent="0.25">
      <c r="A1972" s="167"/>
      <c r="B1972" s="167"/>
    </row>
    <row r="1973" spans="1:2" x14ac:dyDescent="0.25">
      <c r="A1973" s="167"/>
      <c r="B1973" s="167"/>
    </row>
    <row r="1974" spans="1:2" x14ac:dyDescent="0.25">
      <c r="A1974" s="167"/>
      <c r="B1974" s="167"/>
    </row>
    <row r="1975" spans="1:2" x14ac:dyDescent="0.25">
      <c r="A1975" s="167"/>
      <c r="B1975" s="167"/>
    </row>
    <row r="1976" spans="1:2" x14ac:dyDescent="0.25">
      <c r="A1976" s="167"/>
      <c r="B1976" s="167"/>
    </row>
    <row r="1977" spans="1:2" x14ac:dyDescent="0.25">
      <c r="A1977" s="167"/>
      <c r="B1977" s="167"/>
    </row>
    <row r="1978" spans="1:2" x14ac:dyDescent="0.25">
      <c r="A1978" s="167"/>
      <c r="B1978" s="167"/>
    </row>
    <row r="1979" spans="1:2" x14ac:dyDescent="0.25">
      <c r="A1979" s="167"/>
      <c r="B1979" s="167"/>
    </row>
    <row r="1980" spans="1:2" x14ac:dyDescent="0.25">
      <c r="A1980" s="167"/>
      <c r="B1980" s="167"/>
    </row>
    <row r="1981" spans="1:2" x14ac:dyDescent="0.25">
      <c r="A1981" s="167"/>
      <c r="B1981" s="167"/>
    </row>
    <row r="1982" spans="1:2" x14ac:dyDescent="0.25">
      <c r="A1982" s="167"/>
      <c r="B1982" s="167"/>
    </row>
    <row r="1983" spans="1:2" x14ac:dyDescent="0.25">
      <c r="A1983" s="167"/>
      <c r="B1983" s="167"/>
    </row>
    <row r="1984" spans="1:2" x14ac:dyDescent="0.25">
      <c r="A1984" s="167"/>
      <c r="B1984" s="167"/>
    </row>
    <row r="1985" spans="1:2" x14ac:dyDescent="0.25">
      <c r="A1985" s="167"/>
      <c r="B1985" s="167"/>
    </row>
    <row r="1986" spans="1:2" x14ac:dyDescent="0.25">
      <c r="A1986" s="167"/>
      <c r="B1986" s="167"/>
    </row>
    <row r="1987" spans="1:2" x14ac:dyDescent="0.25">
      <c r="A1987" s="167"/>
      <c r="B1987" s="167"/>
    </row>
    <row r="1988" spans="1:2" x14ac:dyDescent="0.25">
      <c r="A1988" s="167"/>
      <c r="B1988" s="167"/>
    </row>
    <row r="1989" spans="1:2" x14ac:dyDescent="0.25">
      <c r="A1989" s="167"/>
      <c r="B1989" s="167"/>
    </row>
    <row r="1990" spans="1:2" x14ac:dyDescent="0.25">
      <c r="A1990" s="167"/>
      <c r="B1990" s="167"/>
    </row>
    <row r="1991" spans="1:2" x14ac:dyDescent="0.25">
      <c r="A1991" s="167"/>
      <c r="B1991" s="167"/>
    </row>
    <row r="1992" spans="1:2" x14ac:dyDescent="0.25">
      <c r="A1992" s="167"/>
      <c r="B1992" s="167"/>
    </row>
    <row r="1993" spans="1:2" x14ac:dyDescent="0.25">
      <c r="A1993" s="167"/>
      <c r="B1993" s="167"/>
    </row>
    <row r="1994" spans="1:2" x14ac:dyDescent="0.25">
      <c r="A1994" s="167"/>
      <c r="B1994" s="167"/>
    </row>
    <row r="1995" spans="1:2" x14ac:dyDescent="0.25">
      <c r="A1995" s="167"/>
      <c r="B1995" s="167"/>
    </row>
    <row r="1996" spans="1:2" x14ac:dyDescent="0.25">
      <c r="A1996" s="167"/>
      <c r="B1996" s="167"/>
    </row>
    <row r="1997" spans="1:2" x14ac:dyDescent="0.25">
      <c r="A1997" s="167"/>
      <c r="B1997" s="167"/>
    </row>
    <row r="1998" spans="1:2" x14ac:dyDescent="0.25">
      <c r="A1998" s="167"/>
      <c r="B1998" s="167"/>
    </row>
    <row r="1999" spans="1:2" x14ac:dyDescent="0.25">
      <c r="A1999" s="167"/>
      <c r="B1999" s="167"/>
    </row>
    <row r="2000" spans="1:2" x14ac:dyDescent="0.25">
      <c r="A2000" s="167"/>
      <c r="B2000" s="167"/>
    </row>
    <row r="2001" spans="1:2" x14ac:dyDescent="0.25">
      <c r="A2001" s="167"/>
      <c r="B2001" s="167"/>
    </row>
    <row r="2002" spans="1:2" x14ac:dyDescent="0.25">
      <c r="A2002" s="167"/>
      <c r="B2002" s="167"/>
    </row>
    <row r="2003" spans="1:2" x14ac:dyDescent="0.25">
      <c r="A2003" s="167"/>
      <c r="B2003" s="167"/>
    </row>
    <row r="2004" spans="1:2" x14ac:dyDescent="0.25">
      <c r="A2004" s="167"/>
      <c r="B2004" s="167"/>
    </row>
    <row r="2005" spans="1:2" x14ac:dyDescent="0.25">
      <c r="A2005" s="167"/>
      <c r="B2005" s="167"/>
    </row>
    <row r="2006" spans="1:2" x14ac:dyDescent="0.25">
      <c r="A2006" s="167"/>
      <c r="B2006" s="167"/>
    </row>
    <row r="2007" spans="1:2" x14ac:dyDescent="0.25">
      <c r="A2007" s="167"/>
      <c r="B2007" s="167"/>
    </row>
    <row r="2008" spans="1:2" x14ac:dyDescent="0.25">
      <c r="A2008" s="167"/>
      <c r="B2008" s="167"/>
    </row>
    <row r="2009" spans="1:2" x14ac:dyDescent="0.25">
      <c r="A2009" s="167"/>
      <c r="B2009" s="167"/>
    </row>
    <row r="2010" spans="1:2" x14ac:dyDescent="0.25">
      <c r="A2010" s="167"/>
      <c r="B2010" s="167"/>
    </row>
    <row r="2011" spans="1:2" x14ac:dyDescent="0.25">
      <c r="A2011" s="167"/>
      <c r="B2011" s="167"/>
    </row>
    <row r="2012" spans="1:2" x14ac:dyDescent="0.25">
      <c r="A2012" s="167"/>
      <c r="B2012" s="167"/>
    </row>
    <row r="2013" spans="1:2" x14ac:dyDescent="0.25">
      <c r="A2013" s="167"/>
      <c r="B2013" s="167"/>
    </row>
    <row r="2014" spans="1:2" x14ac:dyDescent="0.25">
      <c r="A2014" s="167"/>
      <c r="B2014" s="167"/>
    </row>
    <row r="2015" spans="1:2" x14ac:dyDescent="0.25">
      <c r="A2015" s="167"/>
      <c r="B2015" s="167"/>
    </row>
    <row r="2016" spans="1:2" x14ac:dyDescent="0.25">
      <c r="A2016" s="167"/>
      <c r="B2016" s="167"/>
    </row>
    <row r="2017" spans="1:2" x14ac:dyDescent="0.25">
      <c r="A2017" s="167"/>
      <c r="B2017" s="167"/>
    </row>
    <row r="2018" spans="1:2" x14ac:dyDescent="0.25">
      <c r="A2018" s="167"/>
      <c r="B2018" s="167"/>
    </row>
    <row r="2019" spans="1:2" x14ac:dyDescent="0.25">
      <c r="A2019" s="167"/>
      <c r="B2019" s="167"/>
    </row>
    <row r="2020" spans="1:2" x14ac:dyDescent="0.25">
      <c r="A2020" s="167"/>
      <c r="B2020" s="167"/>
    </row>
    <row r="2021" spans="1:2" x14ac:dyDescent="0.25">
      <c r="A2021" s="167"/>
      <c r="B2021" s="167"/>
    </row>
    <row r="2022" spans="1:2" x14ac:dyDescent="0.25">
      <c r="A2022" s="167"/>
      <c r="B2022" s="167"/>
    </row>
    <row r="2023" spans="1:2" x14ac:dyDescent="0.25">
      <c r="A2023" s="167"/>
      <c r="B2023" s="167"/>
    </row>
    <row r="2024" spans="1:2" x14ac:dyDescent="0.25">
      <c r="A2024" s="167"/>
      <c r="B2024" s="167"/>
    </row>
    <row r="2025" spans="1:2" x14ac:dyDescent="0.25">
      <c r="A2025" s="167"/>
      <c r="B2025" s="167"/>
    </row>
    <row r="2026" spans="1:2" x14ac:dyDescent="0.25">
      <c r="A2026" s="167"/>
      <c r="B2026" s="167"/>
    </row>
    <row r="2027" spans="1:2" x14ac:dyDescent="0.25">
      <c r="A2027" s="167"/>
      <c r="B2027" s="167"/>
    </row>
    <row r="2028" spans="1:2" x14ac:dyDescent="0.25">
      <c r="A2028" s="167"/>
      <c r="B2028" s="167"/>
    </row>
    <row r="2029" spans="1:2" x14ac:dyDescent="0.25">
      <c r="A2029" s="167"/>
      <c r="B2029" s="167"/>
    </row>
    <row r="2030" spans="1:2" x14ac:dyDescent="0.25">
      <c r="A2030" s="167"/>
      <c r="B2030" s="167"/>
    </row>
    <row r="2031" spans="1:2" x14ac:dyDescent="0.25">
      <c r="A2031" s="167"/>
      <c r="B2031" s="167"/>
    </row>
    <row r="2032" spans="1:2" x14ac:dyDescent="0.25">
      <c r="A2032" s="167"/>
      <c r="B2032" s="167"/>
    </row>
    <row r="2033" spans="1:2" x14ac:dyDescent="0.25">
      <c r="A2033" s="167"/>
      <c r="B2033" s="167"/>
    </row>
    <row r="2034" spans="1:2" x14ac:dyDescent="0.25">
      <c r="A2034" s="167"/>
      <c r="B2034" s="167"/>
    </row>
    <row r="2035" spans="1:2" x14ac:dyDescent="0.25">
      <c r="A2035" s="167"/>
      <c r="B2035" s="167"/>
    </row>
    <row r="2036" spans="1:2" x14ac:dyDescent="0.25">
      <c r="A2036" s="167"/>
      <c r="B2036" s="167"/>
    </row>
    <row r="2037" spans="1:2" x14ac:dyDescent="0.25">
      <c r="A2037" s="167"/>
      <c r="B2037" s="167"/>
    </row>
    <row r="2038" spans="1:2" x14ac:dyDescent="0.25">
      <c r="A2038" s="167"/>
      <c r="B2038" s="167"/>
    </row>
    <row r="2039" spans="1:2" x14ac:dyDescent="0.25">
      <c r="A2039" s="167"/>
      <c r="B2039" s="167"/>
    </row>
    <row r="2040" spans="1:2" x14ac:dyDescent="0.25">
      <c r="A2040" s="167"/>
      <c r="B2040" s="167"/>
    </row>
    <row r="2041" spans="1:2" x14ac:dyDescent="0.25">
      <c r="A2041" s="167"/>
      <c r="B2041" s="167"/>
    </row>
    <row r="2042" spans="1:2" x14ac:dyDescent="0.25">
      <c r="A2042" s="167"/>
      <c r="B2042" s="167"/>
    </row>
    <row r="2043" spans="1:2" x14ac:dyDescent="0.25">
      <c r="A2043" s="167"/>
      <c r="B2043" s="167"/>
    </row>
    <row r="2044" spans="1:2" x14ac:dyDescent="0.25">
      <c r="A2044" s="167"/>
      <c r="B2044" s="167"/>
    </row>
    <row r="2045" spans="1:2" x14ac:dyDescent="0.25">
      <c r="A2045" s="167"/>
      <c r="B2045" s="167"/>
    </row>
    <row r="2046" spans="1:2" x14ac:dyDescent="0.25">
      <c r="A2046" s="167"/>
      <c r="B2046" s="167"/>
    </row>
    <row r="2047" spans="1:2" x14ac:dyDescent="0.25">
      <c r="A2047" s="167"/>
      <c r="B2047" s="167"/>
    </row>
    <row r="2048" spans="1:2" x14ac:dyDescent="0.25">
      <c r="A2048" s="167"/>
      <c r="B2048" s="167"/>
    </row>
    <row r="2049" spans="1:2" x14ac:dyDescent="0.25">
      <c r="A2049" s="167"/>
      <c r="B2049" s="167"/>
    </row>
    <row r="2050" spans="1:2" x14ac:dyDescent="0.25">
      <c r="A2050" s="167"/>
      <c r="B2050" s="167"/>
    </row>
    <row r="2051" spans="1:2" x14ac:dyDescent="0.25">
      <c r="A2051" s="167"/>
      <c r="B2051" s="167"/>
    </row>
    <row r="2052" spans="1:2" x14ac:dyDescent="0.25">
      <c r="A2052" s="167"/>
      <c r="B2052" s="167"/>
    </row>
    <row r="2053" spans="1:2" x14ac:dyDescent="0.25">
      <c r="A2053" s="167"/>
      <c r="B2053" s="167"/>
    </row>
    <row r="2054" spans="1:2" x14ac:dyDescent="0.25">
      <c r="A2054" s="167"/>
      <c r="B2054" s="167"/>
    </row>
    <row r="2055" spans="1:2" x14ac:dyDescent="0.25">
      <c r="A2055" s="167"/>
      <c r="B2055" s="167"/>
    </row>
    <row r="2056" spans="1:2" x14ac:dyDescent="0.25">
      <c r="A2056" s="167"/>
      <c r="B2056" s="167"/>
    </row>
    <row r="2057" spans="1:2" x14ac:dyDescent="0.25">
      <c r="A2057" s="167"/>
      <c r="B2057" s="167"/>
    </row>
    <row r="2058" spans="1:2" x14ac:dyDescent="0.25">
      <c r="A2058" s="167"/>
      <c r="B2058" s="167"/>
    </row>
    <row r="2059" spans="1:2" x14ac:dyDescent="0.25">
      <c r="A2059" s="167"/>
      <c r="B2059" s="167"/>
    </row>
    <row r="2060" spans="1:2" x14ac:dyDescent="0.25">
      <c r="A2060" s="167"/>
      <c r="B2060" s="167"/>
    </row>
    <row r="2061" spans="1:2" x14ac:dyDescent="0.25">
      <c r="A2061" s="167"/>
      <c r="B2061" s="167"/>
    </row>
    <row r="2062" spans="1:2" x14ac:dyDescent="0.25">
      <c r="A2062" s="167"/>
      <c r="B2062" s="167"/>
    </row>
    <row r="2063" spans="1:2" x14ac:dyDescent="0.25">
      <c r="A2063" s="167"/>
      <c r="B2063" s="167"/>
    </row>
    <row r="2064" spans="1:2" x14ac:dyDescent="0.25">
      <c r="A2064" s="167"/>
      <c r="B2064" s="167"/>
    </row>
    <row r="2065" spans="1:2" x14ac:dyDescent="0.25">
      <c r="A2065" s="167"/>
      <c r="B2065" s="167"/>
    </row>
    <row r="2066" spans="1:2" x14ac:dyDescent="0.25">
      <c r="A2066" s="167"/>
      <c r="B2066" s="167"/>
    </row>
    <row r="2067" spans="1:2" x14ac:dyDescent="0.25">
      <c r="A2067" s="167"/>
      <c r="B2067" s="167"/>
    </row>
    <row r="2068" spans="1:2" x14ac:dyDescent="0.25">
      <c r="A2068" s="167"/>
      <c r="B2068" s="167"/>
    </row>
    <row r="2069" spans="1:2" x14ac:dyDescent="0.25">
      <c r="A2069" s="167"/>
      <c r="B2069" s="167"/>
    </row>
    <row r="2070" spans="1:2" x14ac:dyDescent="0.25">
      <c r="A2070" s="167"/>
      <c r="B2070" s="167"/>
    </row>
    <row r="2071" spans="1:2" x14ac:dyDescent="0.25">
      <c r="A2071" s="167"/>
      <c r="B2071" s="167"/>
    </row>
    <row r="2072" spans="1:2" x14ac:dyDescent="0.25">
      <c r="A2072" s="167"/>
      <c r="B2072" s="167"/>
    </row>
    <row r="2073" spans="1:2" x14ac:dyDescent="0.25">
      <c r="A2073" s="167"/>
      <c r="B2073" s="167"/>
    </row>
    <row r="2074" spans="1:2" x14ac:dyDescent="0.25">
      <c r="A2074" s="167"/>
      <c r="B2074" s="167"/>
    </row>
    <row r="2075" spans="1:2" x14ac:dyDescent="0.25">
      <c r="A2075" s="167"/>
      <c r="B2075" s="167"/>
    </row>
    <row r="2076" spans="1:2" x14ac:dyDescent="0.25">
      <c r="A2076" s="167"/>
      <c r="B2076" s="167"/>
    </row>
    <row r="2077" spans="1:2" x14ac:dyDescent="0.25">
      <c r="A2077" s="167"/>
      <c r="B2077" s="167"/>
    </row>
    <row r="2078" spans="1:2" x14ac:dyDescent="0.25">
      <c r="A2078" s="167"/>
      <c r="B2078" s="167"/>
    </row>
    <row r="2079" spans="1:2" x14ac:dyDescent="0.25">
      <c r="A2079" s="167"/>
      <c r="B2079" s="167"/>
    </row>
    <row r="2080" spans="1:2" x14ac:dyDescent="0.25">
      <c r="A2080" s="167"/>
      <c r="B2080" s="167"/>
    </row>
    <row r="2081" spans="1:2" x14ac:dyDescent="0.25">
      <c r="A2081" s="167"/>
      <c r="B2081" s="167"/>
    </row>
    <row r="2082" spans="1:2" x14ac:dyDescent="0.25">
      <c r="A2082" s="167"/>
      <c r="B2082" s="167"/>
    </row>
    <row r="2083" spans="1:2" x14ac:dyDescent="0.25">
      <c r="A2083" s="167"/>
      <c r="B2083" s="167"/>
    </row>
    <row r="2084" spans="1:2" x14ac:dyDescent="0.25">
      <c r="A2084" s="167"/>
      <c r="B2084" s="167"/>
    </row>
    <row r="2085" spans="1:2" x14ac:dyDescent="0.25">
      <c r="A2085" s="167"/>
      <c r="B2085" s="167"/>
    </row>
    <row r="2086" spans="1:2" x14ac:dyDescent="0.25">
      <c r="A2086" s="167"/>
      <c r="B2086" s="167"/>
    </row>
    <row r="2087" spans="1:2" x14ac:dyDescent="0.25">
      <c r="A2087" s="167"/>
      <c r="B2087" s="167"/>
    </row>
    <row r="2088" spans="1:2" x14ac:dyDescent="0.25">
      <c r="A2088" s="167"/>
      <c r="B2088" s="167"/>
    </row>
    <row r="2089" spans="1:2" x14ac:dyDescent="0.25">
      <c r="A2089" s="167"/>
      <c r="B2089" s="167"/>
    </row>
    <row r="2090" spans="1:2" x14ac:dyDescent="0.25">
      <c r="A2090" s="167"/>
      <c r="B2090" s="167"/>
    </row>
    <row r="2091" spans="1:2" x14ac:dyDescent="0.25">
      <c r="A2091" s="167"/>
      <c r="B2091" s="167"/>
    </row>
    <row r="2092" spans="1:2" x14ac:dyDescent="0.25">
      <c r="A2092" s="167"/>
      <c r="B2092" s="167"/>
    </row>
    <row r="2093" spans="1:2" x14ac:dyDescent="0.25">
      <c r="A2093" s="167"/>
      <c r="B2093" s="167"/>
    </row>
    <row r="2094" spans="1:2" x14ac:dyDescent="0.25">
      <c r="A2094" s="167"/>
      <c r="B2094" s="167"/>
    </row>
    <row r="2095" spans="1:2" x14ac:dyDescent="0.25">
      <c r="A2095" s="167"/>
      <c r="B2095" s="167"/>
    </row>
    <row r="2096" spans="1:2" x14ac:dyDescent="0.25">
      <c r="A2096" s="167"/>
      <c r="B2096" s="167"/>
    </row>
    <row r="2097" spans="1:2" x14ac:dyDescent="0.25">
      <c r="A2097" s="167"/>
      <c r="B2097" s="167"/>
    </row>
    <row r="2098" spans="1:2" x14ac:dyDescent="0.25">
      <c r="A2098" s="167"/>
      <c r="B2098" s="167"/>
    </row>
    <row r="2099" spans="1:2" x14ac:dyDescent="0.25">
      <c r="A2099" s="167"/>
      <c r="B2099" s="167"/>
    </row>
    <row r="2100" spans="1:2" x14ac:dyDescent="0.25">
      <c r="A2100" s="167"/>
      <c r="B2100" s="167"/>
    </row>
    <row r="2101" spans="1:2" x14ac:dyDescent="0.25">
      <c r="A2101" s="167"/>
      <c r="B2101" s="167"/>
    </row>
    <row r="2102" spans="1:2" x14ac:dyDescent="0.25">
      <c r="A2102" s="167"/>
      <c r="B2102" s="167"/>
    </row>
    <row r="2103" spans="1:2" x14ac:dyDescent="0.25">
      <c r="A2103" s="167"/>
      <c r="B2103" s="167"/>
    </row>
    <row r="2104" spans="1:2" x14ac:dyDescent="0.25">
      <c r="A2104" s="167"/>
      <c r="B2104" s="167"/>
    </row>
    <row r="2105" spans="1:2" x14ac:dyDescent="0.25">
      <c r="A2105" s="167"/>
      <c r="B2105" s="167"/>
    </row>
    <row r="2106" spans="1:2" x14ac:dyDescent="0.25">
      <c r="A2106" s="167"/>
      <c r="B2106" s="167"/>
    </row>
    <row r="2107" spans="1:2" x14ac:dyDescent="0.25">
      <c r="A2107" s="167"/>
      <c r="B2107" s="167"/>
    </row>
    <row r="2108" spans="1:2" x14ac:dyDescent="0.25">
      <c r="A2108" s="167"/>
      <c r="B2108" s="167"/>
    </row>
    <row r="2109" spans="1:2" x14ac:dyDescent="0.25">
      <c r="A2109" s="167"/>
      <c r="B2109" s="167"/>
    </row>
    <row r="2110" spans="1:2" x14ac:dyDescent="0.25">
      <c r="A2110" s="167"/>
      <c r="B2110" s="167"/>
    </row>
    <row r="2111" spans="1:2" x14ac:dyDescent="0.25">
      <c r="A2111" s="167"/>
      <c r="B2111" s="167"/>
    </row>
    <row r="2112" spans="1:2" x14ac:dyDescent="0.25">
      <c r="A2112" s="167"/>
      <c r="B2112" s="167"/>
    </row>
    <row r="2113" spans="1:2" x14ac:dyDescent="0.25">
      <c r="A2113" s="167"/>
      <c r="B2113" s="167"/>
    </row>
    <row r="2114" spans="1:2" x14ac:dyDescent="0.25">
      <c r="A2114" s="167"/>
      <c r="B2114" s="167"/>
    </row>
    <row r="2115" spans="1:2" x14ac:dyDescent="0.25">
      <c r="A2115" s="167"/>
      <c r="B2115" s="167"/>
    </row>
    <row r="2116" spans="1:2" x14ac:dyDescent="0.25">
      <c r="A2116" s="167"/>
      <c r="B2116" s="167"/>
    </row>
    <row r="2117" spans="1:2" x14ac:dyDescent="0.25">
      <c r="A2117" s="167"/>
      <c r="B2117" s="167"/>
    </row>
    <row r="2118" spans="1:2" x14ac:dyDescent="0.25">
      <c r="A2118" s="167"/>
      <c r="B2118" s="167"/>
    </row>
    <row r="2119" spans="1:2" x14ac:dyDescent="0.25">
      <c r="A2119" s="167"/>
      <c r="B2119" s="167"/>
    </row>
    <row r="2120" spans="1:2" x14ac:dyDescent="0.25">
      <c r="A2120" s="167"/>
      <c r="B2120" s="167"/>
    </row>
    <row r="2121" spans="1:2" x14ac:dyDescent="0.25">
      <c r="A2121" s="167"/>
      <c r="B2121" s="167"/>
    </row>
    <row r="2122" spans="1:2" x14ac:dyDescent="0.25">
      <c r="A2122" s="167"/>
      <c r="B2122" s="167"/>
    </row>
    <row r="2123" spans="1:2" x14ac:dyDescent="0.25">
      <c r="A2123" s="167"/>
      <c r="B2123" s="167"/>
    </row>
    <row r="2124" spans="1:2" x14ac:dyDescent="0.25">
      <c r="A2124" s="167"/>
      <c r="B2124" s="167"/>
    </row>
    <row r="2125" spans="1:2" x14ac:dyDescent="0.25">
      <c r="A2125" s="167"/>
      <c r="B2125" s="167"/>
    </row>
    <row r="2126" spans="1:2" x14ac:dyDescent="0.25">
      <c r="A2126" s="167"/>
      <c r="B2126" s="167"/>
    </row>
    <row r="2127" spans="1:2" x14ac:dyDescent="0.25">
      <c r="A2127" s="167"/>
      <c r="B2127" s="167"/>
    </row>
    <row r="2128" spans="1:2" x14ac:dyDescent="0.25">
      <c r="A2128" s="167"/>
      <c r="B2128" s="167"/>
    </row>
    <row r="2129" spans="1:2" x14ac:dyDescent="0.25">
      <c r="A2129" s="167"/>
      <c r="B2129" s="167"/>
    </row>
    <row r="2130" spans="1:2" x14ac:dyDescent="0.25">
      <c r="A2130" s="167"/>
      <c r="B2130" s="167"/>
    </row>
    <row r="2131" spans="1:2" x14ac:dyDescent="0.25">
      <c r="A2131" s="167"/>
      <c r="B2131" s="167"/>
    </row>
    <row r="2132" spans="1:2" x14ac:dyDescent="0.25">
      <c r="A2132" s="167"/>
      <c r="B2132" s="167"/>
    </row>
    <row r="2133" spans="1:2" x14ac:dyDescent="0.25">
      <c r="A2133" s="167"/>
      <c r="B2133" s="167"/>
    </row>
    <row r="2134" spans="1:2" x14ac:dyDescent="0.25">
      <c r="A2134" s="167"/>
      <c r="B2134" s="167"/>
    </row>
    <row r="2135" spans="1:2" x14ac:dyDescent="0.25">
      <c r="A2135" s="167"/>
      <c r="B2135" s="167"/>
    </row>
    <row r="2136" spans="1:2" x14ac:dyDescent="0.25">
      <c r="A2136" s="167"/>
      <c r="B2136" s="167"/>
    </row>
    <row r="2137" spans="1:2" x14ac:dyDescent="0.25">
      <c r="A2137" s="167"/>
      <c r="B2137" s="167"/>
    </row>
    <row r="2138" spans="1:2" x14ac:dyDescent="0.25">
      <c r="A2138" s="167"/>
      <c r="B2138" s="167"/>
    </row>
    <row r="2139" spans="1:2" x14ac:dyDescent="0.25">
      <c r="A2139" s="167"/>
      <c r="B2139" s="167"/>
    </row>
    <row r="2140" spans="1:2" x14ac:dyDescent="0.25">
      <c r="A2140" s="167"/>
      <c r="B2140" s="167"/>
    </row>
    <row r="2141" spans="1:2" x14ac:dyDescent="0.25">
      <c r="A2141" s="167"/>
      <c r="B2141" s="167"/>
    </row>
    <row r="2142" spans="1:2" x14ac:dyDescent="0.25">
      <c r="A2142" s="167"/>
      <c r="B2142" s="167"/>
    </row>
    <row r="2143" spans="1:2" x14ac:dyDescent="0.25">
      <c r="A2143" s="167"/>
      <c r="B2143" s="167"/>
    </row>
    <row r="2144" spans="1:2" x14ac:dyDescent="0.25">
      <c r="A2144" s="167"/>
      <c r="B2144" s="167"/>
    </row>
    <row r="2145" spans="1:2" x14ac:dyDescent="0.25">
      <c r="A2145" s="167"/>
      <c r="B2145" s="167"/>
    </row>
    <row r="2146" spans="1:2" x14ac:dyDescent="0.25">
      <c r="A2146" s="167"/>
      <c r="B2146" s="167"/>
    </row>
    <row r="2147" spans="1:2" x14ac:dyDescent="0.25">
      <c r="A2147" s="167"/>
      <c r="B2147" s="167"/>
    </row>
    <row r="2148" spans="1:2" x14ac:dyDescent="0.25">
      <c r="A2148" s="167"/>
      <c r="B2148" s="167"/>
    </row>
    <row r="2149" spans="1:2" x14ac:dyDescent="0.25">
      <c r="A2149" s="167"/>
      <c r="B2149" s="167"/>
    </row>
    <row r="2150" spans="1:2" x14ac:dyDescent="0.25">
      <c r="A2150" s="167"/>
      <c r="B2150" s="167"/>
    </row>
    <row r="2151" spans="1:2" x14ac:dyDescent="0.25">
      <c r="A2151" s="167"/>
      <c r="B2151" s="167"/>
    </row>
    <row r="2152" spans="1:2" x14ac:dyDescent="0.25">
      <c r="A2152" s="167"/>
      <c r="B2152" s="167"/>
    </row>
    <row r="2153" spans="1:2" x14ac:dyDescent="0.25">
      <c r="A2153" s="167"/>
      <c r="B2153" s="167"/>
    </row>
    <row r="2154" spans="1:2" x14ac:dyDescent="0.25">
      <c r="A2154" s="167"/>
      <c r="B2154" s="167"/>
    </row>
    <row r="2155" spans="1:2" x14ac:dyDescent="0.25">
      <c r="A2155" s="167"/>
      <c r="B2155" s="167"/>
    </row>
    <row r="2156" spans="1:2" x14ac:dyDescent="0.25">
      <c r="A2156" s="167"/>
      <c r="B2156" s="167"/>
    </row>
    <row r="2157" spans="1:2" x14ac:dyDescent="0.25">
      <c r="A2157" s="167"/>
      <c r="B2157" s="167"/>
    </row>
    <row r="2158" spans="1:2" x14ac:dyDescent="0.25">
      <c r="A2158" s="167"/>
      <c r="B2158" s="167"/>
    </row>
    <row r="2159" spans="1:2" x14ac:dyDescent="0.25">
      <c r="A2159" s="167"/>
      <c r="B2159" s="167"/>
    </row>
    <row r="2160" spans="1:2" x14ac:dyDescent="0.25">
      <c r="A2160" s="167"/>
      <c r="B2160" s="167"/>
    </row>
    <row r="2161" spans="1:2" x14ac:dyDescent="0.25">
      <c r="A2161" s="167"/>
      <c r="B2161" s="167"/>
    </row>
    <row r="2162" spans="1:2" x14ac:dyDescent="0.25">
      <c r="A2162" s="167"/>
      <c r="B2162" s="167"/>
    </row>
    <row r="2163" spans="1:2" x14ac:dyDescent="0.25">
      <c r="A2163" s="167"/>
      <c r="B2163" s="167"/>
    </row>
    <row r="2164" spans="1:2" x14ac:dyDescent="0.25">
      <c r="A2164" s="167"/>
      <c r="B2164" s="167"/>
    </row>
    <row r="2165" spans="1:2" x14ac:dyDescent="0.25">
      <c r="A2165" s="167"/>
      <c r="B2165" s="167"/>
    </row>
    <row r="2166" spans="1:2" x14ac:dyDescent="0.25">
      <c r="A2166" s="167"/>
      <c r="B2166" s="167"/>
    </row>
    <row r="2167" spans="1:2" x14ac:dyDescent="0.25">
      <c r="A2167" s="167"/>
      <c r="B2167" s="167"/>
    </row>
    <row r="2168" spans="1:2" x14ac:dyDescent="0.25">
      <c r="A2168" s="167"/>
      <c r="B2168" s="167"/>
    </row>
    <row r="2169" spans="1:2" x14ac:dyDescent="0.25">
      <c r="A2169" s="167"/>
      <c r="B2169" s="167"/>
    </row>
    <row r="2170" spans="1:2" x14ac:dyDescent="0.25">
      <c r="A2170" s="167"/>
      <c r="B2170" s="167"/>
    </row>
    <row r="2171" spans="1:2" x14ac:dyDescent="0.25">
      <c r="A2171" s="167"/>
      <c r="B2171" s="167"/>
    </row>
    <row r="2172" spans="1:2" x14ac:dyDescent="0.25">
      <c r="A2172" s="167"/>
      <c r="B2172" s="167"/>
    </row>
    <row r="2173" spans="1:2" x14ac:dyDescent="0.25">
      <c r="A2173" s="167"/>
      <c r="B2173" s="167"/>
    </row>
    <row r="2174" spans="1:2" x14ac:dyDescent="0.25">
      <c r="A2174" s="167"/>
      <c r="B2174" s="167"/>
    </row>
    <row r="2175" spans="1:2" x14ac:dyDescent="0.25">
      <c r="A2175" s="167"/>
      <c r="B2175" s="167"/>
    </row>
    <row r="2176" spans="1:2" x14ac:dyDescent="0.25">
      <c r="A2176" s="167"/>
      <c r="B2176" s="167"/>
    </row>
    <row r="2177" spans="1:2" x14ac:dyDescent="0.25">
      <c r="A2177" s="167"/>
      <c r="B2177" s="167"/>
    </row>
    <row r="2178" spans="1:2" x14ac:dyDescent="0.25">
      <c r="A2178" s="167"/>
      <c r="B2178" s="167"/>
    </row>
    <row r="2179" spans="1:2" x14ac:dyDescent="0.25">
      <c r="A2179" s="167"/>
      <c r="B2179" s="167"/>
    </row>
    <row r="2180" spans="1:2" x14ac:dyDescent="0.25">
      <c r="A2180" s="167"/>
      <c r="B2180" s="167"/>
    </row>
    <row r="2181" spans="1:2" x14ac:dyDescent="0.25">
      <c r="A2181" s="167"/>
      <c r="B2181" s="167"/>
    </row>
    <row r="2182" spans="1:2" x14ac:dyDescent="0.25">
      <c r="A2182" s="167"/>
      <c r="B2182" s="167"/>
    </row>
    <row r="2183" spans="1:2" x14ac:dyDescent="0.25">
      <c r="A2183" s="167"/>
      <c r="B2183" s="167"/>
    </row>
    <row r="2184" spans="1:2" x14ac:dyDescent="0.25">
      <c r="A2184" s="167"/>
      <c r="B2184" s="167"/>
    </row>
    <row r="2185" spans="1:2" x14ac:dyDescent="0.25">
      <c r="A2185" s="167"/>
      <c r="B2185" s="167"/>
    </row>
    <row r="2186" spans="1:2" x14ac:dyDescent="0.25">
      <c r="A2186" s="167"/>
      <c r="B2186" s="167"/>
    </row>
    <row r="2187" spans="1:2" x14ac:dyDescent="0.25">
      <c r="A2187" s="167"/>
      <c r="B2187" s="167"/>
    </row>
    <row r="2188" spans="1:2" x14ac:dyDescent="0.25">
      <c r="A2188" s="167"/>
      <c r="B2188" s="167"/>
    </row>
    <row r="2189" spans="1:2" x14ac:dyDescent="0.25">
      <c r="A2189" s="167"/>
      <c r="B2189" s="167"/>
    </row>
    <row r="2190" spans="1:2" x14ac:dyDescent="0.25">
      <c r="A2190" s="167"/>
      <c r="B2190" s="167"/>
    </row>
    <row r="2191" spans="1:2" x14ac:dyDescent="0.25">
      <c r="A2191" s="167"/>
      <c r="B2191" s="167"/>
    </row>
    <row r="2192" spans="1:2" x14ac:dyDescent="0.25">
      <c r="A2192" s="167"/>
      <c r="B2192" s="167"/>
    </row>
    <row r="2193" spans="1:2" x14ac:dyDescent="0.25">
      <c r="A2193" s="167"/>
      <c r="B2193" s="167"/>
    </row>
    <row r="2194" spans="1:2" x14ac:dyDescent="0.25">
      <c r="A2194" s="167"/>
      <c r="B2194" s="167"/>
    </row>
    <row r="2195" spans="1:2" x14ac:dyDescent="0.25">
      <c r="A2195" s="167"/>
      <c r="B2195" s="167"/>
    </row>
    <row r="2196" spans="1:2" x14ac:dyDescent="0.25">
      <c r="A2196" s="167"/>
      <c r="B2196" s="167"/>
    </row>
    <row r="2197" spans="1:2" x14ac:dyDescent="0.25">
      <c r="A2197" s="167"/>
      <c r="B2197" s="167"/>
    </row>
    <row r="2198" spans="1:2" x14ac:dyDescent="0.25">
      <c r="A2198" s="167"/>
      <c r="B2198" s="167"/>
    </row>
    <row r="2199" spans="1:2" x14ac:dyDescent="0.25">
      <c r="A2199" s="167"/>
      <c r="B2199" s="167"/>
    </row>
    <row r="2200" spans="1:2" x14ac:dyDescent="0.25">
      <c r="A2200" s="167"/>
      <c r="B2200" s="167"/>
    </row>
    <row r="2201" spans="1:2" x14ac:dyDescent="0.25">
      <c r="A2201" s="167"/>
      <c r="B2201" s="167"/>
    </row>
    <row r="2202" spans="1:2" x14ac:dyDescent="0.25">
      <c r="A2202" s="167"/>
      <c r="B2202" s="167"/>
    </row>
    <row r="2203" spans="1:2" x14ac:dyDescent="0.25">
      <c r="A2203" s="167"/>
      <c r="B2203" s="167"/>
    </row>
    <row r="2204" spans="1:2" x14ac:dyDescent="0.25">
      <c r="A2204" s="167"/>
      <c r="B2204" s="167"/>
    </row>
    <row r="2205" spans="1:2" x14ac:dyDescent="0.25">
      <c r="A2205" s="167"/>
      <c r="B2205" s="167"/>
    </row>
    <row r="2206" spans="1:2" x14ac:dyDescent="0.25">
      <c r="A2206" s="167"/>
      <c r="B2206" s="167"/>
    </row>
    <row r="2207" spans="1:2" x14ac:dyDescent="0.25">
      <c r="A2207" s="167"/>
      <c r="B2207" s="167"/>
    </row>
    <row r="2208" spans="1:2" x14ac:dyDescent="0.25">
      <c r="A2208" s="167"/>
      <c r="B2208" s="167"/>
    </row>
    <row r="2209" spans="1:2" x14ac:dyDescent="0.25">
      <c r="A2209" s="167"/>
      <c r="B2209" s="167"/>
    </row>
    <row r="2210" spans="1:2" x14ac:dyDescent="0.25">
      <c r="A2210" s="167"/>
      <c r="B2210" s="167"/>
    </row>
    <row r="2211" spans="1:2" x14ac:dyDescent="0.25">
      <c r="A2211" s="167"/>
      <c r="B2211" s="167"/>
    </row>
    <row r="2212" spans="1:2" x14ac:dyDescent="0.25">
      <c r="A2212" s="167"/>
      <c r="B2212" s="167"/>
    </row>
    <row r="2213" spans="1:2" x14ac:dyDescent="0.25">
      <c r="A2213" s="167"/>
      <c r="B2213" s="167"/>
    </row>
    <row r="2214" spans="1:2" x14ac:dyDescent="0.25">
      <c r="A2214" s="167"/>
      <c r="B2214" s="167"/>
    </row>
    <row r="2215" spans="1:2" x14ac:dyDescent="0.25">
      <c r="A2215" s="167"/>
      <c r="B2215" s="167"/>
    </row>
    <row r="2216" spans="1:2" x14ac:dyDescent="0.25">
      <c r="A2216" s="167"/>
      <c r="B2216" s="167"/>
    </row>
    <row r="2217" spans="1:2" x14ac:dyDescent="0.25">
      <c r="A2217" s="167"/>
      <c r="B2217" s="167"/>
    </row>
    <row r="2218" spans="1:2" x14ac:dyDescent="0.25">
      <c r="A2218" s="167"/>
      <c r="B2218" s="167"/>
    </row>
    <row r="2219" spans="1:2" x14ac:dyDescent="0.25">
      <c r="A2219" s="167"/>
      <c r="B2219" s="167"/>
    </row>
    <row r="2220" spans="1:2" x14ac:dyDescent="0.25">
      <c r="A2220" s="167"/>
      <c r="B2220" s="167"/>
    </row>
    <row r="2221" spans="1:2" x14ac:dyDescent="0.25">
      <c r="A2221" s="167"/>
      <c r="B2221" s="167"/>
    </row>
    <row r="2222" spans="1:2" x14ac:dyDescent="0.25">
      <c r="A2222" s="167"/>
      <c r="B2222" s="167"/>
    </row>
    <row r="2223" spans="1:2" x14ac:dyDescent="0.25">
      <c r="A2223" s="167"/>
      <c r="B2223" s="167"/>
    </row>
    <row r="2224" spans="1:2" x14ac:dyDescent="0.25">
      <c r="A2224" s="167"/>
      <c r="B2224" s="167"/>
    </row>
    <row r="2225" spans="1:2" x14ac:dyDescent="0.25">
      <c r="A2225" s="167"/>
      <c r="B2225" s="167"/>
    </row>
    <row r="2226" spans="1:2" x14ac:dyDescent="0.25">
      <c r="A2226" s="167"/>
      <c r="B2226" s="167"/>
    </row>
    <row r="2227" spans="1:2" x14ac:dyDescent="0.25">
      <c r="A2227" s="167"/>
      <c r="B2227" s="167"/>
    </row>
    <row r="2228" spans="1:2" x14ac:dyDescent="0.25">
      <c r="A2228" s="167"/>
      <c r="B2228" s="167"/>
    </row>
    <row r="2229" spans="1:2" x14ac:dyDescent="0.25">
      <c r="A2229" s="167"/>
      <c r="B2229" s="167"/>
    </row>
    <row r="2230" spans="1:2" x14ac:dyDescent="0.25">
      <c r="A2230" s="167"/>
      <c r="B2230" s="167"/>
    </row>
    <row r="2231" spans="1:2" x14ac:dyDescent="0.25">
      <c r="A2231" s="167"/>
      <c r="B2231" s="167"/>
    </row>
    <row r="2232" spans="1:2" x14ac:dyDescent="0.25">
      <c r="A2232" s="167"/>
      <c r="B2232" s="167"/>
    </row>
    <row r="2233" spans="1:2" x14ac:dyDescent="0.25">
      <c r="A2233" s="167"/>
      <c r="B2233" s="167"/>
    </row>
    <row r="2234" spans="1:2" x14ac:dyDescent="0.25">
      <c r="A2234" s="167"/>
      <c r="B2234" s="167"/>
    </row>
    <row r="2235" spans="1:2" x14ac:dyDescent="0.25">
      <c r="A2235" s="167"/>
      <c r="B2235" s="167"/>
    </row>
    <row r="2236" spans="1:2" x14ac:dyDescent="0.25">
      <c r="A2236" s="167"/>
      <c r="B2236" s="167"/>
    </row>
    <row r="2237" spans="1:2" x14ac:dyDescent="0.25">
      <c r="A2237" s="167"/>
      <c r="B2237" s="167"/>
    </row>
    <row r="2238" spans="1:2" x14ac:dyDescent="0.25">
      <c r="A2238" s="167"/>
      <c r="B2238" s="167"/>
    </row>
    <row r="2239" spans="1:2" x14ac:dyDescent="0.25">
      <c r="A2239" s="167"/>
      <c r="B2239" s="167"/>
    </row>
    <row r="2240" spans="1:2" x14ac:dyDescent="0.25">
      <c r="A2240" s="167"/>
      <c r="B2240" s="167"/>
    </row>
    <row r="2241" spans="1:2" x14ac:dyDescent="0.25">
      <c r="A2241" s="167"/>
      <c r="B2241" s="167"/>
    </row>
    <row r="2242" spans="1:2" x14ac:dyDescent="0.25">
      <c r="A2242" s="167"/>
      <c r="B2242" s="167"/>
    </row>
    <row r="2243" spans="1:2" x14ac:dyDescent="0.25">
      <c r="A2243" s="167"/>
      <c r="B2243" s="167"/>
    </row>
    <row r="2244" spans="1:2" x14ac:dyDescent="0.25">
      <c r="A2244" s="167"/>
      <c r="B2244" s="167"/>
    </row>
    <row r="2245" spans="1:2" x14ac:dyDescent="0.25">
      <c r="A2245" s="167"/>
      <c r="B2245" s="167"/>
    </row>
    <row r="2246" spans="1:2" x14ac:dyDescent="0.25">
      <c r="A2246" s="167"/>
      <c r="B2246" s="167"/>
    </row>
    <row r="2247" spans="1:2" x14ac:dyDescent="0.25">
      <c r="A2247" s="167"/>
      <c r="B2247" s="167"/>
    </row>
    <row r="2248" spans="1:2" x14ac:dyDescent="0.25">
      <c r="A2248" s="167"/>
      <c r="B2248" s="167"/>
    </row>
    <row r="2249" spans="1:2" x14ac:dyDescent="0.25">
      <c r="A2249" s="167"/>
      <c r="B2249" s="167"/>
    </row>
    <row r="2250" spans="1:2" x14ac:dyDescent="0.25">
      <c r="A2250" s="167"/>
      <c r="B2250" s="167"/>
    </row>
    <row r="2251" spans="1:2" x14ac:dyDescent="0.25">
      <c r="A2251" s="167"/>
      <c r="B2251" s="167"/>
    </row>
    <row r="2252" spans="1:2" x14ac:dyDescent="0.25">
      <c r="A2252" s="167"/>
      <c r="B2252" s="167"/>
    </row>
    <row r="2253" spans="1:2" x14ac:dyDescent="0.25">
      <c r="A2253" s="167"/>
      <c r="B2253" s="167"/>
    </row>
    <row r="2254" spans="1:2" x14ac:dyDescent="0.25">
      <c r="A2254" s="167"/>
      <c r="B2254" s="167"/>
    </row>
    <row r="2255" spans="1:2" x14ac:dyDescent="0.25">
      <c r="A2255" s="167"/>
      <c r="B2255" s="167"/>
    </row>
    <row r="2256" spans="1:2" x14ac:dyDescent="0.25">
      <c r="A2256" s="167"/>
      <c r="B2256" s="167"/>
    </row>
    <row r="2257" spans="1:2" x14ac:dyDescent="0.25">
      <c r="A2257" s="167"/>
      <c r="B2257" s="167"/>
    </row>
    <row r="2258" spans="1:2" x14ac:dyDescent="0.25">
      <c r="A2258" s="167"/>
      <c r="B2258" s="167"/>
    </row>
    <row r="2259" spans="1:2" x14ac:dyDescent="0.25">
      <c r="A2259" s="167"/>
      <c r="B2259" s="167"/>
    </row>
    <row r="2260" spans="1:2" x14ac:dyDescent="0.25">
      <c r="A2260" s="167"/>
      <c r="B2260" s="167"/>
    </row>
    <row r="2261" spans="1:2" x14ac:dyDescent="0.25">
      <c r="A2261" s="167"/>
      <c r="B2261" s="167"/>
    </row>
    <row r="2262" spans="1:2" x14ac:dyDescent="0.25">
      <c r="A2262" s="167"/>
      <c r="B2262" s="167"/>
    </row>
    <row r="2263" spans="1:2" x14ac:dyDescent="0.25">
      <c r="A2263" s="167"/>
      <c r="B2263" s="167"/>
    </row>
    <row r="2264" spans="1:2" x14ac:dyDescent="0.25">
      <c r="A2264" s="167"/>
      <c r="B2264" s="167"/>
    </row>
    <row r="2265" spans="1:2" x14ac:dyDescent="0.25">
      <c r="A2265" s="167"/>
      <c r="B2265" s="167"/>
    </row>
    <row r="2266" spans="1:2" x14ac:dyDescent="0.25">
      <c r="A2266" s="167"/>
      <c r="B2266" s="167"/>
    </row>
    <row r="2267" spans="1:2" x14ac:dyDescent="0.25">
      <c r="A2267" s="167"/>
      <c r="B2267" s="167"/>
    </row>
    <row r="2268" spans="1:2" x14ac:dyDescent="0.25">
      <c r="A2268" s="167"/>
      <c r="B2268" s="167"/>
    </row>
    <row r="2269" spans="1:2" x14ac:dyDescent="0.25">
      <c r="A2269" s="167"/>
      <c r="B2269" s="167"/>
    </row>
    <row r="2270" spans="1:2" x14ac:dyDescent="0.25">
      <c r="A2270" s="167"/>
      <c r="B2270" s="167"/>
    </row>
    <row r="2271" spans="1:2" x14ac:dyDescent="0.25">
      <c r="A2271" s="167"/>
      <c r="B2271" s="167"/>
    </row>
    <row r="2272" spans="1:2" x14ac:dyDescent="0.25">
      <c r="A2272" s="167"/>
      <c r="B2272" s="167"/>
    </row>
    <row r="2273" spans="1:2" x14ac:dyDescent="0.25">
      <c r="A2273" s="167"/>
      <c r="B2273" s="167"/>
    </row>
    <row r="2274" spans="1:2" x14ac:dyDescent="0.25">
      <c r="A2274" s="167"/>
      <c r="B2274" s="167"/>
    </row>
    <row r="2275" spans="1:2" x14ac:dyDescent="0.25">
      <c r="A2275" s="167"/>
      <c r="B2275" s="167"/>
    </row>
    <row r="2276" spans="1:2" x14ac:dyDescent="0.25">
      <c r="A2276" s="167"/>
      <c r="B2276" s="167"/>
    </row>
    <row r="2277" spans="1:2" x14ac:dyDescent="0.25">
      <c r="A2277" s="167"/>
      <c r="B2277" s="167"/>
    </row>
    <row r="2278" spans="1:2" x14ac:dyDescent="0.25">
      <c r="A2278" s="167"/>
      <c r="B2278" s="167"/>
    </row>
    <row r="2279" spans="1:2" x14ac:dyDescent="0.25">
      <c r="A2279" s="167"/>
      <c r="B2279" s="167"/>
    </row>
    <row r="2280" spans="1:2" x14ac:dyDescent="0.25">
      <c r="A2280" s="167"/>
      <c r="B2280" s="167"/>
    </row>
    <row r="2281" spans="1:2" x14ac:dyDescent="0.25">
      <c r="A2281" s="167"/>
      <c r="B2281" s="167"/>
    </row>
    <row r="2282" spans="1:2" x14ac:dyDescent="0.25">
      <c r="A2282" s="167"/>
      <c r="B2282" s="167"/>
    </row>
    <row r="2283" spans="1:2" x14ac:dyDescent="0.25">
      <c r="A2283" s="167"/>
      <c r="B2283" s="167"/>
    </row>
    <row r="2284" spans="1:2" x14ac:dyDescent="0.25">
      <c r="A2284" s="167"/>
      <c r="B2284" s="167"/>
    </row>
    <row r="2285" spans="1:2" x14ac:dyDescent="0.25">
      <c r="A2285" s="167"/>
      <c r="B2285" s="167"/>
    </row>
    <row r="2286" spans="1:2" x14ac:dyDescent="0.25">
      <c r="A2286" s="167"/>
      <c r="B2286" s="167"/>
    </row>
    <row r="2287" spans="1:2" x14ac:dyDescent="0.25">
      <c r="A2287" s="167"/>
      <c r="B2287" s="167"/>
    </row>
    <row r="2288" spans="1:2" x14ac:dyDescent="0.25">
      <c r="A2288" s="167"/>
      <c r="B2288" s="167"/>
    </row>
    <row r="2289" spans="1:2" x14ac:dyDescent="0.25">
      <c r="A2289" s="167"/>
      <c r="B2289" s="167"/>
    </row>
    <row r="2290" spans="1:2" x14ac:dyDescent="0.25">
      <c r="A2290" s="167"/>
      <c r="B2290" s="167"/>
    </row>
    <row r="2291" spans="1:2" x14ac:dyDescent="0.25">
      <c r="A2291" s="167"/>
      <c r="B2291" s="167"/>
    </row>
    <row r="2292" spans="1:2" x14ac:dyDescent="0.25">
      <c r="A2292" s="167"/>
      <c r="B2292" s="167"/>
    </row>
    <row r="2293" spans="1:2" x14ac:dyDescent="0.25">
      <c r="A2293" s="167"/>
      <c r="B2293" s="167"/>
    </row>
    <row r="2294" spans="1:2" x14ac:dyDescent="0.25">
      <c r="A2294" s="167"/>
      <c r="B2294" s="167"/>
    </row>
    <row r="2295" spans="1:2" x14ac:dyDescent="0.25">
      <c r="A2295" s="167"/>
      <c r="B2295" s="167"/>
    </row>
    <row r="2296" spans="1:2" x14ac:dyDescent="0.25">
      <c r="A2296" s="167"/>
      <c r="B2296" s="167"/>
    </row>
    <row r="2297" spans="1:2" x14ac:dyDescent="0.25">
      <c r="A2297" s="167"/>
      <c r="B2297" s="167"/>
    </row>
    <row r="2298" spans="1:2" x14ac:dyDescent="0.25">
      <c r="A2298" s="167"/>
      <c r="B2298" s="167"/>
    </row>
    <row r="2299" spans="1:2" x14ac:dyDescent="0.25">
      <c r="A2299" s="167"/>
      <c r="B2299" s="167"/>
    </row>
    <row r="2300" spans="1:2" x14ac:dyDescent="0.25">
      <c r="A2300" s="167"/>
      <c r="B2300" s="167"/>
    </row>
    <row r="2301" spans="1:2" x14ac:dyDescent="0.25">
      <c r="A2301" s="167"/>
      <c r="B2301" s="167"/>
    </row>
    <row r="2302" spans="1:2" x14ac:dyDescent="0.25">
      <c r="A2302" s="167"/>
      <c r="B2302" s="167"/>
    </row>
    <row r="2303" spans="1:2" x14ac:dyDescent="0.25">
      <c r="A2303" s="167"/>
      <c r="B2303" s="167"/>
    </row>
    <row r="2304" spans="1:2" x14ac:dyDescent="0.25">
      <c r="A2304" s="167"/>
      <c r="B2304" s="167"/>
    </row>
    <row r="2305" spans="1:2" x14ac:dyDescent="0.25">
      <c r="A2305" s="167"/>
      <c r="B2305" s="167"/>
    </row>
    <row r="2306" spans="1:2" x14ac:dyDescent="0.25">
      <c r="A2306" s="167"/>
      <c r="B2306" s="167"/>
    </row>
    <row r="2307" spans="1:2" x14ac:dyDescent="0.25">
      <c r="A2307" s="167"/>
      <c r="B2307" s="167"/>
    </row>
    <row r="2308" spans="1:2" x14ac:dyDescent="0.25">
      <c r="A2308" s="167"/>
      <c r="B2308" s="167"/>
    </row>
    <row r="2309" spans="1:2" x14ac:dyDescent="0.25">
      <c r="A2309" s="167"/>
      <c r="B2309" s="167"/>
    </row>
    <row r="2310" spans="1:2" x14ac:dyDescent="0.25">
      <c r="A2310" s="167"/>
      <c r="B2310" s="167"/>
    </row>
    <row r="2311" spans="1:2" x14ac:dyDescent="0.25">
      <c r="A2311" s="167"/>
      <c r="B2311" s="167"/>
    </row>
    <row r="2312" spans="1:2" x14ac:dyDescent="0.25">
      <c r="A2312" s="167"/>
      <c r="B2312" s="167"/>
    </row>
    <row r="2313" spans="1:2" x14ac:dyDescent="0.25">
      <c r="A2313" s="167"/>
      <c r="B2313" s="167"/>
    </row>
    <row r="2314" spans="1:2" x14ac:dyDescent="0.25">
      <c r="A2314" s="167"/>
      <c r="B2314" s="167"/>
    </row>
    <row r="2315" spans="1:2" x14ac:dyDescent="0.25">
      <c r="A2315" s="167"/>
      <c r="B2315" s="167"/>
    </row>
    <row r="2316" spans="1:2" x14ac:dyDescent="0.25">
      <c r="A2316" s="167"/>
      <c r="B2316" s="167"/>
    </row>
    <row r="2317" spans="1:2" x14ac:dyDescent="0.25">
      <c r="A2317" s="167"/>
      <c r="B2317" s="167"/>
    </row>
    <row r="2318" spans="1:2" x14ac:dyDescent="0.25">
      <c r="A2318" s="167"/>
      <c r="B2318" s="167"/>
    </row>
    <row r="2319" spans="1:2" x14ac:dyDescent="0.25">
      <c r="A2319" s="167"/>
      <c r="B2319" s="167"/>
    </row>
    <row r="2320" spans="1:2" x14ac:dyDescent="0.25">
      <c r="A2320" s="167"/>
      <c r="B2320" s="167"/>
    </row>
    <row r="2321" spans="1:2" x14ac:dyDescent="0.25">
      <c r="A2321" s="167"/>
      <c r="B2321" s="167"/>
    </row>
    <row r="2322" spans="1:2" x14ac:dyDescent="0.25">
      <c r="A2322" s="167"/>
      <c r="B2322" s="167"/>
    </row>
    <row r="2323" spans="1:2" x14ac:dyDescent="0.25">
      <c r="A2323" s="167"/>
      <c r="B2323" s="167"/>
    </row>
    <row r="2324" spans="1:2" x14ac:dyDescent="0.25">
      <c r="A2324" s="167"/>
      <c r="B2324" s="167"/>
    </row>
    <row r="2325" spans="1:2" x14ac:dyDescent="0.25">
      <c r="A2325" s="167"/>
      <c r="B2325" s="167"/>
    </row>
    <row r="2326" spans="1:2" x14ac:dyDescent="0.25">
      <c r="A2326" s="167"/>
      <c r="B2326" s="167"/>
    </row>
    <row r="2327" spans="1:2" x14ac:dyDescent="0.25">
      <c r="A2327" s="167"/>
      <c r="B2327" s="167"/>
    </row>
    <row r="2328" spans="1:2" x14ac:dyDescent="0.25">
      <c r="A2328" s="167"/>
      <c r="B2328" s="167"/>
    </row>
    <row r="2329" spans="1:2" x14ac:dyDescent="0.25">
      <c r="A2329" s="167"/>
      <c r="B2329" s="167"/>
    </row>
    <row r="2330" spans="1:2" x14ac:dyDescent="0.25">
      <c r="A2330" s="167"/>
      <c r="B2330" s="167"/>
    </row>
    <row r="2331" spans="1:2" x14ac:dyDescent="0.25">
      <c r="A2331" s="167"/>
      <c r="B2331" s="167"/>
    </row>
    <row r="2332" spans="1:2" x14ac:dyDescent="0.25">
      <c r="A2332" s="167"/>
      <c r="B2332" s="167"/>
    </row>
    <row r="2333" spans="1:2" x14ac:dyDescent="0.25">
      <c r="A2333" s="167"/>
      <c r="B2333" s="167"/>
    </row>
    <row r="2334" spans="1:2" x14ac:dyDescent="0.25">
      <c r="A2334" s="167"/>
      <c r="B2334" s="167"/>
    </row>
    <row r="2335" spans="1:2" x14ac:dyDescent="0.25">
      <c r="A2335" s="167"/>
      <c r="B2335" s="167"/>
    </row>
    <row r="2336" spans="1:2" x14ac:dyDescent="0.25">
      <c r="A2336" s="167"/>
      <c r="B2336" s="167"/>
    </row>
    <row r="2337" spans="1:2" x14ac:dyDescent="0.25">
      <c r="A2337" s="167"/>
      <c r="B2337" s="167"/>
    </row>
    <row r="2338" spans="1:2" x14ac:dyDescent="0.25">
      <c r="A2338" s="167"/>
      <c r="B2338" s="167"/>
    </row>
    <row r="2339" spans="1:2" x14ac:dyDescent="0.25">
      <c r="A2339" s="167"/>
      <c r="B2339" s="167"/>
    </row>
    <row r="2340" spans="1:2" x14ac:dyDescent="0.25">
      <c r="A2340" s="167"/>
      <c r="B2340" s="167"/>
    </row>
    <row r="2341" spans="1:2" x14ac:dyDescent="0.25">
      <c r="A2341" s="167"/>
      <c r="B2341" s="167"/>
    </row>
    <row r="2342" spans="1:2" x14ac:dyDescent="0.25">
      <c r="A2342" s="167"/>
      <c r="B2342" s="167"/>
    </row>
    <row r="2343" spans="1:2" x14ac:dyDescent="0.25">
      <c r="A2343" s="167"/>
      <c r="B2343" s="167"/>
    </row>
    <row r="2344" spans="1:2" x14ac:dyDescent="0.25">
      <c r="A2344" s="167"/>
      <c r="B2344" s="167"/>
    </row>
    <row r="2345" spans="1:2" x14ac:dyDescent="0.25">
      <c r="A2345" s="167"/>
      <c r="B2345" s="167"/>
    </row>
    <row r="2346" spans="1:2" x14ac:dyDescent="0.25">
      <c r="A2346" s="167"/>
      <c r="B2346" s="167"/>
    </row>
    <row r="2347" spans="1:2" x14ac:dyDescent="0.25">
      <c r="A2347" s="167"/>
      <c r="B2347" s="167"/>
    </row>
    <row r="2348" spans="1:2" x14ac:dyDescent="0.25">
      <c r="A2348" s="167"/>
      <c r="B2348" s="167"/>
    </row>
    <row r="2349" spans="1:2" x14ac:dyDescent="0.25">
      <c r="A2349" s="167"/>
      <c r="B2349" s="167"/>
    </row>
    <row r="2350" spans="1:2" x14ac:dyDescent="0.25">
      <c r="A2350" s="167"/>
      <c r="B2350" s="167"/>
    </row>
    <row r="2351" spans="1:2" x14ac:dyDescent="0.25">
      <c r="A2351" s="167"/>
      <c r="B2351" s="167"/>
    </row>
    <row r="2352" spans="1:2" x14ac:dyDescent="0.25">
      <c r="A2352" s="167"/>
      <c r="B2352" s="167"/>
    </row>
    <row r="2353" spans="1:2" x14ac:dyDescent="0.25">
      <c r="A2353" s="167"/>
      <c r="B2353" s="167"/>
    </row>
    <row r="2354" spans="1:2" x14ac:dyDescent="0.25">
      <c r="A2354" s="167"/>
      <c r="B2354" s="167"/>
    </row>
    <row r="2355" spans="1:2" x14ac:dyDescent="0.25">
      <c r="A2355" s="167"/>
      <c r="B2355" s="167"/>
    </row>
    <row r="2356" spans="1:2" x14ac:dyDescent="0.25">
      <c r="A2356" s="167"/>
      <c r="B2356" s="167"/>
    </row>
    <row r="2357" spans="1:2" x14ac:dyDescent="0.25">
      <c r="A2357" s="167"/>
      <c r="B2357" s="167"/>
    </row>
    <row r="2358" spans="1:2" x14ac:dyDescent="0.25">
      <c r="A2358" s="167"/>
      <c r="B2358" s="167"/>
    </row>
    <row r="2359" spans="1:2" x14ac:dyDescent="0.25">
      <c r="A2359" s="167"/>
      <c r="B2359" s="167"/>
    </row>
    <row r="2360" spans="1:2" x14ac:dyDescent="0.25">
      <c r="A2360" s="167"/>
      <c r="B2360" s="167"/>
    </row>
    <row r="2361" spans="1:2" x14ac:dyDescent="0.25">
      <c r="A2361" s="167"/>
      <c r="B2361" s="167"/>
    </row>
    <row r="2362" spans="1:2" x14ac:dyDescent="0.25">
      <c r="A2362" s="167"/>
      <c r="B2362" s="167"/>
    </row>
    <row r="2363" spans="1:2" x14ac:dyDescent="0.25">
      <c r="A2363" s="167"/>
      <c r="B2363" s="167"/>
    </row>
    <row r="2364" spans="1:2" x14ac:dyDescent="0.25">
      <c r="A2364" s="167"/>
      <c r="B2364" s="167"/>
    </row>
    <row r="2365" spans="1:2" x14ac:dyDescent="0.25">
      <c r="A2365" s="167"/>
      <c r="B2365" s="167"/>
    </row>
    <row r="2366" spans="1:2" x14ac:dyDescent="0.25">
      <c r="A2366" s="167"/>
      <c r="B2366" s="167"/>
    </row>
    <row r="2367" spans="1:2" x14ac:dyDescent="0.25">
      <c r="A2367" s="167"/>
      <c r="B2367" s="167"/>
    </row>
    <row r="2368" spans="1:2" x14ac:dyDescent="0.25">
      <c r="A2368" s="167"/>
      <c r="B2368" s="167"/>
    </row>
    <row r="2369" spans="1:2" x14ac:dyDescent="0.25">
      <c r="A2369" s="167"/>
      <c r="B2369" s="167"/>
    </row>
    <row r="2370" spans="1:2" x14ac:dyDescent="0.25">
      <c r="A2370" s="167"/>
      <c r="B2370" s="167"/>
    </row>
    <row r="2371" spans="1:2" x14ac:dyDescent="0.25">
      <c r="A2371" s="167"/>
      <c r="B2371" s="167"/>
    </row>
    <row r="2372" spans="1:2" x14ac:dyDescent="0.25">
      <c r="A2372" s="167"/>
      <c r="B2372" s="167"/>
    </row>
    <row r="2373" spans="1:2" x14ac:dyDescent="0.25">
      <c r="A2373" s="167"/>
      <c r="B2373" s="167"/>
    </row>
    <row r="2374" spans="1:2" x14ac:dyDescent="0.25">
      <c r="A2374" s="167"/>
      <c r="B2374" s="167"/>
    </row>
    <row r="2375" spans="1:2" x14ac:dyDescent="0.25">
      <c r="A2375" s="167"/>
      <c r="B2375" s="167"/>
    </row>
    <row r="2376" spans="1:2" x14ac:dyDescent="0.25">
      <c r="A2376" s="167"/>
      <c r="B2376" s="167"/>
    </row>
    <row r="2377" spans="1:2" x14ac:dyDescent="0.25">
      <c r="A2377" s="167"/>
      <c r="B2377" s="167"/>
    </row>
    <row r="2378" spans="1:2" x14ac:dyDescent="0.25">
      <c r="A2378" s="167"/>
      <c r="B2378" s="167"/>
    </row>
    <row r="2379" spans="1:2" x14ac:dyDescent="0.25">
      <c r="A2379" s="167"/>
      <c r="B2379" s="167"/>
    </row>
    <row r="2380" spans="1:2" x14ac:dyDescent="0.25">
      <c r="A2380" s="167"/>
      <c r="B2380" s="167"/>
    </row>
    <row r="2381" spans="1:2" x14ac:dyDescent="0.25">
      <c r="A2381" s="167"/>
      <c r="B2381" s="167"/>
    </row>
    <row r="2382" spans="1:2" x14ac:dyDescent="0.25">
      <c r="A2382" s="167"/>
      <c r="B2382" s="167"/>
    </row>
    <row r="2383" spans="1:2" x14ac:dyDescent="0.25">
      <c r="A2383" s="167"/>
      <c r="B2383" s="167"/>
    </row>
    <row r="2384" spans="1:2" x14ac:dyDescent="0.25">
      <c r="A2384" s="167"/>
      <c r="B2384" s="167"/>
    </row>
    <row r="2385" spans="1:2" x14ac:dyDescent="0.25">
      <c r="A2385" s="167"/>
      <c r="B2385" s="167"/>
    </row>
    <row r="2386" spans="1:2" x14ac:dyDescent="0.25">
      <c r="A2386" s="167"/>
      <c r="B2386" s="167"/>
    </row>
    <row r="2387" spans="1:2" x14ac:dyDescent="0.25">
      <c r="A2387" s="167"/>
      <c r="B2387" s="167"/>
    </row>
    <row r="2388" spans="1:2" x14ac:dyDescent="0.25">
      <c r="A2388" s="167"/>
      <c r="B2388" s="167"/>
    </row>
    <row r="2389" spans="1:2" x14ac:dyDescent="0.25">
      <c r="A2389" s="167"/>
      <c r="B2389" s="167"/>
    </row>
    <row r="2390" spans="1:2" x14ac:dyDescent="0.25">
      <c r="A2390" s="167"/>
      <c r="B2390" s="167"/>
    </row>
    <row r="2391" spans="1:2" x14ac:dyDescent="0.25">
      <c r="A2391" s="167"/>
      <c r="B2391" s="167"/>
    </row>
    <row r="2392" spans="1:2" x14ac:dyDescent="0.25">
      <c r="A2392" s="167"/>
      <c r="B2392" s="167"/>
    </row>
    <row r="2393" spans="1:2" x14ac:dyDescent="0.25">
      <c r="A2393" s="167"/>
      <c r="B2393" s="167"/>
    </row>
    <row r="2394" spans="1:2" x14ac:dyDescent="0.25">
      <c r="A2394" s="167"/>
      <c r="B2394" s="167"/>
    </row>
    <row r="2395" spans="1:2" x14ac:dyDescent="0.25">
      <c r="A2395" s="167"/>
      <c r="B2395" s="167"/>
    </row>
    <row r="2396" spans="1:2" x14ac:dyDescent="0.25">
      <c r="A2396" s="167"/>
      <c r="B2396" s="167"/>
    </row>
    <row r="2397" spans="1:2" x14ac:dyDescent="0.25">
      <c r="A2397" s="167"/>
      <c r="B2397" s="167"/>
    </row>
    <row r="2398" spans="1:2" x14ac:dyDescent="0.25">
      <c r="A2398" s="167"/>
      <c r="B2398" s="167"/>
    </row>
    <row r="2399" spans="1:2" x14ac:dyDescent="0.25">
      <c r="A2399" s="167"/>
      <c r="B2399" s="167"/>
    </row>
    <row r="2400" spans="1:2" x14ac:dyDescent="0.25">
      <c r="A2400" s="167"/>
      <c r="B2400" s="167"/>
    </row>
    <row r="2401" spans="1:2" x14ac:dyDescent="0.25">
      <c r="A2401" s="167"/>
      <c r="B2401" s="167"/>
    </row>
    <row r="2402" spans="1:2" x14ac:dyDescent="0.25">
      <c r="A2402" s="167"/>
      <c r="B2402" s="167"/>
    </row>
    <row r="2403" spans="1:2" x14ac:dyDescent="0.25">
      <c r="A2403" s="167"/>
      <c r="B2403" s="167"/>
    </row>
    <row r="2404" spans="1:2" x14ac:dyDescent="0.25">
      <c r="A2404" s="167"/>
      <c r="B2404" s="167"/>
    </row>
    <row r="2405" spans="1:2" x14ac:dyDescent="0.25">
      <c r="A2405" s="167"/>
      <c r="B2405" s="167"/>
    </row>
    <row r="2406" spans="1:2" x14ac:dyDescent="0.25">
      <c r="A2406" s="167"/>
      <c r="B2406" s="167"/>
    </row>
    <row r="2407" spans="1:2" x14ac:dyDescent="0.25">
      <c r="A2407" s="167"/>
      <c r="B2407" s="167"/>
    </row>
    <row r="2408" spans="1:2" x14ac:dyDescent="0.25">
      <c r="A2408" s="167"/>
      <c r="B2408" s="167"/>
    </row>
    <row r="2409" spans="1:2" x14ac:dyDescent="0.25">
      <c r="A2409" s="167"/>
      <c r="B2409" s="167"/>
    </row>
    <row r="2410" spans="1:2" x14ac:dyDescent="0.25">
      <c r="A2410" s="167"/>
      <c r="B2410" s="167"/>
    </row>
    <row r="2411" spans="1:2" x14ac:dyDescent="0.25">
      <c r="A2411" s="167"/>
      <c r="B2411" s="167"/>
    </row>
    <row r="2412" spans="1:2" x14ac:dyDescent="0.25">
      <c r="A2412" s="167"/>
      <c r="B2412" s="167"/>
    </row>
    <row r="2413" spans="1:2" x14ac:dyDescent="0.25">
      <c r="A2413" s="167"/>
      <c r="B2413" s="167"/>
    </row>
    <row r="2414" spans="1:2" x14ac:dyDescent="0.25">
      <c r="A2414" s="167"/>
      <c r="B2414" s="167"/>
    </row>
    <row r="2415" spans="1:2" x14ac:dyDescent="0.25">
      <c r="A2415" s="167"/>
      <c r="B2415" s="167"/>
    </row>
    <row r="2416" spans="1:2" x14ac:dyDescent="0.25">
      <c r="A2416" s="167"/>
      <c r="B2416" s="167"/>
    </row>
    <row r="2417" spans="1:2" x14ac:dyDescent="0.25">
      <c r="A2417" s="167"/>
      <c r="B2417" s="167"/>
    </row>
    <row r="2418" spans="1:2" x14ac:dyDescent="0.25">
      <c r="A2418" s="167"/>
      <c r="B2418" s="167"/>
    </row>
    <row r="2419" spans="1:2" x14ac:dyDescent="0.25">
      <c r="A2419" s="167"/>
      <c r="B2419" s="167"/>
    </row>
    <row r="2420" spans="1:2" x14ac:dyDescent="0.25">
      <c r="A2420" s="167"/>
      <c r="B2420" s="167"/>
    </row>
    <row r="2421" spans="1:2" x14ac:dyDescent="0.25">
      <c r="A2421" s="167"/>
      <c r="B2421" s="167"/>
    </row>
    <row r="2422" spans="1:2" x14ac:dyDescent="0.25">
      <c r="A2422" s="167"/>
      <c r="B2422" s="167"/>
    </row>
    <row r="2423" spans="1:2" x14ac:dyDescent="0.25">
      <c r="A2423" s="167"/>
      <c r="B2423" s="167"/>
    </row>
    <row r="2424" spans="1:2" x14ac:dyDescent="0.25">
      <c r="A2424" s="167"/>
      <c r="B2424" s="167"/>
    </row>
    <row r="2425" spans="1:2" x14ac:dyDescent="0.25">
      <c r="A2425" s="167"/>
      <c r="B2425" s="167"/>
    </row>
    <row r="2426" spans="1:2" x14ac:dyDescent="0.25">
      <c r="A2426" s="167"/>
      <c r="B2426" s="167"/>
    </row>
    <row r="2427" spans="1:2" x14ac:dyDescent="0.25">
      <c r="A2427" s="167"/>
      <c r="B2427" s="167"/>
    </row>
    <row r="2428" spans="1:2" x14ac:dyDescent="0.25">
      <c r="A2428" s="167"/>
      <c r="B2428" s="167"/>
    </row>
    <row r="2429" spans="1:2" x14ac:dyDescent="0.25">
      <c r="A2429" s="167"/>
      <c r="B2429" s="167"/>
    </row>
    <row r="2430" spans="1:2" x14ac:dyDescent="0.25">
      <c r="A2430" s="167"/>
      <c r="B2430" s="167"/>
    </row>
    <row r="2431" spans="1:2" x14ac:dyDescent="0.25">
      <c r="A2431" s="167"/>
      <c r="B2431" s="167"/>
    </row>
    <row r="2432" spans="1:2" x14ac:dyDescent="0.25">
      <c r="A2432" s="167"/>
      <c r="B2432" s="167"/>
    </row>
    <row r="2433" spans="1:2" x14ac:dyDescent="0.25">
      <c r="A2433" s="167"/>
      <c r="B2433" s="167"/>
    </row>
    <row r="2434" spans="1:2" x14ac:dyDescent="0.25">
      <c r="A2434" s="167"/>
      <c r="B2434" s="167"/>
    </row>
    <row r="2435" spans="1:2" x14ac:dyDescent="0.25">
      <c r="A2435" s="167"/>
      <c r="B2435" s="167"/>
    </row>
    <row r="2436" spans="1:2" x14ac:dyDescent="0.25">
      <c r="A2436" s="167"/>
      <c r="B2436" s="167"/>
    </row>
    <row r="2437" spans="1:2" x14ac:dyDescent="0.25">
      <c r="A2437" s="167"/>
      <c r="B2437" s="167"/>
    </row>
    <row r="2438" spans="1:2" x14ac:dyDescent="0.25">
      <c r="A2438" s="167"/>
      <c r="B2438" s="167"/>
    </row>
    <row r="2439" spans="1:2" x14ac:dyDescent="0.25">
      <c r="A2439" s="167"/>
      <c r="B2439" s="167"/>
    </row>
    <row r="2440" spans="1:2" x14ac:dyDescent="0.25">
      <c r="A2440" s="167"/>
      <c r="B2440" s="167"/>
    </row>
    <row r="2441" spans="1:2" x14ac:dyDescent="0.25">
      <c r="A2441" s="167"/>
      <c r="B2441" s="167"/>
    </row>
    <row r="2442" spans="1:2" x14ac:dyDescent="0.25">
      <c r="A2442" s="167"/>
      <c r="B2442" s="167"/>
    </row>
    <row r="2443" spans="1:2" x14ac:dyDescent="0.25">
      <c r="A2443" s="167"/>
      <c r="B2443" s="167"/>
    </row>
    <row r="2444" spans="1:2" x14ac:dyDescent="0.25">
      <c r="A2444" s="167"/>
      <c r="B2444" s="167"/>
    </row>
    <row r="2445" spans="1:2" x14ac:dyDescent="0.25">
      <c r="A2445" s="167"/>
      <c r="B2445" s="167"/>
    </row>
    <row r="2446" spans="1:2" x14ac:dyDescent="0.25">
      <c r="A2446" s="167"/>
      <c r="B2446" s="167"/>
    </row>
    <row r="2447" spans="1:2" x14ac:dyDescent="0.25">
      <c r="A2447" s="167"/>
      <c r="B2447" s="167"/>
    </row>
    <row r="2448" spans="1:2" x14ac:dyDescent="0.25">
      <c r="A2448" s="167"/>
      <c r="B2448" s="167"/>
    </row>
    <row r="2449" spans="1:2" x14ac:dyDescent="0.25">
      <c r="A2449" s="167"/>
      <c r="B2449" s="167"/>
    </row>
    <row r="2450" spans="1:2" x14ac:dyDescent="0.25">
      <c r="A2450" s="167"/>
      <c r="B2450" s="167"/>
    </row>
    <row r="2451" spans="1:2" x14ac:dyDescent="0.25">
      <c r="A2451" s="167"/>
      <c r="B2451" s="167"/>
    </row>
    <row r="2452" spans="1:2" x14ac:dyDescent="0.25">
      <c r="A2452" s="167"/>
      <c r="B2452" s="167"/>
    </row>
    <row r="2453" spans="1:2" x14ac:dyDescent="0.25">
      <c r="A2453" s="167"/>
      <c r="B2453" s="167"/>
    </row>
    <row r="2454" spans="1:2" x14ac:dyDescent="0.25">
      <c r="A2454" s="167"/>
      <c r="B2454" s="167"/>
    </row>
    <row r="2455" spans="1:2" x14ac:dyDescent="0.25">
      <c r="A2455" s="167"/>
      <c r="B2455" s="167"/>
    </row>
    <row r="2456" spans="1:2" x14ac:dyDescent="0.25">
      <c r="A2456" s="167"/>
      <c r="B2456" s="167"/>
    </row>
    <row r="2457" spans="1:2" x14ac:dyDescent="0.25">
      <c r="A2457" s="167"/>
      <c r="B2457" s="167"/>
    </row>
    <row r="2458" spans="1:2" x14ac:dyDescent="0.25">
      <c r="A2458" s="167"/>
      <c r="B2458" s="167"/>
    </row>
    <row r="2459" spans="1:2" x14ac:dyDescent="0.25">
      <c r="A2459" s="167"/>
      <c r="B2459" s="167"/>
    </row>
    <row r="2460" spans="1:2" x14ac:dyDescent="0.25">
      <c r="A2460" s="167"/>
      <c r="B2460" s="167"/>
    </row>
    <row r="2461" spans="1:2" x14ac:dyDescent="0.25">
      <c r="A2461" s="167"/>
      <c r="B2461" s="167"/>
    </row>
    <row r="2462" spans="1:2" x14ac:dyDescent="0.25">
      <c r="A2462" s="167"/>
      <c r="B2462" s="167"/>
    </row>
    <row r="2463" spans="1:2" x14ac:dyDescent="0.25">
      <c r="A2463" s="167"/>
      <c r="B2463" s="167"/>
    </row>
    <row r="2464" spans="1:2" x14ac:dyDescent="0.25">
      <c r="A2464" s="167"/>
      <c r="B2464" s="167"/>
    </row>
    <row r="2465" spans="1:2" x14ac:dyDescent="0.25">
      <c r="A2465" s="167"/>
      <c r="B2465" s="167"/>
    </row>
    <row r="2466" spans="1:2" x14ac:dyDescent="0.25">
      <c r="A2466" s="167"/>
      <c r="B2466" s="167"/>
    </row>
    <row r="2467" spans="1:2" x14ac:dyDescent="0.25">
      <c r="A2467" s="167"/>
      <c r="B2467" s="167"/>
    </row>
    <row r="2468" spans="1:2" x14ac:dyDescent="0.25">
      <c r="A2468" s="167"/>
      <c r="B2468" s="167"/>
    </row>
    <row r="2469" spans="1:2" x14ac:dyDescent="0.25">
      <c r="A2469" s="167"/>
      <c r="B2469" s="167"/>
    </row>
    <row r="2470" spans="1:2" x14ac:dyDescent="0.25">
      <c r="A2470" s="167"/>
      <c r="B2470" s="167"/>
    </row>
    <row r="2471" spans="1:2" x14ac:dyDescent="0.25">
      <c r="A2471" s="167"/>
      <c r="B2471" s="167"/>
    </row>
    <row r="2472" spans="1:2" x14ac:dyDescent="0.25">
      <c r="A2472" s="167"/>
      <c r="B2472" s="167"/>
    </row>
    <row r="2473" spans="1:2" x14ac:dyDescent="0.25">
      <c r="A2473" s="167"/>
      <c r="B2473" s="167"/>
    </row>
    <row r="2474" spans="1:2" x14ac:dyDescent="0.25">
      <c r="A2474" s="167"/>
      <c r="B2474" s="167"/>
    </row>
    <row r="2475" spans="1:2" x14ac:dyDescent="0.25">
      <c r="A2475" s="167"/>
      <c r="B2475" s="167"/>
    </row>
    <row r="2476" spans="1:2" x14ac:dyDescent="0.25">
      <c r="A2476" s="167"/>
      <c r="B2476" s="167"/>
    </row>
    <row r="2477" spans="1:2" x14ac:dyDescent="0.25">
      <c r="A2477" s="167"/>
      <c r="B2477" s="167"/>
    </row>
    <row r="2478" spans="1:2" x14ac:dyDescent="0.25">
      <c r="A2478" s="167"/>
      <c r="B2478" s="167"/>
    </row>
    <row r="2479" spans="1:2" x14ac:dyDescent="0.25">
      <c r="A2479" s="167"/>
      <c r="B2479" s="167"/>
    </row>
    <row r="2480" spans="1:2" x14ac:dyDescent="0.25">
      <c r="A2480" s="167"/>
      <c r="B2480" s="167"/>
    </row>
    <row r="2481" spans="1:2" x14ac:dyDescent="0.25">
      <c r="A2481" s="167"/>
      <c r="B2481" s="167"/>
    </row>
    <row r="2482" spans="1:2" x14ac:dyDescent="0.25">
      <c r="A2482" s="167"/>
      <c r="B2482" s="167"/>
    </row>
    <row r="2483" spans="1:2" x14ac:dyDescent="0.25">
      <c r="A2483" s="167"/>
      <c r="B2483" s="167"/>
    </row>
    <row r="2484" spans="1:2" x14ac:dyDescent="0.25">
      <c r="A2484" s="167"/>
      <c r="B2484" s="167"/>
    </row>
    <row r="2485" spans="1:2" x14ac:dyDescent="0.25">
      <c r="A2485" s="167"/>
      <c r="B2485" s="167"/>
    </row>
    <row r="2486" spans="1:2" x14ac:dyDescent="0.25">
      <c r="A2486" s="167"/>
      <c r="B2486" s="167"/>
    </row>
    <row r="2487" spans="1:2" x14ac:dyDescent="0.25">
      <c r="A2487" s="167"/>
      <c r="B2487" s="167"/>
    </row>
    <row r="2488" spans="1:2" x14ac:dyDescent="0.25">
      <c r="A2488" s="167"/>
      <c r="B2488" s="167"/>
    </row>
    <row r="2489" spans="1:2" x14ac:dyDescent="0.25">
      <c r="A2489" s="167"/>
      <c r="B2489" s="167"/>
    </row>
    <row r="2490" spans="1:2" x14ac:dyDescent="0.25">
      <c r="A2490" s="167"/>
      <c r="B2490" s="167"/>
    </row>
    <row r="2491" spans="1:2" x14ac:dyDescent="0.25">
      <c r="A2491" s="167"/>
      <c r="B2491" s="167"/>
    </row>
    <row r="2492" spans="1:2" x14ac:dyDescent="0.25">
      <c r="A2492" s="167"/>
      <c r="B2492" s="167"/>
    </row>
    <row r="2493" spans="1:2" x14ac:dyDescent="0.25">
      <c r="A2493" s="167"/>
      <c r="B2493" s="167"/>
    </row>
    <row r="2494" spans="1:2" x14ac:dyDescent="0.25">
      <c r="A2494" s="167"/>
      <c r="B2494" s="167"/>
    </row>
    <row r="2495" spans="1:2" x14ac:dyDescent="0.25">
      <c r="A2495" s="167"/>
      <c r="B2495" s="167"/>
    </row>
    <row r="2496" spans="1:2" x14ac:dyDescent="0.25">
      <c r="A2496" s="167"/>
      <c r="B2496" s="167"/>
    </row>
    <row r="2497" spans="1:2" x14ac:dyDescent="0.25">
      <c r="A2497" s="167"/>
      <c r="B2497" s="167"/>
    </row>
    <row r="2498" spans="1:2" x14ac:dyDescent="0.25">
      <c r="A2498" s="167"/>
      <c r="B2498" s="167"/>
    </row>
    <row r="2499" spans="1:2" x14ac:dyDescent="0.25">
      <c r="A2499" s="167"/>
      <c r="B2499" s="167"/>
    </row>
    <row r="2500" spans="1:2" x14ac:dyDescent="0.25">
      <c r="A2500" s="167"/>
      <c r="B2500" s="167"/>
    </row>
    <row r="2501" spans="1:2" x14ac:dyDescent="0.25">
      <c r="A2501" s="167"/>
      <c r="B2501" s="167"/>
    </row>
    <row r="2502" spans="1:2" x14ac:dyDescent="0.25">
      <c r="A2502" s="167"/>
      <c r="B2502" s="167"/>
    </row>
    <row r="2503" spans="1:2" x14ac:dyDescent="0.25">
      <c r="A2503" s="167"/>
      <c r="B2503" s="167"/>
    </row>
    <row r="2504" spans="1:2" x14ac:dyDescent="0.25">
      <c r="A2504" s="167"/>
      <c r="B2504" s="167"/>
    </row>
    <row r="2505" spans="1:2" x14ac:dyDescent="0.25">
      <c r="A2505" s="167"/>
      <c r="B2505" s="167"/>
    </row>
    <row r="2506" spans="1:2" x14ac:dyDescent="0.25">
      <c r="A2506" s="167"/>
      <c r="B2506" s="167"/>
    </row>
    <row r="2507" spans="1:2" x14ac:dyDescent="0.25">
      <c r="A2507" s="167"/>
      <c r="B2507" s="167"/>
    </row>
    <row r="2508" spans="1:2" x14ac:dyDescent="0.25">
      <c r="A2508" s="167"/>
      <c r="B2508" s="167"/>
    </row>
    <row r="2509" spans="1:2" x14ac:dyDescent="0.25">
      <c r="A2509" s="167"/>
      <c r="B2509" s="167"/>
    </row>
    <row r="2510" spans="1:2" x14ac:dyDescent="0.25">
      <c r="A2510" s="167"/>
      <c r="B2510" s="167"/>
    </row>
    <row r="2511" spans="1:2" x14ac:dyDescent="0.25">
      <c r="A2511" s="167"/>
      <c r="B2511" s="167"/>
    </row>
    <row r="2512" spans="1:2" x14ac:dyDescent="0.25">
      <c r="A2512" s="167"/>
      <c r="B2512" s="167"/>
    </row>
    <row r="2513" spans="1:2" x14ac:dyDescent="0.25">
      <c r="A2513" s="167"/>
      <c r="B2513" s="167"/>
    </row>
    <row r="2514" spans="1:2" x14ac:dyDescent="0.25">
      <c r="A2514" s="167"/>
      <c r="B2514" s="167"/>
    </row>
    <row r="2515" spans="1:2" x14ac:dyDescent="0.25">
      <c r="A2515" s="167"/>
      <c r="B2515" s="167"/>
    </row>
    <row r="2516" spans="1:2" x14ac:dyDescent="0.25">
      <c r="A2516" s="167"/>
      <c r="B2516" s="167"/>
    </row>
    <row r="2517" spans="1:2" x14ac:dyDescent="0.25">
      <c r="A2517" s="167"/>
      <c r="B2517" s="167"/>
    </row>
    <row r="2518" spans="1:2" x14ac:dyDescent="0.25">
      <c r="A2518" s="167"/>
      <c r="B2518" s="167"/>
    </row>
    <row r="2519" spans="1:2" x14ac:dyDescent="0.25">
      <c r="A2519" s="167"/>
      <c r="B2519" s="167"/>
    </row>
    <row r="2520" spans="1:2" x14ac:dyDescent="0.25">
      <c r="A2520" s="167"/>
      <c r="B2520" s="167"/>
    </row>
    <row r="2521" spans="1:2" x14ac:dyDescent="0.25">
      <c r="A2521" s="167"/>
      <c r="B2521" s="167"/>
    </row>
    <row r="2522" spans="1:2" x14ac:dyDescent="0.25">
      <c r="A2522" s="167"/>
      <c r="B2522" s="167"/>
    </row>
    <row r="2523" spans="1:2" x14ac:dyDescent="0.25">
      <c r="A2523" s="167"/>
      <c r="B2523" s="167"/>
    </row>
    <row r="2524" spans="1:2" x14ac:dyDescent="0.25">
      <c r="A2524" s="167"/>
      <c r="B2524" s="167"/>
    </row>
    <row r="2525" spans="1:2" x14ac:dyDescent="0.25">
      <c r="A2525" s="167"/>
      <c r="B2525" s="167"/>
    </row>
    <row r="2526" spans="1:2" x14ac:dyDescent="0.25">
      <c r="A2526" s="167"/>
      <c r="B2526" s="167"/>
    </row>
    <row r="2527" spans="1:2" x14ac:dyDescent="0.25">
      <c r="A2527" s="167"/>
      <c r="B2527" s="167"/>
    </row>
    <row r="2528" spans="1:2" x14ac:dyDescent="0.25">
      <c r="A2528" s="167"/>
      <c r="B2528" s="167"/>
    </row>
    <row r="2529" spans="1:2" x14ac:dyDescent="0.25">
      <c r="A2529" s="167"/>
      <c r="B2529" s="167"/>
    </row>
    <row r="2530" spans="1:2" x14ac:dyDescent="0.25">
      <c r="A2530" s="167"/>
      <c r="B2530" s="167"/>
    </row>
    <row r="2531" spans="1:2" x14ac:dyDescent="0.25">
      <c r="A2531" s="167"/>
      <c r="B2531" s="167"/>
    </row>
    <row r="2532" spans="1:2" x14ac:dyDescent="0.25">
      <c r="A2532" s="167"/>
      <c r="B2532" s="167"/>
    </row>
    <row r="2533" spans="1:2" x14ac:dyDescent="0.25">
      <c r="A2533" s="167"/>
      <c r="B2533" s="167"/>
    </row>
    <row r="2534" spans="1:2" x14ac:dyDescent="0.25">
      <c r="A2534" s="167"/>
      <c r="B2534" s="167"/>
    </row>
    <row r="2535" spans="1:2" x14ac:dyDescent="0.25">
      <c r="A2535" s="167"/>
      <c r="B2535" s="167"/>
    </row>
    <row r="2536" spans="1:2" x14ac:dyDescent="0.25">
      <c r="A2536" s="167"/>
      <c r="B2536" s="167"/>
    </row>
    <row r="2537" spans="1:2" x14ac:dyDescent="0.25">
      <c r="A2537" s="167"/>
      <c r="B2537" s="167"/>
    </row>
    <row r="2538" spans="1:2" x14ac:dyDescent="0.25">
      <c r="A2538" s="167"/>
      <c r="B2538" s="167"/>
    </row>
    <row r="2539" spans="1:2" x14ac:dyDescent="0.25">
      <c r="A2539" s="167"/>
      <c r="B2539" s="167"/>
    </row>
    <row r="2540" spans="1:2" x14ac:dyDescent="0.25">
      <c r="A2540" s="167"/>
      <c r="B2540" s="167"/>
    </row>
    <row r="2541" spans="1:2" x14ac:dyDescent="0.25">
      <c r="A2541" s="167"/>
      <c r="B2541" s="167"/>
    </row>
    <row r="2542" spans="1:2" x14ac:dyDescent="0.25">
      <c r="A2542" s="167"/>
      <c r="B2542" s="167"/>
    </row>
    <row r="2543" spans="1:2" x14ac:dyDescent="0.25">
      <c r="A2543" s="167"/>
      <c r="B2543" s="167"/>
    </row>
    <row r="2544" spans="1:2" x14ac:dyDescent="0.25">
      <c r="A2544" s="167"/>
      <c r="B2544" s="167"/>
    </row>
    <row r="2545" spans="1:2" x14ac:dyDescent="0.25">
      <c r="A2545" s="167"/>
      <c r="B2545" s="167"/>
    </row>
    <row r="2546" spans="1:2" x14ac:dyDescent="0.25">
      <c r="A2546" s="167"/>
      <c r="B2546" s="167"/>
    </row>
    <row r="2547" spans="1:2" x14ac:dyDescent="0.25">
      <c r="A2547" s="167"/>
      <c r="B2547" s="167"/>
    </row>
    <row r="2548" spans="1:2" x14ac:dyDescent="0.25">
      <c r="A2548" s="167"/>
      <c r="B2548" s="167"/>
    </row>
    <row r="2549" spans="1:2" x14ac:dyDescent="0.25">
      <c r="A2549" s="167"/>
      <c r="B2549" s="167"/>
    </row>
    <row r="2550" spans="1:2" x14ac:dyDescent="0.25">
      <c r="A2550" s="167"/>
      <c r="B2550" s="167"/>
    </row>
    <row r="2551" spans="1:2" x14ac:dyDescent="0.25">
      <c r="A2551" s="167"/>
      <c r="B2551" s="167"/>
    </row>
    <row r="2552" spans="1:2" x14ac:dyDescent="0.25">
      <c r="A2552" s="167"/>
      <c r="B2552" s="167"/>
    </row>
    <row r="2553" spans="1:2" x14ac:dyDescent="0.25">
      <c r="A2553" s="167"/>
      <c r="B2553" s="167"/>
    </row>
    <row r="2554" spans="1:2" x14ac:dyDescent="0.25">
      <c r="A2554" s="167"/>
      <c r="B2554" s="167"/>
    </row>
    <row r="2555" spans="1:2" x14ac:dyDescent="0.25">
      <c r="A2555" s="167"/>
      <c r="B2555" s="167"/>
    </row>
    <row r="2556" spans="1:2" x14ac:dyDescent="0.25">
      <c r="A2556" s="167"/>
      <c r="B2556" s="167"/>
    </row>
    <row r="2557" spans="1:2" x14ac:dyDescent="0.25">
      <c r="A2557" s="167"/>
      <c r="B2557" s="167"/>
    </row>
    <row r="2558" spans="1:2" x14ac:dyDescent="0.25">
      <c r="A2558" s="167"/>
      <c r="B2558" s="167"/>
    </row>
    <row r="2559" spans="1:2" x14ac:dyDescent="0.25">
      <c r="A2559" s="167"/>
      <c r="B2559" s="167"/>
    </row>
    <row r="2560" spans="1:2" x14ac:dyDescent="0.25">
      <c r="A2560" s="167"/>
      <c r="B2560" s="167"/>
    </row>
    <row r="2561" spans="1:2" x14ac:dyDescent="0.25">
      <c r="A2561" s="167"/>
      <c r="B2561" s="167"/>
    </row>
    <row r="2562" spans="1:2" x14ac:dyDescent="0.25">
      <c r="A2562" s="167"/>
      <c r="B2562" s="167"/>
    </row>
    <row r="2563" spans="1:2" x14ac:dyDescent="0.25">
      <c r="A2563" s="167"/>
      <c r="B2563" s="167"/>
    </row>
    <row r="2564" spans="1:2" x14ac:dyDescent="0.25">
      <c r="A2564" s="167"/>
      <c r="B2564" s="167"/>
    </row>
    <row r="2565" spans="1:2" x14ac:dyDescent="0.25">
      <c r="A2565" s="167"/>
      <c r="B2565" s="167"/>
    </row>
    <row r="2566" spans="1:2" x14ac:dyDescent="0.25">
      <c r="A2566" s="167"/>
      <c r="B2566" s="167"/>
    </row>
    <row r="2567" spans="1:2" x14ac:dyDescent="0.25">
      <c r="A2567" s="167"/>
      <c r="B2567" s="167"/>
    </row>
    <row r="2568" spans="1:2" x14ac:dyDescent="0.25">
      <c r="A2568" s="167"/>
      <c r="B2568" s="167"/>
    </row>
    <row r="2569" spans="1:2" x14ac:dyDescent="0.25">
      <c r="A2569" s="167"/>
      <c r="B2569" s="167"/>
    </row>
    <row r="2570" spans="1:2" x14ac:dyDescent="0.25">
      <c r="A2570" s="167"/>
      <c r="B2570" s="167"/>
    </row>
    <row r="2571" spans="1:2" x14ac:dyDescent="0.25">
      <c r="A2571" s="167"/>
      <c r="B2571" s="167"/>
    </row>
    <row r="2572" spans="1:2" x14ac:dyDescent="0.25">
      <c r="A2572" s="167"/>
      <c r="B2572" s="167"/>
    </row>
    <row r="2573" spans="1:2" x14ac:dyDescent="0.25">
      <c r="A2573" s="167"/>
      <c r="B2573" s="167"/>
    </row>
    <row r="2574" spans="1:2" x14ac:dyDescent="0.25">
      <c r="A2574" s="167"/>
      <c r="B2574" s="167"/>
    </row>
    <row r="2575" spans="1:2" x14ac:dyDescent="0.25">
      <c r="A2575" s="167"/>
      <c r="B2575" s="167"/>
    </row>
    <row r="2576" spans="1:2" x14ac:dyDescent="0.25">
      <c r="A2576" s="167"/>
      <c r="B2576" s="167"/>
    </row>
    <row r="2577" spans="1:2" x14ac:dyDescent="0.25">
      <c r="A2577" s="167"/>
      <c r="B2577" s="167"/>
    </row>
    <row r="2578" spans="1:2" x14ac:dyDescent="0.25">
      <c r="A2578" s="167"/>
      <c r="B2578" s="167"/>
    </row>
    <row r="2579" spans="1:2" x14ac:dyDescent="0.25">
      <c r="A2579" s="167"/>
      <c r="B2579" s="167"/>
    </row>
    <row r="2580" spans="1:2" x14ac:dyDescent="0.25">
      <c r="A2580" s="167"/>
      <c r="B2580" s="167"/>
    </row>
    <row r="2581" spans="1:2" x14ac:dyDescent="0.25">
      <c r="A2581" s="167"/>
      <c r="B2581" s="167"/>
    </row>
    <row r="2582" spans="1:2" x14ac:dyDescent="0.25">
      <c r="A2582" s="167"/>
      <c r="B2582" s="167"/>
    </row>
    <row r="2583" spans="1:2" x14ac:dyDescent="0.25">
      <c r="A2583" s="167"/>
      <c r="B2583" s="167"/>
    </row>
    <row r="2584" spans="1:2" x14ac:dyDescent="0.25">
      <c r="A2584" s="167"/>
      <c r="B2584" s="167"/>
    </row>
    <row r="2585" spans="1:2" x14ac:dyDescent="0.25">
      <c r="A2585" s="167"/>
      <c r="B2585" s="167"/>
    </row>
    <row r="2586" spans="1:2" x14ac:dyDescent="0.25">
      <c r="A2586" s="167"/>
      <c r="B2586" s="167"/>
    </row>
    <row r="2587" spans="1:2" x14ac:dyDescent="0.25">
      <c r="A2587" s="167"/>
      <c r="B2587" s="167"/>
    </row>
    <row r="2588" spans="1:2" x14ac:dyDescent="0.25">
      <c r="A2588" s="167"/>
      <c r="B2588" s="167"/>
    </row>
    <row r="2589" spans="1:2" x14ac:dyDescent="0.25">
      <c r="A2589" s="167"/>
      <c r="B2589" s="167"/>
    </row>
    <row r="2590" spans="1:2" x14ac:dyDescent="0.25">
      <c r="A2590" s="167"/>
      <c r="B2590" s="167"/>
    </row>
    <row r="2591" spans="1:2" x14ac:dyDescent="0.25">
      <c r="A2591" s="167"/>
      <c r="B2591" s="167"/>
    </row>
    <row r="2592" spans="1:2" x14ac:dyDescent="0.25">
      <c r="A2592" s="167"/>
      <c r="B2592" s="167"/>
    </row>
    <row r="2593" spans="1:2" x14ac:dyDescent="0.25">
      <c r="A2593" s="167"/>
      <c r="B2593" s="167"/>
    </row>
    <row r="2594" spans="1:2" x14ac:dyDescent="0.25">
      <c r="A2594" s="167"/>
      <c r="B2594" s="167"/>
    </row>
    <row r="2595" spans="1:2" x14ac:dyDescent="0.25">
      <c r="A2595" s="167"/>
      <c r="B2595" s="167"/>
    </row>
    <row r="2596" spans="1:2" x14ac:dyDescent="0.25">
      <c r="A2596" s="167"/>
      <c r="B2596" s="167"/>
    </row>
    <row r="2597" spans="1:2" x14ac:dyDescent="0.25">
      <c r="A2597" s="167"/>
      <c r="B2597" s="167"/>
    </row>
    <row r="2598" spans="1:2" x14ac:dyDescent="0.25">
      <c r="A2598" s="167"/>
      <c r="B2598" s="167"/>
    </row>
    <row r="2599" spans="1:2" x14ac:dyDescent="0.25">
      <c r="A2599" s="167"/>
      <c r="B2599" s="167"/>
    </row>
    <row r="2600" spans="1:2" x14ac:dyDescent="0.25">
      <c r="A2600" s="167"/>
      <c r="B2600" s="167"/>
    </row>
    <row r="2601" spans="1:2" x14ac:dyDescent="0.25">
      <c r="A2601" s="167"/>
      <c r="B2601" s="167"/>
    </row>
    <row r="2602" spans="1:2" x14ac:dyDescent="0.25">
      <c r="A2602" s="167"/>
      <c r="B2602" s="167"/>
    </row>
    <row r="2603" spans="1:2" x14ac:dyDescent="0.25">
      <c r="A2603" s="167"/>
      <c r="B2603" s="167"/>
    </row>
    <row r="2604" spans="1:2" x14ac:dyDescent="0.25">
      <c r="A2604" s="167"/>
      <c r="B2604" s="167"/>
    </row>
    <row r="2605" spans="1:2" x14ac:dyDescent="0.25">
      <c r="A2605" s="167"/>
      <c r="B2605" s="167"/>
    </row>
    <row r="2606" spans="1:2" x14ac:dyDescent="0.25">
      <c r="A2606" s="167"/>
      <c r="B2606" s="167"/>
    </row>
    <row r="2607" spans="1:2" x14ac:dyDescent="0.25">
      <c r="A2607" s="167"/>
      <c r="B2607" s="167"/>
    </row>
    <row r="2608" spans="1:2" x14ac:dyDescent="0.25">
      <c r="A2608" s="167"/>
      <c r="B2608" s="167"/>
    </row>
    <row r="2609" spans="1:2" x14ac:dyDescent="0.25">
      <c r="A2609" s="167"/>
      <c r="B2609" s="167"/>
    </row>
    <row r="2610" spans="1:2" x14ac:dyDescent="0.25">
      <c r="A2610" s="167"/>
      <c r="B2610" s="167"/>
    </row>
    <row r="2611" spans="1:2" x14ac:dyDescent="0.25">
      <c r="A2611" s="167"/>
      <c r="B2611" s="167"/>
    </row>
    <row r="2612" spans="1:2" x14ac:dyDescent="0.25">
      <c r="A2612" s="167"/>
      <c r="B2612" s="167"/>
    </row>
    <row r="2613" spans="1:2" x14ac:dyDescent="0.25">
      <c r="A2613" s="167"/>
      <c r="B2613" s="167"/>
    </row>
    <row r="2614" spans="1:2" x14ac:dyDescent="0.25">
      <c r="A2614" s="167"/>
      <c r="B2614" s="167"/>
    </row>
    <row r="2615" spans="1:2" x14ac:dyDescent="0.25">
      <c r="A2615" s="167"/>
      <c r="B2615" s="167"/>
    </row>
    <row r="2616" spans="1:2" x14ac:dyDescent="0.25">
      <c r="A2616" s="167"/>
      <c r="B2616" s="167"/>
    </row>
    <row r="2617" spans="1:2" x14ac:dyDescent="0.25">
      <c r="A2617" s="167"/>
      <c r="B2617" s="167"/>
    </row>
    <row r="2618" spans="1:2" x14ac:dyDescent="0.25">
      <c r="A2618" s="167"/>
      <c r="B2618" s="167"/>
    </row>
    <row r="2619" spans="1:2" x14ac:dyDescent="0.25">
      <c r="A2619" s="167"/>
      <c r="B2619" s="167"/>
    </row>
    <row r="2620" spans="1:2" x14ac:dyDescent="0.25">
      <c r="A2620" s="167"/>
      <c r="B2620" s="167"/>
    </row>
    <row r="2621" spans="1:2" x14ac:dyDescent="0.25">
      <c r="A2621" s="167"/>
      <c r="B2621" s="167"/>
    </row>
    <row r="2622" spans="1:2" x14ac:dyDescent="0.25">
      <c r="A2622" s="167"/>
      <c r="B2622" s="167"/>
    </row>
    <row r="2623" spans="1:2" x14ac:dyDescent="0.25">
      <c r="A2623" s="167"/>
      <c r="B2623" s="167"/>
    </row>
    <row r="2624" spans="1:2" x14ac:dyDescent="0.25">
      <c r="A2624" s="167"/>
      <c r="B2624" s="167"/>
    </row>
    <row r="2625" spans="1:2" x14ac:dyDescent="0.25">
      <c r="A2625" s="167"/>
      <c r="B2625" s="167"/>
    </row>
    <row r="2626" spans="1:2" x14ac:dyDescent="0.25">
      <c r="A2626" s="167"/>
      <c r="B2626" s="167"/>
    </row>
    <row r="2627" spans="1:2" x14ac:dyDescent="0.25">
      <c r="A2627" s="167"/>
      <c r="B2627" s="167"/>
    </row>
    <row r="2628" spans="1:2" x14ac:dyDescent="0.25">
      <c r="A2628" s="167"/>
      <c r="B2628" s="167"/>
    </row>
    <row r="2629" spans="1:2" x14ac:dyDescent="0.25">
      <c r="A2629" s="167"/>
      <c r="B2629" s="167"/>
    </row>
    <row r="2630" spans="1:2" x14ac:dyDescent="0.25">
      <c r="A2630" s="167"/>
      <c r="B2630" s="167"/>
    </row>
    <row r="2631" spans="1:2" x14ac:dyDescent="0.25">
      <c r="A2631" s="167"/>
      <c r="B2631" s="167"/>
    </row>
    <row r="2632" spans="1:2" x14ac:dyDescent="0.25">
      <c r="A2632" s="167"/>
      <c r="B2632" s="167"/>
    </row>
    <row r="2633" spans="1:2" x14ac:dyDescent="0.25">
      <c r="A2633" s="167"/>
      <c r="B2633" s="167"/>
    </row>
    <row r="2634" spans="1:2" x14ac:dyDescent="0.25">
      <c r="A2634" s="167"/>
      <c r="B2634" s="167"/>
    </row>
    <row r="2635" spans="1:2" x14ac:dyDescent="0.25">
      <c r="A2635" s="167"/>
      <c r="B2635" s="167"/>
    </row>
    <row r="2636" spans="1:2" x14ac:dyDescent="0.25">
      <c r="A2636" s="167"/>
      <c r="B2636" s="167"/>
    </row>
    <row r="2637" spans="1:2" x14ac:dyDescent="0.25">
      <c r="A2637" s="167"/>
      <c r="B2637" s="167"/>
    </row>
    <row r="2638" spans="1:2" x14ac:dyDescent="0.25">
      <c r="A2638" s="167"/>
      <c r="B2638" s="167"/>
    </row>
    <row r="2639" spans="1:2" x14ac:dyDescent="0.25">
      <c r="A2639" s="167"/>
      <c r="B2639" s="167"/>
    </row>
    <row r="2640" spans="1:2" x14ac:dyDescent="0.25">
      <c r="A2640" s="167"/>
      <c r="B2640" s="167"/>
    </row>
    <row r="2641" spans="1:2" x14ac:dyDescent="0.25">
      <c r="A2641" s="167"/>
      <c r="B2641" s="167"/>
    </row>
    <row r="2642" spans="1:2" x14ac:dyDescent="0.25">
      <c r="A2642" s="167"/>
      <c r="B2642" s="167"/>
    </row>
    <row r="2643" spans="1:2" x14ac:dyDescent="0.25">
      <c r="A2643" s="167"/>
      <c r="B2643" s="167"/>
    </row>
    <row r="2644" spans="1:2" x14ac:dyDescent="0.25">
      <c r="A2644" s="167"/>
      <c r="B2644" s="167"/>
    </row>
    <row r="2645" spans="1:2" x14ac:dyDescent="0.25">
      <c r="A2645" s="167"/>
      <c r="B2645" s="167"/>
    </row>
    <row r="2646" spans="1:2" x14ac:dyDescent="0.25">
      <c r="A2646" s="167"/>
      <c r="B2646" s="167"/>
    </row>
    <row r="2647" spans="1:2" x14ac:dyDescent="0.25">
      <c r="A2647" s="167"/>
      <c r="B2647" s="167"/>
    </row>
    <row r="2648" spans="1:2" x14ac:dyDescent="0.25">
      <c r="A2648" s="167"/>
      <c r="B2648" s="167"/>
    </row>
    <row r="2649" spans="1:2" x14ac:dyDescent="0.25">
      <c r="A2649" s="167"/>
      <c r="B2649" s="167"/>
    </row>
    <row r="2650" spans="1:2" x14ac:dyDescent="0.25">
      <c r="A2650" s="167"/>
      <c r="B2650" s="167"/>
    </row>
    <row r="2651" spans="1:2" x14ac:dyDescent="0.25">
      <c r="A2651" s="167"/>
      <c r="B2651" s="167"/>
    </row>
    <row r="2652" spans="1:2" x14ac:dyDescent="0.25">
      <c r="A2652" s="167"/>
      <c r="B2652" s="167"/>
    </row>
    <row r="2653" spans="1:2" x14ac:dyDescent="0.25">
      <c r="A2653" s="167"/>
      <c r="B2653" s="167"/>
    </row>
    <row r="2654" spans="1:2" x14ac:dyDescent="0.25">
      <c r="A2654" s="167"/>
      <c r="B2654" s="167"/>
    </row>
    <row r="2655" spans="1:2" x14ac:dyDescent="0.25">
      <c r="A2655" s="167"/>
      <c r="B2655" s="167"/>
    </row>
    <row r="2656" spans="1:2" x14ac:dyDescent="0.25">
      <c r="A2656" s="167"/>
      <c r="B2656" s="167"/>
    </row>
    <row r="2657" spans="1:2" x14ac:dyDescent="0.25">
      <c r="A2657" s="167"/>
      <c r="B2657" s="167"/>
    </row>
    <row r="2658" spans="1:2" x14ac:dyDescent="0.25">
      <c r="A2658" s="167"/>
      <c r="B2658" s="167"/>
    </row>
    <row r="2659" spans="1:2" x14ac:dyDescent="0.25">
      <c r="A2659" s="167"/>
      <c r="B2659" s="167"/>
    </row>
    <row r="2660" spans="1:2" x14ac:dyDescent="0.25">
      <c r="A2660" s="167"/>
      <c r="B2660" s="167"/>
    </row>
    <row r="2661" spans="1:2" x14ac:dyDescent="0.25">
      <c r="A2661" s="167"/>
      <c r="B2661" s="167"/>
    </row>
    <row r="2662" spans="1:2" x14ac:dyDescent="0.25">
      <c r="A2662" s="167"/>
      <c r="B2662" s="167"/>
    </row>
    <row r="2663" spans="1:2" x14ac:dyDescent="0.25">
      <c r="A2663" s="167"/>
      <c r="B2663" s="167"/>
    </row>
    <row r="2664" spans="1:2" x14ac:dyDescent="0.25">
      <c r="A2664" s="167"/>
      <c r="B2664" s="167"/>
    </row>
    <row r="2665" spans="1:2" x14ac:dyDescent="0.25">
      <c r="A2665" s="167"/>
      <c r="B2665" s="167"/>
    </row>
    <row r="2666" spans="1:2" x14ac:dyDescent="0.25">
      <c r="A2666" s="167"/>
      <c r="B2666" s="167"/>
    </row>
    <row r="2667" spans="1:2" x14ac:dyDescent="0.25">
      <c r="A2667" s="167"/>
      <c r="B2667" s="167"/>
    </row>
    <row r="2668" spans="1:2" x14ac:dyDescent="0.25">
      <c r="A2668" s="167"/>
      <c r="B2668" s="167"/>
    </row>
    <row r="2669" spans="1:2" x14ac:dyDescent="0.25">
      <c r="A2669" s="167"/>
      <c r="B2669" s="167"/>
    </row>
    <row r="2670" spans="1:2" x14ac:dyDescent="0.25">
      <c r="A2670" s="167"/>
      <c r="B2670" s="167"/>
    </row>
    <row r="2671" spans="1:2" x14ac:dyDescent="0.25">
      <c r="A2671" s="167"/>
      <c r="B2671" s="167"/>
    </row>
    <row r="2672" spans="1:2" x14ac:dyDescent="0.25">
      <c r="A2672" s="167"/>
      <c r="B2672" s="167"/>
    </row>
    <row r="2673" spans="1:2" x14ac:dyDescent="0.25">
      <c r="A2673" s="167"/>
      <c r="B2673" s="167"/>
    </row>
    <row r="2674" spans="1:2" x14ac:dyDescent="0.25">
      <c r="A2674" s="167"/>
      <c r="B2674" s="167"/>
    </row>
    <row r="2675" spans="1:2" x14ac:dyDescent="0.25">
      <c r="A2675" s="167"/>
      <c r="B2675" s="167"/>
    </row>
    <row r="2676" spans="1:2" x14ac:dyDescent="0.25">
      <c r="A2676" s="167"/>
      <c r="B2676" s="167"/>
    </row>
    <row r="2677" spans="1:2" x14ac:dyDescent="0.25">
      <c r="A2677" s="167"/>
      <c r="B2677" s="167"/>
    </row>
    <row r="2678" spans="1:2" x14ac:dyDescent="0.25">
      <c r="A2678" s="167"/>
      <c r="B2678" s="167"/>
    </row>
    <row r="2679" spans="1:2" x14ac:dyDescent="0.25">
      <c r="A2679" s="167"/>
      <c r="B2679" s="167"/>
    </row>
    <row r="2680" spans="1:2" x14ac:dyDescent="0.25">
      <c r="A2680" s="167"/>
      <c r="B2680" s="167"/>
    </row>
    <row r="2681" spans="1:2" x14ac:dyDescent="0.25">
      <c r="A2681" s="167"/>
      <c r="B2681" s="167"/>
    </row>
    <row r="2682" spans="1:2" x14ac:dyDescent="0.25">
      <c r="A2682" s="167"/>
      <c r="B2682" s="167"/>
    </row>
    <row r="2683" spans="1:2" x14ac:dyDescent="0.25">
      <c r="A2683" s="167"/>
      <c r="B2683" s="167"/>
    </row>
    <row r="2684" spans="1:2" x14ac:dyDescent="0.25">
      <c r="A2684" s="167"/>
      <c r="B2684" s="167"/>
    </row>
    <row r="2685" spans="1:2" x14ac:dyDescent="0.25">
      <c r="A2685" s="167"/>
      <c r="B2685" s="167"/>
    </row>
    <row r="2686" spans="1:2" x14ac:dyDescent="0.25">
      <c r="A2686" s="167"/>
      <c r="B2686" s="167"/>
    </row>
    <row r="2687" spans="1:2" x14ac:dyDescent="0.25">
      <c r="A2687" s="167"/>
      <c r="B2687" s="167"/>
    </row>
    <row r="2688" spans="1:2" x14ac:dyDescent="0.25">
      <c r="A2688" s="167"/>
      <c r="B2688" s="167"/>
    </row>
    <row r="2689" spans="1:2" x14ac:dyDescent="0.25">
      <c r="A2689" s="167"/>
      <c r="B2689" s="167"/>
    </row>
    <row r="2690" spans="1:2" x14ac:dyDescent="0.25">
      <c r="A2690" s="167"/>
      <c r="B2690" s="167"/>
    </row>
    <row r="2691" spans="1:2" x14ac:dyDescent="0.25">
      <c r="A2691" s="167"/>
      <c r="B2691" s="167"/>
    </row>
    <row r="2692" spans="1:2" x14ac:dyDescent="0.25">
      <c r="A2692" s="167"/>
      <c r="B2692" s="167"/>
    </row>
    <row r="2693" spans="1:2" x14ac:dyDescent="0.25">
      <c r="A2693" s="167"/>
      <c r="B2693" s="167"/>
    </row>
    <row r="2694" spans="1:2" x14ac:dyDescent="0.25">
      <c r="A2694" s="167"/>
      <c r="B2694" s="167"/>
    </row>
    <row r="2695" spans="1:2" x14ac:dyDescent="0.25">
      <c r="A2695" s="167"/>
      <c r="B2695" s="167"/>
    </row>
    <row r="2696" spans="1:2" x14ac:dyDescent="0.25">
      <c r="A2696" s="167"/>
      <c r="B2696" s="167"/>
    </row>
    <row r="2697" spans="1:2" x14ac:dyDescent="0.25">
      <c r="A2697" s="167"/>
      <c r="B2697" s="167"/>
    </row>
    <row r="2698" spans="1:2" x14ac:dyDescent="0.25">
      <c r="A2698" s="167"/>
      <c r="B2698" s="167"/>
    </row>
    <row r="2699" spans="1:2" x14ac:dyDescent="0.25">
      <c r="A2699" s="167"/>
      <c r="B2699" s="167"/>
    </row>
    <row r="2700" spans="1:2" x14ac:dyDescent="0.25">
      <c r="A2700" s="167"/>
      <c r="B2700" s="167"/>
    </row>
    <row r="2701" spans="1:2" x14ac:dyDescent="0.25">
      <c r="A2701" s="167"/>
      <c r="B2701" s="167"/>
    </row>
    <row r="2702" spans="1:2" x14ac:dyDescent="0.25">
      <c r="A2702" s="167"/>
      <c r="B2702" s="167"/>
    </row>
    <row r="2703" spans="1:2" x14ac:dyDescent="0.25">
      <c r="A2703" s="167"/>
      <c r="B2703" s="167"/>
    </row>
    <row r="2704" spans="1:2" x14ac:dyDescent="0.25">
      <c r="A2704" s="167"/>
      <c r="B2704" s="167"/>
    </row>
    <row r="2705" spans="1:2" x14ac:dyDescent="0.25">
      <c r="A2705" s="167"/>
      <c r="B2705" s="167"/>
    </row>
    <row r="2706" spans="1:2" x14ac:dyDescent="0.25">
      <c r="A2706" s="167"/>
      <c r="B2706" s="167"/>
    </row>
    <row r="2707" spans="1:2" x14ac:dyDescent="0.25">
      <c r="A2707" s="167"/>
      <c r="B2707" s="167"/>
    </row>
    <row r="2708" spans="1:2" x14ac:dyDescent="0.25">
      <c r="A2708" s="167"/>
      <c r="B2708" s="167"/>
    </row>
    <row r="2709" spans="1:2" x14ac:dyDescent="0.25">
      <c r="A2709" s="167"/>
      <c r="B2709" s="167"/>
    </row>
    <row r="2710" spans="1:2" x14ac:dyDescent="0.25">
      <c r="A2710" s="167"/>
      <c r="B2710" s="167"/>
    </row>
    <row r="2711" spans="1:2" x14ac:dyDescent="0.25">
      <c r="A2711" s="167"/>
      <c r="B2711" s="167"/>
    </row>
    <row r="2712" spans="1:2" x14ac:dyDescent="0.25">
      <c r="A2712" s="167"/>
      <c r="B2712" s="167"/>
    </row>
    <row r="2713" spans="1:2" x14ac:dyDescent="0.25">
      <c r="A2713" s="167"/>
      <c r="B2713" s="167"/>
    </row>
    <row r="2714" spans="1:2" x14ac:dyDescent="0.25">
      <c r="A2714" s="167"/>
      <c r="B2714" s="167"/>
    </row>
    <row r="2715" spans="1:2" x14ac:dyDescent="0.25">
      <c r="A2715" s="167"/>
      <c r="B2715" s="167"/>
    </row>
    <row r="2716" spans="1:2" x14ac:dyDescent="0.25">
      <c r="A2716" s="167"/>
      <c r="B2716" s="167"/>
    </row>
    <row r="2717" spans="1:2" x14ac:dyDescent="0.25">
      <c r="A2717" s="167"/>
      <c r="B2717" s="167"/>
    </row>
    <row r="2718" spans="1:2" x14ac:dyDescent="0.25">
      <c r="A2718" s="167"/>
      <c r="B2718" s="167"/>
    </row>
    <row r="2719" spans="1:2" x14ac:dyDescent="0.25">
      <c r="A2719" s="167"/>
      <c r="B2719" s="167"/>
    </row>
    <row r="2720" spans="1:2" x14ac:dyDescent="0.25">
      <c r="A2720" s="167"/>
      <c r="B2720" s="167"/>
    </row>
    <row r="2721" spans="1:2" x14ac:dyDescent="0.25">
      <c r="A2721" s="167"/>
      <c r="B2721" s="167"/>
    </row>
    <row r="2722" spans="1:2" x14ac:dyDescent="0.25">
      <c r="A2722" s="167"/>
      <c r="B2722" s="167"/>
    </row>
    <row r="2723" spans="1:2" x14ac:dyDescent="0.25">
      <c r="A2723" s="167"/>
      <c r="B2723" s="167"/>
    </row>
    <row r="2724" spans="1:2" x14ac:dyDescent="0.25">
      <c r="A2724" s="167"/>
      <c r="B2724" s="167"/>
    </row>
    <row r="2725" spans="1:2" x14ac:dyDescent="0.25">
      <c r="A2725" s="167"/>
      <c r="B2725" s="167"/>
    </row>
    <row r="2726" spans="1:2" x14ac:dyDescent="0.25">
      <c r="A2726" s="167"/>
      <c r="B2726" s="167"/>
    </row>
    <row r="2727" spans="1:2" x14ac:dyDescent="0.25">
      <c r="A2727" s="167"/>
      <c r="B2727" s="167"/>
    </row>
    <row r="2728" spans="1:2" x14ac:dyDescent="0.25">
      <c r="A2728" s="167"/>
      <c r="B2728" s="167"/>
    </row>
    <row r="2729" spans="1:2" x14ac:dyDescent="0.25">
      <c r="A2729" s="167"/>
      <c r="B2729" s="167"/>
    </row>
    <row r="2730" spans="1:2" x14ac:dyDescent="0.25">
      <c r="A2730" s="167"/>
      <c r="B2730" s="167"/>
    </row>
    <row r="2731" spans="1:2" x14ac:dyDescent="0.25">
      <c r="A2731" s="167"/>
      <c r="B2731" s="167"/>
    </row>
    <row r="2732" spans="1:2" x14ac:dyDescent="0.25">
      <c r="A2732" s="167"/>
      <c r="B2732" s="167"/>
    </row>
    <row r="2733" spans="1:2" x14ac:dyDescent="0.25">
      <c r="A2733" s="167"/>
      <c r="B2733" s="167"/>
    </row>
    <row r="2734" spans="1:2" x14ac:dyDescent="0.25">
      <c r="A2734" s="167"/>
      <c r="B2734" s="167"/>
    </row>
    <row r="2735" spans="1:2" x14ac:dyDescent="0.25">
      <c r="A2735" s="167"/>
      <c r="B2735" s="167"/>
    </row>
    <row r="2736" spans="1:2" x14ac:dyDescent="0.25">
      <c r="A2736" s="167"/>
      <c r="B2736" s="167"/>
    </row>
    <row r="2737" spans="1:2" x14ac:dyDescent="0.25">
      <c r="A2737" s="167"/>
      <c r="B2737" s="167"/>
    </row>
    <row r="2738" spans="1:2" x14ac:dyDescent="0.25">
      <c r="A2738" s="167"/>
      <c r="B2738" s="167"/>
    </row>
    <row r="2739" spans="1:2" x14ac:dyDescent="0.25">
      <c r="A2739" s="167"/>
      <c r="B2739" s="167"/>
    </row>
    <row r="2740" spans="1:2" x14ac:dyDescent="0.25">
      <c r="A2740" s="167"/>
      <c r="B2740" s="167"/>
    </row>
    <row r="2741" spans="1:2" x14ac:dyDescent="0.25">
      <c r="A2741" s="167"/>
      <c r="B2741" s="167"/>
    </row>
    <row r="2742" spans="1:2" x14ac:dyDescent="0.25">
      <c r="A2742" s="167"/>
      <c r="B2742" s="167"/>
    </row>
    <row r="2743" spans="1:2" x14ac:dyDescent="0.25">
      <c r="A2743" s="167"/>
      <c r="B2743" s="167"/>
    </row>
    <row r="2744" spans="1:2" x14ac:dyDescent="0.25">
      <c r="A2744" s="167"/>
      <c r="B2744" s="167"/>
    </row>
    <row r="2745" spans="1:2" x14ac:dyDescent="0.25">
      <c r="A2745" s="167"/>
      <c r="B2745" s="167"/>
    </row>
    <row r="2746" spans="1:2" x14ac:dyDescent="0.25">
      <c r="A2746" s="167"/>
      <c r="B2746" s="167"/>
    </row>
    <row r="2747" spans="1:2" x14ac:dyDescent="0.25">
      <c r="A2747" s="167"/>
      <c r="B2747" s="167"/>
    </row>
    <row r="2748" spans="1:2" x14ac:dyDescent="0.25">
      <c r="A2748" s="167"/>
      <c r="B2748" s="167"/>
    </row>
    <row r="2749" spans="1:2" x14ac:dyDescent="0.25">
      <c r="A2749" s="167"/>
      <c r="B2749" s="167"/>
    </row>
    <row r="2750" spans="1:2" x14ac:dyDescent="0.25">
      <c r="A2750" s="167"/>
      <c r="B2750" s="167"/>
    </row>
    <row r="2751" spans="1:2" x14ac:dyDescent="0.25">
      <c r="A2751" s="167"/>
      <c r="B2751" s="167"/>
    </row>
    <row r="2752" spans="1:2" x14ac:dyDescent="0.25">
      <c r="A2752" s="167"/>
      <c r="B2752" s="167"/>
    </row>
    <row r="2753" spans="1:2" x14ac:dyDescent="0.25">
      <c r="A2753" s="167"/>
      <c r="B2753" s="167"/>
    </row>
    <row r="2754" spans="1:2" x14ac:dyDescent="0.25">
      <c r="A2754" s="167"/>
      <c r="B2754" s="167"/>
    </row>
    <row r="2755" spans="1:2" x14ac:dyDescent="0.25">
      <c r="A2755" s="167"/>
      <c r="B2755" s="167"/>
    </row>
    <row r="2756" spans="1:2" x14ac:dyDescent="0.25">
      <c r="A2756" s="167"/>
      <c r="B2756" s="167"/>
    </row>
    <row r="2757" spans="1:2" x14ac:dyDescent="0.25">
      <c r="A2757" s="167"/>
      <c r="B2757" s="167"/>
    </row>
    <row r="2758" spans="1:2" x14ac:dyDescent="0.25">
      <c r="A2758" s="167"/>
      <c r="B2758" s="167"/>
    </row>
    <row r="2759" spans="1:2" x14ac:dyDescent="0.25">
      <c r="A2759" s="167"/>
      <c r="B2759" s="167"/>
    </row>
    <row r="2760" spans="1:2" x14ac:dyDescent="0.25">
      <c r="A2760" s="167"/>
      <c r="B2760" s="167"/>
    </row>
    <row r="2761" spans="1:2" x14ac:dyDescent="0.25">
      <c r="A2761" s="167"/>
      <c r="B2761" s="167"/>
    </row>
    <row r="2762" spans="1:2" x14ac:dyDescent="0.25">
      <c r="A2762" s="167"/>
      <c r="B2762" s="167"/>
    </row>
    <row r="2763" spans="1:2" x14ac:dyDescent="0.25">
      <c r="A2763" s="167"/>
      <c r="B2763" s="167"/>
    </row>
    <row r="2764" spans="1:2" x14ac:dyDescent="0.25">
      <c r="A2764" s="167"/>
      <c r="B2764" s="167"/>
    </row>
    <row r="2765" spans="1:2" x14ac:dyDescent="0.25">
      <c r="A2765" s="167"/>
      <c r="B2765" s="167"/>
    </row>
    <row r="2766" spans="1:2" x14ac:dyDescent="0.25">
      <c r="A2766" s="167"/>
      <c r="B2766" s="167"/>
    </row>
    <row r="2767" spans="1:2" x14ac:dyDescent="0.25">
      <c r="A2767" s="167"/>
      <c r="B2767" s="167"/>
    </row>
    <row r="2768" spans="1:2" x14ac:dyDescent="0.25">
      <c r="A2768" s="167"/>
      <c r="B2768" s="167"/>
    </row>
    <row r="2769" spans="1:2" x14ac:dyDescent="0.25">
      <c r="A2769" s="167"/>
      <c r="B2769" s="167"/>
    </row>
    <row r="2770" spans="1:2" x14ac:dyDescent="0.25">
      <c r="A2770" s="167"/>
      <c r="B2770" s="167"/>
    </row>
    <row r="2771" spans="1:2" x14ac:dyDescent="0.25">
      <c r="A2771" s="167"/>
      <c r="B2771" s="167"/>
    </row>
    <row r="2772" spans="1:2" x14ac:dyDescent="0.25">
      <c r="A2772" s="167"/>
      <c r="B2772" s="167"/>
    </row>
    <row r="2773" spans="1:2" x14ac:dyDescent="0.25">
      <c r="A2773" s="167"/>
      <c r="B2773" s="167"/>
    </row>
    <row r="2774" spans="1:2" x14ac:dyDescent="0.25">
      <c r="A2774" s="167"/>
      <c r="B2774" s="167"/>
    </row>
    <row r="2775" spans="1:2" x14ac:dyDescent="0.25">
      <c r="A2775" s="167"/>
      <c r="B2775" s="167"/>
    </row>
    <row r="2776" spans="1:2" x14ac:dyDescent="0.25">
      <c r="A2776" s="167"/>
      <c r="B2776" s="167"/>
    </row>
    <row r="2777" spans="1:2" x14ac:dyDescent="0.25">
      <c r="A2777" s="167"/>
      <c r="B2777" s="167"/>
    </row>
    <row r="2778" spans="1:2" x14ac:dyDescent="0.25">
      <c r="A2778" s="167"/>
      <c r="B2778" s="167"/>
    </row>
    <row r="2779" spans="1:2" x14ac:dyDescent="0.25">
      <c r="A2779" s="167"/>
      <c r="B2779" s="167"/>
    </row>
    <row r="2780" spans="1:2" x14ac:dyDescent="0.25">
      <c r="A2780" s="167"/>
      <c r="B2780" s="167"/>
    </row>
    <row r="2781" spans="1:2" x14ac:dyDescent="0.25">
      <c r="A2781" s="167"/>
      <c r="B2781" s="167"/>
    </row>
    <row r="2782" spans="1:2" x14ac:dyDescent="0.25">
      <c r="A2782" s="167"/>
      <c r="B2782" s="167"/>
    </row>
    <row r="2783" spans="1:2" x14ac:dyDescent="0.25">
      <c r="A2783" s="167"/>
      <c r="B2783" s="167"/>
    </row>
    <row r="2784" spans="1:2" x14ac:dyDescent="0.25">
      <c r="A2784" s="167"/>
      <c r="B2784" s="167"/>
    </row>
    <row r="2785" spans="1:2" x14ac:dyDescent="0.25">
      <c r="A2785" s="167"/>
      <c r="B2785" s="167"/>
    </row>
    <row r="2786" spans="1:2" x14ac:dyDescent="0.25">
      <c r="A2786" s="167"/>
      <c r="B2786" s="167"/>
    </row>
    <row r="2787" spans="1:2" x14ac:dyDescent="0.25">
      <c r="A2787" s="167"/>
      <c r="B2787" s="167"/>
    </row>
    <row r="2788" spans="1:2" x14ac:dyDescent="0.25">
      <c r="A2788" s="167"/>
      <c r="B2788" s="167"/>
    </row>
    <row r="2789" spans="1:2" x14ac:dyDescent="0.25">
      <c r="A2789" s="167"/>
      <c r="B2789" s="167"/>
    </row>
    <row r="2790" spans="1:2" x14ac:dyDescent="0.25">
      <c r="A2790" s="167"/>
      <c r="B2790" s="167"/>
    </row>
    <row r="2791" spans="1:2" x14ac:dyDescent="0.25">
      <c r="A2791" s="167"/>
      <c r="B2791" s="167"/>
    </row>
    <row r="2792" spans="1:2" x14ac:dyDescent="0.25">
      <c r="A2792" s="167"/>
      <c r="B2792" s="167"/>
    </row>
    <row r="2793" spans="1:2" x14ac:dyDescent="0.25">
      <c r="A2793" s="167"/>
      <c r="B2793" s="167"/>
    </row>
    <row r="2794" spans="1:2" x14ac:dyDescent="0.25">
      <c r="A2794" s="167"/>
      <c r="B2794" s="167"/>
    </row>
    <row r="2795" spans="1:2" x14ac:dyDescent="0.25">
      <c r="A2795" s="167"/>
      <c r="B2795" s="167"/>
    </row>
    <row r="2796" spans="1:2" x14ac:dyDescent="0.25">
      <c r="A2796" s="167"/>
      <c r="B2796" s="167"/>
    </row>
    <row r="2797" spans="1:2" x14ac:dyDescent="0.25">
      <c r="A2797" s="167"/>
      <c r="B2797" s="167"/>
    </row>
    <row r="2798" spans="1:2" x14ac:dyDescent="0.25">
      <c r="A2798" s="167"/>
      <c r="B2798" s="167"/>
    </row>
    <row r="2799" spans="1:2" x14ac:dyDescent="0.25">
      <c r="A2799" s="167"/>
      <c r="B2799" s="167"/>
    </row>
    <row r="2800" spans="1:2" x14ac:dyDescent="0.25">
      <c r="A2800" s="167"/>
      <c r="B2800" s="167"/>
    </row>
    <row r="2801" spans="1:2" x14ac:dyDescent="0.25">
      <c r="A2801" s="167"/>
      <c r="B2801" s="167"/>
    </row>
    <row r="2802" spans="1:2" x14ac:dyDescent="0.25">
      <c r="A2802" s="167"/>
      <c r="B2802" s="167"/>
    </row>
    <row r="2803" spans="1:2" x14ac:dyDescent="0.25">
      <c r="A2803" s="167"/>
      <c r="B2803" s="167"/>
    </row>
    <row r="2804" spans="1:2" x14ac:dyDescent="0.25">
      <c r="A2804" s="167"/>
      <c r="B2804" s="167"/>
    </row>
    <row r="2805" spans="1:2" x14ac:dyDescent="0.25">
      <c r="A2805" s="167"/>
      <c r="B2805" s="167"/>
    </row>
    <row r="2806" spans="1:2" x14ac:dyDescent="0.25">
      <c r="A2806" s="167"/>
      <c r="B2806" s="167"/>
    </row>
    <row r="2807" spans="1:2" x14ac:dyDescent="0.25">
      <c r="A2807" s="167"/>
      <c r="B2807" s="167"/>
    </row>
    <row r="2808" spans="1:2" x14ac:dyDescent="0.25">
      <c r="A2808" s="167"/>
      <c r="B2808" s="167"/>
    </row>
    <row r="2809" spans="1:2" x14ac:dyDescent="0.25">
      <c r="A2809" s="167"/>
      <c r="B2809" s="167"/>
    </row>
    <row r="2810" spans="1:2" x14ac:dyDescent="0.25">
      <c r="A2810" s="167"/>
      <c r="B2810" s="167"/>
    </row>
    <row r="2811" spans="1:2" x14ac:dyDescent="0.25">
      <c r="A2811" s="167"/>
      <c r="B2811" s="167"/>
    </row>
    <row r="2812" spans="1:2" x14ac:dyDescent="0.25">
      <c r="A2812" s="167"/>
      <c r="B2812" s="167"/>
    </row>
    <row r="2813" spans="1:2" x14ac:dyDescent="0.25">
      <c r="A2813" s="167"/>
      <c r="B2813" s="167"/>
    </row>
    <row r="2814" spans="1:2" x14ac:dyDescent="0.25">
      <c r="A2814" s="167"/>
      <c r="B2814" s="167"/>
    </row>
    <row r="2815" spans="1:2" x14ac:dyDescent="0.25">
      <c r="A2815" s="167"/>
      <c r="B2815" s="167"/>
    </row>
    <row r="2816" spans="1:2" x14ac:dyDescent="0.25">
      <c r="A2816" s="167"/>
      <c r="B2816" s="167"/>
    </row>
    <row r="2817" spans="1:2" x14ac:dyDescent="0.25">
      <c r="A2817" s="167"/>
      <c r="B2817" s="167"/>
    </row>
    <row r="2818" spans="1:2" x14ac:dyDescent="0.25">
      <c r="A2818" s="167"/>
      <c r="B2818" s="167"/>
    </row>
    <row r="2819" spans="1:2" x14ac:dyDescent="0.25">
      <c r="A2819" s="167"/>
      <c r="B2819" s="167"/>
    </row>
    <row r="2820" spans="1:2" x14ac:dyDescent="0.25">
      <c r="A2820" s="167"/>
      <c r="B2820" s="167"/>
    </row>
    <row r="2821" spans="1:2" x14ac:dyDescent="0.25">
      <c r="A2821" s="167"/>
      <c r="B2821" s="167"/>
    </row>
    <row r="2822" spans="1:2" x14ac:dyDescent="0.25">
      <c r="A2822" s="167"/>
      <c r="B2822" s="167"/>
    </row>
    <row r="2823" spans="1:2" x14ac:dyDescent="0.25">
      <c r="A2823" s="167"/>
      <c r="B2823" s="167"/>
    </row>
    <row r="2824" spans="1:2" x14ac:dyDescent="0.25">
      <c r="A2824" s="167"/>
      <c r="B2824" s="167"/>
    </row>
    <row r="2825" spans="1:2" x14ac:dyDescent="0.25">
      <c r="A2825" s="167"/>
      <c r="B2825" s="167"/>
    </row>
    <row r="2826" spans="1:2" x14ac:dyDescent="0.25">
      <c r="A2826" s="167"/>
      <c r="B2826" s="167"/>
    </row>
    <row r="2827" spans="1:2" x14ac:dyDescent="0.25">
      <c r="A2827" s="167"/>
      <c r="B2827" s="167"/>
    </row>
    <row r="2828" spans="1:2" x14ac:dyDescent="0.25">
      <c r="A2828" s="167"/>
      <c r="B2828" s="167"/>
    </row>
    <row r="2829" spans="1:2" x14ac:dyDescent="0.25">
      <c r="A2829" s="167"/>
      <c r="B2829" s="167"/>
    </row>
    <row r="2830" spans="1:2" x14ac:dyDescent="0.25">
      <c r="A2830" s="167"/>
      <c r="B2830" s="167"/>
    </row>
    <row r="2831" spans="1:2" x14ac:dyDescent="0.25">
      <c r="A2831" s="167"/>
      <c r="B2831" s="167"/>
    </row>
    <row r="2832" spans="1:2" x14ac:dyDescent="0.25">
      <c r="A2832" s="167"/>
      <c r="B2832" s="167"/>
    </row>
    <row r="2833" spans="1:2" x14ac:dyDescent="0.25">
      <c r="A2833" s="167"/>
      <c r="B2833" s="167"/>
    </row>
    <row r="2834" spans="1:2" x14ac:dyDescent="0.25">
      <c r="A2834" s="167"/>
      <c r="B2834" s="167"/>
    </row>
    <row r="2835" spans="1:2" x14ac:dyDescent="0.25">
      <c r="A2835" s="167"/>
      <c r="B2835" s="167"/>
    </row>
    <row r="2836" spans="1:2" x14ac:dyDescent="0.25">
      <c r="A2836" s="167"/>
      <c r="B2836" s="167"/>
    </row>
    <row r="2837" spans="1:2" x14ac:dyDescent="0.25">
      <c r="A2837" s="167"/>
      <c r="B2837" s="167"/>
    </row>
    <row r="2838" spans="1:2" x14ac:dyDescent="0.25">
      <c r="A2838" s="167"/>
      <c r="B2838" s="167"/>
    </row>
    <row r="2839" spans="1:2" x14ac:dyDescent="0.25">
      <c r="A2839" s="167"/>
      <c r="B2839" s="167"/>
    </row>
    <row r="2840" spans="1:2" x14ac:dyDescent="0.25">
      <c r="A2840" s="167"/>
      <c r="B2840" s="167"/>
    </row>
    <row r="2841" spans="1:2" x14ac:dyDescent="0.25">
      <c r="A2841" s="167"/>
      <c r="B2841" s="167"/>
    </row>
    <row r="2842" spans="1:2" x14ac:dyDescent="0.25">
      <c r="A2842" s="167"/>
      <c r="B2842" s="167"/>
    </row>
    <row r="2843" spans="1:2" x14ac:dyDescent="0.25">
      <c r="A2843" s="167"/>
      <c r="B2843" s="167"/>
    </row>
    <row r="2844" spans="1:2" x14ac:dyDescent="0.25">
      <c r="A2844" s="167"/>
      <c r="B2844" s="167"/>
    </row>
    <row r="2845" spans="1:2" x14ac:dyDescent="0.25">
      <c r="A2845" s="167"/>
      <c r="B2845" s="167"/>
    </row>
    <row r="2846" spans="1:2" x14ac:dyDescent="0.25">
      <c r="A2846" s="167"/>
      <c r="B2846" s="167"/>
    </row>
    <row r="2847" spans="1:2" x14ac:dyDescent="0.25">
      <c r="A2847" s="167"/>
      <c r="B2847" s="167"/>
    </row>
    <row r="2848" spans="1:2" x14ac:dyDescent="0.25">
      <c r="A2848" s="167"/>
      <c r="B2848" s="167"/>
    </row>
    <row r="2849" spans="1:2" x14ac:dyDescent="0.25">
      <c r="A2849" s="167"/>
      <c r="B2849" s="167"/>
    </row>
    <row r="2850" spans="1:2" x14ac:dyDescent="0.25">
      <c r="A2850" s="167"/>
      <c r="B2850" s="167"/>
    </row>
    <row r="2851" spans="1:2" x14ac:dyDescent="0.25">
      <c r="A2851" s="167"/>
      <c r="B2851" s="167"/>
    </row>
    <row r="2852" spans="1:2" x14ac:dyDescent="0.25">
      <c r="A2852" s="167"/>
      <c r="B2852" s="167"/>
    </row>
    <row r="2853" spans="1:2" x14ac:dyDescent="0.25">
      <c r="A2853" s="167"/>
      <c r="B2853" s="167"/>
    </row>
    <row r="2854" spans="1:2" x14ac:dyDescent="0.25">
      <c r="A2854" s="167"/>
      <c r="B2854" s="167"/>
    </row>
    <row r="2855" spans="1:2" x14ac:dyDescent="0.25">
      <c r="A2855" s="167"/>
      <c r="B2855" s="167"/>
    </row>
    <row r="2856" spans="1:2" x14ac:dyDescent="0.25">
      <c r="A2856" s="167"/>
      <c r="B2856" s="167"/>
    </row>
    <row r="2857" spans="1:2" x14ac:dyDescent="0.25">
      <c r="A2857" s="167"/>
      <c r="B2857" s="167"/>
    </row>
    <row r="2858" spans="1:2" x14ac:dyDescent="0.25">
      <c r="A2858" s="167"/>
      <c r="B2858" s="167"/>
    </row>
    <row r="2859" spans="1:2" x14ac:dyDescent="0.25">
      <c r="A2859" s="167"/>
      <c r="B2859" s="167"/>
    </row>
    <row r="2860" spans="1:2" x14ac:dyDescent="0.25">
      <c r="A2860" s="167"/>
      <c r="B2860" s="167"/>
    </row>
    <row r="2861" spans="1:2" x14ac:dyDescent="0.25">
      <c r="A2861" s="167"/>
      <c r="B2861" s="167"/>
    </row>
    <row r="2862" spans="1:2" x14ac:dyDescent="0.25">
      <c r="A2862" s="167"/>
      <c r="B2862" s="167"/>
    </row>
    <row r="2863" spans="1:2" x14ac:dyDescent="0.25">
      <c r="A2863" s="167"/>
      <c r="B2863" s="167"/>
    </row>
    <row r="2864" spans="1:2" x14ac:dyDescent="0.25">
      <c r="A2864" s="167"/>
      <c r="B2864" s="167"/>
    </row>
    <row r="2865" spans="1:2" x14ac:dyDescent="0.25">
      <c r="A2865" s="167"/>
      <c r="B2865" s="167"/>
    </row>
    <row r="2866" spans="1:2" x14ac:dyDescent="0.25">
      <c r="A2866" s="167"/>
      <c r="B2866" s="167"/>
    </row>
    <row r="2867" spans="1:2" x14ac:dyDescent="0.25">
      <c r="A2867" s="167"/>
      <c r="B2867" s="167"/>
    </row>
    <row r="2868" spans="1:2" x14ac:dyDescent="0.25">
      <c r="A2868" s="167"/>
      <c r="B2868" s="167"/>
    </row>
    <row r="2869" spans="1:2" x14ac:dyDescent="0.25">
      <c r="A2869" s="167"/>
      <c r="B2869" s="167"/>
    </row>
    <row r="2870" spans="1:2" x14ac:dyDescent="0.25">
      <c r="A2870" s="167"/>
      <c r="B2870" s="167"/>
    </row>
    <row r="2871" spans="1:2" x14ac:dyDescent="0.25">
      <c r="A2871" s="167"/>
      <c r="B2871" s="167"/>
    </row>
    <row r="2872" spans="1:2" x14ac:dyDescent="0.25">
      <c r="A2872" s="167"/>
      <c r="B2872" s="167"/>
    </row>
    <row r="2873" spans="1:2" x14ac:dyDescent="0.25">
      <c r="A2873" s="167"/>
      <c r="B2873" s="167"/>
    </row>
    <row r="2874" spans="1:2" x14ac:dyDescent="0.25">
      <c r="A2874" s="167"/>
      <c r="B2874" s="167"/>
    </row>
    <row r="2875" spans="1:2" x14ac:dyDescent="0.25">
      <c r="A2875" s="167"/>
      <c r="B2875" s="167"/>
    </row>
    <row r="2876" spans="1:2" x14ac:dyDescent="0.25">
      <c r="A2876" s="167"/>
      <c r="B2876" s="167"/>
    </row>
    <row r="2877" spans="1:2" x14ac:dyDescent="0.25">
      <c r="A2877" s="167"/>
      <c r="B2877" s="167"/>
    </row>
    <row r="2878" spans="1:2" x14ac:dyDescent="0.25">
      <c r="A2878" s="167"/>
      <c r="B2878" s="167"/>
    </row>
    <row r="2879" spans="1:2" x14ac:dyDescent="0.25">
      <c r="A2879" s="167"/>
      <c r="B2879" s="167"/>
    </row>
    <row r="2880" spans="1:2" x14ac:dyDescent="0.25">
      <c r="A2880" s="167"/>
      <c r="B2880" s="167"/>
    </row>
    <row r="2881" spans="1:2" x14ac:dyDescent="0.25">
      <c r="A2881" s="167"/>
      <c r="B2881" s="167"/>
    </row>
    <row r="2882" spans="1:2" x14ac:dyDescent="0.25">
      <c r="A2882" s="167"/>
      <c r="B2882" s="167"/>
    </row>
    <row r="2883" spans="1:2" x14ac:dyDescent="0.25">
      <c r="A2883" s="167"/>
      <c r="B2883" s="167"/>
    </row>
    <row r="2884" spans="1:2" x14ac:dyDescent="0.25">
      <c r="A2884" s="167"/>
      <c r="B2884" s="167"/>
    </row>
    <row r="2885" spans="1:2" x14ac:dyDescent="0.25">
      <c r="A2885" s="167"/>
      <c r="B2885" s="167"/>
    </row>
    <row r="2886" spans="1:2" x14ac:dyDescent="0.25">
      <c r="A2886" s="167"/>
      <c r="B2886" s="167"/>
    </row>
    <row r="2887" spans="1:2" x14ac:dyDescent="0.25">
      <c r="A2887" s="167"/>
      <c r="B2887" s="167"/>
    </row>
    <row r="2888" spans="1:2" x14ac:dyDescent="0.25">
      <c r="A2888" s="167"/>
      <c r="B2888" s="167"/>
    </row>
    <row r="2889" spans="1:2" x14ac:dyDescent="0.25">
      <c r="A2889" s="167"/>
      <c r="B2889" s="167"/>
    </row>
    <row r="2890" spans="1:2" x14ac:dyDescent="0.25">
      <c r="A2890" s="167"/>
      <c r="B2890" s="167"/>
    </row>
    <row r="2891" spans="1:2" x14ac:dyDescent="0.25">
      <c r="A2891" s="167"/>
      <c r="B2891" s="167"/>
    </row>
    <row r="2892" spans="1:2" x14ac:dyDescent="0.25">
      <c r="A2892" s="167"/>
      <c r="B2892" s="167"/>
    </row>
    <row r="2893" spans="1:2" x14ac:dyDescent="0.25">
      <c r="A2893" s="167"/>
      <c r="B2893" s="167"/>
    </row>
    <row r="2894" spans="1:2" x14ac:dyDescent="0.25">
      <c r="A2894" s="167"/>
      <c r="B2894" s="167"/>
    </row>
    <row r="2895" spans="1:2" x14ac:dyDescent="0.25">
      <c r="A2895" s="167"/>
      <c r="B2895" s="167"/>
    </row>
    <row r="2896" spans="1:2" x14ac:dyDescent="0.25">
      <c r="A2896" s="167"/>
      <c r="B2896" s="167"/>
    </row>
    <row r="2897" spans="1:2" x14ac:dyDescent="0.25">
      <c r="A2897" s="167"/>
      <c r="B2897" s="167"/>
    </row>
    <row r="2898" spans="1:2" x14ac:dyDescent="0.25">
      <c r="A2898" s="167"/>
      <c r="B2898" s="167"/>
    </row>
    <row r="2899" spans="1:2" x14ac:dyDescent="0.25">
      <c r="A2899" s="167"/>
      <c r="B2899" s="167"/>
    </row>
    <row r="2900" spans="1:2" x14ac:dyDescent="0.25">
      <c r="A2900" s="167"/>
      <c r="B2900" s="167"/>
    </row>
    <row r="2901" spans="1:2" x14ac:dyDescent="0.25">
      <c r="A2901" s="167"/>
      <c r="B2901" s="167"/>
    </row>
    <row r="2902" spans="1:2" x14ac:dyDescent="0.25">
      <c r="A2902" s="167"/>
      <c r="B2902" s="167"/>
    </row>
    <row r="2903" spans="1:2" x14ac:dyDescent="0.25">
      <c r="A2903" s="167"/>
      <c r="B2903" s="167"/>
    </row>
    <row r="2904" spans="1:2" x14ac:dyDescent="0.25">
      <c r="A2904" s="167"/>
      <c r="B2904" s="167"/>
    </row>
    <row r="2905" spans="1:2" x14ac:dyDescent="0.25">
      <c r="A2905" s="167"/>
      <c r="B2905" s="167"/>
    </row>
    <row r="2906" spans="1:2" x14ac:dyDescent="0.25">
      <c r="A2906" s="167"/>
      <c r="B2906" s="167"/>
    </row>
    <row r="2907" spans="1:2" x14ac:dyDescent="0.25">
      <c r="A2907" s="167"/>
      <c r="B2907" s="167"/>
    </row>
    <row r="2908" spans="1:2" x14ac:dyDescent="0.25">
      <c r="A2908" s="167"/>
      <c r="B2908" s="167"/>
    </row>
    <row r="2909" spans="1:2" x14ac:dyDescent="0.25">
      <c r="A2909" s="167"/>
      <c r="B2909" s="167"/>
    </row>
    <row r="2910" spans="1:2" x14ac:dyDescent="0.25">
      <c r="A2910" s="167"/>
      <c r="B2910" s="167"/>
    </row>
    <row r="2911" spans="1:2" x14ac:dyDescent="0.25">
      <c r="A2911" s="167"/>
      <c r="B2911" s="167"/>
    </row>
    <row r="2912" spans="1:2" x14ac:dyDescent="0.25">
      <c r="A2912" s="167"/>
      <c r="B2912" s="167"/>
    </row>
    <row r="2913" spans="1:2" x14ac:dyDescent="0.25">
      <c r="A2913" s="167"/>
      <c r="B2913" s="167"/>
    </row>
    <row r="2914" spans="1:2" x14ac:dyDescent="0.25">
      <c r="A2914" s="167"/>
      <c r="B2914" s="167"/>
    </row>
    <row r="2915" spans="1:2" x14ac:dyDescent="0.25">
      <c r="A2915" s="167"/>
      <c r="B2915" s="167"/>
    </row>
    <row r="2916" spans="1:2" x14ac:dyDescent="0.25">
      <c r="A2916" s="167"/>
      <c r="B2916" s="167"/>
    </row>
    <row r="2917" spans="1:2" x14ac:dyDescent="0.25">
      <c r="A2917" s="167"/>
      <c r="B2917" s="167"/>
    </row>
    <row r="2918" spans="1:2" x14ac:dyDescent="0.25">
      <c r="A2918" s="167"/>
      <c r="B2918" s="167"/>
    </row>
    <row r="2919" spans="1:2" x14ac:dyDescent="0.25">
      <c r="A2919" s="167"/>
      <c r="B2919" s="167"/>
    </row>
    <row r="2920" spans="1:2" x14ac:dyDescent="0.25">
      <c r="A2920" s="167"/>
      <c r="B2920" s="167"/>
    </row>
    <row r="2921" spans="1:2" x14ac:dyDescent="0.25">
      <c r="A2921" s="167"/>
      <c r="B2921" s="167"/>
    </row>
    <row r="2922" spans="1:2" x14ac:dyDescent="0.25">
      <c r="A2922" s="167"/>
      <c r="B2922" s="167"/>
    </row>
    <row r="2923" spans="1:2" x14ac:dyDescent="0.25">
      <c r="A2923" s="167"/>
      <c r="B2923" s="167"/>
    </row>
    <row r="2924" spans="1:2" x14ac:dyDescent="0.25">
      <c r="A2924" s="167"/>
      <c r="B2924" s="167"/>
    </row>
    <row r="2925" spans="1:2" x14ac:dyDescent="0.25">
      <c r="A2925" s="167"/>
      <c r="B2925" s="167"/>
    </row>
    <row r="2926" spans="1:2" x14ac:dyDescent="0.25">
      <c r="A2926" s="167"/>
      <c r="B2926" s="167"/>
    </row>
    <row r="2927" spans="1:2" x14ac:dyDescent="0.25">
      <c r="A2927" s="167"/>
      <c r="B2927" s="167"/>
    </row>
    <row r="2928" spans="1:2" x14ac:dyDescent="0.25">
      <c r="A2928" s="167"/>
      <c r="B2928" s="167"/>
    </row>
    <row r="2929" spans="1:2" x14ac:dyDescent="0.25">
      <c r="A2929" s="167"/>
      <c r="B2929" s="167"/>
    </row>
    <row r="2930" spans="1:2" x14ac:dyDescent="0.25">
      <c r="A2930" s="167"/>
      <c r="B2930" s="167"/>
    </row>
    <row r="2931" spans="1:2" x14ac:dyDescent="0.25">
      <c r="A2931" s="167"/>
      <c r="B2931" s="167"/>
    </row>
    <row r="2932" spans="1:2" x14ac:dyDescent="0.25">
      <c r="A2932" s="167"/>
      <c r="B2932" s="167"/>
    </row>
    <row r="2933" spans="1:2" x14ac:dyDescent="0.25">
      <c r="A2933" s="167"/>
      <c r="B2933" s="167"/>
    </row>
    <row r="2934" spans="1:2" x14ac:dyDescent="0.25">
      <c r="A2934" s="167"/>
      <c r="B2934" s="167"/>
    </row>
    <row r="2935" spans="1:2" x14ac:dyDescent="0.25">
      <c r="A2935" s="167"/>
      <c r="B2935" s="167"/>
    </row>
    <row r="2936" spans="1:2" x14ac:dyDescent="0.25">
      <c r="A2936" s="167"/>
      <c r="B2936" s="167"/>
    </row>
    <row r="2937" spans="1:2" x14ac:dyDescent="0.25">
      <c r="A2937" s="167"/>
      <c r="B2937" s="167"/>
    </row>
    <row r="2938" spans="1:2" x14ac:dyDescent="0.25">
      <c r="A2938" s="167"/>
      <c r="B2938" s="167"/>
    </row>
    <row r="2939" spans="1:2" x14ac:dyDescent="0.25">
      <c r="A2939" s="167"/>
      <c r="B2939" s="167"/>
    </row>
    <row r="2940" spans="1:2" x14ac:dyDescent="0.25">
      <c r="A2940" s="167"/>
      <c r="B2940" s="167"/>
    </row>
    <row r="2941" spans="1:2" x14ac:dyDescent="0.25">
      <c r="A2941" s="167"/>
      <c r="B2941" s="167"/>
    </row>
    <row r="2942" spans="1:2" x14ac:dyDescent="0.25">
      <c r="A2942" s="167"/>
      <c r="B2942" s="167"/>
    </row>
    <row r="2943" spans="1:2" x14ac:dyDescent="0.25">
      <c r="A2943" s="167"/>
      <c r="B2943" s="167"/>
    </row>
    <row r="2944" spans="1:2" x14ac:dyDescent="0.25">
      <c r="A2944" s="167"/>
      <c r="B2944" s="167"/>
    </row>
    <row r="2945" spans="1:2" x14ac:dyDescent="0.25">
      <c r="A2945" s="167"/>
      <c r="B2945" s="167"/>
    </row>
    <row r="2946" spans="1:2" x14ac:dyDescent="0.25">
      <c r="A2946" s="167"/>
      <c r="B2946" s="167"/>
    </row>
    <row r="2947" spans="1:2" x14ac:dyDescent="0.25">
      <c r="A2947" s="167"/>
      <c r="B2947" s="167"/>
    </row>
    <row r="2948" spans="1:2" x14ac:dyDescent="0.25">
      <c r="A2948" s="167"/>
      <c r="B2948" s="167"/>
    </row>
    <row r="2949" spans="1:2" x14ac:dyDescent="0.25">
      <c r="A2949" s="167"/>
      <c r="B2949" s="167"/>
    </row>
    <row r="2950" spans="1:2" x14ac:dyDescent="0.25">
      <c r="A2950" s="167"/>
      <c r="B2950" s="167"/>
    </row>
    <row r="2951" spans="1:2" x14ac:dyDescent="0.25">
      <c r="A2951" s="167"/>
      <c r="B2951" s="167"/>
    </row>
    <row r="2952" spans="1:2" x14ac:dyDescent="0.25">
      <c r="A2952" s="167"/>
      <c r="B2952" s="167"/>
    </row>
    <row r="2953" spans="1:2" x14ac:dyDescent="0.25">
      <c r="A2953" s="167"/>
      <c r="B2953" s="167"/>
    </row>
    <row r="2954" spans="1:2" x14ac:dyDescent="0.25">
      <c r="A2954" s="167"/>
      <c r="B2954" s="167"/>
    </row>
    <row r="2955" spans="1:2" x14ac:dyDescent="0.25">
      <c r="A2955" s="167"/>
      <c r="B2955" s="167"/>
    </row>
    <row r="2956" spans="1:2" x14ac:dyDescent="0.25">
      <c r="A2956" s="167"/>
      <c r="B2956" s="167"/>
    </row>
    <row r="2957" spans="1:2" x14ac:dyDescent="0.25">
      <c r="A2957" s="167"/>
      <c r="B2957" s="167"/>
    </row>
    <row r="2958" spans="1:2" x14ac:dyDescent="0.25">
      <c r="A2958" s="167"/>
      <c r="B2958" s="167"/>
    </row>
    <row r="2959" spans="1:2" x14ac:dyDescent="0.25">
      <c r="A2959" s="167"/>
      <c r="B2959" s="167"/>
    </row>
    <row r="2960" spans="1:2" x14ac:dyDescent="0.25">
      <c r="A2960" s="167"/>
      <c r="B2960" s="167"/>
    </row>
    <row r="2961" spans="1:2" x14ac:dyDescent="0.25">
      <c r="A2961" s="167"/>
      <c r="B2961" s="167"/>
    </row>
    <row r="2962" spans="1:2" x14ac:dyDescent="0.25">
      <c r="A2962" s="167"/>
      <c r="B2962" s="167"/>
    </row>
    <row r="2963" spans="1:2" x14ac:dyDescent="0.25">
      <c r="A2963" s="167"/>
      <c r="B2963" s="167"/>
    </row>
    <row r="2964" spans="1:2" x14ac:dyDescent="0.25">
      <c r="A2964" s="167"/>
      <c r="B2964" s="167"/>
    </row>
    <row r="2965" spans="1:2" x14ac:dyDescent="0.25">
      <c r="A2965" s="167"/>
      <c r="B2965" s="167"/>
    </row>
    <row r="2966" spans="1:2" x14ac:dyDescent="0.25">
      <c r="A2966" s="167"/>
      <c r="B2966" s="167"/>
    </row>
    <row r="2967" spans="1:2" x14ac:dyDescent="0.25">
      <c r="A2967" s="167"/>
      <c r="B2967" s="167"/>
    </row>
    <row r="2968" spans="1:2" x14ac:dyDescent="0.25">
      <c r="A2968" s="167"/>
      <c r="B2968" s="167"/>
    </row>
    <row r="2969" spans="1:2" x14ac:dyDescent="0.25">
      <c r="A2969" s="167"/>
      <c r="B2969" s="167"/>
    </row>
    <row r="2970" spans="1:2" x14ac:dyDescent="0.25">
      <c r="A2970" s="167"/>
      <c r="B2970" s="167"/>
    </row>
    <row r="2971" spans="1:2" x14ac:dyDescent="0.25">
      <c r="A2971" s="167"/>
      <c r="B2971" s="167"/>
    </row>
    <row r="2972" spans="1:2" x14ac:dyDescent="0.25">
      <c r="A2972" s="167"/>
      <c r="B2972" s="167"/>
    </row>
    <row r="2973" spans="1:2" x14ac:dyDescent="0.25">
      <c r="A2973" s="167"/>
      <c r="B2973" s="167"/>
    </row>
    <row r="2974" spans="1:2" x14ac:dyDescent="0.25">
      <c r="A2974" s="167"/>
      <c r="B2974" s="167"/>
    </row>
    <row r="2975" spans="1:2" x14ac:dyDescent="0.25">
      <c r="A2975" s="167"/>
      <c r="B2975" s="167"/>
    </row>
    <row r="2976" spans="1:2" x14ac:dyDescent="0.25">
      <c r="A2976" s="167"/>
      <c r="B2976" s="167"/>
    </row>
    <row r="2977" spans="1:2" x14ac:dyDescent="0.25">
      <c r="A2977" s="167"/>
      <c r="B2977" s="167"/>
    </row>
    <row r="2978" spans="1:2" x14ac:dyDescent="0.25">
      <c r="A2978" s="167"/>
      <c r="B2978" s="167"/>
    </row>
    <row r="2979" spans="1:2" x14ac:dyDescent="0.25">
      <c r="A2979" s="167"/>
      <c r="B2979" s="167"/>
    </row>
    <row r="2980" spans="1:2" x14ac:dyDescent="0.25">
      <c r="A2980" s="167"/>
      <c r="B2980" s="167"/>
    </row>
    <row r="2981" spans="1:2" x14ac:dyDescent="0.25">
      <c r="A2981" s="167"/>
      <c r="B2981" s="167"/>
    </row>
    <row r="2982" spans="1:2" x14ac:dyDescent="0.25">
      <c r="A2982" s="167"/>
      <c r="B2982" s="167"/>
    </row>
    <row r="2983" spans="1:2" x14ac:dyDescent="0.25">
      <c r="A2983" s="167"/>
      <c r="B2983" s="167"/>
    </row>
    <row r="2984" spans="1:2" x14ac:dyDescent="0.25">
      <c r="A2984" s="167"/>
      <c r="B2984" s="167"/>
    </row>
    <row r="2985" spans="1:2" x14ac:dyDescent="0.25">
      <c r="A2985" s="167"/>
      <c r="B2985" s="167"/>
    </row>
    <row r="2986" spans="1:2" x14ac:dyDescent="0.25">
      <c r="A2986" s="167"/>
      <c r="B2986" s="167"/>
    </row>
    <row r="2987" spans="1:2" x14ac:dyDescent="0.25">
      <c r="A2987" s="167"/>
      <c r="B2987" s="167"/>
    </row>
    <row r="2988" spans="1:2" x14ac:dyDescent="0.25">
      <c r="A2988" s="167"/>
      <c r="B2988" s="167"/>
    </row>
    <row r="2989" spans="1:2" x14ac:dyDescent="0.25">
      <c r="A2989" s="167"/>
      <c r="B2989" s="167"/>
    </row>
    <row r="2990" spans="1:2" x14ac:dyDescent="0.25">
      <c r="A2990" s="167"/>
      <c r="B2990" s="167"/>
    </row>
    <row r="2991" spans="1:2" x14ac:dyDescent="0.25">
      <c r="A2991" s="167"/>
      <c r="B2991" s="167"/>
    </row>
    <row r="2992" spans="1:2" x14ac:dyDescent="0.25">
      <c r="A2992" s="167"/>
      <c r="B2992" s="167"/>
    </row>
    <row r="2993" spans="1:2" x14ac:dyDescent="0.25">
      <c r="A2993" s="167"/>
      <c r="B2993" s="167"/>
    </row>
    <row r="2994" spans="1:2" x14ac:dyDescent="0.25">
      <c r="A2994" s="167"/>
      <c r="B2994" s="167"/>
    </row>
    <row r="2995" spans="1:2" x14ac:dyDescent="0.25">
      <c r="A2995" s="167"/>
      <c r="B2995" s="167"/>
    </row>
    <row r="2996" spans="1:2" x14ac:dyDescent="0.25">
      <c r="A2996" s="167"/>
      <c r="B2996" s="167"/>
    </row>
    <row r="2997" spans="1:2" x14ac:dyDescent="0.25">
      <c r="A2997" s="167"/>
      <c r="B2997" s="167"/>
    </row>
    <row r="2998" spans="1:2" x14ac:dyDescent="0.25">
      <c r="A2998" s="167"/>
      <c r="B2998" s="167"/>
    </row>
    <row r="2999" spans="1:2" x14ac:dyDescent="0.25">
      <c r="A2999" s="167"/>
      <c r="B2999" s="167"/>
    </row>
    <row r="3000" spans="1:2" x14ac:dyDescent="0.25">
      <c r="A3000" s="167"/>
      <c r="B3000" s="167"/>
    </row>
    <row r="3001" spans="1:2" x14ac:dyDescent="0.25">
      <c r="A3001" s="167"/>
      <c r="B3001" s="167"/>
    </row>
    <row r="3002" spans="1:2" x14ac:dyDescent="0.25">
      <c r="A3002" s="167"/>
      <c r="B3002" s="167"/>
    </row>
    <row r="3003" spans="1:2" x14ac:dyDescent="0.25">
      <c r="A3003" s="167"/>
      <c r="B3003" s="167"/>
    </row>
    <row r="3004" spans="1:2" x14ac:dyDescent="0.25">
      <c r="A3004" s="167"/>
      <c r="B3004" s="167"/>
    </row>
    <row r="3005" spans="1:2" x14ac:dyDescent="0.25">
      <c r="A3005" s="167"/>
      <c r="B3005" s="167"/>
    </row>
    <row r="3006" spans="1:2" x14ac:dyDescent="0.25">
      <c r="A3006" s="167"/>
      <c r="B3006" s="167"/>
    </row>
    <row r="3007" spans="1:2" x14ac:dyDescent="0.25">
      <c r="A3007" s="167"/>
      <c r="B3007" s="167"/>
    </row>
    <row r="3008" spans="1:2" x14ac:dyDescent="0.25">
      <c r="A3008" s="167"/>
      <c r="B3008" s="167"/>
    </row>
    <row r="3009" spans="1:2" x14ac:dyDescent="0.25">
      <c r="A3009" s="167"/>
      <c r="B3009" s="167"/>
    </row>
    <row r="3010" spans="1:2" x14ac:dyDescent="0.25">
      <c r="A3010" s="167"/>
      <c r="B3010" s="167"/>
    </row>
    <row r="3011" spans="1:2" x14ac:dyDescent="0.25">
      <c r="A3011" s="167"/>
      <c r="B3011" s="167"/>
    </row>
    <row r="3012" spans="1:2" x14ac:dyDescent="0.25">
      <c r="A3012" s="167"/>
      <c r="B3012" s="167"/>
    </row>
    <row r="3013" spans="1:2" x14ac:dyDescent="0.25">
      <c r="A3013" s="167"/>
      <c r="B3013" s="167"/>
    </row>
    <row r="3014" spans="1:2" x14ac:dyDescent="0.25">
      <c r="A3014" s="167"/>
      <c r="B3014" s="167"/>
    </row>
    <row r="3015" spans="1:2" x14ac:dyDescent="0.25">
      <c r="A3015" s="167"/>
      <c r="B3015" s="167"/>
    </row>
    <row r="3016" spans="1:2" x14ac:dyDescent="0.25">
      <c r="A3016" s="167"/>
      <c r="B3016" s="167"/>
    </row>
    <row r="3017" spans="1:2" x14ac:dyDescent="0.25">
      <c r="A3017" s="167"/>
      <c r="B3017" s="167"/>
    </row>
    <row r="3018" spans="1:2" x14ac:dyDescent="0.25">
      <c r="A3018" s="167"/>
      <c r="B3018" s="167"/>
    </row>
    <row r="3019" spans="1:2" x14ac:dyDescent="0.25">
      <c r="A3019" s="167"/>
      <c r="B3019" s="167"/>
    </row>
    <row r="3020" spans="1:2" x14ac:dyDescent="0.25">
      <c r="A3020" s="167"/>
      <c r="B3020" s="167"/>
    </row>
    <row r="3021" spans="1:2" x14ac:dyDescent="0.25">
      <c r="A3021" s="167"/>
      <c r="B3021" s="167"/>
    </row>
    <row r="3022" spans="1:2" x14ac:dyDescent="0.25">
      <c r="A3022" s="167"/>
      <c r="B3022" s="167"/>
    </row>
    <row r="3023" spans="1:2" x14ac:dyDescent="0.25">
      <c r="A3023" s="167"/>
      <c r="B3023" s="167"/>
    </row>
    <row r="3024" spans="1:2" x14ac:dyDescent="0.25">
      <c r="A3024" s="167"/>
      <c r="B3024" s="167"/>
    </row>
    <row r="3025" spans="1:2" x14ac:dyDescent="0.25">
      <c r="A3025" s="167"/>
      <c r="B3025" s="167"/>
    </row>
    <row r="3026" spans="1:2" x14ac:dyDescent="0.25">
      <c r="A3026" s="167"/>
      <c r="B3026" s="167"/>
    </row>
    <row r="3027" spans="1:2" x14ac:dyDescent="0.25">
      <c r="A3027" s="167"/>
      <c r="B3027" s="167"/>
    </row>
    <row r="3028" spans="1:2" x14ac:dyDescent="0.25">
      <c r="A3028" s="167"/>
      <c r="B3028" s="167"/>
    </row>
    <row r="3029" spans="1:2" x14ac:dyDescent="0.25">
      <c r="A3029" s="167"/>
      <c r="B3029" s="167"/>
    </row>
    <row r="3030" spans="1:2" x14ac:dyDescent="0.25">
      <c r="A3030" s="167"/>
      <c r="B3030" s="167"/>
    </row>
    <row r="3031" spans="1:2" x14ac:dyDescent="0.25">
      <c r="A3031" s="167"/>
      <c r="B3031" s="167"/>
    </row>
    <row r="3032" spans="1:2" x14ac:dyDescent="0.25">
      <c r="A3032" s="167"/>
      <c r="B3032" s="167"/>
    </row>
    <row r="3033" spans="1:2" x14ac:dyDescent="0.25">
      <c r="A3033" s="167"/>
      <c r="B3033" s="167"/>
    </row>
    <row r="3034" spans="1:2" x14ac:dyDescent="0.25">
      <c r="A3034" s="167"/>
      <c r="B3034" s="167"/>
    </row>
    <row r="3035" spans="1:2" x14ac:dyDescent="0.25">
      <c r="A3035" s="167"/>
      <c r="B3035" s="167"/>
    </row>
    <row r="3036" spans="1:2" x14ac:dyDescent="0.25">
      <c r="A3036" s="167"/>
      <c r="B3036" s="167"/>
    </row>
    <row r="3037" spans="1:2" x14ac:dyDescent="0.25">
      <c r="A3037" s="167"/>
      <c r="B3037" s="167"/>
    </row>
    <row r="3038" spans="1:2" x14ac:dyDescent="0.25">
      <c r="A3038" s="167"/>
      <c r="B3038" s="167"/>
    </row>
    <row r="3039" spans="1:2" x14ac:dyDescent="0.25">
      <c r="A3039" s="167"/>
      <c r="B3039" s="167"/>
    </row>
    <row r="3040" spans="1:2" x14ac:dyDescent="0.25">
      <c r="A3040" s="167"/>
      <c r="B3040" s="167"/>
    </row>
    <row r="3041" spans="1:2" x14ac:dyDescent="0.25">
      <c r="A3041" s="167"/>
      <c r="B3041" s="167"/>
    </row>
    <row r="3042" spans="1:2" x14ac:dyDescent="0.25">
      <c r="A3042" s="167"/>
      <c r="B3042" s="167"/>
    </row>
    <row r="3043" spans="1:2" x14ac:dyDescent="0.25">
      <c r="A3043" s="167"/>
      <c r="B3043" s="167"/>
    </row>
    <row r="3044" spans="1:2" x14ac:dyDescent="0.25">
      <c r="A3044" s="167"/>
      <c r="B3044" s="167"/>
    </row>
    <row r="3045" spans="1:2" x14ac:dyDescent="0.25">
      <c r="A3045" s="167"/>
      <c r="B3045" s="167"/>
    </row>
    <row r="3046" spans="1:2" x14ac:dyDescent="0.25">
      <c r="A3046" s="167"/>
      <c r="B3046" s="167"/>
    </row>
    <row r="3047" spans="1:2" x14ac:dyDescent="0.25">
      <c r="A3047" s="167"/>
      <c r="B3047" s="167"/>
    </row>
    <row r="3048" spans="1:2" x14ac:dyDescent="0.25">
      <c r="A3048" s="167"/>
      <c r="B3048" s="167"/>
    </row>
    <row r="3049" spans="1:2" x14ac:dyDescent="0.25">
      <c r="A3049" s="167"/>
      <c r="B3049" s="167"/>
    </row>
    <row r="3050" spans="1:2" x14ac:dyDescent="0.25">
      <c r="A3050" s="167"/>
      <c r="B3050" s="167"/>
    </row>
    <row r="3051" spans="1:2" x14ac:dyDescent="0.25">
      <c r="A3051" s="167"/>
      <c r="B3051" s="167"/>
    </row>
    <row r="3052" spans="1:2" x14ac:dyDescent="0.25">
      <c r="A3052" s="167"/>
      <c r="B3052" s="167"/>
    </row>
    <row r="3053" spans="1:2" x14ac:dyDescent="0.25">
      <c r="A3053" s="167"/>
      <c r="B3053" s="167"/>
    </row>
    <row r="3054" spans="1:2" x14ac:dyDescent="0.25">
      <c r="A3054" s="167"/>
      <c r="B3054" s="167"/>
    </row>
    <row r="3055" spans="1:2" x14ac:dyDescent="0.25">
      <c r="A3055" s="167"/>
      <c r="B3055" s="167"/>
    </row>
    <row r="3056" spans="1:2" x14ac:dyDescent="0.25">
      <c r="A3056" s="167"/>
      <c r="B3056" s="167"/>
    </row>
    <row r="3057" spans="1:2" x14ac:dyDescent="0.25">
      <c r="A3057" s="167"/>
      <c r="B3057" s="167"/>
    </row>
    <row r="3058" spans="1:2" x14ac:dyDescent="0.25">
      <c r="A3058" s="167"/>
      <c r="B3058" s="167"/>
    </row>
    <row r="3059" spans="1:2" x14ac:dyDescent="0.25">
      <c r="A3059" s="167"/>
      <c r="B3059" s="167"/>
    </row>
    <row r="3060" spans="1:2" x14ac:dyDescent="0.25">
      <c r="A3060" s="167"/>
      <c r="B3060" s="167"/>
    </row>
    <row r="3061" spans="1:2" x14ac:dyDescent="0.25">
      <c r="A3061" s="167"/>
      <c r="B3061" s="167"/>
    </row>
    <row r="3062" spans="1:2" x14ac:dyDescent="0.25">
      <c r="A3062" s="167"/>
      <c r="B3062" s="167"/>
    </row>
    <row r="3063" spans="1:2" x14ac:dyDescent="0.25">
      <c r="A3063" s="167"/>
      <c r="B3063" s="167"/>
    </row>
    <row r="3064" spans="1:2" x14ac:dyDescent="0.25">
      <c r="A3064" s="167"/>
      <c r="B3064" s="167"/>
    </row>
    <row r="3065" spans="1:2" x14ac:dyDescent="0.25">
      <c r="A3065" s="167"/>
      <c r="B3065" s="167"/>
    </row>
    <row r="3066" spans="1:2" x14ac:dyDescent="0.25">
      <c r="A3066" s="167"/>
      <c r="B3066" s="167"/>
    </row>
    <row r="3067" spans="1:2" x14ac:dyDescent="0.25">
      <c r="A3067" s="167"/>
      <c r="B3067" s="167"/>
    </row>
    <row r="3068" spans="1:2" x14ac:dyDescent="0.25">
      <c r="A3068" s="167"/>
      <c r="B3068" s="167"/>
    </row>
    <row r="3069" spans="1:2" x14ac:dyDescent="0.25">
      <c r="A3069" s="167"/>
      <c r="B3069" s="167"/>
    </row>
    <row r="3070" spans="1:2" x14ac:dyDescent="0.25">
      <c r="A3070" s="167"/>
      <c r="B3070" s="167"/>
    </row>
    <row r="3071" spans="1:2" x14ac:dyDescent="0.25">
      <c r="A3071" s="167"/>
      <c r="B3071" s="167"/>
    </row>
    <row r="3072" spans="1:2" x14ac:dyDescent="0.25">
      <c r="A3072" s="167"/>
      <c r="B3072" s="167"/>
    </row>
    <row r="3073" spans="1:2" x14ac:dyDescent="0.25">
      <c r="A3073" s="167"/>
      <c r="B3073" s="167"/>
    </row>
    <row r="3074" spans="1:2" x14ac:dyDescent="0.25">
      <c r="A3074" s="167"/>
      <c r="B3074" s="167"/>
    </row>
    <row r="3075" spans="1:2" x14ac:dyDescent="0.25">
      <c r="A3075" s="167"/>
      <c r="B3075" s="167"/>
    </row>
    <row r="3076" spans="1:2" x14ac:dyDescent="0.25">
      <c r="A3076" s="167"/>
      <c r="B3076" s="167"/>
    </row>
    <row r="3077" spans="1:2" x14ac:dyDescent="0.25">
      <c r="A3077" s="167"/>
      <c r="B3077" s="167"/>
    </row>
    <row r="3078" spans="1:2" x14ac:dyDescent="0.25">
      <c r="A3078" s="167"/>
      <c r="B3078" s="167"/>
    </row>
    <row r="3079" spans="1:2" x14ac:dyDescent="0.25">
      <c r="A3079" s="167"/>
      <c r="B3079" s="167"/>
    </row>
    <row r="3080" spans="1:2" x14ac:dyDescent="0.25">
      <c r="A3080" s="167"/>
      <c r="B3080" s="167"/>
    </row>
    <row r="3081" spans="1:2" x14ac:dyDescent="0.25">
      <c r="A3081" s="167"/>
      <c r="B3081" s="167"/>
    </row>
    <row r="3082" spans="1:2" x14ac:dyDescent="0.25">
      <c r="A3082" s="167"/>
      <c r="B3082" s="167"/>
    </row>
    <row r="3083" spans="1:2" x14ac:dyDescent="0.25">
      <c r="A3083" s="167"/>
      <c r="B3083" s="167"/>
    </row>
    <row r="3084" spans="1:2" x14ac:dyDescent="0.25">
      <c r="A3084" s="167"/>
      <c r="B3084" s="167"/>
    </row>
    <row r="3085" spans="1:2" x14ac:dyDescent="0.25">
      <c r="A3085" s="167"/>
      <c r="B3085" s="167"/>
    </row>
    <row r="3086" spans="1:2" x14ac:dyDescent="0.25">
      <c r="A3086" s="167"/>
      <c r="B3086" s="167"/>
    </row>
    <row r="3087" spans="1:2" x14ac:dyDescent="0.25">
      <c r="A3087" s="167"/>
      <c r="B3087" s="167"/>
    </row>
    <row r="3088" spans="1:2" x14ac:dyDescent="0.25">
      <c r="A3088" s="167"/>
      <c r="B3088" s="167"/>
    </row>
    <row r="3089" spans="1:2" x14ac:dyDescent="0.25">
      <c r="A3089" s="167"/>
      <c r="B3089" s="167"/>
    </row>
    <row r="3090" spans="1:2" x14ac:dyDescent="0.25">
      <c r="A3090" s="167"/>
      <c r="B3090" s="167"/>
    </row>
    <row r="3091" spans="1:2" x14ac:dyDescent="0.25">
      <c r="A3091" s="167"/>
      <c r="B3091" s="167"/>
    </row>
    <row r="3092" spans="1:2" x14ac:dyDescent="0.25">
      <c r="A3092" s="167"/>
      <c r="B3092" s="167"/>
    </row>
    <row r="3093" spans="1:2" x14ac:dyDescent="0.25">
      <c r="A3093" s="167"/>
      <c r="B3093" s="167"/>
    </row>
    <row r="3094" spans="1:2" x14ac:dyDescent="0.25">
      <c r="A3094" s="167"/>
      <c r="B3094" s="167"/>
    </row>
    <row r="3095" spans="1:2" x14ac:dyDescent="0.25">
      <c r="A3095" s="167"/>
      <c r="B3095" s="167"/>
    </row>
    <row r="3096" spans="1:2" x14ac:dyDescent="0.25">
      <c r="A3096" s="167"/>
      <c r="B3096" s="167"/>
    </row>
    <row r="3097" spans="1:2" x14ac:dyDescent="0.25">
      <c r="A3097" s="167"/>
      <c r="B3097" s="167"/>
    </row>
    <row r="3098" spans="1:2" x14ac:dyDescent="0.25">
      <c r="A3098" s="167"/>
      <c r="B3098" s="167"/>
    </row>
    <row r="3099" spans="1:2" x14ac:dyDescent="0.25">
      <c r="A3099" s="167"/>
      <c r="B3099" s="167"/>
    </row>
    <row r="3100" spans="1:2" x14ac:dyDescent="0.25">
      <c r="A3100" s="167"/>
      <c r="B3100" s="167"/>
    </row>
    <row r="3101" spans="1:2" x14ac:dyDescent="0.25">
      <c r="A3101" s="167"/>
      <c r="B3101" s="167"/>
    </row>
    <row r="3102" spans="1:2" x14ac:dyDescent="0.25">
      <c r="A3102" s="167"/>
      <c r="B3102" s="167"/>
    </row>
    <row r="3103" spans="1:2" x14ac:dyDescent="0.25">
      <c r="A3103" s="167"/>
      <c r="B3103" s="167"/>
    </row>
    <row r="3104" spans="1:2" x14ac:dyDescent="0.25">
      <c r="A3104" s="167"/>
      <c r="B3104" s="167"/>
    </row>
    <row r="3105" spans="1:2" x14ac:dyDescent="0.25">
      <c r="A3105" s="167"/>
      <c r="B3105" s="167"/>
    </row>
    <row r="3106" spans="1:2" x14ac:dyDescent="0.25">
      <c r="A3106" s="167"/>
      <c r="B3106" s="167"/>
    </row>
    <row r="3107" spans="1:2" x14ac:dyDescent="0.25">
      <c r="A3107" s="167"/>
      <c r="B3107" s="167"/>
    </row>
    <row r="3108" spans="1:2" x14ac:dyDescent="0.25">
      <c r="A3108" s="167"/>
      <c r="B3108" s="167"/>
    </row>
    <row r="3109" spans="1:2" x14ac:dyDescent="0.25">
      <c r="A3109" s="167"/>
      <c r="B3109" s="167"/>
    </row>
    <row r="3110" spans="1:2" x14ac:dyDescent="0.25">
      <c r="A3110" s="167"/>
      <c r="B3110" s="167"/>
    </row>
    <row r="3111" spans="1:2" x14ac:dyDescent="0.25">
      <c r="A3111" s="167"/>
      <c r="B3111" s="167"/>
    </row>
    <row r="3112" spans="1:2" x14ac:dyDescent="0.25">
      <c r="A3112" s="167"/>
      <c r="B3112" s="167"/>
    </row>
    <row r="3113" spans="1:2" x14ac:dyDescent="0.25">
      <c r="A3113" s="167"/>
      <c r="B3113" s="167"/>
    </row>
    <row r="3114" spans="1:2" x14ac:dyDescent="0.25">
      <c r="A3114" s="167"/>
      <c r="B3114" s="167"/>
    </row>
    <row r="3115" spans="1:2" x14ac:dyDescent="0.25">
      <c r="A3115" s="167"/>
      <c r="B3115" s="167"/>
    </row>
    <row r="3116" spans="1:2" x14ac:dyDescent="0.25">
      <c r="A3116" s="167"/>
      <c r="B3116" s="167"/>
    </row>
    <row r="3117" spans="1:2" x14ac:dyDescent="0.25">
      <c r="A3117" s="167"/>
      <c r="B3117" s="167"/>
    </row>
    <row r="3118" spans="1:2" x14ac:dyDescent="0.25">
      <c r="A3118" s="167"/>
      <c r="B3118" s="167"/>
    </row>
    <row r="3119" spans="1:2" x14ac:dyDescent="0.25">
      <c r="A3119" s="167"/>
      <c r="B3119" s="167"/>
    </row>
    <row r="3120" spans="1:2" x14ac:dyDescent="0.25">
      <c r="A3120" s="167"/>
      <c r="B3120" s="167"/>
    </row>
    <row r="3121" spans="1:2" x14ac:dyDescent="0.25">
      <c r="A3121" s="167"/>
      <c r="B3121" s="167"/>
    </row>
    <row r="3122" spans="1:2" x14ac:dyDescent="0.25">
      <c r="A3122" s="167"/>
      <c r="B3122" s="167"/>
    </row>
    <row r="3123" spans="1:2" x14ac:dyDescent="0.25">
      <c r="A3123" s="167"/>
      <c r="B3123" s="167"/>
    </row>
    <row r="3124" spans="1:2" x14ac:dyDescent="0.25">
      <c r="A3124" s="167"/>
      <c r="B3124" s="167"/>
    </row>
    <row r="3125" spans="1:2" x14ac:dyDescent="0.25">
      <c r="A3125" s="167"/>
      <c r="B3125" s="167"/>
    </row>
    <row r="3126" spans="1:2" x14ac:dyDescent="0.25">
      <c r="A3126" s="167"/>
      <c r="B3126" s="167"/>
    </row>
    <row r="3127" spans="1:2" x14ac:dyDescent="0.25">
      <c r="A3127" s="167"/>
      <c r="B3127" s="167"/>
    </row>
    <row r="3128" spans="1:2" x14ac:dyDescent="0.25">
      <c r="A3128" s="167"/>
      <c r="B3128" s="167"/>
    </row>
    <row r="3129" spans="1:2" x14ac:dyDescent="0.25">
      <c r="A3129" s="167"/>
      <c r="B3129" s="167"/>
    </row>
    <row r="3130" spans="1:2" x14ac:dyDescent="0.25">
      <c r="A3130" s="167"/>
      <c r="B3130" s="167"/>
    </row>
    <row r="3131" spans="1:2" x14ac:dyDescent="0.25">
      <c r="A3131" s="167"/>
      <c r="B3131" s="167"/>
    </row>
    <row r="3132" spans="1:2" x14ac:dyDescent="0.25">
      <c r="A3132" s="167"/>
      <c r="B3132" s="167"/>
    </row>
    <row r="3133" spans="1:2" x14ac:dyDescent="0.25">
      <c r="A3133" s="167"/>
      <c r="B3133" s="167"/>
    </row>
    <row r="3134" spans="1:2" x14ac:dyDescent="0.25">
      <c r="A3134" s="167"/>
      <c r="B3134" s="167"/>
    </row>
    <row r="3135" spans="1:2" x14ac:dyDescent="0.25">
      <c r="A3135" s="167"/>
      <c r="B3135" s="167"/>
    </row>
    <row r="3136" spans="1:2" x14ac:dyDescent="0.25">
      <c r="A3136" s="167"/>
      <c r="B3136" s="167"/>
    </row>
    <row r="3137" spans="1:2" x14ac:dyDescent="0.25">
      <c r="A3137" s="167"/>
      <c r="B3137" s="167"/>
    </row>
    <row r="3138" spans="1:2" x14ac:dyDescent="0.25">
      <c r="A3138" s="167"/>
      <c r="B3138" s="167"/>
    </row>
    <row r="3139" spans="1:2" x14ac:dyDescent="0.25">
      <c r="A3139" s="167"/>
      <c r="B3139" s="167"/>
    </row>
    <row r="3140" spans="1:2" x14ac:dyDescent="0.25">
      <c r="A3140" s="167"/>
      <c r="B3140" s="167"/>
    </row>
    <row r="3141" spans="1:2" x14ac:dyDescent="0.25">
      <c r="A3141" s="167"/>
      <c r="B3141" s="167"/>
    </row>
    <row r="3142" spans="1:2" x14ac:dyDescent="0.25">
      <c r="A3142" s="167"/>
      <c r="B3142" s="167"/>
    </row>
    <row r="3143" spans="1:2" x14ac:dyDescent="0.25">
      <c r="A3143" s="167"/>
      <c r="B3143" s="167"/>
    </row>
    <row r="3144" spans="1:2" x14ac:dyDescent="0.25">
      <c r="A3144" s="167"/>
      <c r="B3144" s="167"/>
    </row>
    <row r="3145" spans="1:2" x14ac:dyDescent="0.25">
      <c r="A3145" s="167"/>
      <c r="B3145" s="167"/>
    </row>
    <row r="3146" spans="1:2" x14ac:dyDescent="0.25">
      <c r="A3146" s="167"/>
      <c r="B3146" s="167"/>
    </row>
    <row r="3147" spans="1:2" x14ac:dyDescent="0.25">
      <c r="A3147" s="167"/>
      <c r="B3147" s="167"/>
    </row>
    <row r="3148" spans="1:2" x14ac:dyDescent="0.25">
      <c r="A3148" s="167"/>
      <c r="B3148" s="167"/>
    </row>
    <row r="3149" spans="1:2" x14ac:dyDescent="0.25">
      <c r="A3149" s="167"/>
      <c r="B3149" s="167"/>
    </row>
    <row r="3150" spans="1:2" x14ac:dyDescent="0.25">
      <c r="A3150" s="167"/>
      <c r="B3150" s="167"/>
    </row>
    <row r="3151" spans="1:2" x14ac:dyDescent="0.25">
      <c r="A3151" s="167"/>
      <c r="B3151" s="167"/>
    </row>
    <row r="3152" spans="1:2" x14ac:dyDescent="0.25">
      <c r="A3152" s="167"/>
      <c r="B3152" s="167"/>
    </row>
    <row r="3153" spans="1:2" x14ac:dyDescent="0.25">
      <c r="A3153" s="167"/>
      <c r="B3153" s="167"/>
    </row>
    <row r="3154" spans="1:2" x14ac:dyDescent="0.25">
      <c r="A3154" s="167"/>
      <c r="B3154" s="167"/>
    </row>
    <row r="3155" spans="1:2" x14ac:dyDescent="0.25">
      <c r="A3155" s="167"/>
      <c r="B3155" s="167"/>
    </row>
    <row r="3156" spans="1:2" x14ac:dyDescent="0.25">
      <c r="A3156" s="167"/>
      <c r="B3156" s="167"/>
    </row>
    <row r="3157" spans="1:2" x14ac:dyDescent="0.25">
      <c r="A3157" s="167"/>
      <c r="B3157" s="167"/>
    </row>
    <row r="3158" spans="1:2" x14ac:dyDescent="0.25">
      <c r="A3158" s="167"/>
      <c r="B3158" s="167"/>
    </row>
    <row r="3159" spans="1:2" x14ac:dyDescent="0.25">
      <c r="A3159" s="167"/>
      <c r="B3159" s="167"/>
    </row>
    <row r="3160" spans="1:2" x14ac:dyDescent="0.25">
      <c r="A3160" s="167"/>
      <c r="B3160" s="167"/>
    </row>
    <row r="3161" spans="1:2" x14ac:dyDescent="0.25">
      <c r="A3161" s="167"/>
      <c r="B3161" s="167"/>
    </row>
    <row r="3162" spans="1:2" x14ac:dyDescent="0.25">
      <c r="A3162" s="167"/>
      <c r="B3162" s="167"/>
    </row>
    <row r="3163" spans="1:2" x14ac:dyDescent="0.25">
      <c r="A3163" s="167"/>
      <c r="B3163" s="167"/>
    </row>
    <row r="3164" spans="1:2" x14ac:dyDescent="0.25">
      <c r="A3164" s="167"/>
      <c r="B3164" s="167"/>
    </row>
    <row r="3165" spans="1:2" x14ac:dyDescent="0.25">
      <c r="A3165" s="167"/>
      <c r="B3165" s="167"/>
    </row>
    <row r="3166" spans="1:2" x14ac:dyDescent="0.25">
      <c r="A3166" s="167"/>
      <c r="B3166" s="167"/>
    </row>
    <row r="3167" spans="1:2" x14ac:dyDescent="0.25">
      <c r="A3167" s="167"/>
      <c r="B3167" s="167"/>
    </row>
    <row r="3168" spans="1:2" x14ac:dyDescent="0.25">
      <c r="A3168" s="167"/>
      <c r="B3168" s="167"/>
    </row>
    <row r="3169" spans="1:2" x14ac:dyDescent="0.25">
      <c r="A3169" s="167"/>
      <c r="B3169" s="167"/>
    </row>
    <row r="3170" spans="1:2" x14ac:dyDescent="0.25">
      <c r="A3170" s="167"/>
      <c r="B3170" s="167"/>
    </row>
    <row r="3171" spans="1:2" x14ac:dyDescent="0.25">
      <c r="A3171" s="167"/>
      <c r="B3171" s="167"/>
    </row>
    <row r="3172" spans="1:2" x14ac:dyDescent="0.25">
      <c r="A3172" s="167"/>
      <c r="B3172" s="167"/>
    </row>
    <row r="3173" spans="1:2" x14ac:dyDescent="0.25">
      <c r="A3173" s="167"/>
      <c r="B3173" s="167"/>
    </row>
    <row r="3174" spans="1:2" x14ac:dyDescent="0.25">
      <c r="A3174" s="167"/>
      <c r="B3174" s="167"/>
    </row>
    <row r="3175" spans="1:2" x14ac:dyDescent="0.25">
      <c r="A3175" s="167"/>
      <c r="B3175" s="167"/>
    </row>
    <row r="3176" spans="1:2" x14ac:dyDescent="0.25">
      <c r="A3176" s="167"/>
      <c r="B3176" s="167"/>
    </row>
    <row r="3177" spans="1:2" x14ac:dyDescent="0.25">
      <c r="A3177" s="167"/>
      <c r="B3177" s="167"/>
    </row>
    <row r="3178" spans="1:2" x14ac:dyDescent="0.25">
      <c r="A3178" s="167"/>
      <c r="B3178" s="167"/>
    </row>
    <row r="3179" spans="1:2" x14ac:dyDescent="0.25">
      <c r="A3179" s="167"/>
      <c r="B3179" s="167"/>
    </row>
    <row r="3180" spans="1:2" x14ac:dyDescent="0.25">
      <c r="A3180" s="167"/>
      <c r="B3180" s="167"/>
    </row>
    <row r="3181" spans="1:2" x14ac:dyDescent="0.25">
      <c r="A3181" s="167"/>
      <c r="B3181" s="167"/>
    </row>
    <row r="3182" spans="1:2" x14ac:dyDescent="0.25">
      <c r="A3182" s="167"/>
      <c r="B3182" s="167"/>
    </row>
    <row r="3183" spans="1:2" x14ac:dyDescent="0.25">
      <c r="A3183" s="167"/>
      <c r="B3183" s="167"/>
    </row>
    <row r="3184" spans="1:2" x14ac:dyDescent="0.25">
      <c r="A3184" s="167"/>
      <c r="B3184" s="167"/>
    </row>
    <row r="3185" spans="1:2" x14ac:dyDescent="0.25">
      <c r="A3185" s="167"/>
      <c r="B3185" s="167"/>
    </row>
    <row r="3186" spans="1:2" x14ac:dyDescent="0.25">
      <c r="A3186" s="167"/>
      <c r="B3186" s="167"/>
    </row>
    <row r="3187" spans="1:2" x14ac:dyDescent="0.25">
      <c r="A3187" s="167"/>
      <c r="B3187" s="167"/>
    </row>
    <row r="3188" spans="1:2" x14ac:dyDescent="0.25">
      <c r="A3188" s="167"/>
      <c r="B3188" s="167"/>
    </row>
    <row r="3189" spans="1:2" x14ac:dyDescent="0.25">
      <c r="A3189" s="167"/>
      <c r="B3189" s="167"/>
    </row>
    <row r="3190" spans="1:2" x14ac:dyDescent="0.25">
      <c r="A3190" s="167"/>
      <c r="B3190" s="167"/>
    </row>
    <row r="3191" spans="1:2" x14ac:dyDescent="0.25">
      <c r="A3191" s="167"/>
      <c r="B3191" s="167"/>
    </row>
    <row r="3192" spans="1:2" x14ac:dyDescent="0.25">
      <c r="A3192" s="167"/>
      <c r="B3192" s="167"/>
    </row>
    <row r="3193" spans="1:2" x14ac:dyDescent="0.25">
      <c r="A3193" s="167"/>
      <c r="B3193" s="167"/>
    </row>
    <row r="3194" spans="1:2" x14ac:dyDescent="0.25">
      <c r="A3194" s="167"/>
      <c r="B3194" s="167"/>
    </row>
    <row r="3195" spans="1:2" x14ac:dyDescent="0.25">
      <c r="A3195" s="167"/>
      <c r="B3195" s="167"/>
    </row>
    <row r="3196" spans="1:2" x14ac:dyDescent="0.25">
      <c r="A3196" s="167"/>
      <c r="B3196" s="167"/>
    </row>
    <row r="3197" spans="1:2" x14ac:dyDescent="0.25">
      <c r="A3197" s="167"/>
      <c r="B3197" s="167"/>
    </row>
    <row r="3198" spans="1:2" x14ac:dyDescent="0.25">
      <c r="A3198" s="167"/>
      <c r="B3198" s="167"/>
    </row>
    <row r="3199" spans="1:2" x14ac:dyDescent="0.25">
      <c r="A3199" s="167"/>
      <c r="B3199" s="167"/>
    </row>
    <row r="3200" spans="1:2" x14ac:dyDescent="0.25">
      <c r="A3200" s="167"/>
      <c r="B3200" s="167"/>
    </row>
    <row r="3201" spans="1:2" x14ac:dyDescent="0.25">
      <c r="A3201" s="167"/>
      <c r="B3201" s="167"/>
    </row>
    <row r="3202" spans="1:2" x14ac:dyDescent="0.25">
      <c r="A3202" s="167"/>
      <c r="B3202" s="167"/>
    </row>
    <row r="3203" spans="1:2" x14ac:dyDescent="0.25">
      <c r="A3203" s="167"/>
      <c r="B3203" s="167"/>
    </row>
    <row r="3204" spans="1:2" x14ac:dyDescent="0.25">
      <c r="A3204" s="167"/>
      <c r="B3204" s="167"/>
    </row>
    <row r="3205" spans="1:2" x14ac:dyDescent="0.25">
      <c r="A3205" s="167"/>
      <c r="B3205" s="167"/>
    </row>
    <row r="3206" spans="1:2" x14ac:dyDescent="0.25">
      <c r="A3206" s="167"/>
      <c r="B3206" s="167"/>
    </row>
    <row r="3207" spans="1:2" x14ac:dyDescent="0.25">
      <c r="A3207" s="167"/>
      <c r="B3207" s="167"/>
    </row>
    <row r="3208" spans="1:2" x14ac:dyDescent="0.25">
      <c r="A3208" s="167"/>
      <c r="B3208" s="167"/>
    </row>
    <row r="3209" spans="1:2" x14ac:dyDescent="0.25">
      <c r="A3209" s="167"/>
      <c r="B3209" s="167"/>
    </row>
    <row r="3210" spans="1:2" x14ac:dyDescent="0.25">
      <c r="A3210" s="167"/>
      <c r="B3210" s="167"/>
    </row>
    <row r="3211" spans="1:2" x14ac:dyDescent="0.25">
      <c r="A3211" s="167"/>
      <c r="B3211" s="167"/>
    </row>
    <row r="3212" spans="1:2" x14ac:dyDescent="0.25">
      <c r="A3212" s="167"/>
      <c r="B3212" s="167"/>
    </row>
    <row r="3213" spans="1:2" x14ac:dyDescent="0.25">
      <c r="A3213" s="167"/>
      <c r="B3213" s="167"/>
    </row>
    <row r="3214" spans="1:2" x14ac:dyDescent="0.25">
      <c r="A3214" s="167"/>
      <c r="B3214" s="167"/>
    </row>
    <row r="3215" spans="1:2" x14ac:dyDescent="0.25">
      <c r="A3215" s="167"/>
      <c r="B3215" s="167"/>
    </row>
    <row r="3216" spans="1:2" x14ac:dyDescent="0.25">
      <c r="A3216" s="167"/>
      <c r="B3216" s="167"/>
    </row>
    <row r="3217" spans="1:2" x14ac:dyDescent="0.25">
      <c r="A3217" s="167"/>
      <c r="B3217" s="167"/>
    </row>
    <row r="3218" spans="1:2" x14ac:dyDescent="0.25">
      <c r="A3218" s="167"/>
      <c r="B3218" s="167"/>
    </row>
    <row r="3219" spans="1:2" x14ac:dyDescent="0.25">
      <c r="A3219" s="167"/>
      <c r="B3219" s="167"/>
    </row>
    <row r="3220" spans="1:2" x14ac:dyDescent="0.25">
      <c r="A3220" s="167"/>
      <c r="B3220" s="167"/>
    </row>
    <row r="3221" spans="1:2" x14ac:dyDescent="0.25">
      <c r="A3221" s="167"/>
      <c r="B3221" s="167"/>
    </row>
    <row r="3222" spans="1:2" x14ac:dyDescent="0.25">
      <c r="A3222" s="167"/>
      <c r="B3222" s="167"/>
    </row>
    <row r="3223" spans="1:2" x14ac:dyDescent="0.25">
      <c r="A3223" s="167"/>
      <c r="B3223" s="167"/>
    </row>
    <row r="3224" spans="1:2" x14ac:dyDescent="0.25">
      <c r="A3224" s="167"/>
      <c r="B3224" s="167"/>
    </row>
    <row r="3225" spans="1:2" x14ac:dyDescent="0.25">
      <c r="A3225" s="167"/>
      <c r="B3225" s="167"/>
    </row>
    <row r="3226" spans="1:2" x14ac:dyDescent="0.25">
      <c r="A3226" s="167"/>
      <c r="B3226" s="167"/>
    </row>
    <row r="3227" spans="1:2" x14ac:dyDescent="0.25">
      <c r="A3227" s="167"/>
      <c r="B3227" s="167"/>
    </row>
    <row r="3228" spans="1:2" x14ac:dyDescent="0.25">
      <c r="A3228" s="167"/>
      <c r="B3228" s="167"/>
    </row>
    <row r="3229" spans="1:2" x14ac:dyDescent="0.25">
      <c r="A3229" s="167"/>
      <c r="B3229" s="167"/>
    </row>
    <row r="3230" spans="1:2" x14ac:dyDescent="0.25">
      <c r="A3230" s="167"/>
      <c r="B3230" s="167"/>
    </row>
    <row r="3231" spans="1:2" x14ac:dyDescent="0.25">
      <c r="A3231" s="167"/>
      <c r="B3231" s="167"/>
    </row>
    <row r="3232" spans="1:2" x14ac:dyDescent="0.25">
      <c r="A3232" s="167"/>
      <c r="B3232" s="167"/>
    </row>
    <row r="3233" spans="1:2" x14ac:dyDescent="0.25">
      <c r="A3233" s="167"/>
      <c r="B3233" s="167"/>
    </row>
    <row r="3234" spans="1:2" x14ac:dyDescent="0.25">
      <c r="A3234" s="167"/>
      <c r="B3234" s="167"/>
    </row>
    <row r="3235" spans="1:2" x14ac:dyDescent="0.25">
      <c r="A3235" s="167"/>
      <c r="B3235" s="167"/>
    </row>
    <row r="3236" spans="1:2" x14ac:dyDescent="0.25">
      <c r="A3236" s="167"/>
      <c r="B3236" s="167"/>
    </row>
    <row r="3237" spans="1:2" x14ac:dyDescent="0.25">
      <c r="A3237" s="167"/>
      <c r="B3237" s="167"/>
    </row>
    <row r="3238" spans="1:2" x14ac:dyDescent="0.25">
      <c r="A3238" s="167"/>
      <c r="B3238" s="167"/>
    </row>
    <row r="3239" spans="1:2" x14ac:dyDescent="0.25">
      <c r="A3239" s="167"/>
      <c r="B3239" s="167"/>
    </row>
    <row r="3240" spans="1:2" x14ac:dyDescent="0.25">
      <c r="A3240" s="167"/>
      <c r="B3240" s="167"/>
    </row>
    <row r="3241" spans="1:2" x14ac:dyDescent="0.25">
      <c r="A3241" s="167"/>
      <c r="B3241" s="167"/>
    </row>
    <row r="3242" spans="1:2" x14ac:dyDescent="0.25">
      <c r="A3242" s="167"/>
      <c r="B3242" s="167"/>
    </row>
    <row r="3243" spans="1:2" x14ac:dyDescent="0.25">
      <c r="A3243" s="167"/>
      <c r="B3243" s="167"/>
    </row>
    <row r="3244" spans="1:2" x14ac:dyDescent="0.25">
      <c r="A3244" s="167"/>
      <c r="B3244" s="167"/>
    </row>
    <row r="3245" spans="1:2" x14ac:dyDescent="0.25">
      <c r="A3245" s="167"/>
      <c r="B3245" s="167"/>
    </row>
    <row r="3246" spans="1:2" x14ac:dyDescent="0.25">
      <c r="A3246" s="167"/>
      <c r="B3246" s="167"/>
    </row>
    <row r="3247" spans="1:2" x14ac:dyDescent="0.25">
      <c r="A3247" s="167"/>
      <c r="B3247" s="167"/>
    </row>
    <row r="3248" spans="1:2" x14ac:dyDescent="0.25">
      <c r="A3248" s="167"/>
      <c r="B3248" s="167"/>
    </row>
    <row r="3249" spans="1:2" x14ac:dyDescent="0.25">
      <c r="A3249" s="167"/>
      <c r="B3249" s="167"/>
    </row>
    <row r="3250" spans="1:2" x14ac:dyDescent="0.25">
      <c r="A3250" s="167"/>
      <c r="B3250" s="167"/>
    </row>
    <row r="3251" spans="1:2" x14ac:dyDescent="0.25">
      <c r="A3251" s="167"/>
      <c r="B3251" s="167"/>
    </row>
    <row r="3252" spans="1:2" x14ac:dyDescent="0.25">
      <c r="A3252" s="167"/>
      <c r="B3252" s="167"/>
    </row>
    <row r="3253" spans="1:2" x14ac:dyDescent="0.25">
      <c r="A3253" s="167"/>
      <c r="B3253" s="167"/>
    </row>
    <row r="3254" spans="1:2" x14ac:dyDescent="0.25">
      <c r="A3254" s="167"/>
      <c r="B3254" s="167"/>
    </row>
    <row r="3255" spans="1:2" x14ac:dyDescent="0.25">
      <c r="A3255" s="167"/>
      <c r="B3255" s="167"/>
    </row>
    <row r="3256" spans="1:2" x14ac:dyDescent="0.25">
      <c r="A3256" s="167"/>
      <c r="B3256" s="167"/>
    </row>
    <row r="3257" spans="1:2" x14ac:dyDescent="0.25">
      <c r="A3257" s="167"/>
      <c r="B3257" s="167"/>
    </row>
    <row r="3258" spans="1:2" x14ac:dyDescent="0.25">
      <c r="A3258" s="167"/>
      <c r="B3258" s="167"/>
    </row>
    <row r="3259" spans="1:2" x14ac:dyDescent="0.25">
      <c r="A3259" s="167"/>
      <c r="B3259" s="167"/>
    </row>
    <row r="3260" spans="1:2" x14ac:dyDescent="0.25">
      <c r="A3260" s="167"/>
      <c r="B3260" s="167"/>
    </row>
    <row r="3261" spans="1:2" x14ac:dyDescent="0.25">
      <c r="A3261" s="167"/>
      <c r="B3261" s="167"/>
    </row>
    <row r="3262" spans="1:2" x14ac:dyDescent="0.25">
      <c r="A3262" s="167"/>
      <c r="B3262" s="167"/>
    </row>
    <row r="3263" spans="1:2" x14ac:dyDescent="0.25">
      <c r="A3263" s="167"/>
      <c r="B3263" s="167"/>
    </row>
    <row r="3264" spans="1:2" x14ac:dyDescent="0.25">
      <c r="A3264" s="167"/>
      <c r="B3264" s="167"/>
    </row>
    <row r="3265" spans="1:2" x14ac:dyDescent="0.25">
      <c r="A3265" s="167"/>
      <c r="B3265" s="167"/>
    </row>
    <row r="3266" spans="1:2" x14ac:dyDescent="0.25">
      <c r="A3266" s="167"/>
      <c r="B3266" s="167"/>
    </row>
    <row r="3267" spans="1:2" x14ac:dyDescent="0.25">
      <c r="A3267" s="167"/>
      <c r="B3267" s="167"/>
    </row>
    <row r="3268" spans="1:2" x14ac:dyDescent="0.25">
      <c r="A3268" s="167"/>
      <c r="B3268" s="167"/>
    </row>
    <row r="3269" spans="1:2" x14ac:dyDescent="0.25">
      <c r="A3269" s="167"/>
      <c r="B3269" s="167"/>
    </row>
    <row r="3270" spans="1:2" x14ac:dyDescent="0.25">
      <c r="A3270" s="167"/>
      <c r="B3270" s="167"/>
    </row>
    <row r="3271" spans="1:2" x14ac:dyDescent="0.25">
      <c r="A3271" s="167"/>
      <c r="B3271" s="167"/>
    </row>
    <row r="3272" spans="1:2" x14ac:dyDescent="0.25">
      <c r="A3272" s="167"/>
      <c r="B3272" s="167"/>
    </row>
    <row r="3273" spans="1:2" x14ac:dyDescent="0.25">
      <c r="A3273" s="167"/>
      <c r="B3273" s="167"/>
    </row>
    <row r="3274" spans="1:2" x14ac:dyDescent="0.25">
      <c r="A3274" s="167"/>
      <c r="B3274" s="167"/>
    </row>
    <row r="3275" spans="1:2" x14ac:dyDescent="0.25">
      <c r="A3275" s="167"/>
      <c r="B3275" s="167"/>
    </row>
    <row r="3276" spans="1:2" x14ac:dyDescent="0.25">
      <c r="A3276" s="167"/>
      <c r="B3276" s="167"/>
    </row>
    <row r="3277" spans="1:2" x14ac:dyDescent="0.25">
      <c r="A3277" s="167"/>
      <c r="B3277" s="167"/>
    </row>
    <row r="3278" spans="1:2" x14ac:dyDescent="0.25">
      <c r="A3278" s="167"/>
      <c r="B3278" s="167"/>
    </row>
    <row r="3279" spans="1:2" x14ac:dyDescent="0.25">
      <c r="A3279" s="167"/>
      <c r="B3279" s="167"/>
    </row>
    <row r="3280" spans="1:2" x14ac:dyDescent="0.25">
      <c r="A3280" s="167"/>
      <c r="B3280" s="167"/>
    </row>
    <row r="3281" spans="1:2" x14ac:dyDescent="0.25">
      <c r="A3281" s="167"/>
      <c r="B3281" s="167"/>
    </row>
    <row r="3282" spans="1:2" x14ac:dyDescent="0.25">
      <c r="A3282" s="167"/>
      <c r="B3282" s="167"/>
    </row>
    <row r="3283" spans="1:2" x14ac:dyDescent="0.25">
      <c r="A3283" s="167"/>
      <c r="B3283" s="167"/>
    </row>
    <row r="3284" spans="1:2" x14ac:dyDescent="0.25">
      <c r="A3284" s="167"/>
      <c r="B3284" s="167"/>
    </row>
    <row r="3285" spans="1:2" x14ac:dyDescent="0.25">
      <c r="A3285" s="167"/>
      <c r="B3285" s="167"/>
    </row>
    <row r="3286" spans="1:2" x14ac:dyDescent="0.25">
      <c r="A3286" s="167"/>
      <c r="B3286" s="167"/>
    </row>
    <row r="3287" spans="1:2" x14ac:dyDescent="0.25">
      <c r="A3287" s="167"/>
      <c r="B3287" s="167"/>
    </row>
    <row r="3288" spans="1:2" x14ac:dyDescent="0.25">
      <c r="A3288" s="167"/>
      <c r="B3288" s="167"/>
    </row>
    <row r="3289" spans="1:2" x14ac:dyDescent="0.25">
      <c r="A3289" s="167"/>
      <c r="B3289" s="167"/>
    </row>
    <row r="3290" spans="1:2" x14ac:dyDescent="0.25">
      <c r="A3290" s="167"/>
      <c r="B3290" s="167"/>
    </row>
    <row r="3291" spans="1:2" x14ac:dyDescent="0.25">
      <c r="A3291" s="167"/>
      <c r="B3291" s="167"/>
    </row>
    <row r="3292" spans="1:2" x14ac:dyDescent="0.25">
      <c r="A3292" s="167"/>
      <c r="B3292" s="167"/>
    </row>
    <row r="3293" spans="1:2" x14ac:dyDescent="0.25">
      <c r="A3293" s="167"/>
      <c r="B3293" s="167"/>
    </row>
    <row r="3294" spans="1:2" x14ac:dyDescent="0.25">
      <c r="A3294" s="167"/>
      <c r="B3294" s="167"/>
    </row>
    <row r="3295" spans="1:2" x14ac:dyDescent="0.25">
      <c r="A3295" s="167"/>
      <c r="B3295" s="167"/>
    </row>
    <row r="3296" spans="1:2" x14ac:dyDescent="0.25">
      <c r="A3296" s="167"/>
      <c r="B3296" s="167"/>
    </row>
    <row r="3297" spans="1:2" x14ac:dyDescent="0.25">
      <c r="A3297" s="167"/>
      <c r="B3297" s="167"/>
    </row>
    <row r="3298" spans="1:2" x14ac:dyDescent="0.25">
      <c r="A3298" s="167"/>
      <c r="B3298" s="167"/>
    </row>
    <row r="3299" spans="1:2" x14ac:dyDescent="0.25">
      <c r="A3299" s="167"/>
      <c r="B3299" s="167"/>
    </row>
    <row r="3300" spans="1:2" x14ac:dyDescent="0.25">
      <c r="A3300" s="167"/>
      <c r="B3300" s="167"/>
    </row>
    <row r="3301" spans="1:2" x14ac:dyDescent="0.25">
      <c r="A3301" s="167"/>
      <c r="B3301" s="167"/>
    </row>
    <row r="3302" spans="1:2" x14ac:dyDescent="0.25">
      <c r="A3302" s="167"/>
      <c r="B3302" s="167"/>
    </row>
    <row r="3303" spans="1:2" x14ac:dyDescent="0.25">
      <c r="A3303" s="167"/>
      <c r="B3303" s="167"/>
    </row>
    <row r="3304" spans="1:2" x14ac:dyDescent="0.25">
      <c r="A3304" s="167"/>
      <c r="B3304" s="167"/>
    </row>
    <row r="3305" spans="1:2" x14ac:dyDescent="0.25">
      <c r="A3305" s="167"/>
      <c r="B3305" s="167"/>
    </row>
    <row r="3306" spans="1:2" x14ac:dyDescent="0.25">
      <c r="A3306" s="167"/>
      <c r="B3306" s="167"/>
    </row>
    <row r="3307" spans="1:2" x14ac:dyDescent="0.25">
      <c r="A3307" s="167"/>
      <c r="B3307" s="167"/>
    </row>
    <row r="3308" spans="1:2" x14ac:dyDescent="0.25">
      <c r="A3308" s="167"/>
      <c r="B3308" s="167"/>
    </row>
    <row r="3309" spans="1:2" x14ac:dyDescent="0.25">
      <c r="A3309" s="167"/>
      <c r="B3309" s="167"/>
    </row>
    <row r="3310" spans="1:2" x14ac:dyDescent="0.25">
      <c r="A3310" s="167"/>
      <c r="B3310" s="167"/>
    </row>
    <row r="3311" spans="1:2" x14ac:dyDescent="0.25">
      <c r="A3311" s="167"/>
      <c r="B3311" s="167"/>
    </row>
    <row r="3312" spans="1:2" x14ac:dyDescent="0.25">
      <c r="A3312" s="167"/>
      <c r="B3312" s="167"/>
    </row>
    <row r="3313" spans="1:2" x14ac:dyDescent="0.25">
      <c r="A3313" s="167"/>
      <c r="B3313" s="167"/>
    </row>
    <row r="3314" spans="1:2" x14ac:dyDescent="0.25">
      <c r="A3314" s="167"/>
      <c r="B3314" s="167"/>
    </row>
    <row r="3315" spans="1:2" x14ac:dyDescent="0.25">
      <c r="A3315" s="167"/>
      <c r="B3315" s="167"/>
    </row>
    <row r="3316" spans="1:2" x14ac:dyDescent="0.25">
      <c r="A3316" s="167"/>
      <c r="B3316" s="167"/>
    </row>
    <row r="3317" spans="1:2" x14ac:dyDescent="0.25">
      <c r="A3317" s="167"/>
      <c r="B3317" s="167"/>
    </row>
    <row r="3318" spans="1:2" x14ac:dyDescent="0.25">
      <c r="A3318" s="167"/>
      <c r="B3318" s="167"/>
    </row>
    <row r="3319" spans="1:2" x14ac:dyDescent="0.25">
      <c r="A3319" s="167"/>
      <c r="B3319" s="167"/>
    </row>
    <row r="3320" spans="1:2" x14ac:dyDescent="0.25">
      <c r="A3320" s="167"/>
      <c r="B3320" s="167"/>
    </row>
    <row r="3321" spans="1:2" x14ac:dyDescent="0.25">
      <c r="A3321" s="167"/>
      <c r="B3321" s="167"/>
    </row>
    <row r="3322" spans="1:2" x14ac:dyDescent="0.25">
      <c r="A3322" s="167"/>
      <c r="B3322" s="167"/>
    </row>
    <row r="3323" spans="1:2" x14ac:dyDescent="0.25">
      <c r="A3323" s="167"/>
      <c r="B3323" s="167"/>
    </row>
    <row r="3324" spans="1:2" x14ac:dyDescent="0.25">
      <c r="A3324" s="167"/>
      <c r="B3324" s="167"/>
    </row>
    <row r="3325" spans="1:2" x14ac:dyDescent="0.25">
      <c r="A3325" s="167"/>
      <c r="B3325" s="167"/>
    </row>
    <row r="3326" spans="1:2" x14ac:dyDescent="0.25">
      <c r="A3326" s="167"/>
      <c r="B3326" s="167"/>
    </row>
    <row r="3327" spans="1:2" x14ac:dyDescent="0.25">
      <c r="A3327" s="167"/>
      <c r="B3327" s="167"/>
    </row>
    <row r="3328" spans="1:2" x14ac:dyDescent="0.25">
      <c r="A3328" s="167"/>
      <c r="B3328" s="167"/>
    </row>
    <row r="3329" spans="1:2" x14ac:dyDescent="0.25">
      <c r="A3329" s="167"/>
      <c r="B3329" s="167"/>
    </row>
    <row r="3330" spans="1:2" x14ac:dyDescent="0.25">
      <c r="A3330" s="167"/>
      <c r="B3330" s="167"/>
    </row>
    <row r="3331" spans="1:2" x14ac:dyDescent="0.25">
      <c r="A3331" s="167"/>
      <c r="B3331" s="167"/>
    </row>
    <row r="3332" spans="1:2" x14ac:dyDescent="0.25">
      <c r="A3332" s="167"/>
      <c r="B3332" s="167"/>
    </row>
    <row r="3333" spans="1:2" x14ac:dyDescent="0.25">
      <c r="A3333" s="167"/>
      <c r="B3333" s="167"/>
    </row>
    <row r="3334" spans="1:2" x14ac:dyDescent="0.25">
      <c r="A3334" s="167"/>
      <c r="B3334" s="167"/>
    </row>
    <row r="3335" spans="1:2" x14ac:dyDescent="0.25">
      <c r="A3335" s="167"/>
      <c r="B3335" s="167"/>
    </row>
    <row r="3336" spans="1:2" x14ac:dyDescent="0.25">
      <c r="A3336" s="167"/>
      <c r="B3336" s="167"/>
    </row>
    <row r="3337" spans="1:2" x14ac:dyDescent="0.25">
      <c r="A3337" s="167"/>
      <c r="B3337" s="167"/>
    </row>
    <row r="3338" spans="1:2" x14ac:dyDescent="0.25">
      <c r="A3338" s="167"/>
      <c r="B3338" s="167"/>
    </row>
    <row r="3339" spans="1:2" x14ac:dyDescent="0.25">
      <c r="A3339" s="167"/>
      <c r="B3339" s="167"/>
    </row>
    <row r="3340" spans="1:2" x14ac:dyDescent="0.25">
      <c r="A3340" s="167"/>
      <c r="B3340" s="167"/>
    </row>
    <row r="3341" spans="1:2" x14ac:dyDescent="0.25">
      <c r="A3341" s="167"/>
      <c r="B3341" s="167"/>
    </row>
    <row r="3342" spans="1:2" x14ac:dyDescent="0.25">
      <c r="A3342" s="167"/>
      <c r="B3342" s="167"/>
    </row>
    <row r="3343" spans="1:2" x14ac:dyDescent="0.25">
      <c r="A3343" s="167"/>
      <c r="B3343" s="167"/>
    </row>
    <row r="3344" spans="1:2" x14ac:dyDescent="0.25">
      <c r="A3344" s="167"/>
      <c r="B3344" s="167"/>
    </row>
    <row r="3345" spans="1:2" x14ac:dyDescent="0.25">
      <c r="A3345" s="167"/>
      <c r="B3345" s="167"/>
    </row>
    <row r="3346" spans="1:2" x14ac:dyDescent="0.25">
      <c r="A3346" s="167"/>
      <c r="B3346" s="167"/>
    </row>
    <row r="3347" spans="1:2" x14ac:dyDescent="0.25">
      <c r="A3347" s="167"/>
      <c r="B3347" s="167"/>
    </row>
    <row r="3348" spans="1:2" x14ac:dyDescent="0.25">
      <c r="A3348" s="167"/>
      <c r="B3348" s="167"/>
    </row>
    <row r="3349" spans="1:2" x14ac:dyDescent="0.25">
      <c r="A3349" s="167"/>
      <c r="B3349" s="167"/>
    </row>
    <row r="3350" spans="1:2" x14ac:dyDescent="0.25">
      <c r="A3350" s="167"/>
      <c r="B3350" s="167"/>
    </row>
    <row r="3351" spans="1:2" x14ac:dyDescent="0.25">
      <c r="A3351" s="167"/>
      <c r="B3351" s="167"/>
    </row>
    <row r="3352" spans="1:2" x14ac:dyDescent="0.25">
      <c r="A3352" s="167"/>
      <c r="B3352" s="167"/>
    </row>
    <row r="3353" spans="1:2" x14ac:dyDescent="0.25">
      <c r="A3353" s="167"/>
      <c r="B3353" s="167"/>
    </row>
    <row r="3354" spans="1:2" x14ac:dyDescent="0.25">
      <c r="A3354" s="167"/>
      <c r="B3354" s="167"/>
    </row>
    <row r="3355" spans="1:2" x14ac:dyDescent="0.25">
      <c r="A3355" s="167"/>
      <c r="B3355" s="167"/>
    </row>
    <row r="3356" spans="1:2" x14ac:dyDescent="0.25">
      <c r="A3356" s="167"/>
      <c r="B3356" s="167"/>
    </row>
    <row r="3357" spans="1:2" x14ac:dyDescent="0.25">
      <c r="A3357" s="167"/>
      <c r="B3357" s="167"/>
    </row>
    <row r="3358" spans="1:2" x14ac:dyDescent="0.25">
      <c r="A3358" s="167"/>
      <c r="B3358" s="167"/>
    </row>
    <row r="3359" spans="1:2" x14ac:dyDescent="0.25">
      <c r="A3359" s="167"/>
      <c r="B3359" s="167"/>
    </row>
    <row r="3360" spans="1:2" x14ac:dyDescent="0.25">
      <c r="A3360" s="167"/>
      <c r="B3360" s="167"/>
    </row>
    <row r="3361" spans="1:2" x14ac:dyDescent="0.25">
      <c r="A3361" s="167"/>
      <c r="B3361" s="167"/>
    </row>
    <row r="3362" spans="1:2" x14ac:dyDescent="0.25">
      <c r="A3362" s="167"/>
      <c r="B3362" s="167"/>
    </row>
    <row r="3363" spans="1:2" x14ac:dyDescent="0.25">
      <c r="A3363" s="167"/>
      <c r="B3363" s="167"/>
    </row>
    <row r="3364" spans="1:2" x14ac:dyDescent="0.25">
      <c r="A3364" s="167"/>
      <c r="B3364" s="167"/>
    </row>
    <row r="3365" spans="1:2" x14ac:dyDescent="0.25">
      <c r="A3365" s="167"/>
      <c r="B3365" s="167"/>
    </row>
    <row r="3366" spans="1:2" x14ac:dyDescent="0.25">
      <c r="A3366" s="167"/>
      <c r="B3366" s="167"/>
    </row>
    <row r="3367" spans="1:2" x14ac:dyDescent="0.25">
      <c r="A3367" s="167"/>
      <c r="B3367" s="167"/>
    </row>
    <row r="3368" spans="1:2" x14ac:dyDescent="0.25">
      <c r="A3368" s="167"/>
      <c r="B3368" s="167"/>
    </row>
    <row r="3369" spans="1:2" x14ac:dyDescent="0.25">
      <c r="A3369" s="167"/>
      <c r="B3369" s="167"/>
    </row>
    <row r="3370" spans="1:2" x14ac:dyDescent="0.25">
      <c r="A3370" s="167"/>
      <c r="B3370" s="167"/>
    </row>
    <row r="3371" spans="1:2" x14ac:dyDescent="0.25">
      <c r="A3371" s="167"/>
      <c r="B3371" s="167"/>
    </row>
    <row r="3372" spans="1:2" x14ac:dyDescent="0.25">
      <c r="A3372" s="167"/>
      <c r="B3372" s="167"/>
    </row>
    <row r="3373" spans="1:2" x14ac:dyDescent="0.25">
      <c r="A3373" s="167"/>
      <c r="B3373" s="167"/>
    </row>
    <row r="3374" spans="1:2" x14ac:dyDescent="0.25">
      <c r="A3374" s="167"/>
      <c r="B3374" s="167"/>
    </row>
    <row r="3375" spans="1:2" x14ac:dyDescent="0.25">
      <c r="A3375" s="167"/>
      <c r="B3375" s="167"/>
    </row>
    <row r="3376" spans="1:2" x14ac:dyDescent="0.25">
      <c r="A3376" s="167"/>
      <c r="B3376" s="167"/>
    </row>
    <row r="3377" spans="1:2" x14ac:dyDescent="0.25">
      <c r="A3377" s="167"/>
      <c r="B3377" s="167"/>
    </row>
    <row r="3378" spans="1:2" x14ac:dyDescent="0.25">
      <c r="A3378" s="167"/>
      <c r="B3378" s="167"/>
    </row>
    <row r="3379" spans="1:2" x14ac:dyDescent="0.25">
      <c r="A3379" s="167"/>
      <c r="B3379" s="167"/>
    </row>
    <row r="3380" spans="1:2" x14ac:dyDescent="0.25">
      <c r="A3380" s="167"/>
      <c r="B3380" s="167"/>
    </row>
    <row r="3381" spans="1:2" x14ac:dyDescent="0.25">
      <c r="A3381" s="167"/>
      <c r="B3381" s="167"/>
    </row>
    <row r="3382" spans="1:2" x14ac:dyDescent="0.25">
      <c r="A3382" s="167"/>
      <c r="B3382" s="167"/>
    </row>
    <row r="3383" spans="1:2" x14ac:dyDescent="0.25">
      <c r="A3383" s="167"/>
      <c r="B3383" s="167"/>
    </row>
    <row r="3384" spans="1:2" x14ac:dyDescent="0.25">
      <c r="A3384" s="167"/>
      <c r="B3384" s="167"/>
    </row>
    <row r="3385" spans="1:2" x14ac:dyDescent="0.25">
      <c r="A3385" s="167"/>
      <c r="B3385" s="167"/>
    </row>
    <row r="3386" spans="1:2" x14ac:dyDescent="0.25">
      <c r="A3386" s="167"/>
      <c r="B3386" s="167"/>
    </row>
    <row r="3387" spans="1:2" x14ac:dyDescent="0.25">
      <c r="A3387" s="167"/>
      <c r="B3387" s="167"/>
    </row>
    <row r="3388" spans="1:2" x14ac:dyDescent="0.25">
      <c r="A3388" s="167"/>
      <c r="B3388" s="167"/>
    </row>
    <row r="3389" spans="1:2" x14ac:dyDescent="0.25">
      <c r="A3389" s="167"/>
      <c r="B3389" s="167"/>
    </row>
    <row r="3390" spans="1:2" x14ac:dyDescent="0.25">
      <c r="A3390" s="167"/>
      <c r="B3390" s="167"/>
    </row>
    <row r="3391" spans="1:2" x14ac:dyDescent="0.25">
      <c r="A3391" s="167"/>
      <c r="B3391" s="167"/>
    </row>
    <row r="3392" spans="1:2" x14ac:dyDescent="0.25">
      <c r="A3392" s="167"/>
      <c r="B3392" s="167"/>
    </row>
    <row r="3393" spans="1:2" x14ac:dyDescent="0.25">
      <c r="A3393" s="167"/>
      <c r="B3393" s="167"/>
    </row>
    <row r="3394" spans="1:2" x14ac:dyDescent="0.25">
      <c r="A3394" s="167"/>
      <c r="B3394" s="167"/>
    </row>
    <row r="3395" spans="1:2" x14ac:dyDescent="0.25">
      <c r="A3395" s="167"/>
      <c r="B3395" s="167"/>
    </row>
    <row r="3396" spans="1:2" x14ac:dyDescent="0.25">
      <c r="A3396" s="167"/>
      <c r="B3396" s="167"/>
    </row>
    <row r="3397" spans="1:2" x14ac:dyDescent="0.25">
      <c r="A3397" s="167"/>
      <c r="B3397" s="167"/>
    </row>
    <row r="3398" spans="1:2" x14ac:dyDescent="0.25">
      <c r="A3398" s="167"/>
      <c r="B3398" s="167"/>
    </row>
    <row r="3399" spans="1:2" x14ac:dyDescent="0.25">
      <c r="A3399" s="167"/>
      <c r="B3399" s="167"/>
    </row>
    <row r="3400" spans="1:2" x14ac:dyDescent="0.25">
      <c r="A3400" s="167"/>
      <c r="B3400" s="167"/>
    </row>
    <row r="3401" spans="1:2" x14ac:dyDescent="0.25">
      <c r="A3401" s="167"/>
      <c r="B3401" s="167"/>
    </row>
    <row r="3402" spans="1:2" x14ac:dyDescent="0.25">
      <c r="A3402" s="167"/>
      <c r="B3402" s="167"/>
    </row>
    <row r="3403" spans="1:2" x14ac:dyDescent="0.25">
      <c r="A3403" s="167"/>
      <c r="B3403" s="167"/>
    </row>
    <row r="3404" spans="1:2" x14ac:dyDescent="0.25">
      <c r="A3404" s="167"/>
      <c r="B3404" s="167"/>
    </row>
    <row r="3405" spans="1:2" x14ac:dyDescent="0.25">
      <c r="A3405" s="167"/>
      <c r="B3405" s="167"/>
    </row>
    <row r="3406" spans="1:2" x14ac:dyDescent="0.25">
      <c r="A3406" s="167"/>
      <c r="B3406" s="167"/>
    </row>
    <row r="3407" spans="1:2" x14ac:dyDescent="0.25">
      <c r="A3407" s="167"/>
      <c r="B3407" s="167"/>
    </row>
    <row r="3408" spans="1:2" x14ac:dyDescent="0.25">
      <c r="A3408" s="167"/>
      <c r="B3408" s="167"/>
    </row>
    <row r="3409" spans="1:2" x14ac:dyDescent="0.25">
      <c r="A3409" s="167"/>
      <c r="B3409" s="167"/>
    </row>
    <row r="3410" spans="1:2" x14ac:dyDescent="0.25">
      <c r="A3410" s="167"/>
      <c r="B3410" s="167"/>
    </row>
    <row r="3411" spans="1:2" x14ac:dyDescent="0.25">
      <c r="A3411" s="167"/>
      <c r="B3411" s="167"/>
    </row>
    <row r="3412" spans="1:2" x14ac:dyDescent="0.25">
      <c r="A3412" s="167"/>
      <c r="B3412" s="167"/>
    </row>
    <row r="3413" spans="1:2" x14ac:dyDescent="0.25">
      <c r="A3413" s="167"/>
      <c r="B3413" s="167"/>
    </row>
    <row r="3414" spans="1:2" x14ac:dyDescent="0.25">
      <c r="A3414" s="167"/>
      <c r="B3414" s="167"/>
    </row>
    <row r="3415" spans="1:2" x14ac:dyDescent="0.25">
      <c r="A3415" s="167"/>
      <c r="B3415" s="167"/>
    </row>
    <row r="3416" spans="1:2" x14ac:dyDescent="0.25">
      <c r="A3416" s="167"/>
      <c r="B3416" s="167"/>
    </row>
    <row r="3417" spans="1:2" x14ac:dyDescent="0.25">
      <c r="A3417" s="167"/>
      <c r="B3417" s="167"/>
    </row>
    <row r="3418" spans="1:2" x14ac:dyDescent="0.25">
      <c r="A3418" s="167"/>
      <c r="B3418" s="167"/>
    </row>
    <row r="3419" spans="1:2" x14ac:dyDescent="0.25">
      <c r="A3419" s="167"/>
      <c r="B3419" s="167"/>
    </row>
    <row r="3420" spans="1:2" x14ac:dyDescent="0.25">
      <c r="A3420" s="167"/>
      <c r="B3420" s="167"/>
    </row>
    <row r="3421" spans="1:2" x14ac:dyDescent="0.25">
      <c r="A3421" s="167"/>
      <c r="B3421" s="167"/>
    </row>
    <row r="3422" spans="1:2" x14ac:dyDescent="0.25">
      <c r="A3422" s="167"/>
      <c r="B3422" s="167"/>
    </row>
    <row r="3423" spans="1:2" x14ac:dyDescent="0.25">
      <c r="A3423" s="167"/>
      <c r="B3423" s="167"/>
    </row>
    <row r="3424" spans="1:2" x14ac:dyDescent="0.25">
      <c r="A3424" s="167"/>
      <c r="B3424" s="167"/>
    </row>
    <row r="3425" spans="1:2" x14ac:dyDescent="0.25">
      <c r="A3425" s="167"/>
      <c r="B3425" s="167"/>
    </row>
    <row r="3426" spans="1:2" x14ac:dyDescent="0.25">
      <c r="A3426" s="167"/>
      <c r="B3426" s="167"/>
    </row>
    <row r="3427" spans="1:2" x14ac:dyDescent="0.25">
      <c r="A3427" s="167"/>
      <c r="B3427" s="167"/>
    </row>
    <row r="3428" spans="1:2" x14ac:dyDescent="0.25">
      <c r="A3428" s="167"/>
      <c r="B3428" s="167"/>
    </row>
    <row r="3429" spans="1:2" x14ac:dyDescent="0.25">
      <c r="A3429" s="167"/>
      <c r="B3429" s="167"/>
    </row>
    <row r="3430" spans="1:2" x14ac:dyDescent="0.25">
      <c r="A3430" s="167"/>
      <c r="B3430" s="167"/>
    </row>
    <row r="3431" spans="1:2" x14ac:dyDescent="0.25">
      <c r="A3431" s="167"/>
      <c r="B3431" s="167"/>
    </row>
    <row r="3432" spans="1:2" x14ac:dyDescent="0.25">
      <c r="A3432" s="167"/>
      <c r="B3432" s="167"/>
    </row>
    <row r="3433" spans="1:2" x14ac:dyDescent="0.25">
      <c r="A3433" s="167"/>
      <c r="B3433" s="167"/>
    </row>
    <row r="3434" spans="1:2" x14ac:dyDescent="0.25">
      <c r="A3434" s="167"/>
      <c r="B3434" s="167"/>
    </row>
    <row r="3435" spans="1:2" x14ac:dyDescent="0.25">
      <c r="A3435" s="167"/>
      <c r="B3435" s="167"/>
    </row>
    <row r="3436" spans="1:2" x14ac:dyDescent="0.25">
      <c r="A3436" s="167"/>
      <c r="B3436" s="167"/>
    </row>
    <row r="3437" spans="1:2" x14ac:dyDescent="0.25">
      <c r="A3437" s="167"/>
      <c r="B3437" s="167"/>
    </row>
    <row r="3438" spans="1:2" x14ac:dyDescent="0.25">
      <c r="A3438" s="167"/>
      <c r="B3438" s="167"/>
    </row>
    <row r="3439" spans="1:2" x14ac:dyDescent="0.25">
      <c r="A3439" s="167"/>
      <c r="B3439" s="167"/>
    </row>
    <row r="3440" spans="1:2" x14ac:dyDescent="0.25">
      <c r="A3440" s="167"/>
      <c r="B3440" s="167"/>
    </row>
    <row r="3441" spans="1:2" x14ac:dyDescent="0.25">
      <c r="A3441" s="167"/>
      <c r="B3441" s="167"/>
    </row>
    <row r="3442" spans="1:2" x14ac:dyDescent="0.25">
      <c r="A3442" s="167"/>
      <c r="B3442" s="167"/>
    </row>
    <row r="3443" spans="1:2" x14ac:dyDescent="0.25">
      <c r="A3443" s="167"/>
      <c r="B3443" s="167"/>
    </row>
    <row r="3444" spans="1:2" x14ac:dyDescent="0.25">
      <c r="A3444" s="167"/>
      <c r="B3444" s="167"/>
    </row>
    <row r="3445" spans="1:2" x14ac:dyDescent="0.25">
      <c r="A3445" s="167"/>
      <c r="B3445" s="167"/>
    </row>
    <row r="3446" spans="1:2" x14ac:dyDescent="0.25">
      <c r="A3446" s="167"/>
      <c r="B3446" s="167"/>
    </row>
    <row r="3447" spans="1:2" x14ac:dyDescent="0.25">
      <c r="A3447" s="167"/>
      <c r="B3447" s="167"/>
    </row>
    <row r="3448" spans="1:2" x14ac:dyDescent="0.25">
      <c r="A3448" s="167"/>
      <c r="B3448" s="167"/>
    </row>
    <row r="3449" spans="1:2" x14ac:dyDescent="0.25">
      <c r="A3449" s="167"/>
      <c r="B3449" s="167"/>
    </row>
    <row r="3450" spans="1:2" x14ac:dyDescent="0.25">
      <c r="A3450" s="167"/>
      <c r="B3450" s="167"/>
    </row>
    <row r="3451" spans="1:2" x14ac:dyDescent="0.25">
      <c r="A3451" s="167"/>
      <c r="B3451" s="167"/>
    </row>
    <row r="3452" spans="1:2" x14ac:dyDescent="0.25">
      <c r="A3452" s="167"/>
      <c r="B3452" s="167"/>
    </row>
    <row r="3453" spans="1:2" x14ac:dyDescent="0.25">
      <c r="A3453" s="167"/>
      <c r="B3453" s="167"/>
    </row>
    <row r="3454" spans="1:2" x14ac:dyDescent="0.25">
      <c r="A3454" s="167"/>
      <c r="B3454" s="167"/>
    </row>
    <row r="3455" spans="1:2" x14ac:dyDescent="0.25">
      <c r="A3455" s="167"/>
      <c r="B3455" s="167"/>
    </row>
    <row r="3456" spans="1:2" x14ac:dyDescent="0.25">
      <c r="A3456" s="167"/>
      <c r="B3456" s="167"/>
    </row>
    <row r="3457" spans="1:2" x14ac:dyDescent="0.25">
      <c r="A3457" s="167"/>
      <c r="B3457" s="167"/>
    </row>
    <row r="3458" spans="1:2" x14ac:dyDescent="0.25">
      <c r="A3458" s="167"/>
      <c r="B3458" s="167"/>
    </row>
    <row r="3459" spans="1:2" x14ac:dyDescent="0.25">
      <c r="A3459" s="167"/>
      <c r="B3459" s="167"/>
    </row>
    <row r="3460" spans="1:2" x14ac:dyDescent="0.25">
      <c r="A3460" s="167"/>
      <c r="B3460" s="167"/>
    </row>
    <row r="3461" spans="1:2" x14ac:dyDescent="0.25">
      <c r="A3461" s="167"/>
      <c r="B3461" s="167"/>
    </row>
    <row r="3462" spans="1:2" x14ac:dyDescent="0.25">
      <c r="A3462" s="167"/>
      <c r="B3462" s="167"/>
    </row>
    <row r="3463" spans="1:2" x14ac:dyDescent="0.25">
      <c r="A3463" s="167"/>
      <c r="B3463" s="167"/>
    </row>
    <row r="3464" spans="1:2" x14ac:dyDescent="0.25">
      <c r="A3464" s="167"/>
      <c r="B3464" s="167"/>
    </row>
    <row r="3465" spans="1:2" x14ac:dyDescent="0.25">
      <c r="A3465" s="167"/>
      <c r="B3465" s="167"/>
    </row>
    <row r="3466" spans="1:2" x14ac:dyDescent="0.25">
      <c r="A3466" s="167"/>
      <c r="B3466" s="167"/>
    </row>
    <row r="3467" spans="1:2" x14ac:dyDescent="0.25">
      <c r="A3467" s="167"/>
      <c r="B3467" s="167"/>
    </row>
    <row r="3468" spans="1:2" x14ac:dyDescent="0.25">
      <c r="A3468" s="167"/>
      <c r="B3468" s="167"/>
    </row>
    <row r="3469" spans="1:2" x14ac:dyDescent="0.25">
      <c r="A3469" s="167"/>
      <c r="B3469" s="167"/>
    </row>
    <row r="3470" spans="1:2" x14ac:dyDescent="0.25">
      <c r="A3470" s="167"/>
      <c r="B3470" s="167"/>
    </row>
    <row r="3471" spans="1:2" x14ac:dyDescent="0.25">
      <c r="A3471" s="167"/>
      <c r="B3471" s="167"/>
    </row>
    <row r="3472" spans="1:2" x14ac:dyDescent="0.25">
      <c r="A3472" s="167"/>
      <c r="B3472" s="167"/>
    </row>
    <row r="3473" spans="1:2" x14ac:dyDescent="0.25">
      <c r="A3473" s="167"/>
      <c r="B3473" s="167"/>
    </row>
    <row r="3474" spans="1:2" x14ac:dyDescent="0.25">
      <c r="A3474" s="167"/>
      <c r="B3474" s="167"/>
    </row>
    <row r="3475" spans="1:2" x14ac:dyDescent="0.25">
      <c r="A3475" s="167"/>
      <c r="B3475" s="167"/>
    </row>
    <row r="3476" spans="1:2" x14ac:dyDescent="0.25">
      <c r="A3476" s="167"/>
      <c r="B3476" s="167"/>
    </row>
    <row r="3477" spans="1:2" x14ac:dyDescent="0.25">
      <c r="A3477" s="167"/>
      <c r="B3477" s="167"/>
    </row>
    <row r="3478" spans="1:2" x14ac:dyDescent="0.25">
      <c r="A3478" s="167"/>
      <c r="B3478" s="167"/>
    </row>
    <row r="3479" spans="1:2" x14ac:dyDescent="0.25">
      <c r="A3479" s="167"/>
      <c r="B3479" s="167"/>
    </row>
    <row r="3480" spans="1:2" x14ac:dyDescent="0.25">
      <c r="A3480" s="167"/>
      <c r="B3480" s="167"/>
    </row>
    <row r="3481" spans="1:2" x14ac:dyDescent="0.25">
      <c r="A3481" s="167"/>
      <c r="B3481" s="167"/>
    </row>
    <row r="3482" spans="1:2" x14ac:dyDescent="0.25">
      <c r="A3482" s="167"/>
      <c r="B3482" s="167"/>
    </row>
    <row r="3483" spans="1:2" x14ac:dyDescent="0.25">
      <c r="A3483" s="167"/>
      <c r="B3483" s="167"/>
    </row>
    <row r="3484" spans="1:2" x14ac:dyDescent="0.25">
      <c r="A3484" s="167"/>
      <c r="B3484" s="167"/>
    </row>
    <row r="3485" spans="1:2" x14ac:dyDescent="0.25">
      <c r="A3485" s="167"/>
      <c r="B3485" s="167"/>
    </row>
    <row r="3486" spans="1:2" x14ac:dyDescent="0.25">
      <c r="A3486" s="167"/>
      <c r="B3486" s="167"/>
    </row>
    <row r="3487" spans="1:2" x14ac:dyDescent="0.25">
      <c r="A3487" s="167"/>
      <c r="B3487" s="167"/>
    </row>
    <row r="3488" spans="1:2" x14ac:dyDescent="0.25">
      <c r="A3488" s="167"/>
      <c r="B3488" s="167"/>
    </row>
    <row r="3489" spans="1:2" x14ac:dyDescent="0.25">
      <c r="A3489" s="167"/>
      <c r="B3489" s="167"/>
    </row>
    <row r="3490" spans="1:2" x14ac:dyDescent="0.25">
      <c r="A3490" s="167"/>
      <c r="B3490" s="167"/>
    </row>
    <row r="3491" spans="1:2" x14ac:dyDescent="0.25">
      <c r="A3491" s="167"/>
      <c r="B3491" s="167"/>
    </row>
    <row r="3492" spans="1:2" x14ac:dyDescent="0.25">
      <c r="A3492" s="167"/>
      <c r="B3492" s="167"/>
    </row>
    <row r="3493" spans="1:2" x14ac:dyDescent="0.25">
      <c r="A3493" s="167"/>
      <c r="B3493" s="167"/>
    </row>
    <row r="3494" spans="1:2" x14ac:dyDescent="0.25">
      <c r="A3494" s="167"/>
      <c r="B3494" s="167"/>
    </row>
    <row r="3495" spans="1:2" x14ac:dyDescent="0.25">
      <c r="A3495" s="167"/>
      <c r="B3495" s="167"/>
    </row>
    <row r="3496" spans="1:2" x14ac:dyDescent="0.25">
      <c r="A3496" s="167"/>
      <c r="B3496" s="167"/>
    </row>
    <row r="3497" spans="1:2" x14ac:dyDescent="0.25">
      <c r="A3497" s="167"/>
      <c r="B3497" s="167"/>
    </row>
    <row r="3498" spans="1:2" x14ac:dyDescent="0.25">
      <c r="A3498" s="167"/>
      <c r="B3498" s="167"/>
    </row>
    <row r="3499" spans="1:2" x14ac:dyDescent="0.25">
      <c r="A3499" s="167"/>
      <c r="B3499" s="167"/>
    </row>
    <row r="3500" spans="1:2" x14ac:dyDescent="0.25">
      <c r="A3500" s="167"/>
      <c r="B3500" s="167"/>
    </row>
    <row r="3501" spans="1:2" x14ac:dyDescent="0.25">
      <c r="A3501" s="167"/>
      <c r="B3501" s="167"/>
    </row>
    <row r="3502" spans="1:2" x14ac:dyDescent="0.25">
      <c r="A3502" s="167"/>
      <c r="B3502" s="167"/>
    </row>
    <row r="3503" spans="1:2" x14ac:dyDescent="0.25">
      <c r="A3503" s="167"/>
      <c r="B3503" s="167"/>
    </row>
    <row r="3504" spans="1:2" x14ac:dyDescent="0.25">
      <c r="A3504" s="167"/>
      <c r="B3504" s="167"/>
    </row>
    <row r="3505" spans="1:2" x14ac:dyDescent="0.25">
      <c r="A3505" s="167"/>
      <c r="B3505" s="167"/>
    </row>
    <row r="3506" spans="1:2" x14ac:dyDescent="0.25">
      <c r="A3506" s="167"/>
      <c r="B3506" s="167"/>
    </row>
    <row r="3507" spans="1:2" x14ac:dyDescent="0.25">
      <c r="A3507" s="167"/>
      <c r="B3507" s="167"/>
    </row>
    <row r="3508" spans="1:2" x14ac:dyDescent="0.25">
      <c r="A3508" s="167"/>
      <c r="B3508" s="167"/>
    </row>
    <row r="3509" spans="1:2" x14ac:dyDescent="0.25">
      <c r="A3509" s="167"/>
      <c r="B3509" s="167"/>
    </row>
    <row r="3510" spans="1:2" x14ac:dyDescent="0.25">
      <c r="A3510" s="167"/>
      <c r="B3510" s="167"/>
    </row>
    <row r="3511" spans="1:2" x14ac:dyDescent="0.25">
      <c r="A3511" s="167"/>
      <c r="B3511" s="167"/>
    </row>
    <row r="3512" spans="1:2" x14ac:dyDescent="0.25">
      <c r="A3512" s="167"/>
      <c r="B3512" s="167"/>
    </row>
    <row r="3513" spans="1:2" x14ac:dyDescent="0.25">
      <c r="A3513" s="167"/>
      <c r="B3513" s="167"/>
    </row>
    <row r="3514" spans="1:2" x14ac:dyDescent="0.25">
      <c r="A3514" s="167"/>
      <c r="B3514" s="167"/>
    </row>
    <row r="3515" spans="1:2" x14ac:dyDescent="0.25">
      <c r="A3515" s="167"/>
      <c r="B3515" s="167"/>
    </row>
    <row r="3516" spans="1:2" x14ac:dyDescent="0.25">
      <c r="A3516" s="167"/>
      <c r="B3516" s="167"/>
    </row>
    <row r="3517" spans="1:2" x14ac:dyDescent="0.25">
      <c r="A3517" s="167"/>
      <c r="B3517" s="167"/>
    </row>
    <row r="3518" spans="1:2" x14ac:dyDescent="0.25">
      <c r="A3518" s="167"/>
      <c r="B3518" s="167"/>
    </row>
    <row r="3519" spans="1:2" x14ac:dyDescent="0.25">
      <c r="A3519" s="167"/>
      <c r="B3519" s="167"/>
    </row>
    <row r="3520" spans="1:2" x14ac:dyDescent="0.25">
      <c r="A3520" s="167"/>
      <c r="B3520" s="167"/>
    </row>
    <row r="3521" spans="1:2" x14ac:dyDescent="0.25">
      <c r="A3521" s="167"/>
      <c r="B3521" s="167"/>
    </row>
    <row r="3522" spans="1:2" x14ac:dyDescent="0.25">
      <c r="A3522" s="167"/>
      <c r="B3522" s="167"/>
    </row>
    <row r="3523" spans="1:2" x14ac:dyDescent="0.25">
      <c r="A3523" s="167"/>
      <c r="B3523" s="167"/>
    </row>
    <row r="3524" spans="1:2" x14ac:dyDescent="0.25">
      <c r="A3524" s="167"/>
      <c r="B3524" s="167"/>
    </row>
    <row r="3525" spans="1:2" x14ac:dyDescent="0.25">
      <c r="A3525" s="167"/>
      <c r="B3525" s="167"/>
    </row>
    <row r="3526" spans="1:2" x14ac:dyDescent="0.25">
      <c r="A3526" s="167"/>
      <c r="B3526" s="167"/>
    </row>
    <row r="3527" spans="1:2" x14ac:dyDescent="0.25">
      <c r="A3527" s="167"/>
      <c r="B3527" s="167"/>
    </row>
    <row r="3528" spans="1:2" x14ac:dyDescent="0.25">
      <c r="A3528" s="167"/>
      <c r="B3528" s="167"/>
    </row>
    <row r="3529" spans="1:2" x14ac:dyDescent="0.25">
      <c r="A3529" s="167"/>
      <c r="B3529" s="167"/>
    </row>
    <row r="3530" spans="1:2" x14ac:dyDescent="0.25">
      <c r="A3530" s="167"/>
      <c r="B3530" s="167"/>
    </row>
    <row r="3531" spans="1:2" x14ac:dyDescent="0.25">
      <c r="A3531" s="167"/>
      <c r="B3531" s="167"/>
    </row>
    <row r="3532" spans="1:2" x14ac:dyDescent="0.25">
      <c r="A3532" s="167"/>
      <c r="B3532" s="167"/>
    </row>
    <row r="3533" spans="1:2" x14ac:dyDescent="0.25">
      <c r="A3533" s="167"/>
      <c r="B3533" s="167"/>
    </row>
    <row r="3534" spans="1:2" x14ac:dyDescent="0.25">
      <c r="A3534" s="167"/>
      <c r="B3534" s="167"/>
    </row>
    <row r="3535" spans="1:2" x14ac:dyDescent="0.25">
      <c r="A3535" s="167"/>
      <c r="B3535" s="167"/>
    </row>
    <row r="3536" spans="1:2" x14ac:dyDescent="0.25">
      <c r="A3536" s="167"/>
      <c r="B3536" s="167"/>
    </row>
    <row r="3537" spans="1:2" x14ac:dyDescent="0.25">
      <c r="A3537" s="167"/>
      <c r="B3537" s="167"/>
    </row>
    <row r="3538" spans="1:2" x14ac:dyDescent="0.25">
      <c r="A3538" s="167"/>
      <c r="B3538" s="167"/>
    </row>
    <row r="3539" spans="1:2" x14ac:dyDescent="0.25">
      <c r="A3539" s="167"/>
      <c r="B3539" s="167"/>
    </row>
    <row r="3540" spans="1:2" x14ac:dyDescent="0.25">
      <c r="A3540" s="167"/>
      <c r="B3540" s="167"/>
    </row>
    <row r="3541" spans="1:2" x14ac:dyDescent="0.25">
      <c r="A3541" s="167"/>
      <c r="B3541" s="167"/>
    </row>
    <row r="3542" spans="1:2" x14ac:dyDescent="0.25">
      <c r="A3542" s="167"/>
      <c r="B3542" s="167"/>
    </row>
    <row r="3543" spans="1:2" x14ac:dyDescent="0.25">
      <c r="A3543" s="167"/>
      <c r="B3543" s="167"/>
    </row>
    <row r="3544" spans="1:2" x14ac:dyDescent="0.25">
      <c r="A3544" s="167"/>
      <c r="B3544" s="167"/>
    </row>
    <row r="3545" spans="1:2" x14ac:dyDescent="0.25">
      <c r="A3545" s="167"/>
      <c r="B3545" s="167"/>
    </row>
    <row r="3546" spans="1:2" x14ac:dyDescent="0.25">
      <c r="A3546" s="167"/>
      <c r="B3546" s="167"/>
    </row>
    <row r="3547" spans="1:2" x14ac:dyDescent="0.25">
      <c r="A3547" s="167"/>
      <c r="B3547" s="167"/>
    </row>
    <row r="3548" spans="1:2" x14ac:dyDescent="0.25">
      <c r="A3548" s="167"/>
      <c r="B3548" s="167"/>
    </row>
    <row r="3549" spans="1:2" x14ac:dyDescent="0.25">
      <c r="A3549" s="167"/>
      <c r="B3549" s="167"/>
    </row>
    <row r="3550" spans="1:2" x14ac:dyDescent="0.25">
      <c r="A3550" s="167"/>
      <c r="B3550" s="167"/>
    </row>
    <row r="3551" spans="1:2" x14ac:dyDescent="0.25">
      <c r="A3551" s="167"/>
      <c r="B3551" s="167"/>
    </row>
    <row r="3552" spans="1:2" x14ac:dyDescent="0.25">
      <c r="A3552" s="167"/>
      <c r="B3552" s="167"/>
    </row>
    <row r="3553" spans="1:2" x14ac:dyDescent="0.25">
      <c r="A3553" s="167"/>
      <c r="B3553" s="167"/>
    </row>
    <row r="3554" spans="1:2" x14ac:dyDescent="0.25">
      <c r="A3554" s="167"/>
      <c r="B3554" s="167"/>
    </row>
    <row r="3555" spans="1:2" x14ac:dyDescent="0.25">
      <c r="A3555" s="167"/>
      <c r="B3555" s="167"/>
    </row>
    <row r="3556" spans="1:2" x14ac:dyDescent="0.25">
      <c r="A3556" s="167"/>
      <c r="B3556" s="167"/>
    </row>
    <row r="3557" spans="1:2" x14ac:dyDescent="0.25">
      <c r="A3557" s="167"/>
      <c r="B3557" s="167"/>
    </row>
    <row r="3558" spans="1:2" x14ac:dyDescent="0.25">
      <c r="A3558" s="167"/>
      <c r="B3558" s="167"/>
    </row>
    <row r="3559" spans="1:2" x14ac:dyDescent="0.25">
      <c r="A3559" s="167"/>
      <c r="B3559" s="167"/>
    </row>
    <row r="3560" spans="1:2" x14ac:dyDescent="0.25">
      <c r="A3560" s="167"/>
      <c r="B3560" s="167"/>
    </row>
    <row r="3561" spans="1:2" x14ac:dyDescent="0.25">
      <c r="A3561" s="167"/>
      <c r="B3561" s="167"/>
    </row>
    <row r="3562" spans="1:2" x14ac:dyDescent="0.25">
      <c r="A3562" s="167"/>
      <c r="B3562" s="167"/>
    </row>
    <row r="3563" spans="1:2" x14ac:dyDescent="0.25">
      <c r="A3563" s="167"/>
      <c r="B3563" s="167"/>
    </row>
    <row r="3564" spans="1:2" x14ac:dyDescent="0.25">
      <c r="A3564" s="167"/>
      <c r="B3564" s="167"/>
    </row>
    <row r="3565" spans="1:2" x14ac:dyDescent="0.25">
      <c r="A3565" s="167"/>
      <c r="B3565" s="167"/>
    </row>
    <row r="3566" spans="1:2" x14ac:dyDescent="0.25">
      <c r="A3566" s="167"/>
      <c r="B3566" s="167"/>
    </row>
    <row r="3567" spans="1:2" x14ac:dyDescent="0.25">
      <c r="A3567" s="167"/>
      <c r="B3567" s="167"/>
    </row>
    <row r="3568" spans="1:2" x14ac:dyDescent="0.25">
      <c r="A3568" s="167"/>
      <c r="B3568" s="167"/>
    </row>
    <row r="3569" spans="1:2" x14ac:dyDescent="0.25">
      <c r="A3569" s="167"/>
      <c r="B3569" s="167"/>
    </row>
    <row r="3570" spans="1:2" x14ac:dyDescent="0.25">
      <c r="A3570" s="167"/>
      <c r="B3570" s="167"/>
    </row>
    <row r="3571" spans="1:2" x14ac:dyDescent="0.25">
      <c r="A3571" s="167"/>
      <c r="B3571" s="167"/>
    </row>
    <row r="3572" spans="1:2" x14ac:dyDescent="0.25">
      <c r="A3572" s="167"/>
      <c r="B3572" s="167"/>
    </row>
    <row r="3573" spans="1:2" x14ac:dyDescent="0.25">
      <c r="A3573" s="167"/>
      <c r="B3573" s="167"/>
    </row>
    <row r="3574" spans="1:2" x14ac:dyDescent="0.25">
      <c r="A3574" s="167"/>
      <c r="B3574" s="167"/>
    </row>
    <row r="3575" spans="1:2" x14ac:dyDescent="0.25">
      <c r="A3575" s="167"/>
      <c r="B3575" s="167"/>
    </row>
    <row r="3576" spans="1:2" x14ac:dyDescent="0.25">
      <c r="A3576" s="167"/>
      <c r="B3576" s="167"/>
    </row>
    <row r="3577" spans="1:2" x14ac:dyDescent="0.25">
      <c r="A3577" s="167"/>
      <c r="B3577" s="167"/>
    </row>
    <row r="3578" spans="1:2" x14ac:dyDescent="0.25">
      <c r="A3578" s="167"/>
      <c r="B3578" s="167"/>
    </row>
    <row r="3579" spans="1:2" x14ac:dyDescent="0.25">
      <c r="A3579" s="167"/>
      <c r="B3579" s="167"/>
    </row>
    <row r="3580" spans="1:2" x14ac:dyDescent="0.25">
      <c r="A3580" s="167"/>
      <c r="B3580" s="167"/>
    </row>
    <row r="3581" spans="1:2" x14ac:dyDescent="0.25">
      <c r="A3581" s="167"/>
      <c r="B3581" s="167"/>
    </row>
    <row r="3582" spans="1:2" x14ac:dyDescent="0.25">
      <c r="A3582" s="167"/>
      <c r="B3582" s="167"/>
    </row>
    <row r="3583" spans="1:2" x14ac:dyDescent="0.25">
      <c r="A3583" s="167"/>
      <c r="B3583" s="167"/>
    </row>
    <row r="3584" spans="1:2" x14ac:dyDescent="0.25">
      <c r="A3584" s="167"/>
      <c r="B3584" s="167"/>
    </row>
    <row r="3585" spans="1:2" x14ac:dyDescent="0.25">
      <c r="A3585" s="167"/>
      <c r="B3585" s="167"/>
    </row>
    <row r="3586" spans="1:2" x14ac:dyDescent="0.25">
      <c r="A3586" s="167"/>
      <c r="B3586" s="167"/>
    </row>
    <row r="3587" spans="1:2" x14ac:dyDescent="0.25">
      <c r="A3587" s="167"/>
      <c r="B3587" s="167"/>
    </row>
    <row r="3588" spans="1:2" x14ac:dyDescent="0.25">
      <c r="A3588" s="167"/>
      <c r="B3588" s="167"/>
    </row>
    <row r="3589" spans="1:2" x14ac:dyDescent="0.25">
      <c r="A3589" s="167"/>
      <c r="B3589" s="167"/>
    </row>
    <row r="3590" spans="1:2" x14ac:dyDescent="0.25">
      <c r="A3590" s="167"/>
      <c r="B3590" s="167"/>
    </row>
    <row r="3591" spans="1:2" x14ac:dyDescent="0.25">
      <c r="A3591" s="167"/>
      <c r="B3591" s="167"/>
    </row>
    <row r="3592" spans="1:2" x14ac:dyDescent="0.25">
      <c r="A3592" s="167"/>
      <c r="B3592" s="167"/>
    </row>
    <row r="3593" spans="1:2" x14ac:dyDescent="0.25">
      <c r="A3593" s="167"/>
      <c r="B3593" s="167"/>
    </row>
    <row r="3594" spans="1:2" x14ac:dyDescent="0.25">
      <c r="A3594" s="167"/>
      <c r="B3594" s="167"/>
    </row>
    <row r="3595" spans="1:2" x14ac:dyDescent="0.25">
      <c r="A3595" s="167"/>
      <c r="B3595" s="167"/>
    </row>
    <row r="3596" spans="1:2" x14ac:dyDescent="0.25">
      <c r="A3596" s="167"/>
      <c r="B3596" s="167"/>
    </row>
    <row r="3597" spans="1:2" x14ac:dyDescent="0.25">
      <c r="A3597" s="167"/>
      <c r="B3597" s="167"/>
    </row>
    <row r="3598" spans="1:2" x14ac:dyDescent="0.25">
      <c r="A3598" s="167"/>
      <c r="B3598" s="167"/>
    </row>
    <row r="3599" spans="1:2" x14ac:dyDescent="0.25">
      <c r="A3599" s="167"/>
      <c r="B3599" s="167"/>
    </row>
    <row r="3600" spans="1:2" x14ac:dyDescent="0.25">
      <c r="A3600" s="167"/>
      <c r="B3600" s="167"/>
    </row>
    <row r="3601" spans="1:2" x14ac:dyDescent="0.25">
      <c r="A3601" s="167"/>
      <c r="B3601" s="167"/>
    </row>
    <row r="3602" spans="1:2" x14ac:dyDescent="0.25">
      <c r="A3602" s="167"/>
      <c r="B3602" s="167"/>
    </row>
    <row r="3603" spans="1:2" x14ac:dyDescent="0.25">
      <c r="A3603" s="167"/>
      <c r="B3603" s="167"/>
    </row>
    <row r="3604" spans="1:2" x14ac:dyDescent="0.25">
      <c r="A3604" s="167"/>
      <c r="B3604" s="167"/>
    </row>
    <row r="3605" spans="1:2" x14ac:dyDescent="0.25">
      <c r="A3605" s="167"/>
      <c r="B3605" s="167"/>
    </row>
    <row r="3606" spans="1:2" x14ac:dyDescent="0.25">
      <c r="A3606" s="167"/>
      <c r="B3606" s="167"/>
    </row>
    <row r="3607" spans="1:2" x14ac:dyDescent="0.25">
      <c r="A3607" s="167"/>
      <c r="B3607" s="167"/>
    </row>
    <row r="3608" spans="1:2" x14ac:dyDescent="0.25">
      <c r="A3608" s="167"/>
      <c r="B3608" s="167"/>
    </row>
    <row r="3609" spans="1:2" x14ac:dyDescent="0.25">
      <c r="A3609" s="167"/>
      <c r="B3609" s="167"/>
    </row>
    <row r="3610" spans="1:2" x14ac:dyDescent="0.25">
      <c r="A3610" s="167"/>
      <c r="B3610" s="167"/>
    </row>
    <row r="3611" spans="1:2" x14ac:dyDescent="0.25">
      <c r="A3611" s="167"/>
      <c r="B3611" s="167"/>
    </row>
    <row r="3612" spans="1:2" x14ac:dyDescent="0.25">
      <c r="A3612" s="167"/>
      <c r="B3612" s="167"/>
    </row>
    <row r="3613" spans="1:2" x14ac:dyDescent="0.25">
      <c r="A3613" s="167"/>
      <c r="B3613" s="167"/>
    </row>
    <row r="3614" spans="1:2" x14ac:dyDescent="0.25">
      <c r="A3614" s="167"/>
      <c r="B3614" s="167"/>
    </row>
    <row r="3615" spans="1:2" x14ac:dyDescent="0.25">
      <c r="A3615" s="167"/>
      <c r="B3615" s="167"/>
    </row>
    <row r="3616" spans="1:2" x14ac:dyDescent="0.25">
      <c r="A3616" s="167"/>
      <c r="B3616" s="167"/>
    </row>
    <row r="3617" spans="1:2" x14ac:dyDescent="0.25">
      <c r="A3617" s="167"/>
      <c r="B3617" s="167"/>
    </row>
    <row r="3618" spans="1:2" x14ac:dyDescent="0.25">
      <c r="A3618" s="167"/>
      <c r="B3618" s="167"/>
    </row>
    <row r="3619" spans="1:2" x14ac:dyDescent="0.25">
      <c r="A3619" s="167"/>
      <c r="B3619" s="167"/>
    </row>
    <row r="3620" spans="1:2" x14ac:dyDescent="0.25">
      <c r="A3620" s="167"/>
      <c r="B3620" s="167"/>
    </row>
    <row r="3621" spans="1:2" x14ac:dyDescent="0.25">
      <c r="A3621" s="167"/>
      <c r="B3621" s="167"/>
    </row>
    <row r="3622" spans="1:2" x14ac:dyDescent="0.25">
      <c r="A3622" s="167"/>
      <c r="B3622" s="167"/>
    </row>
    <row r="3623" spans="1:2" x14ac:dyDescent="0.25">
      <c r="A3623" s="167"/>
      <c r="B3623" s="167"/>
    </row>
    <row r="3624" spans="1:2" x14ac:dyDescent="0.25">
      <c r="A3624" s="167"/>
      <c r="B3624" s="167"/>
    </row>
    <row r="3625" spans="1:2" x14ac:dyDescent="0.25">
      <c r="A3625" s="167"/>
      <c r="B3625" s="167"/>
    </row>
    <row r="3626" spans="1:2" x14ac:dyDescent="0.25">
      <c r="A3626" s="167"/>
      <c r="B3626" s="167"/>
    </row>
    <row r="3627" spans="1:2" x14ac:dyDescent="0.25">
      <c r="A3627" s="167"/>
      <c r="B3627" s="167"/>
    </row>
    <row r="3628" spans="1:2" x14ac:dyDescent="0.25">
      <c r="A3628" s="167"/>
      <c r="B3628" s="167"/>
    </row>
    <row r="3629" spans="1:2" x14ac:dyDescent="0.25">
      <c r="A3629" s="167"/>
      <c r="B3629" s="167"/>
    </row>
    <row r="3630" spans="1:2" x14ac:dyDescent="0.25">
      <c r="A3630" s="167"/>
      <c r="B3630" s="167"/>
    </row>
    <row r="3631" spans="1:2" x14ac:dyDescent="0.25">
      <c r="A3631" s="167"/>
      <c r="B3631" s="167"/>
    </row>
    <row r="3632" spans="1:2" x14ac:dyDescent="0.25">
      <c r="A3632" s="167"/>
      <c r="B3632" s="167"/>
    </row>
    <row r="3633" spans="1:2" x14ac:dyDescent="0.25">
      <c r="A3633" s="167"/>
      <c r="B3633" s="167"/>
    </row>
    <row r="3634" spans="1:2" x14ac:dyDescent="0.25">
      <c r="A3634" s="167"/>
      <c r="B3634" s="167"/>
    </row>
    <row r="3635" spans="1:2" x14ac:dyDescent="0.25">
      <c r="A3635" s="167"/>
      <c r="B3635" s="167"/>
    </row>
    <row r="3636" spans="1:2" x14ac:dyDescent="0.25">
      <c r="A3636" s="167"/>
      <c r="B3636" s="167"/>
    </row>
    <row r="3637" spans="1:2" x14ac:dyDescent="0.25">
      <c r="A3637" s="167"/>
      <c r="B3637" s="167"/>
    </row>
    <row r="3638" spans="1:2" x14ac:dyDescent="0.25">
      <c r="A3638" s="167"/>
      <c r="B3638" s="167"/>
    </row>
    <row r="3639" spans="1:2" x14ac:dyDescent="0.25">
      <c r="A3639" s="167"/>
      <c r="B3639" s="167"/>
    </row>
    <row r="3640" spans="1:2" x14ac:dyDescent="0.25">
      <c r="A3640" s="167"/>
      <c r="B3640" s="167"/>
    </row>
    <row r="3641" spans="1:2" x14ac:dyDescent="0.25">
      <c r="A3641" s="167"/>
      <c r="B3641" s="167"/>
    </row>
    <row r="3642" spans="1:2" x14ac:dyDescent="0.25">
      <c r="A3642" s="167"/>
      <c r="B3642" s="167"/>
    </row>
    <row r="3643" spans="1:2" x14ac:dyDescent="0.25">
      <c r="A3643" s="167"/>
      <c r="B3643" s="167"/>
    </row>
    <row r="3644" spans="1:2" x14ac:dyDescent="0.25">
      <c r="A3644" s="167"/>
      <c r="B3644" s="167"/>
    </row>
    <row r="3645" spans="1:2" x14ac:dyDescent="0.25">
      <c r="A3645" s="167"/>
      <c r="B3645" s="167"/>
    </row>
    <row r="3646" spans="1:2" x14ac:dyDescent="0.25">
      <c r="A3646" s="167"/>
      <c r="B3646" s="167"/>
    </row>
    <row r="3647" spans="1:2" x14ac:dyDescent="0.25">
      <c r="A3647" s="167"/>
      <c r="B3647" s="167"/>
    </row>
    <row r="3648" spans="1:2" x14ac:dyDescent="0.25">
      <c r="A3648" s="167"/>
      <c r="B3648" s="167"/>
    </row>
    <row r="3649" spans="1:2" x14ac:dyDescent="0.25">
      <c r="A3649" s="167"/>
      <c r="B3649" s="167"/>
    </row>
    <row r="3650" spans="1:2" x14ac:dyDescent="0.25">
      <c r="A3650" s="167"/>
      <c r="B3650" s="167"/>
    </row>
    <row r="3651" spans="1:2" x14ac:dyDescent="0.25">
      <c r="A3651" s="167"/>
      <c r="B3651" s="167"/>
    </row>
    <row r="3652" spans="1:2" x14ac:dyDescent="0.25">
      <c r="A3652" s="167"/>
      <c r="B3652" s="167"/>
    </row>
    <row r="3653" spans="1:2" x14ac:dyDescent="0.25">
      <c r="A3653" s="167"/>
      <c r="B3653" s="167"/>
    </row>
    <row r="3654" spans="1:2" x14ac:dyDescent="0.25">
      <c r="A3654" s="167"/>
      <c r="B3654" s="167"/>
    </row>
    <row r="3655" spans="1:2" x14ac:dyDescent="0.25">
      <c r="A3655" s="167"/>
      <c r="B3655" s="167"/>
    </row>
    <row r="3656" spans="1:2" x14ac:dyDescent="0.25">
      <c r="A3656" s="167"/>
      <c r="B3656" s="167"/>
    </row>
    <row r="3657" spans="1:2" x14ac:dyDescent="0.25">
      <c r="A3657" s="167"/>
      <c r="B3657" s="167"/>
    </row>
    <row r="3658" spans="1:2" x14ac:dyDescent="0.25">
      <c r="A3658" s="167"/>
      <c r="B3658" s="167"/>
    </row>
    <row r="3659" spans="1:2" x14ac:dyDescent="0.25">
      <c r="A3659" s="167"/>
      <c r="B3659" s="167"/>
    </row>
    <row r="3660" spans="1:2" x14ac:dyDescent="0.25">
      <c r="A3660" s="167"/>
      <c r="B3660" s="167"/>
    </row>
    <row r="3661" spans="1:2" x14ac:dyDescent="0.25">
      <c r="A3661" s="167"/>
      <c r="B3661" s="167"/>
    </row>
    <row r="3662" spans="1:2" x14ac:dyDescent="0.25">
      <c r="A3662" s="167"/>
      <c r="B3662" s="167"/>
    </row>
    <row r="3663" spans="1:2" x14ac:dyDescent="0.25">
      <c r="A3663" s="167"/>
      <c r="B3663" s="167"/>
    </row>
    <row r="3664" spans="1:2" x14ac:dyDescent="0.25">
      <c r="A3664" s="167"/>
      <c r="B3664" s="167"/>
    </row>
    <row r="3665" spans="1:2" x14ac:dyDescent="0.25">
      <c r="A3665" s="167"/>
      <c r="B3665" s="167"/>
    </row>
    <row r="3666" spans="1:2" x14ac:dyDescent="0.25">
      <c r="A3666" s="167"/>
      <c r="B3666" s="167"/>
    </row>
    <row r="3667" spans="1:2" x14ac:dyDescent="0.25">
      <c r="A3667" s="167"/>
      <c r="B3667" s="167"/>
    </row>
    <row r="3668" spans="1:2" x14ac:dyDescent="0.25">
      <c r="A3668" s="167"/>
      <c r="B3668" s="167"/>
    </row>
    <row r="3669" spans="1:2" x14ac:dyDescent="0.25">
      <c r="A3669" s="167"/>
      <c r="B3669" s="167"/>
    </row>
    <row r="3670" spans="1:2" x14ac:dyDescent="0.25">
      <c r="A3670" s="167"/>
      <c r="B3670" s="167"/>
    </row>
    <row r="3671" spans="1:2" x14ac:dyDescent="0.25">
      <c r="A3671" s="167"/>
      <c r="B3671" s="167"/>
    </row>
    <row r="3672" spans="1:2" x14ac:dyDescent="0.25">
      <c r="A3672" s="167"/>
      <c r="B3672" s="167"/>
    </row>
    <row r="3673" spans="1:2" x14ac:dyDescent="0.25">
      <c r="A3673" s="167"/>
      <c r="B3673" s="167"/>
    </row>
    <row r="3674" spans="1:2" x14ac:dyDescent="0.25">
      <c r="A3674" s="167"/>
      <c r="B3674" s="167"/>
    </row>
    <row r="3675" spans="1:2" x14ac:dyDescent="0.25">
      <c r="A3675" s="167"/>
      <c r="B3675" s="167"/>
    </row>
    <row r="3676" spans="1:2" x14ac:dyDescent="0.25">
      <c r="A3676" s="167"/>
      <c r="B3676" s="167"/>
    </row>
    <row r="3677" spans="1:2" x14ac:dyDescent="0.25">
      <c r="A3677" s="167"/>
      <c r="B3677" s="167"/>
    </row>
    <row r="3678" spans="1:2" x14ac:dyDescent="0.25">
      <c r="A3678" s="167"/>
      <c r="B3678" s="167"/>
    </row>
    <row r="3679" spans="1:2" x14ac:dyDescent="0.25">
      <c r="A3679" s="167"/>
      <c r="B3679" s="167"/>
    </row>
    <row r="3680" spans="1:2" x14ac:dyDescent="0.25">
      <c r="A3680" s="167"/>
      <c r="B3680" s="167"/>
    </row>
    <row r="3681" spans="1:2" x14ac:dyDescent="0.25">
      <c r="A3681" s="167"/>
      <c r="B3681" s="167"/>
    </row>
    <row r="3682" spans="1:2" x14ac:dyDescent="0.25">
      <c r="A3682" s="167"/>
      <c r="B3682" s="167"/>
    </row>
    <row r="3683" spans="1:2" x14ac:dyDescent="0.25">
      <c r="A3683" s="167"/>
      <c r="B3683" s="167"/>
    </row>
    <row r="3684" spans="1:2" x14ac:dyDescent="0.25">
      <c r="A3684" s="167"/>
      <c r="B3684" s="167"/>
    </row>
    <row r="3685" spans="1:2" x14ac:dyDescent="0.25">
      <c r="A3685" s="167"/>
      <c r="B3685" s="167"/>
    </row>
    <row r="3686" spans="1:2" x14ac:dyDescent="0.25">
      <c r="A3686" s="167"/>
      <c r="B3686" s="167"/>
    </row>
    <row r="3687" spans="1:2" x14ac:dyDescent="0.25">
      <c r="A3687" s="167"/>
      <c r="B3687" s="167"/>
    </row>
    <row r="3688" spans="1:2" x14ac:dyDescent="0.25">
      <c r="A3688" s="167"/>
      <c r="B3688" s="167"/>
    </row>
    <row r="3689" spans="1:2" x14ac:dyDescent="0.25">
      <c r="A3689" s="167"/>
      <c r="B3689" s="167"/>
    </row>
    <row r="3690" spans="1:2" x14ac:dyDescent="0.25">
      <c r="A3690" s="167"/>
      <c r="B3690" s="167"/>
    </row>
    <row r="3691" spans="1:2" x14ac:dyDescent="0.25">
      <c r="A3691" s="167"/>
      <c r="B3691" s="167"/>
    </row>
    <row r="3692" spans="1:2" x14ac:dyDescent="0.25">
      <c r="A3692" s="167"/>
      <c r="B3692" s="167"/>
    </row>
    <row r="3693" spans="1:2" x14ac:dyDescent="0.25">
      <c r="A3693" s="167"/>
      <c r="B3693" s="167"/>
    </row>
    <row r="3694" spans="1:2" x14ac:dyDescent="0.25">
      <c r="A3694" s="167"/>
      <c r="B3694" s="167"/>
    </row>
    <row r="3695" spans="1:2" x14ac:dyDescent="0.25">
      <c r="A3695" s="167"/>
      <c r="B3695" s="167"/>
    </row>
    <row r="3696" spans="1:2" x14ac:dyDescent="0.25">
      <c r="A3696" s="167"/>
      <c r="B3696" s="167"/>
    </row>
    <row r="3697" spans="1:2" x14ac:dyDescent="0.25">
      <c r="A3697" s="167"/>
      <c r="B3697" s="167"/>
    </row>
    <row r="3698" spans="1:2" x14ac:dyDescent="0.25">
      <c r="A3698" s="167"/>
      <c r="B3698" s="167"/>
    </row>
    <row r="3699" spans="1:2" x14ac:dyDescent="0.25">
      <c r="A3699" s="167"/>
      <c r="B3699" s="167"/>
    </row>
    <row r="3700" spans="1:2" x14ac:dyDescent="0.25">
      <c r="A3700" s="167"/>
      <c r="B3700" s="167"/>
    </row>
    <row r="3701" spans="1:2" x14ac:dyDescent="0.25">
      <c r="A3701" s="167"/>
      <c r="B3701" s="167"/>
    </row>
    <row r="3702" spans="1:2" x14ac:dyDescent="0.25">
      <c r="A3702" s="167"/>
      <c r="B3702" s="167"/>
    </row>
    <row r="3703" spans="1:2" x14ac:dyDescent="0.25">
      <c r="A3703" s="167"/>
      <c r="B3703" s="167"/>
    </row>
    <row r="3704" spans="1:2" x14ac:dyDescent="0.25">
      <c r="A3704" s="167"/>
      <c r="B3704" s="167"/>
    </row>
    <row r="3705" spans="1:2" x14ac:dyDescent="0.25">
      <c r="A3705" s="167"/>
      <c r="B3705" s="167"/>
    </row>
    <row r="3706" spans="1:2" x14ac:dyDescent="0.25">
      <c r="A3706" s="167"/>
      <c r="B3706" s="167"/>
    </row>
    <row r="3707" spans="1:2" x14ac:dyDescent="0.25">
      <c r="A3707" s="167"/>
      <c r="B3707" s="167"/>
    </row>
    <row r="3708" spans="1:2" x14ac:dyDescent="0.25">
      <c r="A3708" s="167"/>
      <c r="B3708" s="167"/>
    </row>
    <row r="3709" spans="1:2" x14ac:dyDescent="0.25">
      <c r="A3709" s="167"/>
      <c r="B3709" s="167"/>
    </row>
    <row r="3710" spans="1:2" x14ac:dyDescent="0.25">
      <c r="A3710" s="167"/>
      <c r="B3710" s="167"/>
    </row>
    <row r="3711" spans="1:2" x14ac:dyDescent="0.25">
      <c r="A3711" s="167"/>
      <c r="B3711" s="167"/>
    </row>
    <row r="3712" spans="1:2" x14ac:dyDescent="0.25">
      <c r="A3712" s="167"/>
      <c r="B3712" s="167"/>
    </row>
    <row r="3713" spans="1:2" x14ac:dyDescent="0.25">
      <c r="A3713" s="167"/>
      <c r="B3713" s="167"/>
    </row>
    <row r="3714" spans="1:2" x14ac:dyDescent="0.25">
      <c r="A3714" s="167"/>
      <c r="B3714" s="167"/>
    </row>
    <row r="3715" spans="1:2" x14ac:dyDescent="0.25">
      <c r="A3715" s="167"/>
      <c r="B3715" s="167"/>
    </row>
    <row r="3716" spans="1:2" x14ac:dyDescent="0.25">
      <c r="A3716" s="167"/>
      <c r="B3716" s="167"/>
    </row>
    <row r="3717" spans="1:2" x14ac:dyDescent="0.25">
      <c r="A3717" s="167"/>
      <c r="B3717" s="167"/>
    </row>
    <row r="3718" spans="1:2" x14ac:dyDescent="0.25">
      <c r="A3718" s="167"/>
      <c r="B3718" s="167"/>
    </row>
    <row r="3719" spans="1:2" x14ac:dyDescent="0.25">
      <c r="A3719" s="167"/>
      <c r="B3719" s="167"/>
    </row>
    <row r="3720" spans="1:2" x14ac:dyDescent="0.25">
      <c r="A3720" s="167"/>
      <c r="B3720" s="167"/>
    </row>
    <row r="3721" spans="1:2" x14ac:dyDescent="0.25">
      <c r="A3721" s="167"/>
      <c r="B3721" s="167"/>
    </row>
    <row r="3722" spans="1:2" x14ac:dyDescent="0.25">
      <c r="A3722" s="167"/>
      <c r="B3722" s="167"/>
    </row>
    <row r="3723" spans="1:2" x14ac:dyDescent="0.25">
      <c r="A3723" s="167"/>
      <c r="B3723" s="167"/>
    </row>
    <row r="3724" spans="1:2" x14ac:dyDescent="0.25">
      <c r="A3724" s="167"/>
      <c r="B3724" s="167"/>
    </row>
    <row r="3725" spans="1:2" x14ac:dyDescent="0.25">
      <c r="A3725" s="167"/>
      <c r="B3725" s="167"/>
    </row>
    <row r="3726" spans="1:2" x14ac:dyDescent="0.25">
      <c r="A3726" s="167"/>
      <c r="B3726" s="167"/>
    </row>
    <row r="3727" spans="1:2" x14ac:dyDescent="0.25">
      <c r="A3727" s="167"/>
      <c r="B3727" s="167"/>
    </row>
    <row r="3728" spans="1:2" x14ac:dyDescent="0.25">
      <c r="A3728" s="167"/>
      <c r="B3728" s="167"/>
    </row>
    <row r="3729" spans="1:2" x14ac:dyDescent="0.25">
      <c r="A3729" s="167"/>
      <c r="B3729" s="167"/>
    </row>
    <row r="3730" spans="1:2" x14ac:dyDescent="0.25">
      <c r="A3730" s="167"/>
      <c r="B3730" s="167"/>
    </row>
    <row r="3731" spans="1:2" x14ac:dyDescent="0.25">
      <c r="A3731" s="167"/>
      <c r="B3731" s="167"/>
    </row>
    <row r="3732" spans="1:2" x14ac:dyDescent="0.25">
      <c r="A3732" s="167"/>
      <c r="B3732" s="167"/>
    </row>
    <row r="3733" spans="1:2" x14ac:dyDescent="0.25">
      <c r="A3733" s="167"/>
      <c r="B3733" s="167"/>
    </row>
    <row r="3734" spans="1:2" x14ac:dyDescent="0.25">
      <c r="A3734" s="167"/>
      <c r="B3734" s="167"/>
    </row>
    <row r="3735" spans="1:2" x14ac:dyDescent="0.25">
      <c r="A3735" s="167"/>
      <c r="B3735" s="167"/>
    </row>
    <row r="3736" spans="1:2" x14ac:dyDescent="0.25">
      <c r="A3736" s="167"/>
      <c r="B3736" s="167"/>
    </row>
    <row r="3737" spans="1:2" x14ac:dyDescent="0.25">
      <c r="A3737" s="167"/>
      <c r="B3737" s="167"/>
    </row>
    <row r="3738" spans="1:2" x14ac:dyDescent="0.25">
      <c r="A3738" s="167"/>
      <c r="B3738" s="167"/>
    </row>
    <row r="3739" spans="1:2" x14ac:dyDescent="0.25">
      <c r="A3739" s="167"/>
      <c r="B3739" s="167"/>
    </row>
    <row r="3740" spans="1:2" x14ac:dyDescent="0.25">
      <c r="A3740" s="167"/>
      <c r="B3740" s="167"/>
    </row>
    <row r="3741" spans="1:2" x14ac:dyDescent="0.25">
      <c r="A3741" s="167"/>
      <c r="B3741" s="167"/>
    </row>
    <row r="3742" spans="1:2" x14ac:dyDescent="0.25">
      <c r="A3742" s="167"/>
      <c r="B3742" s="167"/>
    </row>
    <row r="3743" spans="1:2" x14ac:dyDescent="0.25">
      <c r="A3743" s="167"/>
      <c r="B3743" s="167"/>
    </row>
    <row r="3744" spans="1:2" x14ac:dyDescent="0.25">
      <c r="A3744" s="167"/>
      <c r="B3744" s="167"/>
    </row>
    <row r="3745" spans="1:2" x14ac:dyDescent="0.25">
      <c r="A3745" s="167"/>
      <c r="B3745" s="167"/>
    </row>
    <row r="3746" spans="1:2" x14ac:dyDescent="0.25">
      <c r="A3746" s="167"/>
      <c r="B3746" s="167"/>
    </row>
    <row r="3747" spans="1:2" x14ac:dyDescent="0.25">
      <c r="A3747" s="167"/>
      <c r="B3747" s="167"/>
    </row>
    <row r="3748" spans="1:2" x14ac:dyDescent="0.25">
      <c r="A3748" s="167"/>
      <c r="B3748" s="167"/>
    </row>
    <row r="3749" spans="1:2" x14ac:dyDescent="0.25">
      <c r="A3749" s="167"/>
      <c r="B3749" s="167"/>
    </row>
    <row r="3750" spans="1:2" x14ac:dyDescent="0.25">
      <c r="A3750" s="167"/>
      <c r="B3750" s="167"/>
    </row>
    <row r="3751" spans="1:2" x14ac:dyDescent="0.25">
      <c r="A3751" s="167"/>
      <c r="B3751" s="167"/>
    </row>
    <row r="3752" spans="1:2" x14ac:dyDescent="0.25">
      <c r="A3752" s="167"/>
      <c r="B3752" s="167"/>
    </row>
    <row r="3753" spans="1:2" x14ac:dyDescent="0.25">
      <c r="A3753" s="167"/>
      <c r="B3753" s="167"/>
    </row>
    <row r="3754" spans="1:2" x14ac:dyDescent="0.25">
      <c r="A3754" s="167"/>
      <c r="B3754" s="167"/>
    </row>
    <row r="3755" spans="1:2" x14ac:dyDescent="0.25">
      <c r="A3755" s="167"/>
      <c r="B3755" s="167"/>
    </row>
    <row r="3756" spans="1:2" x14ac:dyDescent="0.25">
      <c r="A3756" s="167"/>
      <c r="B3756" s="167"/>
    </row>
    <row r="3757" spans="1:2" x14ac:dyDescent="0.25">
      <c r="A3757" s="167"/>
      <c r="B3757" s="167"/>
    </row>
    <row r="3758" spans="1:2" x14ac:dyDescent="0.25">
      <c r="A3758" s="167"/>
      <c r="B3758" s="167"/>
    </row>
    <row r="3759" spans="1:2" x14ac:dyDescent="0.25">
      <c r="A3759" s="167"/>
      <c r="B3759" s="167"/>
    </row>
    <row r="3760" spans="1:2" x14ac:dyDescent="0.25">
      <c r="A3760" s="167"/>
      <c r="B3760" s="167"/>
    </row>
    <row r="3761" spans="1:2" x14ac:dyDescent="0.25">
      <c r="A3761" s="167"/>
      <c r="B3761" s="167"/>
    </row>
    <row r="3762" spans="1:2" x14ac:dyDescent="0.25">
      <c r="A3762" s="167"/>
      <c r="B3762" s="167"/>
    </row>
    <row r="3763" spans="1:2" x14ac:dyDescent="0.25">
      <c r="A3763" s="167"/>
      <c r="B3763" s="167"/>
    </row>
    <row r="3764" spans="1:2" x14ac:dyDescent="0.25">
      <c r="A3764" s="167"/>
      <c r="B3764" s="167"/>
    </row>
    <row r="3765" spans="1:2" x14ac:dyDescent="0.25">
      <c r="A3765" s="167"/>
      <c r="B3765" s="167"/>
    </row>
    <row r="3766" spans="1:2" x14ac:dyDescent="0.25">
      <c r="A3766" s="167"/>
      <c r="B3766" s="167"/>
    </row>
    <row r="3767" spans="1:2" x14ac:dyDescent="0.25">
      <c r="A3767" s="167"/>
      <c r="B3767" s="167"/>
    </row>
    <row r="3768" spans="1:2" x14ac:dyDescent="0.25">
      <c r="A3768" s="167"/>
      <c r="B3768" s="167"/>
    </row>
    <row r="3769" spans="1:2" x14ac:dyDescent="0.25">
      <c r="A3769" s="167"/>
      <c r="B3769" s="167"/>
    </row>
    <row r="3770" spans="1:2" x14ac:dyDescent="0.25">
      <c r="A3770" s="167"/>
      <c r="B3770" s="167"/>
    </row>
    <row r="3771" spans="1:2" x14ac:dyDescent="0.25">
      <c r="A3771" s="167"/>
      <c r="B3771" s="167"/>
    </row>
    <row r="3772" spans="1:2" x14ac:dyDescent="0.25">
      <c r="A3772" s="167"/>
      <c r="B3772" s="167"/>
    </row>
    <row r="3773" spans="1:2" x14ac:dyDescent="0.25">
      <c r="A3773" s="167"/>
      <c r="B3773" s="167"/>
    </row>
    <row r="3774" spans="1:2" x14ac:dyDescent="0.25">
      <c r="A3774" s="167"/>
      <c r="B3774" s="167"/>
    </row>
    <row r="3775" spans="1:2" x14ac:dyDescent="0.25">
      <c r="A3775" s="167"/>
      <c r="B3775" s="167"/>
    </row>
    <row r="3776" spans="1:2" x14ac:dyDescent="0.25">
      <c r="A3776" s="167"/>
      <c r="B3776" s="167"/>
    </row>
    <row r="3777" spans="1:2" x14ac:dyDescent="0.25">
      <c r="A3777" s="167"/>
      <c r="B3777" s="167"/>
    </row>
    <row r="3778" spans="1:2" x14ac:dyDescent="0.25">
      <c r="A3778" s="167"/>
      <c r="B3778" s="167"/>
    </row>
    <row r="3779" spans="1:2" x14ac:dyDescent="0.25">
      <c r="A3779" s="167"/>
      <c r="B3779" s="167"/>
    </row>
    <row r="3780" spans="1:2" x14ac:dyDescent="0.25">
      <c r="A3780" s="167"/>
      <c r="B3780" s="167"/>
    </row>
    <row r="3781" spans="1:2" x14ac:dyDescent="0.25">
      <c r="A3781" s="167"/>
      <c r="B3781" s="167"/>
    </row>
    <row r="3782" spans="1:2" x14ac:dyDescent="0.25">
      <c r="A3782" s="167"/>
      <c r="B3782" s="167"/>
    </row>
    <row r="3783" spans="1:2" x14ac:dyDescent="0.25">
      <c r="A3783" s="167"/>
      <c r="B3783" s="167"/>
    </row>
    <row r="3784" spans="1:2" x14ac:dyDescent="0.25">
      <c r="A3784" s="167"/>
      <c r="B3784" s="167"/>
    </row>
    <row r="3785" spans="1:2" x14ac:dyDescent="0.25">
      <c r="A3785" s="167"/>
      <c r="B3785" s="167"/>
    </row>
    <row r="3786" spans="1:2" x14ac:dyDescent="0.25">
      <c r="A3786" s="167"/>
      <c r="B3786" s="167"/>
    </row>
    <row r="3787" spans="1:2" x14ac:dyDescent="0.25">
      <c r="A3787" s="167"/>
      <c r="B3787" s="167"/>
    </row>
    <row r="3788" spans="1:2" x14ac:dyDescent="0.25">
      <c r="A3788" s="167"/>
      <c r="B3788" s="167"/>
    </row>
    <row r="3789" spans="1:2" x14ac:dyDescent="0.25">
      <c r="A3789" s="167"/>
      <c r="B3789" s="167"/>
    </row>
    <row r="3790" spans="1:2" x14ac:dyDescent="0.25">
      <c r="A3790" s="167"/>
      <c r="B3790" s="167"/>
    </row>
    <row r="3791" spans="1:2" x14ac:dyDescent="0.25">
      <c r="A3791" s="167"/>
      <c r="B3791" s="167"/>
    </row>
    <row r="3792" spans="1:2" x14ac:dyDescent="0.25">
      <c r="A3792" s="167"/>
      <c r="B3792" s="167"/>
    </row>
    <row r="3793" spans="1:2" x14ac:dyDescent="0.25">
      <c r="A3793" s="167"/>
      <c r="B3793" s="167"/>
    </row>
    <row r="3794" spans="1:2" x14ac:dyDescent="0.25">
      <c r="A3794" s="167"/>
      <c r="B3794" s="167"/>
    </row>
    <row r="3795" spans="1:2" x14ac:dyDescent="0.25">
      <c r="A3795" s="167"/>
      <c r="B3795" s="167"/>
    </row>
    <row r="3796" spans="1:2" x14ac:dyDescent="0.25">
      <c r="A3796" s="167"/>
      <c r="B3796" s="167"/>
    </row>
    <row r="3797" spans="1:2" x14ac:dyDescent="0.25">
      <c r="A3797" s="167"/>
      <c r="B3797" s="167"/>
    </row>
    <row r="3798" spans="1:2" x14ac:dyDescent="0.25">
      <c r="A3798" s="167"/>
      <c r="B3798" s="167"/>
    </row>
    <row r="3799" spans="1:2" x14ac:dyDescent="0.25">
      <c r="A3799" s="167"/>
      <c r="B3799" s="167"/>
    </row>
    <row r="3800" spans="1:2" x14ac:dyDescent="0.25">
      <c r="A3800" s="167"/>
      <c r="B3800" s="167"/>
    </row>
    <row r="3801" spans="1:2" x14ac:dyDescent="0.25">
      <c r="A3801" s="167"/>
      <c r="B3801" s="167"/>
    </row>
    <row r="3802" spans="1:2" x14ac:dyDescent="0.25">
      <c r="A3802" s="167"/>
      <c r="B3802" s="167"/>
    </row>
    <row r="3803" spans="1:2" x14ac:dyDescent="0.25">
      <c r="A3803" s="167"/>
      <c r="B3803" s="167"/>
    </row>
    <row r="3804" spans="1:2" x14ac:dyDescent="0.25">
      <c r="A3804" s="167"/>
      <c r="B3804" s="167"/>
    </row>
    <row r="3805" spans="1:2" x14ac:dyDescent="0.25">
      <c r="A3805" s="167"/>
      <c r="B3805" s="167"/>
    </row>
    <row r="3806" spans="1:2" x14ac:dyDescent="0.25">
      <c r="A3806" s="167"/>
      <c r="B3806" s="167"/>
    </row>
    <row r="3807" spans="1:2" x14ac:dyDescent="0.25">
      <c r="A3807" s="167"/>
      <c r="B3807" s="167"/>
    </row>
    <row r="3808" spans="1:2" x14ac:dyDescent="0.25">
      <c r="A3808" s="167"/>
      <c r="B3808" s="167"/>
    </row>
    <row r="3809" spans="1:2" x14ac:dyDescent="0.25">
      <c r="A3809" s="167"/>
      <c r="B3809" s="167"/>
    </row>
    <row r="3810" spans="1:2" x14ac:dyDescent="0.25">
      <c r="A3810" s="167"/>
      <c r="B3810" s="167"/>
    </row>
    <row r="3811" spans="1:2" x14ac:dyDescent="0.25">
      <c r="A3811" s="167"/>
      <c r="B3811" s="167"/>
    </row>
    <row r="3812" spans="1:2" x14ac:dyDescent="0.25">
      <c r="A3812" s="167"/>
      <c r="B3812" s="167"/>
    </row>
    <row r="3813" spans="1:2" x14ac:dyDescent="0.25">
      <c r="A3813" s="167"/>
      <c r="B3813" s="167"/>
    </row>
    <row r="3814" spans="1:2" x14ac:dyDescent="0.25">
      <c r="A3814" s="167"/>
      <c r="B3814" s="167"/>
    </row>
    <row r="3815" spans="1:2" x14ac:dyDescent="0.25">
      <c r="A3815" s="167"/>
      <c r="B3815" s="167"/>
    </row>
    <row r="3816" spans="1:2" x14ac:dyDescent="0.25">
      <c r="A3816" s="167"/>
      <c r="B3816" s="167"/>
    </row>
    <row r="3817" spans="1:2" x14ac:dyDescent="0.25">
      <c r="A3817" s="167"/>
      <c r="B3817" s="167"/>
    </row>
    <row r="3818" spans="1:2" x14ac:dyDescent="0.25">
      <c r="A3818" s="167"/>
      <c r="B3818" s="167"/>
    </row>
    <row r="3819" spans="1:2" x14ac:dyDescent="0.25">
      <c r="A3819" s="167"/>
      <c r="B3819" s="167"/>
    </row>
    <row r="3820" spans="1:2" x14ac:dyDescent="0.25">
      <c r="A3820" s="167"/>
      <c r="B3820" s="167"/>
    </row>
    <row r="3821" spans="1:2" x14ac:dyDescent="0.25">
      <c r="A3821" s="167"/>
      <c r="B3821" s="167"/>
    </row>
    <row r="3822" spans="1:2" x14ac:dyDescent="0.25">
      <c r="A3822" s="167"/>
      <c r="B3822" s="167"/>
    </row>
    <row r="3823" spans="1:2" x14ac:dyDescent="0.25">
      <c r="A3823" s="167"/>
      <c r="B3823" s="167"/>
    </row>
    <row r="3824" spans="1:2" x14ac:dyDescent="0.25">
      <c r="A3824" s="167"/>
      <c r="B3824" s="167"/>
    </row>
    <row r="3825" spans="1:2" x14ac:dyDescent="0.25">
      <c r="A3825" s="167"/>
      <c r="B3825" s="167"/>
    </row>
    <row r="3826" spans="1:2" x14ac:dyDescent="0.25">
      <c r="A3826" s="167"/>
      <c r="B3826" s="167"/>
    </row>
    <row r="3827" spans="1:2" x14ac:dyDescent="0.25">
      <c r="A3827" s="167"/>
      <c r="B3827" s="167"/>
    </row>
    <row r="3828" spans="1:2" x14ac:dyDescent="0.25">
      <c r="A3828" s="167"/>
      <c r="B3828" s="167"/>
    </row>
    <row r="3829" spans="1:2" x14ac:dyDescent="0.25">
      <c r="A3829" s="167"/>
      <c r="B3829" s="167"/>
    </row>
    <row r="3830" spans="1:2" x14ac:dyDescent="0.25">
      <c r="A3830" s="167"/>
      <c r="B3830" s="167"/>
    </row>
    <row r="3831" spans="1:2" x14ac:dyDescent="0.25">
      <c r="A3831" s="167"/>
      <c r="B3831" s="167"/>
    </row>
    <row r="3832" spans="1:2" x14ac:dyDescent="0.25">
      <c r="A3832" s="167"/>
      <c r="B3832" s="167"/>
    </row>
    <row r="3833" spans="1:2" x14ac:dyDescent="0.25">
      <c r="A3833" s="167"/>
      <c r="B3833" s="167"/>
    </row>
    <row r="3834" spans="1:2" x14ac:dyDescent="0.25">
      <c r="A3834" s="167"/>
      <c r="B3834" s="167"/>
    </row>
    <row r="3835" spans="1:2" x14ac:dyDescent="0.25">
      <c r="A3835" s="167"/>
      <c r="B3835" s="167"/>
    </row>
    <row r="3836" spans="1:2" x14ac:dyDescent="0.25">
      <c r="A3836" s="167"/>
      <c r="B3836" s="167"/>
    </row>
    <row r="3837" spans="1:2" x14ac:dyDescent="0.25">
      <c r="A3837" s="167"/>
      <c r="B3837" s="167"/>
    </row>
    <row r="3838" spans="1:2" x14ac:dyDescent="0.25">
      <c r="A3838" s="167"/>
      <c r="B3838" s="167"/>
    </row>
    <row r="3839" spans="1:2" x14ac:dyDescent="0.25">
      <c r="A3839" s="167"/>
      <c r="B3839" s="167"/>
    </row>
    <row r="3840" spans="1:2" x14ac:dyDescent="0.25">
      <c r="A3840" s="167"/>
      <c r="B3840" s="167"/>
    </row>
    <row r="3841" spans="1:2" x14ac:dyDescent="0.25">
      <c r="A3841" s="167"/>
      <c r="B3841" s="167"/>
    </row>
    <row r="3842" spans="1:2" x14ac:dyDescent="0.25">
      <c r="A3842" s="167"/>
      <c r="B3842" s="167"/>
    </row>
    <row r="3843" spans="1:2" x14ac:dyDescent="0.25">
      <c r="A3843" s="167"/>
      <c r="B3843" s="167"/>
    </row>
    <row r="3844" spans="1:2" x14ac:dyDescent="0.25">
      <c r="A3844" s="167"/>
      <c r="B3844" s="167"/>
    </row>
    <row r="3845" spans="1:2" x14ac:dyDescent="0.25">
      <c r="A3845" s="167"/>
      <c r="B3845" s="167"/>
    </row>
    <row r="3846" spans="1:2" x14ac:dyDescent="0.25">
      <c r="A3846" s="167"/>
      <c r="B3846" s="167"/>
    </row>
    <row r="3847" spans="1:2" x14ac:dyDescent="0.25">
      <c r="A3847" s="167"/>
      <c r="B3847" s="167"/>
    </row>
    <row r="3848" spans="1:2" x14ac:dyDescent="0.25">
      <c r="A3848" s="167"/>
      <c r="B3848" s="167"/>
    </row>
    <row r="3849" spans="1:2" x14ac:dyDescent="0.25">
      <c r="A3849" s="167"/>
      <c r="B3849" s="167"/>
    </row>
    <row r="3850" spans="1:2" x14ac:dyDescent="0.25">
      <c r="A3850" s="167"/>
      <c r="B3850" s="167"/>
    </row>
    <row r="3851" spans="1:2" x14ac:dyDescent="0.25">
      <c r="A3851" s="167"/>
      <c r="B3851" s="167"/>
    </row>
    <row r="3852" spans="1:2" x14ac:dyDescent="0.25">
      <c r="A3852" s="167"/>
      <c r="B3852" s="167"/>
    </row>
    <row r="3853" spans="1:2" x14ac:dyDescent="0.25">
      <c r="A3853" s="167"/>
      <c r="B3853" s="167"/>
    </row>
    <row r="3854" spans="1:2" x14ac:dyDescent="0.25">
      <c r="A3854" s="167"/>
      <c r="B3854" s="167"/>
    </row>
    <row r="3855" spans="1:2" x14ac:dyDescent="0.25">
      <c r="A3855" s="167"/>
      <c r="B3855" s="167"/>
    </row>
    <row r="3856" spans="1:2" x14ac:dyDescent="0.25">
      <c r="A3856" s="167"/>
      <c r="B3856" s="167"/>
    </row>
    <row r="3857" spans="1:2" x14ac:dyDescent="0.25">
      <c r="A3857" s="167"/>
      <c r="B3857" s="167"/>
    </row>
    <row r="3858" spans="1:2" x14ac:dyDescent="0.25">
      <c r="A3858" s="167"/>
      <c r="B3858" s="167"/>
    </row>
    <row r="3859" spans="1:2" x14ac:dyDescent="0.25">
      <c r="A3859" s="167"/>
      <c r="B3859" s="167"/>
    </row>
    <row r="3860" spans="1:2" x14ac:dyDescent="0.25">
      <c r="A3860" s="167"/>
      <c r="B3860" s="167"/>
    </row>
    <row r="3861" spans="1:2" x14ac:dyDescent="0.25">
      <c r="A3861" s="167"/>
      <c r="B3861" s="167"/>
    </row>
    <row r="3862" spans="1:2" x14ac:dyDescent="0.25">
      <c r="A3862" s="167"/>
      <c r="B3862" s="167"/>
    </row>
    <row r="3863" spans="1:2" x14ac:dyDescent="0.25">
      <c r="A3863" s="167"/>
      <c r="B3863" s="167"/>
    </row>
    <row r="3864" spans="1:2" x14ac:dyDescent="0.25">
      <c r="A3864" s="167"/>
      <c r="B3864" s="167"/>
    </row>
    <row r="3865" spans="1:2" x14ac:dyDescent="0.25">
      <c r="A3865" s="167"/>
      <c r="B3865" s="167"/>
    </row>
    <row r="3866" spans="1:2" x14ac:dyDescent="0.25">
      <c r="A3866" s="167"/>
      <c r="B3866" s="167"/>
    </row>
    <row r="3867" spans="1:2" x14ac:dyDescent="0.25">
      <c r="A3867" s="167"/>
      <c r="B3867" s="167"/>
    </row>
    <row r="3868" spans="1:2" x14ac:dyDescent="0.25">
      <c r="A3868" s="167"/>
      <c r="B3868" s="167"/>
    </row>
    <row r="3869" spans="1:2" x14ac:dyDescent="0.25">
      <c r="A3869" s="167"/>
      <c r="B3869" s="167"/>
    </row>
    <row r="3870" spans="1:2" x14ac:dyDescent="0.25">
      <c r="A3870" s="167"/>
      <c r="B3870" s="167"/>
    </row>
    <row r="3871" spans="1:2" x14ac:dyDescent="0.25">
      <c r="A3871" s="167"/>
      <c r="B3871" s="167"/>
    </row>
    <row r="3872" spans="1:2" x14ac:dyDescent="0.25">
      <c r="A3872" s="167"/>
      <c r="B3872" s="167"/>
    </row>
    <row r="3873" spans="1:2" x14ac:dyDescent="0.25">
      <c r="A3873" s="167"/>
      <c r="B3873" s="167"/>
    </row>
    <row r="3874" spans="1:2" x14ac:dyDescent="0.25">
      <c r="A3874" s="167"/>
      <c r="B3874" s="167"/>
    </row>
    <row r="3875" spans="1:2" x14ac:dyDescent="0.25">
      <c r="A3875" s="167"/>
      <c r="B3875" s="167"/>
    </row>
    <row r="3876" spans="1:2" x14ac:dyDescent="0.25">
      <c r="A3876" s="167"/>
      <c r="B3876" s="167"/>
    </row>
    <row r="3877" spans="1:2" x14ac:dyDescent="0.25">
      <c r="A3877" s="167"/>
      <c r="B3877" s="167"/>
    </row>
    <row r="3878" spans="1:2" x14ac:dyDescent="0.25">
      <c r="A3878" s="167"/>
      <c r="B3878" s="167"/>
    </row>
    <row r="3879" spans="1:2" x14ac:dyDescent="0.25">
      <c r="A3879" s="167"/>
      <c r="B3879" s="167"/>
    </row>
    <row r="3880" spans="1:2" x14ac:dyDescent="0.25">
      <c r="A3880" s="167"/>
      <c r="B3880" s="167"/>
    </row>
    <row r="3881" spans="1:2" x14ac:dyDescent="0.25">
      <c r="A3881" s="167"/>
      <c r="B3881" s="167"/>
    </row>
    <row r="3882" spans="1:2" x14ac:dyDescent="0.25">
      <c r="A3882" s="167"/>
      <c r="B3882" s="167"/>
    </row>
    <row r="3883" spans="1:2" x14ac:dyDescent="0.25">
      <c r="A3883" s="167"/>
      <c r="B3883" s="167"/>
    </row>
    <row r="3884" spans="1:2" x14ac:dyDescent="0.25">
      <c r="A3884" s="167"/>
      <c r="B3884" s="167"/>
    </row>
    <row r="3885" spans="1:2" x14ac:dyDescent="0.25">
      <c r="A3885" s="167"/>
      <c r="B3885" s="167"/>
    </row>
    <row r="3886" spans="1:2" x14ac:dyDescent="0.25">
      <c r="A3886" s="167"/>
      <c r="B3886" s="167"/>
    </row>
    <row r="3887" spans="1:2" x14ac:dyDescent="0.25">
      <c r="A3887" s="167"/>
      <c r="B3887" s="167"/>
    </row>
    <row r="3888" spans="1:2" x14ac:dyDescent="0.25">
      <c r="A3888" s="167"/>
      <c r="B3888" s="167"/>
    </row>
    <row r="3889" spans="1:2" x14ac:dyDescent="0.25">
      <c r="A3889" s="167"/>
      <c r="B3889" s="167"/>
    </row>
    <row r="3890" spans="1:2" x14ac:dyDescent="0.25">
      <c r="A3890" s="167"/>
      <c r="B3890" s="167"/>
    </row>
    <row r="3891" spans="1:2" x14ac:dyDescent="0.25">
      <c r="A3891" s="167"/>
      <c r="B3891" s="167"/>
    </row>
    <row r="3892" spans="1:2" x14ac:dyDescent="0.25">
      <c r="A3892" s="167"/>
      <c r="B3892" s="167"/>
    </row>
    <row r="3893" spans="1:2" x14ac:dyDescent="0.25">
      <c r="A3893" s="167"/>
      <c r="B3893" s="167"/>
    </row>
    <row r="3894" spans="1:2" x14ac:dyDescent="0.25">
      <c r="A3894" s="167"/>
      <c r="B3894" s="167"/>
    </row>
    <row r="3895" spans="1:2" x14ac:dyDescent="0.25">
      <c r="A3895" s="167"/>
      <c r="B3895" s="167"/>
    </row>
    <row r="3896" spans="1:2" x14ac:dyDescent="0.25">
      <c r="A3896" s="167"/>
      <c r="B3896" s="167"/>
    </row>
    <row r="3897" spans="1:2" x14ac:dyDescent="0.25">
      <c r="A3897" s="167"/>
      <c r="B3897" s="167"/>
    </row>
    <row r="3898" spans="1:2" x14ac:dyDescent="0.25">
      <c r="A3898" s="167"/>
      <c r="B3898" s="167"/>
    </row>
    <row r="3899" spans="1:2" x14ac:dyDescent="0.25">
      <c r="A3899" s="167"/>
      <c r="B3899" s="167"/>
    </row>
    <row r="3900" spans="1:2" x14ac:dyDescent="0.25">
      <c r="A3900" s="167"/>
      <c r="B3900" s="167"/>
    </row>
    <row r="3901" spans="1:2" x14ac:dyDescent="0.25">
      <c r="A3901" s="167"/>
      <c r="B3901" s="167"/>
    </row>
    <row r="3902" spans="1:2" x14ac:dyDescent="0.25">
      <c r="A3902" s="167"/>
      <c r="B3902" s="167"/>
    </row>
    <row r="3903" spans="1:2" x14ac:dyDescent="0.25">
      <c r="A3903" s="167"/>
      <c r="B3903" s="167"/>
    </row>
    <row r="3904" spans="1:2" x14ac:dyDescent="0.25">
      <c r="A3904" s="167"/>
      <c r="B3904" s="167"/>
    </row>
    <row r="3905" spans="1:2" x14ac:dyDescent="0.25">
      <c r="A3905" s="167"/>
      <c r="B3905" s="167"/>
    </row>
    <row r="3906" spans="1:2" x14ac:dyDescent="0.25">
      <c r="A3906" s="167"/>
      <c r="B3906" s="167"/>
    </row>
    <row r="3907" spans="1:2" x14ac:dyDescent="0.25">
      <c r="A3907" s="167"/>
      <c r="B3907" s="167"/>
    </row>
    <row r="3908" spans="1:2" x14ac:dyDescent="0.25">
      <c r="A3908" s="167"/>
      <c r="B3908" s="167"/>
    </row>
    <row r="3909" spans="1:2" x14ac:dyDescent="0.25">
      <c r="A3909" s="167"/>
      <c r="B3909" s="167"/>
    </row>
    <row r="3910" spans="1:2" x14ac:dyDescent="0.25">
      <c r="A3910" s="167"/>
      <c r="B3910" s="167"/>
    </row>
    <row r="3911" spans="1:2" x14ac:dyDescent="0.25">
      <c r="A3911" s="167"/>
      <c r="B3911" s="167"/>
    </row>
    <row r="3912" spans="1:2" x14ac:dyDescent="0.25">
      <c r="A3912" s="167"/>
      <c r="B3912" s="167"/>
    </row>
    <row r="3913" spans="1:2" x14ac:dyDescent="0.25">
      <c r="A3913" s="167"/>
      <c r="B3913" s="167"/>
    </row>
    <row r="3914" spans="1:2" x14ac:dyDescent="0.25">
      <c r="A3914" s="167"/>
      <c r="B3914" s="167"/>
    </row>
    <row r="3915" spans="1:2" x14ac:dyDescent="0.25">
      <c r="A3915" s="167"/>
      <c r="B3915" s="167"/>
    </row>
    <row r="3916" spans="1:2" x14ac:dyDescent="0.25">
      <c r="A3916" s="167"/>
      <c r="B3916" s="167"/>
    </row>
    <row r="3917" spans="1:2" x14ac:dyDescent="0.25">
      <c r="A3917" s="167"/>
      <c r="B3917" s="167"/>
    </row>
    <row r="3918" spans="1:2" x14ac:dyDescent="0.25">
      <c r="A3918" s="167"/>
      <c r="B3918" s="167"/>
    </row>
    <row r="3919" spans="1:2" x14ac:dyDescent="0.25">
      <c r="A3919" s="167"/>
      <c r="B3919" s="167"/>
    </row>
    <row r="3920" spans="1:2" x14ac:dyDescent="0.25">
      <c r="A3920" s="167"/>
      <c r="B3920" s="167"/>
    </row>
    <row r="3921" spans="1:2" x14ac:dyDescent="0.25">
      <c r="A3921" s="167"/>
      <c r="B3921" s="167"/>
    </row>
    <row r="3922" spans="1:2" x14ac:dyDescent="0.25">
      <c r="A3922" s="167"/>
      <c r="B3922" s="167"/>
    </row>
    <row r="3923" spans="1:2" x14ac:dyDescent="0.25">
      <c r="A3923" s="167"/>
      <c r="B3923" s="167"/>
    </row>
    <row r="3924" spans="1:2" x14ac:dyDescent="0.25">
      <c r="A3924" s="167"/>
      <c r="B3924" s="167"/>
    </row>
    <row r="3925" spans="1:2" x14ac:dyDescent="0.25">
      <c r="A3925" s="167"/>
      <c r="B3925" s="167"/>
    </row>
    <row r="3926" spans="1:2" x14ac:dyDescent="0.25">
      <c r="A3926" s="167"/>
      <c r="B3926" s="167"/>
    </row>
    <row r="3927" spans="1:2" x14ac:dyDescent="0.25">
      <c r="A3927" s="167"/>
      <c r="B3927" s="167"/>
    </row>
    <row r="3928" spans="1:2" x14ac:dyDescent="0.25">
      <c r="A3928" s="167"/>
      <c r="B3928" s="167"/>
    </row>
    <row r="3929" spans="1:2" x14ac:dyDescent="0.25">
      <c r="A3929" s="167"/>
      <c r="B3929" s="167"/>
    </row>
    <row r="3930" spans="1:2" x14ac:dyDescent="0.25">
      <c r="A3930" s="167"/>
      <c r="B3930" s="167"/>
    </row>
    <row r="3931" spans="1:2" x14ac:dyDescent="0.25">
      <c r="A3931" s="167"/>
      <c r="B3931" s="167"/>
    </row>
    <row r="3932" spans="1:2" x14ac:dyDescent="0.25">
      <c r="A3932" s="167"/>
      <c r="B3932" s="167"/>
    </row>
    <row r="3933" spans="1:2" x14ac:dyDescent="0.25">
      <c r="A3933" s="167"/>
      <c r="B3933" s="167"/>
    </row>
    <row r="3934" spans="1:2" x14ac:dyDescent="0.25">
      <c r="A3934" s="167"/>
      <c r="B3934" s="167"/>
    </row>
    <row r="3935" spans="1:2" x14ac:dyDescent="0.25">
      <c r="A3935" s="167"/>
      <c r="B3935" s="167"/>
    </row>
    <row r="3936" spans="1:2" x14ac:dyDescent="0.25">
      <c r="A3936" s="167"/>
      <c r="B3936" s="167"/>
    </row>
    <row r="3937" spans="1:2" x14ac:dyDescent="0.25">
      <c r="A3937" s="167"/>
      <c r="B3937" s="167"/>
    </row>
    <row r="3938" spans="1:2" x14ac:dyDescent="0.25">
      <c r="A3938" s="167"/>
      <c r="B3938" s="167"/>
    </row>
    <row r="3939" spans="1:2" x14ac:dyDescent="0.25">
      <c r="A3939" s="167"/>
      <c r="B3939" s="167"/>
    </row>
    <row r="3940" spans="1:2" x14ac:dyDescent="0.25">
      <c r="A3940" s="167"/>
      <c r="B3940" s="167"/>
    </row>
    <row r="3941" spans="1:2" x14ac:dyDescent="0.25">
      <c r="A3941" s="167"/>
      <c r="B3941" s="167"/>
    </row>
    <row r="3942" spans="1:2" x14ac:dyDescent="0.25">
      <c r="A3942" s="167"/>
      <c r="B3942" s="167"/>
    </row>
    <row r="3943" spans="1:2" x14ac:dyDescent="0.25">
      <c r="A3943" s="167"/>
      <c r="B3943" s="167"/>
    </row>
    <row r="3944" spans="1:2" x14ac:dyDescent="0.25">
      <c r="A3944" s="167"/>
      <c r="B3944" s="167"/>
    </row>
    <row r="3945" spans="1:2" x14ac:dyDescent="0.25">
      <c r="A3945" s="167"/>
      <c r="B3945" s="167"/>
    </row>
    <row r="3946" spans="1:2" x14ac:dyDescent="0.25">
      <c r="A3946" s="167"/>
      <c r="B3946" s="167"/>
    </row>
    <row r="3947" spans="1:2" x14ac:dyDescent="0.25">
      <c r="A3947" s="167"/>
      <c r="B3947" s="167"/>
    </row>
    <row r="3948" spans="1:2" x14ac:dyDescent="0.25">
      <c r="A3948" s="167"/>
      <c r="B3948" s="167"/>
    </row>
    <row r="3949" spans="1:2" x14ac:dyDescent="0.25">
      <c r="A3949" s="167"/>
      <c r="B3949" s="167"/>
    </row>
    <row r="3950" spans="1:2" x14ac:dyDescent="0.25">
      <c r="A3950" s="167"/>
      <c r="B3950" s="167"/>
    </row>
    <row r="3951" spans="1:2" x14ac:dyDescent="0.25">
      <c r="A3951" s="167"/>
      <c r="B3951" s="167"/>
    </row>
    <row r="3952" spans="1:2" x14ac:dyDescent="0.25">
      <c r="A3952" s="167"/>
      <c r="B3952" s="167"/>
    </row>
    <row r="3953" spans="1:2" x14ac:dyDescent="0.25">
      <c r="A3953" s="167"/>
      <c r="B3953" s="167"/>
    </row>
    <row r="3954" spans="1:2" x14ac:dyDescent="0.25">
      <c r="A3954" s="167"/>
      <c r="B3954" s="167"/>
    </row>
    <row r="3955" spans="1:2" x14ac:dyDescent="0.25">
      <c r="A3955" s="167"/>
      <c r="B3955" s="167"/>
    </row>
    <row r="3956" spans="1:2" x14ac:dyDescent="0.25">
      <c r="A3956" s="167"/>
      <c r="B3956" s="167"/>
    </row>
    <row r="3957" spans="1:2" x14ac:dyDescent="0.25">
      <c r="A3957" s="167"/>
      <c r="B3957" s="167"/>
    </row>
    <row r="3958" spans="1:2" x14ac:dyDescent="0.25">
      <c r="A3958" s="167"/>
      <c r="B3958" s="167"/>
    </row>
    <row r="3959" spans="1:2" x14ac:dyDescent="0.25">
      <c r="A3959" s="167"/>
      <c r="B3959" s="167"/>
    </row>
    <row r="3960" spans="1:2" x14ac:dyDescent="0.25">
      <c r="A3960" s="167"/>
      <c r="B3960" s="167"/>
    </row>
    <row r="3961" spans="1:2" x14ac:dyDescent="0.25">
      <c r="A3961" s="167"/>
      <c r="B3961" s="167"/>
    </row>
    <row r="3962" spans="1:2" x14ac:dyDescent="0.25">
      <c r="A3962" s="167"/>
      <c r="B3962" s="167"/>
    </row>
    <row r="3963" spans="1:2" x14ac:dyDescent="0.25">
      <c r="A3963" s="167"/>
      <c r="B3963" s="167"/>
    </row>
    <row r="3964" spans="1:2" x14ac:dyDescent="0.25">
      <c r="A3964" s="167"/>
      <c r="B3964" s="167"/>
    </row>
    <row r="3965" spans="1:2" x14ac:dyDescent="0.25">
      <c r="A3965" s="167"/>
      <c r="B3965" s="167"/>
    </row>
    <row r="3966" spans="1:2" x14ac:dyDescent="0.25">
      <c r="A3966" s="167"/>
      <c r="B3966" s="167"/>
    </row>
    <row r="3967" spans="1:2" x14ac:dyDescent="0.25">
      <c r="A3967" s="167"/>
      <c r="B3967" s="167"/>
    </row>
    <row r="3968" spans="1:2" x14ac:dyDescent="0.25">
      <c r="A3968" s="167"/>
      <c r="B3968" s="167"/>
    </row>
    <row r="3969" spans="1:2" x14ac:dyDescent="0.25">
      <c r="A3969" s="167"/>
      <c r="B3969" s="167"/>
    </row>
    <row r="3970" spans="1:2" x14ac:dyDescent="0.25">
      <c r="A3970" s="167"/>
      <c r="B3970" s="167"/>
    </row>
    <row r="3971" spans="1:2" x14ac:dyDescent="0.25">
      <c r="A3971" s="167"/>
      <c r="B3971" s="167"/>
    </row>
    <row r="3972" spans="1:2" x14ac:dyDescent="0.25">
      <c r="A3972" s="167"/>
      <c r="B3972" s="167"/>
    </row>
    <row r="3973" spans="1:2" x14ac:dyDescent="0.25">
      <c r="A3973" s="167"/>
      <c r="B3973" s="167"/>
    </row>
    <row r="3974" spans="1:2" x14ac:dyDescent="0.25">
      <c r="A3974" s="167"/>
      <c r="B3974" s="167"/>
    </row>
    <row r="3975" spans="1:2" x14ac:dyDescent="0.25">
      <c r="A3975" s="167"/>
      <c r="B3975" s="167"/>
    </row>
    <row r="3976" spans="1:2" x14ac:dyDescent="0.25">
      <c r="A3976" s="167"/>
      <c r="B3976" s="167"/>
    </row>
    <row r="3977" spans="1:2" x14ac:dyDescent="0.25">
      <c r="A3977" s="167"/>
      <c r="B3977" s="167"/>
    </row>
    <row r="3978" spans="1:2" x14ac:dyDescent="0.25">
      <c r="A3978" s="167"/>
      <c r="B3978" s="167"/>
    </row>
    <row r="3979" spans="1:2" x14ac:dyDescent="0.25">
      <c r="A3979" s="167"/>
      <c r="B3979" s="167"/>
    </row>
    <row r="3980" spans="1:2" x14ac:dyDescent="0.25">
      <c r="A3980" s="167"/>
      <c r="B3980" s="167"/>
    </row>
    <row r="3981" spans="1:2" x14ac:dyDescent="0.25">
      <c r="A3981" s="167"/>
      <c r="B3981" s="167"/>
    </row>
    <row r="3982" spans="1:2" x14ac:dyDescent="0.25">
      <c r="A3982" s="167"/>
      <c r="B3982" s="167"/>
    </row>
    <row r="3983" spans="1:2" x14ac:dyDescent="0.25">
      <c r="A3983" s="167"/>
      <c r="B3983" s="167"/>
    </row>
    <row r="3984" spans="1:2" x14ac:dyDescent="0.25">
      <c r="A3984" s="167"/>
      <c r="B3984" s="167"/>
    </row>
    <row r="3985" spans="1:2" x14ac:dyDescent="0.25">
      <c r="A3985" s="167"/>
      <c r="B3985" s="167"/>
    </row>
    <row r="3986" spans="1:2" x14ac:dyDescent="0.25">
      <c r="A3986" s="167"/>
      <c r="B3986" s="167"/>
    </row>
    <row r="3987" spans="1:2" x14ac:dyDescent="0.25">
      <c r="A3987" s="167"/>
      <c r="B3987" s="167"/>
    </row>
    <row r="3988" spans="1:2" x14ac:dyDescent="0.25">
      <c r="A3988" s="167"/>
      <c r="B3988" s="167"/>
    </row>
    <row r="3989" spans="1:2" x14ac:dyDescent="0.25">
      <c r="A3989" s="167"/>
      <c r="B3989" s="167"/>
    </row>
    <row r="3990" spans="1:2" x14ac:dyDescent="0.25">
      <c r="A3990" s="167"/>
      <c r="B3990" s="167"/>
    </row>
    <row r="3991" spans="1:2" x14ac:dyDescent="0.25">
      <c r="A3991" s="167"/>
      <c r="B3991" s="167"/>
    </row>
    <row r="3992" spans="1:2" x14ac:dyDescent="0.25">
      <c r="A3992" s="167"/>
      <c r="B3992" s="167"/>
    </row>
    <row r="3993" spans="1:2" x14ac:dyDescent="0.25">
      <c r="A3993" s="167"/>
      <c r="B3993" s="167"/>
    </row>
    <row r="3994" spans="1:2" x14ac:dyDescent="0.25">
      <c r="A3994" s="167"/>
      <c r="B3994" s="167"/>
    </row>
    <row r="3995" spans="1:2" x14ac:dyDescent="0.25">
      <c r="A3995" s="167"/>
      <c r="B3995" s="167"/>
    </row>
    <row r="3996" spans="1:2" x14ac:dyDescent="0.25">
      <c r="A3996" s="167"/>
      <c r="B3996" s="167"/>
    </row>
    <row r="3997" spans="1:2" x14ac:dyDescent="0.25">
      <c r="A3997" s="167"/>
      <c r="B3997" s="167"/>
    </row>
    <row r="3998" spans="1:2" x14ac:dyDescent="0.25">
      <c r="A3998" s="167"/>
      <c r="B3998" s="167"/>
    </row>
    <row r="3999" spans="1:2" x14ac:dyDescent="0.25">
      <c r="A3999" s="167"/>
      <c r="B3999" s="167"/>
    </row>
    <row r="4000" spans="1:2" x14ac:dyDescent="0.25">
      <c r="A4000" s="167"/>
      <c r="B4000" s="167"/>
    </row>
    <row r="4001" spans="1:2" x14ac:dyDescent="0.25">
      <c r="A4001" s="167"/>
      <c r="B4001" s="167"/>
    </row>
    <row r="4002" spans="1:2" x14ac:dyDescent="0.25">
      <c r="A4002" s="167"/>
      <c r="B4002" s="167"/>
    </row>
    <row r="4003" spans="1:2" x14ac:dyDescent="0.25">
      <c r="A4003" s="167"/>
      <c r="B4003" s="167"/>
    </row>
    <row r="4004" spans="1:2" x14ac:dyDescent="0.25">
      <c r="A4004" s="167"/>
      <c r="B4004" s="167"/>
    </row>
    <row r="4005" spans="1:2" x14ac:dyDescent="0.25">
      <c r="A4005" s="167"/>
      <c r="B4005" s="167"/>
    </row>
    <row r="4006" spans="1:2" x14ac:dyDescent="0.25">
      <c r="A4006" s="167"/>
      <c r="B4006" s="167"/>
    </row>
    <row r="4007" spans="1:2" x14ac:dyDescent="0.25">
      <c r="A4007" s="167"/>
      <c r="B4007" s="167"/>
    </row>
    <row r="4008" spans="1:2" x14ac:dyDescent="0.25">
      <c r="A4008" s="167"/>
      <c r="B4008" s="167"/>
    </row>
    <row r="4009" spans="1:2" x14ac:dyDescent="0.25">
      <c r="A4009" s="167"/>
      <c r="B4009" s="167"/>
    </row>
    <row r="4010" spans="1:2" x14ac:dyDescent="0.25">
      <c r="A4010" s="167"/>
      <c r="B4010" s="167"/>
    </row>
    <row r="4011" spans="1:2" x14ac:dyDescent="0.25">
      <c r="A4011" s="167"/>
      <c r="B4011" s="167"/>
    </row>
    <row r="4012" spans="1:2" x14ac:dyDescent="0.25">
      <c r="A4012" s="167"/>
      <c r="B4012" s="167"/>
    </row>
    <row r="4013" spans="1:2" x14ac:dyDescent="0.25">
      <c r="A4013" s="167"/>
      <c r="B4013" s="167"/>
    </row>
    <row r="4014" spans="1:2" x14ac:dyDescent="0.25">
      <c r="A4014" s="167"/>
      <c r="B4014" s="167"/>
    </row>
    <row r="4015" spans="1:2" x14ac:dyDescent="0.25">
      <c r="A4015" s="167"/>
      <c r="B4015" s="167"/>
    </row>
    <row r="4016" spans="1:2" x14ac:dyDescent="0.25">
      <c r="A4016" s="167"/>
      <c r="B4016" s="167"/>
    </row>
    <row r="4017" spans="1:2" x14ac:dyDescent="0.25">
      <c r="A4017" s="167"/>
      <c r="B4017" s="167"/>
    </row>
    <row r="4018" spans="1:2" x14ac:dyDescent="0.25">
      <c r="A4018" s="167"/>
      <c r="B4018" s="167"/>
    </row>
    <row r="4019" spans="1:2" x14ac:dyDescent="0.25">
      <c r="A4019" s="167"/>
      <c r="B4019" s="167"/>
    </row>
    <row r="4020" spans="1:2" x14ac:dyDescent="0.25">
      <c r="A4020" s="167"/>
      <c r="B4020" s="167"/>
    </row>
    <row r="4021" spans="1:2" x14ac:dyDescent="0.25">
      <c r="A4021" s="167"/>
      <c r="B4021" s="167"/>
    </row>
    <row r="4022" spans="1:2" x14ac:dyDescent="0.25">
      <c r="A4022" s="167"/>
      <c r="B4022" s="167"/>
    </row>
    <row r="4023" spans="1:2" x14ac:dyDescent="0.25">
      <c r="A4023" s="167"/>
      <c r="B4023" s="167"/>
    </row>
    <row r="4024" spans="1:2" x14ac:dyDescent="0.25">
      <c r="A4024" s="167"/>
      <c r="B4024" s="167"/>
    </row>
    <row r="4025" spans="1:2" x14ac:dyDescent="0.25">
      <c r="A4025" s="167"/>
      <c r="B4025" s="167"/>
    </row>
    <row r="4026" spans="1:2" x14ac:dyDescent="0.25">
      <c r="A4026" s="167"/>
      <c r="B4026" s="167"/>
    </row>
    <row r="4027" spans="1:2" x14ac:dyDescent="0.25">
      <c r="A4027" s="167"/>
      <c r="B4027" s="167"/>
    </row>
    <row r="4028" spans="1:2" x14ac:dyDescent="0.25">
      <c r="A4028" s="167"/>
      <c r="B4028" s="167"/>
    </row>
    <row r="4029" spans="1:2" x14ac:dyDescent="0.25">
      <c r="A4029" s="167"/>
      <c r="B4029" s="167"/>
    </row>
    <row r="4030" spans="1:2" x14ac:dyDescent="0.25">
      <c r="A4030" s="167"/>
      <c r="B4030" s="167"/>
    </row>
    <row r="4031" spans="1:2" x14ac:dyDescent="0.25">
      <c r="A4031" s="167"/>
      <c r="B4031" s="167"/>
    </row>
    <row r="4032" spans="1:2" x14ac:dyDescent="0.25">
      <c r="A4032" s="167"/>
      <c r="B4032" s="167"/>
    </row>
    <row r="4033" spans="1:2" x14ac:dyDescent="0.25">
      <c r="A4033" s="167"/>
      <c r="B4033" s="167"/>
    </row>
    <row r="4034" spans="1:2" x14ac:dyDescent="0.25">
      <c r="A4034" s="167"/>
      <c r="B4034" s="167"/>
    </row>
    <row r="4035" spans="1:2" x14ac:dyDescent="0.25">
      <c r="A4035" s="167"/>
      <c r="B4035" s="167"/>
    </row>
    <row r="4036" spans="1:2" x14ac:dyDescent="0.25">
      <c r="A4036" s="167"/>
      <c r="B4036" s="167"/>
    </row>
    <row r="4037" spans="1:2" x14ac:dyDescent="0.25">
      <c r="A4037" s="167"/>
      <c r="B4037" s="167"/>
    </row>
    <row r="4038" spans="1:2" x14ac:dyDescent="0.25">
      <c r="A4038" s="167"/>
      <c r="B4038" s="167"/>
    </row>
    <row r="4039" spans="1:2" x14ac:dyDescent="0.25">
      <c r="A4039" s="167"/>
      <c r="B4039" s="167"/>
    </row>
    <row r="4040" spans="1:2" x14ac:dyDescent="0.25">
      <c r="A4040" s="167"/>
      <c r="B4040" s="167"/>
    </row>
    <row r="4041" spans="1:2" x14ac:dyDescent="0.25">
      <c r="A4041" s="167"/>
      <c r="B4041" s="167"/>
    </row>
    <row r="4042" spans="1:2" x14ac:dyDescent="0.25">
      <c r="A4042" s="167"/>
      <c r="B4042" s="167"/>
    </row>
    <row r="4043" spans="1:2" x14ac:dyDescent="0.25">
      <c r="A4043" s="167"/>
      <c r="B4043" s="167"/>
    </row>
    <row r="4044" spans="1:2" x14ac:dyDescent="0.25">
      <c r="A4044" s="167"/>
      <c r="B4044" s="167"/>
    </row>
    <row r="4045" spans="1:2" x14ac:dyDescent="0.25">
      <c r="A4045" s="167"/>
      <c r="B4045" s="167"/>
    </row>
    <row r="4046" spans="1:2" x14ac:dyDescent="0.25">
      <c r="A4046" s="167"/>
      <c r="B4046" s="167"/>
    </row>
    <row r="4047" spans="1:2" x14ac:dyDescent="0.25">
      <c r="A4047" s="167"/>
      <c r="B4047" s="167"/>
    </row>
    <row r="4048" spans="1:2" x14ac:dyDescent="0.25">
      <c r="A4048" s="167"/>
      <c r="B4048" s="167"/>
    </row>
    <row r="4049" spans="1:2" x14ac:dyDescent="0.25">
      <c r="A4049" s="167"/>
      <c r="B4049" s="167"/>
    </row>
    <row r="4050" spans="1:2" x14ac:dyDescent="0.25">
      <c r="A4050" s="167"/>
      <c r="B4050" s="167"/>
    </row>
    <row r="4051" spans="1:2" x14ac:dyDescent="0.25">
      <c r="A4051" s="167"/>
      <c r="B4051" s="167"/>
    </row>
    <row r="4052" spans="1:2" x14ac:dyDescent="0.25">
      <c r="A4052" s="167"/>
      <c r="B4052" s="167"/>
    </row>
    <row r="4053" spans="1:2" x14ac:dyDescent="0.25">
      <c r="A4053" s="167"/>
      <c r="B4053" s="167"/>
    </row>
    <row r="4054" spans="1:2" x14ac:dyDescent="0.25">
      <c r="A4054" s="167"/>
      <c r="B4054" s="167"/>
    </row>
    <row r="4055" spans="1:2" x14ac:dyDescent="0.25">
      <c r="A4055" s="167"/>
      <c r="B4055" s="167"/>
    </row>
    <row r="4056" spans="1:2" x14ac:dyDescent="0.25">
      <c r="A4056" s="167"/>
      <c r="B4056" s="167"/>
    </row>
    <row r="4057" spans="1:2" x14ac:dyDescent="0.25">
      <c r="A4057" s="167"/>
      <c r="B4057" s="167"/>
    </row>
    <row r="4058" spans="1:2" x14ac:dyDescent="0.25">
      <c r="A4058" s="167"/>
      <c r="B4058" s="167"/>
    </row>
    <row r="4059" spans="1:2" x14ac:dyDescent="0.25">
      <c r="A4059" s="167"/>
      <c r="B4059" s="167"/>
    </row>
    <row r="4060" spans="1:2" x14ac:dyDescent="0.25">
      <c r="A4060" s="167"/>
      <c r="B4060" s="167"/>
    </row>
    <row r="4061" spans="1:2" x14ac:dyDescent="0.25">
      <c r="A4061" s="167"/>
      <c r="B4061" s="167"/>
    </row>
    <row r="4062" spans="1:2" x14ac:dyDescent="0.25">
      <c r="A4062" s="167"/>
      <c r="B4062" s="167"/>
    </row>
    <row r="4063" spans="1:2" x14ac:dyDescent="0.25">
      <c r="A4063" s="167"/>
      <c r="B4063" s="167"/>
    </row>
    <row r="4064" spans="1:2" x14ac:dyDescent="0.25">
      <c r="A4064" s="167"/>
      <c r="B4064" s="167"/>
    </row>
    <row r="4065" spans="1:2" x14ac:dyDescent="0.25">
      <c r="A4065" s="167"/>
      <c r="B4065" s="167"/>
    </row>
    <row r="4066" spans="1:2" x14ac:dyDescent="0.25">
      <c r="A4066" s="167"/>
      <c r="B4066" s="167"/>
    </row>
    <row r="4067" spans="1:2" x14ac:dyDescent="0.25">
      <c r="A4067" s="167"/>
      <c r="B4067" s="167"/>
    </row>
    <row r="4068" spans="1:2" x14ac:dyDescent="0.25">
      <c r="A4068" s="167"/>
      <c r="B4068" s="167"/>
    </row>
    <row r="4069" spans="1:2" x14ac:dyDescent="0.25">
      <c r="A4069" s="167"/>
      <c r="B4069" s="167"/>
    </row>
    <row r="4070" spans="1:2" x14ac:dyDescent="0.25">
      <c r="A4070" s="167"/>
      <c r="B4070" s="167"/>
    </row>
    <row r="4071" spans="1:2" x14ac:dyDescent="0.25">
      <c r="A4071" s="167"/>
      <c r="B4071" s="167"/>
    </row>
    <row r="4072" spans="1:2" x14ac:dyDescent="0.25">
      <c r="A4072" s="167"/>
      <c r="B4072" s="167"/>
    </row>
    <row r="4073" spans="1:2" x14ac:dyDescent="0.25">
      <c r="A4073" s="167"/>
      <c r="B4073" s="167"/>
    </row>
    <row r="4074" spans="1:2" x14ac:dyDescent="0.25">
      <c r="A4074" s="167"/>
      <c r="B4074" s="167"/>
    </row>
    <row r="4075" spans="1:2" x14ac:dyDescent="0.25">
      <c r="A4075" s="167"/>
      <c r="B4075" s="167"/>
    </row>
    <row r="4076" spans="1:2" x14ac:dyDescent="0.25">
      <c r="A4076" s="167"/>
      <c r="B4076" s="167"/>
    </row>
    <row r="4077" spans="1:2" x14ac:dyDescent="0.25">
      <c r="A4077" s="167"/>
      <c r="B4077" s="167"/>
    </row>
    <row r="4078" spans="1:2" x14ac:dyDescent="0.25">
      <c r="A4078" s="167"/>
      <c r="B4078" s="167"/>
    </row>
    <row r="4079" spans="1:2" x14ac:dyDescent="0.25">
      <c r="A4079" s="167"/>
      <c r="B4079" s="167"/>
    </row>
    <row r="4080" spans="1:2" x14ac:dyDescent="0.25">
      <c r="A4080" s="167"/>
      <c r="B4080" s="167"/>
    </row>
    <row r="4081" spans="1:2" x14ac:dyDescent="0.25">
      <c r="A4081" s="167"/>
      <c r="B4081" s="167"/>
    </row>
    <row r="4082" spans="1:2" x14ac:dyDescent="0.25">
      <c r="A4082" s="167"/>
      <c r="B4082" s="167"/>
    </row>
    <row r="4083" spans="1:2" x14ac:dyDescent="0.25">
      <c r="A4083" s="167"/>
      <c r="B4083" s="167"/>
    </row>
    <row r="4084" spans="1:2" x14ac:dyDescent="0.25">
      <c r="A4084" s="167"/>
      <c r="B4084" s="167"/>
    </row>
    <row r="4085" spans="1:2" x14ac:dyDescent="0.25">
      <c r="A4085" s="167"/>
      <c r="B4085" s="167"/>
    </row>
    <row r="4086" spans="1:2" x14ac:dyDescent="0.25">
      <c r="A4086" s="167"/>
      <c r="B4086" s="167"/>
    </row>
    <row r="4087" spans="1:2" x14ac:dyDescent="0.25">
      <c r="A4087" s="167"/>
      <c r="B4087" s="167"/>
    </row>
    <row r="4088" spans="1:2" x14ac:dyDescent="0.25">
      <c r="A4088" s="167"/>
      <c r="B4088" s="167"/>
    </row>
    <row r="4089" spans="1:2" x14ac:dyDescent="0.25">
      <c r="A4089" s="167"/>
      <c r="B4089" s="167"/>
    </row>
    <row r="4090" spans="1:2" x14ac:dyDescent="0.25">
      <c r="A4090" s="167"/>
      <c r="B4090" s="167"/>
    </row>
    <row r="4091" spans="1:2" x14ac:dyDescent="0.25">
      <c r="A4091" s="167"/>
      <c r="B4091" s="167"/>
    </row>
    <row r="4092" spans="1:2" x14ac:dyDescent="0.25">
      <c r="A4092" s="167"/>
      <c r="B4092" s="167"/>
    </row>
    <row r="4093" spans="1:2" x14ac:dyDescent="0.25">
      <c r="A4093" s="167"/>
      <c r="B4093" s="167"/>
    </row>
    <row r="4094" spans="1:2" x14ac:dyDescent="0.25">
      <c r="A4094" s="167"/>
      <c r="B4094" s="167"/>
    </row>
    <row r="4095" spans="1:2" x14ac:dyDescent="0.25">
      <c r="A4095" s="167"/>
      <c r="B4095" s="167"/>
    </row>
    <row r="4096" spans="1:2" x14ac:dyDescent="0.25">
      <c r="A4096" s="167"/>
      <c r="B4096" s="167"/>
    </row>
    <row r="4097" spans="1:2" x14ac:dyDescent="0.25">
      <c r="A4097" s="167"/>
      <c r="B4097" s="167"/>
    </row>
    <row r="4098" spans="1:2" x14ac:dyDescent="0.25">
      <c r="A4098" s="167"/>
      <c r="B4098" s="167"/>
    </row>
    <row r="4099" spans="1:2" x14ac:dyDescent="0.25">
      <c r="A4099" s="167"/>
      <c r="B4099" s="167"/>
    </row>
    <row r="4100" spans="1:2" x14ac:dyDescent="0.25">
      <c r="A4100" s="167"/>
      <c r="B4100" s="167"/>
    </row>
    <row r="4101" spans="1:2" x14ac:dyDescent="0.25">
      <c r="A4101" s="167"/>
      <c r="B4101" s="167"/>
    </row>
    <row r="4102" spans="1:2" x14ac:dyDescent="0.25">
      <c r="A4102" s="167"/>
      <c r="B4102" s="167"/>
    </row>
    <row r="4103" spans="1:2" x14ac:dyDescent="0.25">
      <c r="A4103" s="167"/>
      <c r="B4103" s="167"/>
    </row>
    <row r="4104" spans="1:2" x14ac:dyDescent="0.25">
      <c r="A4104" s="167"/>
      <c r="B4104" s="167"/>
    </row>
    <row r="4105" spans="1:2" x14ac:dyDescent="0.25">
      <c r="A4105" s="167"/>
      <c r="B4105" s="167"/>
    </row>
    <row r="4106" spans="1:2" x14ac:dyDescent="0.25">
      <c r="A4106" s="167"/>
      <c r="B4106" s="167"/>
    </row>
    <row r="4107" spans="1:2" x14ac:dyDescent="0.25">
      <c r="A4107" s="167"/>
      <c r="B4107" s="167"/>
    </row>
    <row r="4108" spans="1:2" x14ac:dyDescent="0.25">
      <c r="A4108" s="167"/>
      <c r="B4108" s="167"/>
    </row>
    <row r="4109" spans="1:2" x14ac:dyDescent="0.25">
      <c r="A4109" s="167"/>
      <c r="B4109" s="167"/>
    </row>
    <row r="4110" spans="1:2" x14ac:dyDescent="0.25">
      <c r="A4110" s="167"/>
      <c r="B4110" s="167"/>
    </row>
    <row r="4111" spans="1:2" x14ac:dyDescent="0.25">
      <c r="A4111" s="167"/>
      <c r="B4111" s="167"/>
    </row>
    <row r="4112" spans="1:2" x14ac:dyDescent="0.25">
      <c r="A4112" s="167"/>
      <c r="B4112" s="167"/>
    </row>
    <row r="4113" spans="1:2" x14ac:dyDescent="0.25">
      <c r="A4113" s="167"/>
      <c r="B4113" s="167"/>
    </row>
    <row r="4114" spans="1:2" x14ac:dyDescent="0.25">
      <c r="A4114" s="167"/>
      <c r="B4114" s="167"/>
    </row>
    <row r="4115" spans="1:2" x14ac:dyDescent="0.25">
      <c r="A4115" s="167"/>
      <c r="B4115" s="167"/>
    </row>
    <row r="4116" spans="1:2" x14ac:dyDescent="0.25">
      <c r="A4116" s="167"/>
      <c r="B4116" s="167"/>
    </row>
    <row r="4117" spans="1:2" x14ac:dyDescent="0.25">
      <c r="A4117" s="167"/>
      <c r="B4117" s="167"/>
    </row>
    <row r="4118" spans="1:2" x14ac:dyDescent="0.25">
      <c r="A4118" s="167"/>
      <c r="B4118" s="167"/>
    </row>
    <row r="4119" spans="1:2" x14ac:dyDescent="0.25">
      <c r="A4119" s="167"/>
      <c r="B4119" s="167"/>
    </row>
    <row r="4120" spans="1:2" x14ac:dyDescent="0.25">
      <c r="A4120" s="167"/>
      <c r="B4120" s="167"/>
    </row>
    <row r="4121" spans="1:2" x14ac:dyDescent="0.25">
      <c r="A4121" s="167"/>
      <c r="B4121" s="167"/>
    </row>
    <row r="4122" spans="1:2" x14ac:dyDescent="0.25">
      <c r="A4122" s="167"/>
      <c r="B4122" s="167"/>
    </row>
    <row r="4123" spans="1:2" x14ac:dyDescent="0.25">
      <c r="A4123" s="167"/>
      <c r="B4123" s="167"/>
    </row>
    <row r="4124" spans="1:2" x14ac:dyDescent="0.25">
      <c r="A4124" s="167"/>
      <c r="B4124" s="167"/>
    </row>
    <row r="4125" spans="1:2" x14ac:dyDescent="0.25">
      <c r="A4125" s="167"/>
      <c r="B4125" s="167"/>
    </row>
    <row r="4126" spans="1:2" x14ac:dyDescent="0.25">
      <c r="A4126" s="167"/>
      <c r="B4126" s="167"/>
    </row>
    <row r="4127" spans="1:2" x14ac:dyDescent="0.25">
      <c r="A4127" s="167"/>
      <c r="B4127" s="167"/>
    </row>
    <row r="4128" spans="1:2" x14ac:dyDescent="0.25">
      <c r="A4128" s="167"/>
      <c r="B4128" s="167"/>
    </row>
    <row r="4129" spans="1:2" x14ac:dyDescent="0.25">
      <c r="A4129" s="167"/>
      <c r="B4129" s="167"/>
    </row>
    <row r="4130" spans="1:2" x14ac:dyDescent="0.25">
      <c r="A4130" s="167"/>
      <c r="B4130" s="167"/>
    </row>
    <row r="4131" spans="1:2" x14ac:dyDescent="0.25">
      <c r="A4131" s="167"/>
      <c r="B4131" s="167"/>
    </row>
    <row r="4132" spans="1:2" x14ac:dyDescent="0.25">
      <c r="A4132" s="167"/>
      <c r="B4132" s="167"/>
    </row>
    <row r="4133" spans="1:2" x14ac:dyDescent="0.25">
      <c r="A4133" s="167"/>
      <c r="B4133" s="167"/>
    </row>
    <row r="4134" spans="1:2" x14ac:dyDescent="0.25">
      <c r="A4134" s="167"/>
      <c r="B4134" s="167"/>
    </row>
    <row r="4135" spans="1:2" x14ac:dyDescent="0.25">
      <c r="A4135" s="167"/>
      <c r="B4135" s="167"/>
    </row>
    <row r="4136" spans="1:2" x14ac:dyDescent="0.25">
      <c r="A4136" s="167"/>
      <c r="B4136" s="167"/>
    </row>
    <row r="4137" spans="1:2" x14ac:dyDescent="0.25">
      <c r="A4137" s="167"/>
      <c r="B4137" s="167"/>
    </row>
    <row r="4138" spans="1:2" x14ac:dyDescent="0.25">
      <c r="A4138" s="167"/>
      <c r="B4138" s="167"/>
    </row>
    <row r="4139" spans="1:2" x14ac:dyDescent="0.25">
      <c r="A4139" s="167"/>
      <c r="B4139" s="167"/>
    </row>
    <row r="4140" spans="1:2" x14ac:dyDescent="0.25">
      <c r="A4140" s="167"/>
      <c r="B4140" s="167"/>
    </row>
    <row r="4141" spans="1:2" x14ac:dyDescent="0.25">
      <c r="A4141" s="167"/>
      <c r="B4141" s="167"/>
    </row>
    <row r="4142" spans="1:2" x14ac:dyDescent="0.25">
      <c r="A4142" s="167"/>
      <c r="B4142" s="167"/>
    </row>
    <row r="4143" spans="1:2" x14ac:dyDescent="0.25">
      <c r="A4143" s="167"/>
      <c r="B4143" s="167"/>
    </row>
    <row r="4144" spans="1:2" x14ac:dyDescent="0.25">
      <c r="A4144" s="167"/>
      <c r="B4144" s="167"/>
    </row>
    <row r="4145" spans="1:2" x14ac:dyDescent="0.25">
      <c r="A4145" s="167"/>
      <c r="B4145" s="167"/>
    </row>
    <row r="4146" spans="1:2" x14ac:dyDescent="0.25">
      <c r="A4146" s="167"/>
      <c r="B4146" s="167"/>
    </row>
    <row r="4147" spans="1:2" x14ac:dyDescent="0.25">
      <c r="A4147" s="167"/>
      <c r="B4147" s="167"/>
    </row>
    <row r="4148" spans="1:2" x14ac:dyDescent="0.25">
      <c r="A4148" s="167"/>
      <c r="B4148" s="167"/>
    </row>
    <row r="4149" spans="1:2" x14ac:dyDescent="0.25">
      <c r="A4149" s="167"/>
      <c r="B4149" s="167"/>
    </row>
    <row r="4150" spans="1:2" x14ac:dyDescent="0.25">
      <c r="A4150" s="167"/>
      <c r="B4150" s="167"/>
    </row>
    <row r="4151" spans="1:2" x14ac:dyDescent="0.25">
      <c r="A4151" s="167"/>
      <c r="B4151" s="167"/>
    </row>
    <row r="4152" spans="1:2" x14ac:dyDescent="0.25">
      <c r="A4152" s="167"/>
      <c r="B4152" s="167"/>
    </row>
    <row r="4153" spans="1:2" x14ac:dyDescent="0.25">
      <c r="A4153" s="167"/>
      <c r="B4153" s="167"/>
    </row>
    <row r="4154" spans="1:2" x14ac:dyDescent="0.25">
      <c r="A4154" s="167"/>
      <c r="B4154" s="167"/>
    </row>
    <row r="4155" spans="1:2" x14ac:dyDescent="0.25">
      <c r="A4155" s="167"/>
      <c r="B4155" s="167"/>
    </row>
    <row r="4156" spans="1:2" x14ac:dyDescent="0.25">
      <c r="A4156" s="167"/>
      <c r="B4156" s="167"/>
    </row>
    <row r="4157" spans="1:2" x14ac:dyDescent="0.25">
      <c r="A4157" s="167"/>
      <c r="B4157" s="167"/>
    </row>
    <row r="4158" spans="1:2" x14ac:dyDescent="0.25">
      <c r="A4158" s="167"/>
      <c r="B4158" s="167"/>
    </row>
    <row r="4159" spans="1:2" x14ac:dyDescent="0.25">
      <c r="A4159" s="167"/>
      <c r="B4159" s="167"/>
    </row>
    <row r="4160" spans="1:2" x14ac:dyDescent="0.25">
      <c r="A4160" s="167"/>
      <c r="B4160" s="167"/>
    </row>
    <row r="4161" spans="1:2" x14ac:dyDescent="0.25">
      <c r="A4161" s="167"/>
      <c r="B4161" s="167"/>
    </row>
    <row r="4162" spans="1:2" x14ac:dyDescent="0.25">
      <c r="A4162" s="167"/>
      <c r="B4162" s="167"/>
    </row>
    <row r="4163" spans="1:2" x14ac:dyDescent="0.25">
      <c r="A4163" s="167"/>
      <c r="B4163" s="167"/>
    </row>
    <row r="4164" spans="1:2" x14ac:dyDescent="0.25">
      <c r="A4164" s="167"/>
      <c r="B4164" s="167"/>
    </row>
    <row r="4165" spans="1:2" x14ac:dyDescent="0.25">
      <c r="A4165" s="167"/>
      <c r="B4165" s="167"/>
    </row>
    <row r="4166" spans="1:2" x14ac:dyDescent="0.25">
      <c r="A4166" s="167"/>
      <c r="B4166" s="167"/>
    </row>
    <row r="4167" spans="1:2" x14ac:dyDescent="0.25">
      <c r="A4167" s="167"/>
      <c r="B4167" s="167"/>
    </row>
    <row r="4168" spans="1:2" x14ac:dyDescent="0.25">
      <c r="A4168" s="167"/>
      <c r="B4168" s="167"/>
    </row>
    <row r="4169" spans="1:2" x14ac:dyDescent="0.25">
      <c r="A4169" s="167"/>
      <c r="B4169" s="167"/>
    </row>
    <row r="4170" spans="1:2" x14ac:dyDescent="0.25">
      <c r="A4170" s="167"/>
      <c r="B4170" s="167"/>
    </row>
    <row r="4171" spans="1:2" x14ac:dyDescent="0.25">
      <c r="A4171" s="167"/>
      <c r="B4171" s="167"/>
    </row>
    <row r="4172" spans="1:2" x14ac:dyDescent="0.25">
      <c r="A4172" s="167"/>
      <c r="B4172" s="167"/>
    </row>
    <row r="4173" spans="1:2" x14ac:dyDescent="0.25">
      <c r="A4173" s="167"/>
      <c r="B4173" s="167"/>
    </row>
    <row r="4174" spans="1:2" x14ac:dyDescent="0.25">
      <c r="A4174" s="167"/>
      <c r="B4174" s="167"/>
    </row>
    <row r="4175" spans="1:2" x14ac:dyDescent="0.25">
      <c r="A4175" s="167"/>
      <c r="B4175" s="167"/>
    </row>
    <row r="4176" spans="1:2" x14ac:dyDescent="0.25">
      <c r="A4176" s="167"/>
      <c r="B4176" s="167"/>
    </row>
    <row r="4177" spans="1:2" x14ac:dyDescent="0.25">
      <c r="A4177" s="167"/>
      <c r="B4177" s="167"/>
    </row>
    <row r="4178" spans="1:2" x14ac:dyDescent="0.25">
      <c r="A4178" s="167"/>
      <c r="B4178" s="167"/>
    </row>
    <row r="4179" spans="1:2" x14ac:dyDescent="0.25">
      <c r="A4179" s="167"/>
      <c r="B4179" s="167"/>
    </row>
    <row r="4180" spans="1:2" x14ac:dyDescent="0.25">
      <c r="A4180" s="167"/>
      <c r="B4180" s="167"/>
    </row>
    <row r="4181" spans="1:2" x14ac:dyDescent="0.25">
      <c r="A4181" s="167"/>
      <c r="B4181" s="167"/>
    </row>
    <row r="4182" spans="1:2" x14ac:dyDescent="0.25">
      <c r="A4182" s="167"/>
      <c r="B4182" s="167"/>
    </row>
    <row r="4183" spans="1:2" x14ac:dyDescent="0.25">
      <c r="A4183" s="167"/>
      <c r="B4183" s="167"/>
    </row>
    <row r="4184" spans="1:2" x14ac:dyDescent="0.25">
      <c r="A4184" s="167"/>
      <c r="B4184" s="167"/>
    </row>
    <row r="4185" spans="1:2" x14ac:dyDescent="0.25">
      <c r="A4185" s="167"/>
      <c r="B4185" s="167"/>
    </row>
    <row r="4186" spans="1:2" x14ac:dyDescent="0.25">
      <c r="A4186" s="167"/>
      <c r="B4186" s="167"/>
    </row>
    <row r="4187" spans="1:2" x14ac:dyDescent="0.25">
      <c r="A4187" s="167"/>
      <c r="B4187" s="167"/>
    </row>
    <row r="4188" spans="1:2" x14ac:dyDescent="0.25">
      <c r="A4188" s="167"/>
      <c r="B4188" s="167"/>
    </row>
    <row r="4189" spans="1:2" x14ac:dyDescent="0.25">
      <c r="A4189" s="167"/>
      <c r="B4189" s="167"/>
    </row>
    <row r="4190" spans="1:2" x14ac:dyDescent="0.25">
      <c r="A4190" s="167"/>
      <c r="B4190" s="167"/>
    </row>
    <row r="4191" spans="1:2" x14ac:dyDescent="0.25">
      <c r="A4191" s="167"/>
      <c r="B4191" s="167"/>
    </row>
    <row r="4192" spans="1:2" x14ac:dyDescent="0.25">
      <c r="A4192" s="167"/>
      <c r="B4192" s="167"/>
    </row>
    <row r="4193" spans="1:2" x14ac:dyDescent="0.25">
      <c r="A4193" s="167"/>
      <c r="B4193" s="167"/>
    </row>
    <row r="4194" spans="1:2" x14ac:dyDescent="0.25">
      <c r="A4194" s="167"/>
      <c r="B4194" s="167"/>
    </row>
    <row r="4195" spans="1:2" x14ac:dyDescent="0.25">
      <c r="A4195" s="167"/>
      <c r="B4195" s="167"/>
    </row>
    <row r="4196" spans="1:2" x14ac:dyDescent="0.25">
      <c r="A4196" s="167"/>
      <c r="B4196" s="167"/>
    </row>
    <row r="4197" spans="1:2" x14ac:dyDescent="0.25">
      <c r="A4197" s="167"/>
      <c r="B4197" s="167"/>
    </row>
    <row r="4198" spans="1:2" x14ac:dyDescent="0.25">
      <c r="A4198" s="167"/>
      <c r="B4198" s="167"/>
    </row>
    <row r="4199" spans="1:2" x14ac:dyDescent="0.25">
      <c r="A4199" s="167"/>
      <c r="B4199" s="167"/>
    </row>
    <row r="4200" spans="1:2" x14ac:dyDescent="0.25">
      <c r="A4200" s="167"/>
      <c r="B4200" s="167"/>
    </row>
    <row r="4201" spans="1:2" x14ac:dyDescent="0.25">
      <c r="A4201" s="167"/>
      <c r="B4201" s="167"/>
    </row>
    <row r="4202" spans="1:2" x14ac:dyDescent="0.25">
      <c r="A4202" s="167"/>
      <c r="B4202" s="167"/>
    </row>
    <row r="4203" spans="1:2" x14ac:dyDescent="0.25">
      <c r="A4203" s="167"/>
      <c r="B4203" s="167"/>
    </row>
    <row r="4204" spans="1:2" x14ac:dyDescent="0.25">
      <c r="A4204" s="167"/>
      <c r="B4204" s="167"/>
    </row>
    <row r="4205" spans="1:2" x14ac:dyDescent="0.25">
      <c r="A4205" s="167"/>
      <c r="B4205" s="167"/>
    </row>
    <row r="4206" spans="1:2" x14ac:dyDescent="0.25">
      <c r="A4206" s="167"/>
      <c r="B4206" s="167"/>
    </row>
    <row r="4207" spans="1:2" x14ac:dyDescent="0.25">
      <c r="A4207" s="167"/>
      <c r="B4207" s="167"/>
    </row>
    <row r="4208" spans="1:2" x14ac:dyDescent="0.25">
      <c r="A4208" s="167"/>
      <c r="B4208" s="167"/>
    </row>
    <row r="4209" spans="1:2" x14ac:dyDescent="0.25">
      <c r="A4209" s="167"/>
      <c r="B4209" s="167"/>
    </row>
    <row r="4210" spans="1:2" x14ac:dyDescent="0.25">
      <c r="A4210" s="167"/>
      <c r="B4210" s="167"/>
    </row>
    <row r="4211" spans="1:2" x14ac:dyDescent="0.25">
      <c r="A4211" s="167"/>
      <c r="B4211" s="167"/>
    </row>
    <row r="4212" spans="1:2" x14ac:dyDescent="0.25">
      <c r="A4212" s="167"/>
      <c r="B4212" s="167"/>
    </row>
    <row r="4213" spans="1:2" x14ac:dyDescent="0.25">
      <c r="A4213" s="167"/>
      <c r="B4213" s="167"/>
    </row>
    <row r="4214" spans="1:2" x14ac:dyDescent="0.25">
      <c r="A4214" s="167"/>
      <c r="B4214" s="167"/>
    </row>
    <row r="4215" spans="1:2" x14ac:dyDescent="0.25">
      <c r="A4215" s="167"/>
      <c r="B4215" s="167"/>
    </row>
    <row r="4216" spans="1:2" x14ac:dyDescent="0.25">
      <c r="A4216" s="167"/>
      <c r="B4216" s="167"/>
    </row>
    <row r="4217" spans="1:2" x14ac:dyDescent="0.25">
      <c r="A4217" s="167"/>
      <c r="B4217" s="167"/>
    </row>
    <row r="4218" spans="1:2" x14ac:dyDescent="0.25">
      <c r="A4218" s="167"/>
      <c r="B4218" s="167"/>
    </row>
    <row r="4219" spans="1:2" x14ac:dyDescent="0.25">
      <c r="A4219" s="167"/>
      <c r="B4219" s="167"/>
    </row>
    <row r="4220" spans="1:2" x14ac:dyDescent="0.25">
      <c r="A4220" s="167"/>
      <c r="B4220" s="167"/>
    </row>
    <row r="4221" spans="1:2" x14ac:dyDescent="0.25">
      <c r="A4221" s="167"/>
      <c r="B4221" s="167"/>
    </row>
    <row r="4222" spans="1:2" x14ac:dyDescent="0.25">
      <c r="A4222" s="167"/>
      <c r="B4222" s="167"/>
    </row>
    <row r="4223" spans="1:2" x14ac:dyDescent="0.25">
      <c r="A4223" s="167"/>
      <c r="B4223" s="167"/>
    </row>
    <row r="4224" spans="1:2" x14ac:dyDescent="0.25">
      <c r="A4224" s="167"/>
      <c r="B4224" s="167"/>
    </row>
    <row r="4225" spans="1:2" x14ac:dyDescent="0.25">
      <c r="A4225" s="167"/>
      <c r="B4225" s="167"/>
    </row>
    <row r="4226" spans="1:2" x14ac:dyDescent="0.25">
      <c r="A4226" s="167"/>
      <c r="B4226" s="167"/>
    </row>
    <row r="4227" spans="1:2" x14ac:dyDescent="0.25">
      <c r="A4227" s="167"/>
      <c r="B4227" s="167"/>
    </row>
    <row r="4228" spans="1:2" x14ac:dyDescent="0.25">
      <c r="A4228" s="167"/>
      <c r="B4228" s="167"/>
    </row>
    <row r="4229" spans="1:2" x14ac:dyDescent="0.25">
      <c r="A4229" s="167"/>
      <c r="B4229" s="167"/>
    </row>
    <row r="4230" spans="1:2" x14ac:dyDescent="0.25">
      <c r="A4230" s="167"/>
      <c r="B4230" s="167"/>
    </row>
    <row r="4231" spans="1:2" x14ac:dyDescent="0.25">
      <c r="A4231" s="167"/>
      <c r="B4231" s="167"/>
    </row>
    <row r="4232" spans="1:2" x14ac:dyDescent="0.25">
      <c r="A4232" s="167"/>
      <c r="B4232" s="167"/>
    </row>
    <row r="4233" spans="1:2" x14ac:dyDescent="0.25">
      <c r="A4233" s="167"/>
      <c r="B4233" s="167"/>
    </row>
    <row r="4234" spans="1:2" x14ac:dyDescent="0.25">
      <c r="A4234" s="167"/>
      <c r="B4234" s="167"/>
    </row>
    <row r="4235" spans="1:2" x14ac:dyDescent="0.25">
      <c r="A4235" s="167"/>
      <c r="B4235" s="167"/>
    </row>
    <row r="4236" spans="1:2" x14ac:dyDescent="0.25">
      <c r="A4236" s="167"/>
      <c r="B4236" s="167"/>
    </row>
    <row r="4237" spans="1:2" x14ac:dyDescent="0.25">
      <c r="A4237" s="167"/>
      <c r="B4237" s="167"/>
    </row>
    <row r="4238" spans="1:2" x14ac:dyDescent="0.25">
      <c r="A4238" s="167"/>
      <c r="B4238" s="167"/>
    </row>
    <row r="4239" spans="1:2" x14ac:dyDescent="0.25">
      <c r="A4239" s="167"/>
      <c r="B4239" s="167"/>
    </row>
    <row r="4240" spans="1:2" x14ac:dyDescent="0.25">
      <c r="A4240" s="167"/>
      <c r="B4240" s="167"/>
    </row>
    <row r="4241" spans="1:2" x14ac:dyDescent="0.25">
      <c r="A4241" s="167"/>
      <c r="B4241" s="167"/>
    </row>
    <row r="4242" spans="1:2" x14ac:dyDescent="0.25">
      <c r="A4242" s="167"/>
      <c r="B4242" s="167"/>
    </row>
    <row r="4243" spans="1:2" x14ac:dyDescent="0.25">
      <c r="A4243" s="167"/>
      <c r="B4243" s="167"/>
    </row>
    <row r="4244" spans="1:2" x14ac:dyDescent="0.25">
      <c r="A4244" s="167"/>
      <c r="B4244" s="167"/>
    </row>
    <row r="4245" spans="1:2" x14ac:dyDescent="0.25">
      <c r="A4245" s="167"/>
      <c r="B4245" s="167"/>
    </row>
    <row r="4246" spans="1:2" x14ac:dyDescent="0.25">
      <c r="A4246" s="167"/>
      <c r="B4246" s="167"/>
    </row>
    <row r="4247" spans="1:2" x14ac:dyDescent="0.25">
      <c r="A4247" s="167"/>
      <c r="B4247" s="167"/>
    </row>
    <row r="4248" spans="1:2" x14ac:dyDescent="0.25">
      <c r="A4248" s="167"/>
      <c r="B4248" s="167"/>
    </row>
    <row r="4249" spans="1:2" x14ac:dyDescent="0.25">
      <c r="A4249" s="167"/>
      <c r="B4249" s="167"/>
    </row>
    <row r="4250" spans="1:2" x14ac:dyDescent="0.25">
      <c r="A4250" s="167"/>
      <c r="B4250" s="167"/>
    </row>
    <row r="4251" spans="1:2" x14ac:dyDescent="0.25">
      <c r="A4251" s="167"/>
      <c r="B4251" s="167"/>
    </row>
    <row r="4252" spans="1:2" x14ac:dyDescent="0.25">
      <c r="A4252" s="167"/>
      <c r="B4252" s="167"/>
    </row>
    <row r="4253" spans="1:2" x14ac:dyDescent="0.25">
      <c r="A4253" s="167"/>
      <c r="B4253" s="167"/>
    </row>
    <row r="4254" spans="1:2" x14ac:dyDescent="0.25">
      <c r="A4254" s="167"/>
      <c r="B4254" s="167"/>
    </row>
    <row r="4255" spans="1:2" x14ac:dyDescent="0.25">
      <c r="A4255" s="167"/>
      <c r="B4255" s="167"/>
    </row>
    <row r="4256" spans="1:2" x14ac:dyDescent="0.25">
      <c r="A4256" s="167"/>
      <c r="B4256" s="167"/>
    </row>
    <row r="4257" spans="1:2" x14ac:dyDescent="0.25">
      <c r="A4257" s="167"/>
      <c r="B4257" s="167"/>
    </row>
    <row r="4258" spans="1:2" x14ac:dyDescent="0.25">
      <c r="A4258" s="167"/>
      <c r="B4258" s="167"/>
    </row>
    <row r="4259" spans="1:2" x14ac:dyDescent="0.25">
      <c r="A4259" s="167"/>
      <c r="B4259" s="167"/>
    </row>
    <row r="4260" spans="1:2" x14ac:dyDescent="0.25">
      <c r="A4260" s="167"/>
      <c r="B4260" s="167"/>
    </row>
    <row r="4261" spans="1:2" x14ac:dyDescent="0.25">
      <c r="A4261" s="167"/>
      <c r="B4261" s="167"/>
    </row>
    <row r="4262" spans="1:2" x14ac:dyDescent="0.25">
      <c r="A4262" s="167"/>
      <c r="B4262" s="167"/>
    </row>
    <row r="4263" spans="1:2" x14ac:dyDescent="0.25">
      <c r="A4263" s="167"/>
      <c r="B4263" s="167"/>
    </row>
    <row r="4264" spans="1:2" x14ac:dyDescent="0.25">
      <c r="A4264" s="167"/>
      <c r="B4264" s="167"/>
    </row>
    <row r="4265" spans="1:2" x14ac:dyDescent="0.25">
      <c r="A4265" s="167"/>
      <c r="B4265" s="167"/>
    </row>
    <row r="4266" spans="1:2" x14ac:dyDescent="0.25">
      <c r="A4266" s="167"/>
      <c r="B4266" s="167"/>
    </row>
    <row r="4267" spans="1:2" x14ac:dyDescent="0.25">
      <c r="A4267" s="167"/>
      <c r="B4267" s="167"/>
    </row>
    <row r="4268" spans="1:2" x14ac:dyDescent="0.25">
      <c r="A4268" s="167"/>
      <c r="B4268" s="167"/>
    </row>
    <row r="4269" spans="1:2" x14ac:dyDescent="0.25">
      <c r="A4269" s="167"/>
      <c r="B4269" s="167"/>
    </row>
    <row r="4270" spans="1:2" x14ac:dyDescent="0.25">
      <c r="A4270" s="167"/>
      <c r="B4270" s="167"/>
    </row>
    <row r="4271" spans="1:2" x14ac:dyDescent="0.25">
      <c r="A4271" s="167"/>
      <c r="B4271" s="167"/>
    </row>
    <row r="4272" spans="1:2" x14ac:dyDescent="0.25">
      <c r="A4272" s="167"/>
      <c r="B4272" s="167"/>
    </row>
    <row r="4273" spans="1:2" x14ac:dyDescent="0.25">
      <c r="A4273" s="167"/>
      <c r="B4273" s="167"/>
    </row>
    <row r="4274" spans="1:2" x14ac:dyDescent="0.25">
      <c r="A4274" s="167"/>
      <c r="B4274" s="167"/>
    </row>
    <row r="4275" spans="1:2" x14ac:dyDescent="0.25">
      <c r="A4275" s="167"/>
      <c r="B4275" s="167"/>
    </row>
    <row r="4276" spans="1:2" x14ac:dyDescent="0.25">
      <c r="A4276" s="167"/>
      <c r="B4276" s="167"/>
    </row>
    <row r="4277" spans="1:2" x14ac:dyDescent="0.25">
      <c r="A4277" s="167"/>
      <c r="B4277" s="167"/>
    </row>
    <row r="4278" spans="1:2" x14ac:dyDescent="0.25">
      <c r="A4278" s="167"/>
      <c r="B4278" s="167"/>
    </row>
    <row r="4279" spans="1:2" x14ac:dyDescent="0.25">
      <c r="A4279" s="167"/>
      <c r="B4279" s="167"/>
    </row>
    <row r="4280" spans="1:2" x14ac:dyDescent="0.25">
      <c r="A4280" s="167"/>
      <c r="B4280" s="167"/>
    </row>
    <row r="4281" spans="1:2" x14ac:dyDescent="0.25">
      <c r="A4281" s="167"/>
      <c r="B4281" s="167"/>
    </row>
    <row r="4282" spans="1:2" x14ac:dyDescent="0.25">
      <c r="A4282" s="167"/>
      <c r="B4282" s="167"/>
    </row>
    <row r="4283" spans="1:2" x14ac:dyDescent="0.25">
      <c r="A4283" s="167"/>
      <c r="B4283" s="167"/>
    </row>
    <row r="4284" spans="1:2" x14ac:dyDescent="0.25">
      <c r="A4284" s="167"/>
      <c r="B4284" s="167"/>
    </row>
    <row r="4285" spans="1:2" x14ac:dyDescent="0.25">
      <c r="A4285" s="167"/>
      <c r="B4285" s="167"/>
    </row>
    <row r="4286" spans="1:2" x14ac:dyDescent="0.25">
      <c r="A4286" s="167"/>
      <c r="B4286" s="167"/>
    </row>
    <row r="4287" spans="1:2" x14ac:dyDescent="0.25">
      <c r="A4287" s="167"/>
      <c r="B4287" s="167"/>
    </row>
    <row r="4288" spans="1:2" x14ac:dyDescent="0.25">
      <c r="A4288" s="167"/>
      <c r="B4288" s="167"/>
    </row>
    <row r="4289" spans="1:2" x14ac:dyDescent="0.25">
      <c r="A4289" s="167"/>
      <c r="B4289" s="167"/>
    </row>
    <row r="4290" spans="1:2" x14ac:dyDescent="0.25">
      <c r="A4290" s="167"/>
      <c r="B4290" s="167"/>
    </row>
    <row r="4291" spans="1:2" x14ac:dyDescent="0.25">
      <c r="A4291" s="167"/>
      <c r="B4291" s="167"/>
    </row>
    <row r="4292" spans="1:2" x14ac:dyDescent="0.25">
      <c r="A4292" s="167"/>
      <c r="B4292" s="167"/>
    </row>
    <row r="4293" spans="1:2" x14ac:dyDescent="0.25">
      <c r="A4293" s="167"/>
      <c r="B4293" s="167"/>
    </row>
    <row r="4294" spans="1:2" x14ac:dyDescent="0.25">
      <c r="A4294" s="167"/>
      <c r="B4294" s="167"/>
    </row>
    <row r="4295" spans="1:2" x14ac:dyDescent="0.25">
      <c r="A4295" s="167"/>
      <c r="B4295" s="167"/>
    </row>
    <row r="4296" spans="1:2" x14ac:dyDescent="0.25">
      <c r="A4296" s="167"/>
      <c r="B4296" s="167"/>
    </row>
    <row r="4297" spans="1:2" x14ac:dyDescent="0.25">
      <c r="A4297" s="167"/>
      <c r="B4297" s="167"/>
    </row>
    <row r="4298" spans="1:2" x14ac:dyDescent="0.25">
      <c r="A4298" s="167"/>
      <c r="B4298" s="167"/>
    </row>
    <row r="4299" spans="1:2" x14ac:dyDescent="0.25">
      <c r="A4299" s="167"/>
      <c r="B4299" s="167"/>
    </row>
    <row r="4300" spans="1:2" x14ac:dyDescent="0.25">
      <c r="A4300" s="167"/>
      <c r="B4300" s="167"/>
    </row>
    <row r="4301" spans="1:2" x14ac:dyDescent="0.25">
      <c r="A4301" s="167"/>
      <c r="B4301" s="167"/>
    </row>
    <row r="4302" spans="1:2" x14ac:dyDescent="0.25">
      <c r="A4302" s="167"/>
      <c r="B4302" s="167"/>
    </row>
    <row r="4303" spans="1:2" x14ac:dyDescent="0.25">
      <c r="A4303" s="167"/>
      <c r="B4303" s="167"/>
    </row>
    <row r="4304" spans="1:2" x14ac:dyDescent="0.25">
      <c r="A4304" s="167"/>
      <c r="B4304" s="167"/>
    </row>
    <row r="4305" spans="1:2" x14ac:dyDescent="0.25">
      <c r="A4305" s="167"/>
      <c r="B4305" s="167"/>
    </row>
    <row r="4306" spans="1:2" x14ac:dyDescent="0.25">
      <c r="A4306" s="167"/>
      <c r="B4306" s="167"/>
    </row>
    <row r="4307" spans="1:2" x14ac:dyDescent="0.25">
      <c r="A4307" s="167"/>
      <c r="B4307" s="167"/>
    </row>
    <row r="4308" spans="1:2" x14ac:dyDescent="0.25">
      <c r="A4308" s="167"/>
      <c r="B4308" s="167"/>
    </row>
    <row r="4309" spans="1:2" x14ac:dyDescent="0.25">
      <c r="A4309" s="167"/>
      <c r="B4309" s="167"/>
    </row>
    <row r="4310" spans="1:2" x14ac:dyDescent="0.25">
      <c r="A4310" s="167"/>
      <c r="B4310" s="167"/>
    </row>
    <row r="4311" spans="1:2" x14ac:dyDescent="0.25">
      <c r="A4311" s="167"/>
      <c r="B4311" s="167"/>
    </row>
    <row r="4312" spans="1:2" x14ac:dyDescent="0.25">
      <c r="A4312" s="167"/>
      <c r="B4312" s="167"/>
    </row>
    <row r="4313" spans="1:2" x14ac:dyDescent="0.25">
      <c r="A4313" s="167"/>
      <c r="B4313" s="167"/>
    </row>
    <row r="4314" spans="1:2" x14ac:dyDescent="0.25">
      <c r="A4314" s="167"/>
      <c r="B4314" s="167"/>
    </row>
    <row r="4315" spans="1:2" x14ac:dyDescent="0.25">
      <c r="A4315" s="167"/>
      <c r="B4315" s="167"/>
    </row>
    <row r="4316" spans="1:2" x14ac:dyDescent="0.25">
      <c r="A4316" s="167"/>
      <c r="B4316" s="167"/>
    </row>
    <row r="4317" spans="1:2" x14ac:dyDescent="0.25">
      <c r="A4317" s="167"/>
      <c r="B4317" s="167"/>
    </row>
    <row r="4318" spans="1:2" x14ac:dyDescent="0.25">
      <c r="A4318" s="167"/>
      <c r="B4318" s="167"/>
    </row>
    <row r="4319" spans="1:2" x14ac:dyDescent="0.25">
      <c r="A4319" s="167"/>
      <c r="B4319" s="167"/>
    </row>
    <row r="4320" spans="1:2" x14ac:dyDescent="0.25">
      <c r="A4320" s="167"/>
      <c r="B4320" s="167"/>
    </row>
    <row r="4321" spans="1:2" x14ac:dyDescent="0.25">
      <c r="A4321" s="167"/>
      <c r="B4321" s="167"/>
    </row>
    <row r="4322" spans="1:2" x14ac:dyDescent="0.25">
      <c r="A4322" s="167"/>
      <c r="B4322" s="167"/>
    </row>
    <row r="4323" spans="1:2" x14ac:dyDescent="0.25">
      <c r="A4323" s="167"/>
      <c r="B4323" s="167"/>
    </row>
    <row r="4324" spans="1:2" x14ac:dyDescent="0.25">
      <c r="A4324" s="167"/>
      <c r="B4324" s="167"/>
    </row>
    <row r="4325" spans="1:2" x14ac:dyDescent="0.25">
      <c r="A4325" s="167"/>
      <c r="B4325" s="167"/>
    </row>
    <row r="4326" spans="1:2" x14ac:dyDescent="0.25">
      <c r="A4326" s="167"/>
      <c r="B4326" s="167"/>
    </row>
    <row r="4327" spans="1:2" x14ac:dyDescent="0.25">
      <c r="A4327" s="167"/>
      <c r="B4327" s="167"/>
    </row>
    <row r="4328" spans="1:2" x14ac:dyDescent="0.25">
      <c r="A4328" s="167"/>
      <c r="B4328" s="167"/>
    </row>
    <row r="4329" spans="1:2" x14ac:dyDescent="0.25">
      <c r="A4329" s="167"/>
      <c r="B4329" s="167"/>
    </row>
    <row r="4330" spans="1:2" x14ac:dyDescent="0.25">
      <c r="A4330" s="167"/>
      <c r="B4330" s="167"/>
    </row>
    <row r="4331" spans="1:2" x14ac:dyDescent="0.25">
      <c r="A4331" s="167"/>
      <c r="B4331" s="167"/>
    </row>
    <row r="4332" spans="1:2" x14ac:dyDescent="0.25">
      <c r="A4332" s="167"/>
      <c r="B4332" s="167"/>
    </row>
    <row r="4333" spans="1:2" x14ac:dyDescent="0.25">
      <c r="A4333" s="167"/>
      <c r="B4333" s="167"/>
    </row>
    <row r="4334" spans="1:2" x14ac:dyDescent="0.25">
      <c r="A4334" s="167"/>
      <c r="B4334" s="167"/>
    </row>
    <row r="4335" spans="1:2" x14ac:dyDescent="0.25">
      <c r="A4335" s="167"/>
      <c r="B4335" s="167"/>
    </row>
    <row r="4336" spans="1:2" x14ac:dyDescent="0.25">
      <c r="A4336" s="167"/>
      <c r="B4336" s="167"/>
    </row>
    <row r="4337" spans="1:2" x14ac:dyDescent="0.25">
      <c r="A4337" s="167"/>
      <c r="B4337" s="167"/>
    </row>
    <row r="4338" spans="1:2" x14ac:dyDescent="0.25">
      <c r="A4338" s="167"/>
      <c r="B4338" s="167"/>
    </row>
    <row r="4339" spans="1:2" x14ac:dyDescent="0.25">
      <c r="A4339" s="167"/>
      <c r="B4339" s="167"/>
    </row>
    <row r="4340" spans="1:2" x14ac:dyDescent="0.25">
      <c r="A4340" s="167"/>
      <c r="B4340" s="167"/>
    </row>
    <row r="4341" spans="1:2" x14ac:dyDescent="0.25">
      <c r="A4341" s="167"/>
      <c r="B4341" s="167"/>
    </row>
    <row r="4342" spans="1:2" x14ac:dyDescent="0.25">
      <c r="A4342" s="167"/>
      <c r="B4342" s="167"/>
    </row>
    <row r="4343" spans="1:2" x14ac:dyDescent="0.25">
      <c r="A4343" s="167"/>
      <c r="B4343" s="167"/>
    </row>
    <row r="4344" spans="1:2" x14ac:dyDescent="0.25">
      <c r="A4344" s="167"/>
      <c r="B4344" s="167"/>
    </row>
    <row r="4345" spans="1:2" x14ac:dyDescent="0.25">
      <c r="A4345" s="167"/>
      <c r="B4345" s="167"/>
    </row>
    <row r="4346" spans="1:2" x14ac:dyDescent="0.25">
      <c r="A4346" s="167"/>
      <c r="B4346" s="167"/>
    </row>
    <row r="4347" spans="1:2" x14ac:dyDescent="0.25">
      <c r="A4347" s="167"/>
      <c r="B4347" s="167"/>
    </row>
    <row r="4348" spans="1:2" x14ac:dyDescent="0.25">
      <c r="A4348" s="167"/>
      <c r="B4348" s="167"/>
    </row>
    <row r="4349" spans="1:2" x14ac:dyDescent="0.25">
      <c r="A4349" s="167"/>
      <c r="B4349" s="167"/>
    </row>
    <row r="4350" spans="1:2" x14ac:dyDescent="0.25">
      <c r="A4350" s="167"/>
      <c r="B4350" s="167"/>
    </row>
    <row r="4351" spans="1:2" x14ac:dyDescent="0.25">
      <c r="A4351" s="167"/>
      <c r="B4351" s="167"/>
    </row>
    <row r="4352" spans="1:2" x14ac:dyDescent="0.25">
      <c r="A4352" s="167"/>
      <c r="B4352" s="167"/>
    </row>
    <row r="4353" spans="1:2" x14ac:dyDescent="0.25">
      <c r="A4353" s="167"/>
      <c r="B4353" s="167"/>
    </row>
    <row r="4354" spans="1:2" x14ac:dyDescent="0.25">
      <c r="A4354" s="167"/>
      <c r="B4354" s="167"/>
    </row>
    <row r="4355" spans="1:2" x14ac:dyDescent="0.25">
      <c r="A4355" s="167"/>
      <c r="B4355" s="167"/>
    </row>
    <row r="4356" spans="1:2" x14ac:dyDescent="0.25">
      <c r="A4356" s="167"/>
      <c r="B4356" s="167"/>
    </row>
    <row r="4357" spans="1:2" x14ac:dyDescent="0.25">
      <c r="A4357" s="167"/>
      <c r="B4357" s="167"/>
    </row>
    <row r="4358" spans="1:2" x14ac:dyDescent="0.25">
      <c r="A4358" s="167"/>
      <c r="B4358" s="167"/>
    </row>
    <row r="4359" spans="1:2" x14ac:dyDescent="0.25">
      <c r="A4359" s="167"/>
      <c r="B4359" s="167"/>
    </row>
    <row r="4360" spans="1:2" x14ac:dyDescent="0.25">
      <c r="A4360" s="167"/>
      <c r="B4360" s="167"/>
    </row>
    <row r="4361" spans="1:2" x14ac:dyDescent="0.25">
      <c r="A4361" s="167"/>
      <c r="B4361" s="167"/>
    </row>
    <row r="4362" spans="1:2" x14ac:dyDescent="0.25">
      <c r="A4362" s="167"/>
      <c r="B4362" s="167"/>
    </row>
    <row r="4363" spans="1:2" x14ac:dyDescent="0.25">
      <c r="A4363" s="167"/>
      <c r="B4363" s="167"/>
    </row>
    <row r="4364" spans="1:2" x14ac:dyDescent="0.25">
      <c r="A4364" s="167"/>
      <c r="B4364" s="167"/>
    </row>
    <row r="4365" spans="1:2" x14ac:dyDescent="0.25">
      <c r="A4365" s="167"/>
      <c r="B4365" s="167"/>
    </row>
    <row r="4366" spans="1:2" x14ac:dyDescent="0.25">
      <c r="A4366" s="167"/>
      <c r="B4366" s="167"/>
    </row>
    <row r="4367" spans="1:2" x14ac:dyDescent="0.25">
      <c r="A4367" s="167"/>
      <c r="B4367" s="167"/>
    </row>
    <row r="4368" spans="1:2" x14ac:dyDescent="0.25">
      <c r="A4368" s="167"/>
      <c r="B4368" s="167"/>
    </row>
    <row r="4369" spans="1:2" x14ac:dyDescent="0.25">
      <c r="A4369" s="167"/>
      <c r="B4369" s="167"/>
    </row>
    <row r="4370" spans="1:2" x14ac:dyDescent="0.25">
      <c r="A4370" s="167"/>
      <c r="B4370" s="167"/>
    </row>
    <row r="4371" spans="1:2" x14ac:dyDescent="0.25">
      <c r="A4371" s="167"/>
      <c r="B4371" s="167"/>
    </row>
    <row r="4372" spans="1:2" x14ac:dyDescent="0.25">
      <c r="A4372" s="167"/>
      <c r="B4372" s="167"/>
    </row>
    <row r="4373" spans="1:2" x14ac:dyDescent="0.25">
      <c r="A4373" s="167"/>
      <c r="B4373" s="167"/>
    </row>
    <row r="4374" spans="1:2" x14ac:dyDescent="0.25">
      <c r="A4374" s="167"/>
      <c r="B4374" s="167"/>
    </row>
    <row r="4375" spans="1:2" x14ac:dyDescent="0.25">
      <c r="A4375" s="167"/>
      <c r="B4375" s="167"/>
    </row>
    <row r="4376" spans="1:2" x14ac:dyDescent="0.25">
      <c r="A4376" s="167"/>
      <c r="B4376" s="167"/>
    </row>
    <row r="4377" spans="1:2" x14ac:dyDescent="0.25">
      <c r="A4377" s="167"/>
      <c r="B4377" s="167"/>
    </row>
    <row r="4378" spans="1:2" x14ac:dyDescent="0.25">
      <c r="A4378" s="167"/>
      <c r="B4378" s="167"/>
    </row>
    <row r="4379" spans="1:2" x14ac:dyDescent="0.25">
      <c r="A4379" s="167"/>
      <c r="B4379" s="167"/>
    </row>
    <row r="4380" spans="1:2" x14ac:dyDescent="0.25">
      <c r="A4380" s="167"/>
      <c r="B4380" s="167"/>
    </row>
    <row r="4381" spans="1:2" x14ac:dyDescent="0.25">
      <c r="A4381" s="167"/>
      <c r="B4381" s="167"/>
    </row>
    <row r="4382" spans="1:2" x14ac:dyDescent="0.25">
      <c r="A4382" s="167"/>
      <c r="B4382" s="167"/>
    </row>
    <row r="4383" spans="1:2" x14ac:dyDescent="0.25">
      <c r="A4383" s="167"/>
      <c r="B4383" s="167"/>
    </row>
    <row r="4384" spans="1:2" x14ac:dyDescent="0.25">
      <c r="A4384" s="167"/>
      <c r="B4384" s="167"/>
    </row>
    <row r="4385" spans="1:2" x14ac:dyDescent="0.25">
      <c r="A4385" s="167"/>
      <c r="B4385" s="167"/>
    </row>
    <row r="4386" spans="1:2" x14ac:dyDescent="0.25">
      <c r="A4386" s="167"/>
      <c r="B4386" s="167"/>
    </row>
    <row r="4387" spans="1:2" x14ac:dyDescent="0.25">
      <c r="A4387" s="167"/>
      <c r="B4387" s="167"/>
    </row>
    <row r="4388" spans="1:2" x14ac:dyDescent="0.25">
      <c r="A4388" s="167"/>
      <c r="B4388" s="167"/>
    </row>
    <row r="4389" spans="1:2" x14ac:dyDescent="0.25">
      <c r="A4389" s="167"/>
      <c r="B4389" s="167"/>
    </row>
    <row r="4390" spans="1:2" x14ac:dyDescent="0.25">
      <c r="A4390" s="167"/>
      <c r="B4390" s="167"/>
    </row>
    <row r="4391" spans="1:2" x14ac:dyDescent="0.25">
      <c r="A4391" s="167"/>
      <c r="B4391" s="167"/>
    </row>
    <row r="4392" spans="1:2" x14ac:dyDescent="0.25">
      <c r="A4392" s="167"/>
      <c r="B4392" s="167"/>
    </row>
    <row r="4393" spans="1:2" x14ac:dyDescent="0.25">
      <c r="A4393" s="167"/>
      <c r="B4393" s="167"/>
    </row>
    <row r="4394" spans="1:2" x14ac:dyDescent="0.25">
      <c r="A4394" s="167"/>
      <c r="B4394" s="167"/>
    </row>
    <row r="4395" spans="1:2" x14ac:dyDescent="0.25">
      <c r="A4395" s="167"/>
      <c r="B4395" s="167"/>
    </row>
    <row r="4396" spans="1:2" x14ac:dyDescent="0.25">
      <c r="A4396" s="167"/>
      <c r="B4396" s="167"/>
    </row>
    <row r="4397" spans="1:2" x14ac:dyDescent="0.25">
      <c r="A4397" s="167"/>
      <c r="B4397" s="167"/>
    </row>
    <row r="4398" spans="1:2" x14ac:dyDescent="0.25">
      <c r="A4398" s="167"/>
      <c r="B4398" s="167"/>
    </row>
    <row r="4399" spans="1:2" x14ac:dyDescent="0.25">
      <c r="A4399" s="167"/>
      <c r="B4399" s="167"/>
    </row>
    <row r="4400" spans="1:2" x14ac:dyDescent="0.25">
      <c r="A4400" s="167"/>
      <c r="B4400" s="167"/>
    </row>
    <row r="4401" spans="1:2" x14ac:dyDescent="0.25">
      <c r="A4401" s="167"/>
      <c r="B4401" s="167"/>
    </row>
    <row r="4402" spans="1:2" x14ac:dyDescent="0.25">
      <c r="A4402" s="167"/>
      <c r="B4402" s="167"/>
    </row>
    <row r="4403" spans="1:2" x14ac:dyDescent="0.25">
      <c r="A4403" s="167"/>
      <c r="B4403" s="167"/>
    </row>
    <row r="4404" spans="1:2" x14ac:dyDescent="0.25">
      <c r="A4404" s="167"/>
      <c r="B4404" s="167"/>
    </row>
    <row r="4405" spans="1:2" x14ac:dyDescent="0.25">
      <c r="A4405" s="167"/>
      <c r="B4405" s="167"/>
    </row>
    <row r="4406" spans="1:2" x14ac:dyDescent="0.25">
      <c r="A4406" s="167"/>
      <c r="B4406" s="167"/>
    </row>
    <row r="4407" spans="1:2" x14ac:dyDescent="0.25">
      <c r="A4407" s="167"/>
      <c r="B4407" s="167"/>
    </row>
    <row r="4408" spans="1:2" x14ac:dyDescent="0.25">
      <c r="A4408" s="167"/>
      <c r="B4408" s="167"/>
    </row>
    <row r="4409" spans="1:2" x14ac:dyDescent="0.25">
      <c r="A4409" s="167"/>
      <c r="B4409" s="167"/>
    </row>
    <row r="4410" spans="1:2" x14ac:dyDescent="0.25">
      <c r="A4410" s="167"/>
      <c r="B4410" s="167"/>
    </row>
    <row r="4411" spans="1:2" x14ac:dyDescent="0.25">
      <c r="A4411" s="167"/>
      <c r="B4411" s="167"/>
    </row>
    <row r="4412" spans="1:2" x14ac:dyDescent="0.25">
      <c r="A4412" s="167"/>
      <c r="B4412" s="167"/>
    </row>
    <row r="4413" spans="1:2" x14ac:dyDescent="0.25">
      <c r="A4413" s="167"/>
      <c r="B4413" s="167"/>
    </row>
    <row r="4414" spans="1:2" x14ac:dyDescent="0.25">
      <c r="A4414" s="167"/>
      <c r="B4414" s="167"/>
    </row>
    <row r="4415" spans="1:2" x14ac:dyDescent="0.25">
      <c r="A4415" s="167"/>
      <c r="B4415" s="167"/>
    </row>
    <row r="4416" spans="1:2" x14ac:dyDescent="0.25">
      <c r="A4416" s="167"/>
      <c r="B4416" s="167"/>
    </row>
    <row r="4417" spans="1:2" x14ac:dyDescent="0.25">
      <c r="A4417" s="167"/>
      <c r="B4417" s="167"/>
    </row>
    <row r="4418" spans="1:2" x14ac:dyDescent="0.25">
      <c r="A4418" s="167"/>
      <c r="B4418" s="167"/>
    </row>
    <row r="4419" spans="1:2" x14ac:dyDescent="0.25">
      <c r="A4419" s="167"/>
      <c r="B4419" s="167"/>
    </row>
    <row r="4420" spans="1:2" x14ac:dyDescent="0.25">
      <c r="A4420" s="167"/>
      <c r="B4420" s="167"/>
    </row>
    <row r="4421" spans="1:2" x14ac:dyDescent="0.25">
      <c r="A4421" s="167"/>
      <c r="B4421" s="167"/>
    </row>
    <row r="4422" spans="1:2" x14ac:dyDescent="0.25">
      <c r="A4422" s="167"/>
      <c r="B4422" s="167"/>
    </row>
    <row r="4423" spans="1:2" x14ac:dyDescent="0.25">
      <c r="A4423" s="167"/>
      <c r="B4423" s="167"/>
    </row>
    <row r="4424" spans="1:2" x14ac:dyDescent="0.25">
      <c r="A4424" s="167"/>
      <c r="B4424" s="167"/>
    </row>
    <row r="4425" spans="1:2" x14ac:dyDescent="0.25">
      <c r="A4425" s="167"/>
      <c r="B4425" s="167"/>
    </row>
    <row r="4426" spans="1:2" x14ac:dyDescent="0.25">
      <c r="A4426" s="167"/>
      <c r="B4426" s="167"/>
    </row>
    <row r="4427" spans="1:2" x14ac:dyDescent="0.25">
      <c r="A4427" s="167"/>
      <c r="B4427" s="167"/>
    </row>
    <row r="4428" spans="1:2" x14ac:dyDescent="0.25">
      <c r="A4428" s="167"/>
      <c r="B4428" s="167"/>
    </row>
    <row r="4429" spans="1:2" x14ac:dyDescent="0.25">
      <c r="A4429" s="167"/>
      <c r="B4429" s="167"/>
    </row>
    <row r="4430" spans="1:2" x14ac:dyDescent="0.25">
      <c r="A4430" s="167"/>
      <c r="B4430" s="167"/>
    </row>
    <row r="4431" spans="1:2" x14ac:dyDescent="0.25">
      <c r="A4431" s="167"/>
      <c r="B4431" s="167"/>
    </row>
    <row r="4432" spans="1:2" x14ac:dyDescent="0.25">
      <c r="A4432" s="167"/>
      <c r="B4432" s="167"/>
    </row>
    <row r="4433" spans="1:2" x14ac:dyDescent="0.25">
      <c r="A4433" s="167"/>
      <c r="B4433" s="167"/>
    </row>
    <row r="4434" spans="1:2" x14ac:dyDescent="0.25">
      <c r="A4434" s="167"/>
      <c r="B4434" s="167"/>
    </row>
    <row r="4435" spans="1:2" x14ac:dyDescent="0.25">
      <c r="A4435" s="167"/>
      <c r="B4435" s="167"/>
    </row>
    <row r="4436" spans="1:2" x14ac:dyDescent="0.25">
      <c r="A4436" s="167"/>
      <c r="B4436" s="167"/>
    </row>
    <row r="4437" spans="1:2" x14ac:dyDescent="0.25">
      <c r="A4437" s="167"/>
      <c r="B4437" s="167"/>
    </row>
    <row r="4438" spans="1:2" x14ac:dyDescent="0.25">
      <c r="A4438" s="167"/>
      <c r="B4438" s="167"/>
    </row>
    <row r="4439" spans="1:2" x14ac:dyDescent="0.25">
      <c r="A4439" s="167"/>
      <c r="B4439" s="167"/>
    </row>
    <row r="4440" spans="1:2" x14ac:dyDescent="0.25">
      <c r="A4440" s="167"/>
      <c r="B4440" s="167"/>
    </row>
    <row r="4441" spans="1:2" x14ac:dyDescent="0.25">
      <c r="A4441" s="167"/>
      <c r="B4441" s="167"/>
    </row>
    <row r="4442" spans="1:2" x14ac:dyDescent="0.25">
      <c r="A4442" s="167"/>
      <c r="B4442" s="167"/>
    </row>
    <row r="4443" spans="1:2" x14ac:dyDescent="0.25">
      <c r="A4443" s="167"/>
      <c r="B4443" s="167"/>
    </row>
    <row r="4444" spans="1:2" x14ac:dyDescent="0.25">
      <c r="A4444" s="167"/>
      <c r="B4444" s="167"/>
    </row>
    <row r="4445" spans="1:2" x14ac:dyDescent="0.25">
      <c r="A4445" s="167"/>
      <c r="B4445" s="167"/>
    </row>
    <row r="4446" spans="1:2" x14ac:dyDescent="0.25">
      <c r="A4446" s="167"/>
      <c r="B4446" s="167"/>
    </row>
    <row r="4447" spans="1:2" x14ac:dyDescent="0.25">
      <c r="A4447" s="167"/>
      <c r="B4447" s="167"/>
    </row>
    <row r="4448" spans="1:2" x14ac:dyDescent="0.25">
      <c r="A4448" s="167"/>
      <c r="B4448" s="167"/>
    </row>
    <row r="4449" spans="1:2" x14ac:dyDescent="0.25">
      <c r="A4449" s="167"/>
      <c r="B4449" s="167"/>
    </row>
    <row r="4450" spans="1:2" x14ac:dyDescent="0.25">
      <c r="A4450" s="167"/>
      <c r="B4450" s="167"/>
    </row>
    <row r="4451" spans="1:2" x14ac:dyDescent="0.25">
      <c r="A4451" s="167"/>
      <c r="B4451" s="167"/>
    </row>
    <row r="4452" spans="1:2" x14ac:dyDescent="0.25">
      <c r="A4452" s="167"/>
      <c r="B4452" s="167"/>
    </row>
    <row r="4453" spans="1:2" x14ac:dyDescent="0.25">
      <c r="A4453" s="167"/>
      <c r="B4453" s="167"/>
    </row>
    <row r="4454" spans="1:2" x14ac:dyDescent="0.25">
      <c r="A4454" s="167"/>
      <c r="B4454" s="167"/>
    </row>
    <row r="4455" spans="1:2" x14ac:dyDescent="0.25">
      <c r="A4455" s="167"/>
      <c r="B4455" s="167"/>
    </row>
    <row r="4456" spans="1:2" x14ac:dyDescent="0.25">
      <c r="A4456" s="167"/>
      <c r="B4456" s="167"/>
    </row>
    <row r="4457" spans="1:2" x14ac:dyDescent="0.25">
      <c r="A4457" s="167"/>
      <c r="B4457" s="167"/>
    </row>
    <row r="4458" spans="1:2" x14ac:dyDescent="0.25">
      <c r="A4458" s="167"/>
      <c r="B4458" s="167"/>
    </row>
    <row r="4459" spans="1:2" x14ac:dyDescent="0.25">
      <c r="A4459" s="167"/>
      <c r="B4459" s="167"/>
    </row>
    <row r="4460" spans="1:2" x14ac:dyDescent="0.25">
      <c r="A4460" s="167"/>
      <c r="B4460" s="167"/>
    </row>
    <row r="4461" spans="1:2" x14ac:dyDescent="0.25">
      <c r="A4461" s="167"/>
      <c r="B4461" s="167"/>
    </row>
    <row r="4462" spans="1:2" x14ac:dyDescent="0.25">
      <c r="A4462" s="167"/>
      <c r="B4462" s="167"/>
    </row>
    <row r="4463" spans="1:2" x14ac:dyDescent="0.25">
      <c r="A4463" s="167"/>
      <c r="B4463" s="167"/>
    </row>
    <row r="4464" spans="1:2" x14ac:dyDescent="0.25">
      <c r="A4464" s="167"/>
      <c r="B4464" s="167"/>
    </row>
    <row r="4465" spans="1:2" x14ac:dyDescent="0.25">
      <c r="A4465" s="167"/>
      <c r="B4465" s="167"/>
    </row>
    <row r="4466" spans="1:2" x14ac:dyDescent="0.25">
      <c r="A4466" s="167"/>
      <c r="B4466" s="167"/>
    </row>
    <row r="4467" spans="1:2" x14ac:dyDescent="0.25">
      <c r="A4467" s="167"/>
      <c r="B4467" s="167"/>
    </row>
    <row r="4468" spans="1:2" x14ac:dyDescent="0.25">
      <c r="A4468" s="167"/>
      <c r="B4468" s="167"/>
    </row>
    <row r="4469" spans="1:2" x14ac:dyDescent="0.25">
      <c r="A4469" s="167"/>
      <c r="B4469" s="167"/>
    </row>
    <row r="4470" spans="1:2" x14ac:dyDescent="0.25">
      <c r="A4470" s="167"/>
      <c r="B4470" s="167"/>
    </row>
    <row r="4471" spans="1:2" x14ac:dyDescent="0.25">
      <c r="A4471" s="167"/>
      <c r="B4471" s="167"/>
    </row>
    <row r="4472" spans="1:2" x14ac:dyDescent="0.25">
      <c r="A4472" s="167"/>
      <c r="B4472" s="167"/>
    </row>
    <row r="4473" spans="1:2" x14ac:dyDescent="0.25">
      <c r="A4473" s="167"/>
      <c r="B4473" s="167"/>
    </row>
    <row r="4474" spans="1:2" x14ac:dyDescent="0.25">
      <c r="A4474" s="167"/>
      <c r="B4474" s="167"/>
    </row>
    <row r="4475" spans="1:2" x14ac:dyDescent="0.25">
      <c r="A4475" s="167"/>
      <c r="B4475" s="167"/>
    </row>
    <row r="4476" spans="1:2" x14ac:dyDescent="0.25">
      <c r="A4476" s="167"/>
      <c r="B4476" s="167"/>
    </row>
    <row r="4477" spans="1:2" x14ac:dyDescent="0.25">
      <c r="A4477" s="167"/>
      <c r="B4477" s="167"/>
    </row>
    <row r="4478" spans="1:2" x14ac:dyDescent="0.25">
      <c r="A4478" s="167"/>
      <c r="B4478" s="167"/>
    </row>
    <row r="4479" spans="1:2" x14ac:dyDescent="0.25">
      <c r="A4479" s="167"/>
      <c r="B4479" s="167"/>
    </row>
    <row r="4480" spans="1:2" x14ac:dyDescent="0.25">
      <c r="A4480" s="167"/>
      <c r="B4480" s="167"/>
    </row>
    <row r="4481" spans="1:2" x14ac:dyDescent="0.25">
      <c r="A4481" s="167"/>
      <c r="B4481" s="167"/>
    </row>
    <row r="4482" spans="1:2" x14ac:dyDescent="0.25">
      <c r="A4482" s="167"/>
      <c r="B4482" s="167"/>
    </row>
    <row r="4483" spans="1:2" x14ac:dyDescent="0.25">
      <c r="A4483" s="167"/>
      <c r="B4483" s="167"/>
    </row>
    <row r="4484" spans="1:2" x14ac:dyDescent="0.25">
      <c r="A4484" s="167"/>
      <c r="B4484" s="167"/>
    </row>
    <row r="4485" spans="1:2" x14ac:dyDescent="0.25">
      <c r="A4485" s="167"/>
      <c r="B4485" s="167"/>
    </row>
    <row r="4486" spans="1:2" x14ac:dyDescent="0.25">
      <c r="A4486" s="167"/>
      <c r="B4486" s="167"/>
    </row>
    <row r="4487" spans="1:2" x14ac:dyDescent="0.25">
      <c r="A4487" s="167"/>
      <c r="B4487" s="167"/>
    </row>
    <row r="4488" spans="1:2" x14ac:dyDescent="0.25">
      <c r="A4488" s="167"/>
      <c r="B4488" s="167"/>
    </row>
    <row r="4489" spans="1:2" x14ac:dyDescent="0.25">
      <c r="A4489" s="167"/>
      <c r="B4489" s="167"/>
    </row>
    <row r="4490" spans="1:2" x14ac:dyDescent="0.25">
      <c r="A4490" s="167"/>
      <c r="B4490" s="167"/>
    </row>
    <row r="4491" spans="1:2" x14ac:dyDescent="0.25">
      <c r="A4491" s="167"/>
      <c r="B4491" s="167"/>
    </row>
    <row r="4492" spans="1:2" x14ac:dyDescent="0.25">
      <c r="A4492" s="167"/>
      <c r="B4492" s="167"/>
    </row>
    <row r="4493" spans="1:2" x14ac:dyDescent="0.25">
      <c r="A4493" s="167"/>
      <c r="B4493" s="167"/>
    </row>
    <row r="4494" spans="1:2" x14ac:dyDescent="0.25">
      <c r="A4494" s="167"/>
      <c r="B4494" s="167"/>
    </row>
    <row r="4495" spans="1:2" x14ac:dyDescent="0.25">
      <c r="A4495" s="167"/>
      <c r="B4495" s="167"/>
    </row>
    <row r="4496" spans="1:2" x14ac:dyDescent="0.25">
      <c r="A4496" s="167"/>
      <c r="B4496" s="167"/>
    </row>
    <row r="4497" spans="1:2" x14ac:dyDescent="0.25">
      <c r="A4497" s="167"/>
      <c r="B4497" s="167"/>
    </row>
    <row r="4498" spans="1:2" x14ac:dyDescent="0.25">
      <c r="A4498" s="167"/>
      <c r="B4498" s="167"/>
    </row>
    <row r="4499" spans="1:2" x14ac:dyDescent="0.25">
      <c r="A4499" s="167"/>
      <c r="B4499" s="167"/>
    </row>
    <row r="4500" spans="1:2" x14ac:dyDescent="0.25">
      <c r="A4500" s="167"/>
      <c r="B4500" s="167"/>
    </row>
    <row r="4501" spans="1:2" x14ac:dyDescent="0.25">
      <c r="A4501" s="167"/>
      <c r="B4501" s="167"/>
    </row>
    <row r="4502" spans="1:2" x14ac:dyDescent="0.25">
      <c r="A4502" s="167"/>
      <c r="B4502" s="167"/>
    </row>
    <row r="4503" spans="1:2" x14ac:dyDescent="0.25">
      <c r="A4503" s="167"/>
      <c r="B4503" s="167"/>
    </row>
    <row r="4504" spans="1:2" x14ac:dyDescent="0.25">
      <c r="A4504" s="167"/>
      <c r="B4504" s="167"/>
    </row>
    <row r="4505" spans="1:2" x14ac:dyDescent="0.25">
      <c r="A4505" s="167"/>
      <c r="B4505" s="167"/>
    </row>
    <row r="4506" spans="1:2" x14ac:dyDescent="0.25">
      <c r="A4506" s="167"/>
      <c r="B4506" s="167"/>
    </row>
    <row r="4507" spans="1:2" x14ac:dyDescent="0.25">
      <c r="A4507" s="167"/>
      <c r="B4507" s="167"/>
    </row>
    <row r="4508" spans="1:2" x14ac:dyDescent="0.25">
      <c r="A4508" s="167"/>
      <c r="B4508" s="167"/>
    </row>
    <row r="4509" spans="1:2" x14ac:dyDescent="0.25">
      <c r="A4509" s="167"/>
      <c r="B4509" s="167"/>
    </row>
    <row r="4510" spans="1:2" x14ac:dyDescent="0.25">
      <c r="A4510" s="167"/>
      <c r="B4510" s="167"/>
    </row>
    <row r="4511" spans="1:2" x14ac:dyDescent="0.25">
      <c r="A4511" s="167"/>
      <c r="B4511" s="167"/>
    </row>
    <row r="4512" spans="1:2" x14ac:dyDescent="0.25">
      <c r="A4512" s="167"/>
      <c r="B4512" s="167"/>
    </row>
    <row r="4513" spans="1:2" x14ac:dyDescent="0.25">
      <c r="A4513" s="167"/>
      <c r="B4513" s="167"/>
    </row>
    <row r="4514" spans="1:2" x14ac:dyDescent="0.25">
      <c r="A4514" s="167"/>
      <c r="B4514" s="167"/>
    </row>
    <row r="4515" spans="1:2" x14ac:dyDescent="0.25">
      <c r="A4515" s="167"/>
      <c r="B4515" s="167"/>
    </row>
    <row r="4516" spans="1:2" x14ac:dyDescent="0.25">
      <c r="A4516" s="167"/>
      <c r="B4516" s="167"/>
    </row>
    <row r="4517" spans="1:2" x14ac:dyDescent="0.25">
      <c r="A4517" s="167"/>
      <c r="B4517" s="167"/>
    </row>
    <row r="4518" spans="1:2" x14ac:dyDescent="0.25">
      <c r="A4518" s="167"/>
      <c r="B4518" s="167"/>
    </row>
    <row r="4519" spans="1:2" x14ac:dyDescent="0.25">
      <c r="A4519" s="167"/>
      <c r="B4519" s="167"/>
    </row>
    <row r="4520" spans="1:2" x14ac:dyDescent="0.25">
      <c r="A4520" s="167"/>
      <c r="B4520" s="167"/>
    </row>
    <row r="4521" spans="1:2" x14ac:dyDescent="0.25">
      <c r="A4521" s="167"/>
      <c r="B4521" s="167"/>
    </row>
    <row r="4522" spans="1:2" x14ac:dyDescent="0.25">
      <c r="A4522" s="167"/>
      <c r="B4522" s="167"/>
    </row>
    <row r="4523" spans="1:2" x14ac:dyDescent="0.25">
      <c r="A4523" s="167"/>
      <c r="B4523" s="167"/>
    </row>
    <row r="4524" spans="1:2" x14ac:dyDescent="0.25">
      <c r="A4524" s="167"/>
      <c r="B4524" s="167"/>
    </row>
    <row r="4525" spans="1:2" x14ac:dyDescent="0.25">
      <c r="A4525" s="167"/>
      <c r="B4525" s="167"/>
    </row>
    <row r="4526" spans="1:2" x14ac:dyDescent="0.25">
      <c r="A4526" s="167"/>
      <c r="B4526" s="167"/>
    </row>
    <row r="4527" spans="1:2" x14ac:dyDescent="0.25">
      <c r="A4527" s="167"/>
      <c r="B4527" s="167"/>
    </row>
    <row r="4528" spans="1:2" x14ac:dyDescent="0.25">
      <c r="A4528" s="167"/>
      <c r="B4528" s="167"/>
    </row>
    <row r="4529" spans="1:2" x14ac:dyDescent="0.25">
      <c r="A4529" s="167"/>
      <c r="B4529" s="167"/>
    </row>
    <row r="4530" spans="1:2" x14ac:dyDescent="0.25">
      <c r="A4530" s="167"/>
      <c r="B4530" s="167"/>
    </row>
    <row r="4531" spans="1:2" x14ac:dyDescent="0.25">
      <c r="A4531" s="167"/>
      <c r="B4531" s="167"/>
    </row>
    <row r="4532" spans="1:2" x14ac:dyDescent="0.25">
      <c r="A4532" s="167"/>
      <c r="B4532" s="167"/>
    </row>
    <row r="4533" spans="1:2" x14ac:dyDescent="0.25">
      <c r="A4533" s="167"/>
      <c r="B4533" s="167"/>
    </row>
    <row r="4534" spans="1:2" x14ac:dyDescent="0.25">
      <c r="A4534" s="167"/>
      <c r="B4534" s="167"/>
    </row>
    <row r="4535" spans="1:2" x14ac:dyDescent="0.25">
      <c r="A4535" s="167"/>
      <c r="B4535" s="167"/>
    </row>
    <row r="4536" spans="1:2" x14ac:dyDescent="0.25">
      <c r="A4536" s="167"/>
      <c r="B4536" s="167"/>
    </row>
    <row r="4537" spans="1:2" x14ac:dyDescent="0.25">
      <c r="A4537" s="167"/>
      <c r="B4537" s="167"/>
    </row>
    <row r="4538" spans="1:2" x14ac:dyDescent="0.25">
      <c r="A4538" s="167"/>
      <c r="B4538" s="167"/>
    </row>
    <row r="4539" spans="1:2" x14ac:dyDescent="0.25">
      <c r="A4539" s="167"/>
      <c r="B4539" s="167"/>
    </row>
    <row r="4540" spans="1:2" x14ac:dyDescent="0.25">
      <c r="A4540" s="167"/>
      <c r="B4540" s="167"/>
    </row>
    <row r="4541" spans="1:2" x14ac:dyDescent="0.25">
      <c r="A4541" s="167"/>
      <c r="B4541" s="167"/>
    </row>
    <row r="4542" spans="1:2" x14ac:dyDescent="0.25">
      <c r="A4542" s="167"/>
      <c r="B4542" s="167"/>
    </row>
    <row r="4543" spans="1:2" x14ac:dyDescent="0.25">
      <c r="A4543" s="167"/>
      <c r="B4543" s="167"/>
    </row>
    <row r="4544" spans="1:2" x14ac:dyDescent="0.25">
      <c r="A4544" s="167"/>
      <c r="B4544" s="167"/>
    </row>
    <row r="4545" spans="1:2" x14ac:dyDescent="0.25">
      <c r="A4545" s="167"/>
      <c r="B4545" s="167"/>
    </row>
    <row r="4546" spans="1:2" x14ac:dyDescent="0.25">
      <c r="A4546" s="167"/>
      <c r="B4546" s="167"/>
    </row>
    <row r="4547" spans="1:2" x14ac:dyDescent="0.25">
      <c r="A4547" s="167"/>
      <c r="B4547" s="167"/>
    </row>
    <row r="4548" spans="1:2" x14ac:dyDescent="0.25">
      <c r="A4548" s="167"/>
      <c r="B4548" s="167"/>
    </row>
    <row r="4549" spans="1:2" x14ac:dyDescent="0.25">
      <c r="A4549" s="167"/>
      <c r="B4549" s="167"/>
    </row>
    <row r="4550" spans="1:2" x14ac:dyDescent="0.25">
      <c r="A4550" s="167"/>
      <c r="B4550" s="167"/>
    </row>
    <row r="4551" spans="1:2" x14ac:dyDescent="0.25">
      <c r="A4551" s="167"/>
      <c r="B4551" s="167"/>
    </row>
    <row r="4552" spans="1:2" x14ac:dyDescent="0.25">
      <c r="A4552" s="167"/>
      <c r="B4552" s="167"/>
    </row>
    <row r="4553" spans="1:2" x14ac:dyDescent="0.25">
      <c r="A4553" s="167"/>
      <c r="B4553" s="167"/>
    </row>
    <row r="4554" spans="1:2" x14ac:dyDescent="0.25">
      <c r="A4554" s="167"/>
      <c r="B4554" s="167"/>
    </row>
    <row r="4555" spans="1:2" x14ac:dyDescent="0.25">
      <c r="A4555" s="167"/>
      <c r="B4555" s="167"/>
    </row>
    <row r="4556" spans="1:2" x14ac:dyDescent="0.25">
      <c r="A4556" s="167"/>
      <c r="B4556" s="167"/>
    </row>
    <row r="4557" spans="1:2" x14ac:dyDescent="0.25">
      <c r="A4557" s="167"/>
      <c r="B4557" s="167"/>
    </row>
    <row r="4558" spans="1:2" x14ac:dyDescent="0.25">
      <c r="A4558" s="167"/>
      <c r="B4558" s="167"/>
    </row>
    <row r="4559" spans="1:2" x14ac:dyDescent="0.25">
      <c r="A4559" s="167"/>
      <c r="B4559" s="167"/>
    </row>
    <row r="4560" spans="1:2" x14ac:dyDescent="0.25">
      <c r="A4560" s="167"/>
      <c r="B4560" s="167"/>
    </row>
    <row r="4561" spans="1:2" x14ac:dyDescent="0.25">
      <c r="A4561" s="167"/>
      <c r="B4561" s="167"/>
    </row>
    <row r="4562" spans="1:2" x14ac:dyDescent="0.25">
      <c r="A4562" s="167"/>
      <c r="B4562" s="167"/>
    </row>
    <row r="4563" spans="1:2" x14ac:dyDescent="0.25">
      <c r="A4563" s="167"/>
      <c r="B4563" s="167"/>
    </row>
    <row r="4564" spans="1:2" x14ac:dyDescent="0.25">
      <c r="A4564" s="167"/>
      <c r="B4564" s="167"/>
    </row>
    <row r="4565" spans="1:2" x14ac:dyDescent="0.25">
      <c r="A4565" s="167"/>
      <c r="B4565" s="167"/>
    </row>
    <row r="4566" spans="1:2" x14ac:dyDescent="0.25">
      <c r="A4566" s="167"/>
      <c r="B4566" s="167"/>
    </row>
    <row r="4567" spans="1:2" x14ac:dyDescent="0.25">
      <c r="A4567" s="167"/>
      <c r="B4567" s="167"/>
    </row>
    <row r="4568" spans="1:2" x14ac:dyDescent="0.25">
      <c r="A4568" s="167"/>
      <c r="B4568" s="167"/>
    </row>
    <row r="4569" spans="1:2" x14ac:dyDescent="0.25">
      <c r="A4569" s="167"/>
      <c r="B4569" s="167"/>
    </row>
    <row r="4570" spans="1:2" x14ac:dyDescent="0.25">
      <c r="A4570" s="167"/>
      <c r="B4570" s="167"/>
    </row>
    <row r="4571" spans="1:2" x14ac:dyDescent="0.25">
      <c r="A4571" s="167"/>
      <c r="B4571" s="167"/>
    </row>
    <row r="4572" spans="1:2" x14ac:dyDescent="0.25">
      <c r="A4572" s="167"/>
      <c r="B4572" s="167"/>
    </row>
    <row r="4573" spans="1:2" x14ac:dyDescent="0.25">
      <c r="A4573" s="167"/>
      <c r="B4573" s="167"/>
    </row>
    <row r="4574" spans="1:2" x14ac:dyDescent="0.25">
      <c r="A4574" s="167"/>
      <c r="B4574" s="167"/>
    </row>
    <row r="4575" spans="1:2" x14ac:dyDescent="0.25">
      <c r="A4575" s="167"/>
      <c r="B4575" s="167"/>
    </row>
    <row r="4576" spans="1:2" x14ac:dyDescent="0.25">
      <c r="A4576" s="167"/>
      <c r="B4576" s="167"/>
    </row>
    <row r="4577" spans="1:2" x14ac:dyDescent="0.25">
      <c r="A4577" s="167"/>
      <c r="B4577" s="167"/>
    </row>
    <row r="4578" spans="1:2" x14ac:dyDescent="0.25">
      <c r="A4578" s="167"/>
      <c r="B4578" s="167"/>
    </row>
    <row r="4579" spans="1:2" x14ac:dyDescent="0.25">
      <c r="A4579" s="167"/>
      <c r="B4579" s="167"/>
    </row>
    <row r="4580" spans="1:2" x14ac:dyDescent="0.25">
      <c r="A4580" s="167"/>
      <c r="B4580" s="167"/>
    </row>
    <row r="4581" spans="1:2" x14ac:dyDescent="0.25">
      <c r="A4581" s="167"/>
      <c r="B4581" s="167"/>
    </row>
    <row r="4582" spans="1:2" x14ac:dyDescent="0.25">
      <c r="A4582" s="167"/>
      <c r="B4582" s="167"/>
    </row>
    <row r="4583" spans="1:2" x14ac:dyDescent="0.25">
      <c r="A4583" s="167"/>
      <c r="B4583" s="167"/>
    </row>
    <row r="4584" spans="1:2" x14ac:dyDescent="0.25">
      <c r="A4584" s="167"/>
      <c r="B4584" s="167"/>
    </row>
    <row r="4585" spans="1:2" x14ac:dyDescent="0.25">
      <c r="A4585" s="167"/>
      <c r="B4585" s="167"/>
    </row>
    <row r="4586" spans="1:2" x14ac:dyDescent="0.25">
      <c r="A4586" s="167"/>
      <c r="B4586" s="167"/>
    </row>
    <row r="4587" spans="1:2" x14ac:dyDescent="0.25">
      <c r="A4587" s="167"/>
      <c r="B4587" s="167"/>
    </row>
    <row r="4588" spans="1:2" x14ac:dyDescent="0.25">
      <c r="A4588" s="167"/>
      <c r="B4588" s="167"/>
    </row>
    <row r="4589" spans="1:2" x14ac:dyDescent="0.25">
      <c r="A4589" s="167"/>
      <c r="B4589" s="167"/>
    </row>
    <row r="4590" spans="1:2" x14ac:dyDescent="0.25">
      <c r="A4590" s="167"/>
      <c r="B4590" s="167"/>
    </row>
    <row r="4591" spans="1:2" x14ac:dyDescent="0.25">
      <c r="A4591" s="167"/>
      <c r="B4591" s="167"/>
    </row>
    <row r="4592" spans="1:2" x14ac:dyDescent="0.25">
      <c r="A4592" s="167"/>
      <c r="B4592" s="167"/>
    </row>
    <row r="4593" spans="1:2" x14ac:dyDescent="0.25">
      <c r="A4593" s="167"/>
      <c r="B4593" s="167"/>
    </row>
    <row r="4594" spans="1:2" x14ac:dyDescent="0.25">
      <c r="A4594" s="167"/>
      <c r="B4594" s="167"/>
    </row>
    <row r="4595" spans="1:2" x14ac:dyDescent="0.25">
      <c r="A4595" s="167"/>
      <c r="B4595" s="167"/>
    </row>
    <row r="4596" spans="1:2" x14ac:dyDescent="0.25">
      <c r="A4596" s="167"/>
      <c r="B4596" s="167"/>
    </row>
    <row r="4597" spans="1:2" x14ac:dyDescent="0.25">
      <c r="A4597" s="167"/>
      <c r="B4597" s="167"/>
    </row>
    <row r="4598" spans="1:2" x14ac:dyDescent="0.25">
      <c r="A4598" s="167"/>
      <c r="B4598" s="167"/>
    </row>
    <row r="4599" spans="1:2" x14ac:dyDescent="0.25">
      <c r="A4599" s="167"/>
      <c r="B4599" s="167"/>
    </row>
    <row r="4600" spans="1:2" x14ac:dyDescent="0.25">
      <c r="A4600" s="167"/>
      <c r="B4600" s="167"/>
    </row>
    <row r="4601" spans="1:2" x14ac:dyDescent="0.25">
      <c r="A4601" s="167"/>
      <c r="B4601" s="167"/>
    </row>
    <row r="4602" spans="1:2" x14ac:dyDescent="0.25">
      <c r="A4602" s="167"/>
      <c r="B4602" s="167"/>
    </row>
    <row r="4603" spans="1:2" x14ac:dyDescent="0.25">
      <c r="A4603" s="167"/>
      <c r="B4603" s="167"/>
    </row>
    <row r="4604" spans="1:2" x14ac:dyDescent="0.25">
      <c r="A4604" s="167"/>
      <c r="B4604" s="167"/>
    </row>
    <row r="4605" spans="1:2" x14ac:dyDescent="0.25">
      <c r="A4605" s="167"/>
      <c r="B4605" s="167"/>
    </row>
    <row r="4606" spans="1:2" x14ac:dyDescent="0.25">
      <c r="A4606" s="167"/>
      <c r="B4606" s="167"/>
    </row>
    <row r="4607" spans="1:2" x14ac:dyDescent="0.25">
      <c r="A4607" s="167"/>
      <c r="B4607" s="167"/>
    </row>
    <row r="4608" spans="1:2" x14ac:dyDescent="0.25">
      <c r="A4608" s="167"/>
      <c r="B4608" s="167"/>
    </row>
    <row r="4609" spans="1:2" x14ac:dyDescent="0.25">
      <c r="A4609" s="167"/>
      <c r="B4609" s="167"/>
    </row>
    <row r="4610" spans="1:2" x14ac:dyDescent="0.25">
      <c r="A4610" s="167"/>
      <c r="B4610" s="167"/>
    </row>
    <row r="4611" spans="1:2" x14ac:dyDescent="0.25">
      <c r="A4611" s="167"/>
      <c r="B4611" s="167"/>
    </row>
    <row r="4612" spans="1:2" x14ac:dyDescent="0.25">
      <c r="A4612" s="167"/>
      <c r="B4612" s="167"/>
    </row>
    <row r="4613" spans="1:2" x14ac:dyDescent="0.25">
      <c r="A4613" s="167"/>
      <c r="B4613" s="167"/>
    </row>
    <row r="4614" spans="1:2" x14ac:dyDescent="0.25">
      <c r="A4614" s="167"/>
      <c r="B4614" s="167"/>
    </row>
    <row r="4615" spans="1:2" x14ac:dyDescent="0.25">
      <c r="A4615" s="167"/>
      <c r="B4615" s="167"/>
    </row>
    <row r="4616" spans="1:2" x14ac:dyDescent="0.25">
      <c r="A4616" s="167"/>
      <c r="B4616" s="167"/>
    </row>
    <row r="4617" spans="1:2" x14ac:dyDescent="0.25">
      <c r="A4617" s="167"/>
      <c r="B4617" s="167"/>
    </row>
    <row r="4618" spans="1:2" x14ac:dyDescent="0.25">
      <c r="A4618" s="167"/>
      <c r="B4618" s="167"/>
    </row>
    <row r="4619" spans="1:2" x14ac:dyDescent="0.25">
      <c r="A4619" s="167"/>
      <c r="B4619" s="167"/>
    </row>
    <row r="4620" spans="1:2" x14ac:dyDescent="0.25">
      <c r="A4620" s="167"/>
      <c r="B4620" s="167"/>
    </row>
    <row r="4621" spans="1:2" x14ac:dyDescent="0.25">
      <c r="A4621" s="167"/>
      <c r="B4621" s="167"/>
    </row>
    <row r="4622" spans="1:2" x14ac:dyDescent="0.25">
      <c r="A4622" s="167"/>
      <c r="B4622" s="167"/>
    </row>
    <row r="4623" spans="1:2" x14ac:dyDescent="0.25">
      <c r="A4623" s="167"/>
      <c r="B4623" s="167"/>
    </row>
    <row r="4624" spans="1:2" x14ac:dyDescent="0.25">
      <c r="A4624" s="167"/>
      <c r="B4624" s="167"/>
    </row>
    <row r="4625" spans="1:2" x14ac:dyDescent="0.25">
      <c r="A4625" s="167"/>
      <c r="B4625" s="167"/>
    </row>
    <row r="4626" spans="1:2" x14ac:dyDescent="0.25">
      <c r="A4626" s="167"/>
      <c r="B4626" s="167"/>
    </row>
    <row r="4627" spans="1:2" x14ac:dyDescent="0.25">
      <c r="A4627" s="167"/>
      <c r="B4627" s="167"/>
    </row>
    <row r="4628" spans="1:2" x14ac:dyDescent="0.25">
      <c r="A4628" s="167"/>
      <c r="B4628" s="167"/>
    </row>
    <row r="4629" spans="1:2" x14ac:dyDescent="0.25">
      <c r="A4629" s="167"/>
      <c r="B4629" s="167"/>
    </row>
    <row r="4630" spans="1:2" x14ac:dyDescent="0.25">
      <c r="A4630" s="167"/>
      <c r="B4630" s="167"/>
    </row>
    <row r="4631" spans="1:2" x14ac:dyDescent="0.25">
      <c r="A4631" s="167"/>
      <c r="B4631" s="167"/>
    </row>
    <row r="4632" spans="1:2" x14ac:dyDescent="0.25">
      <c r="A4632" s="167"/>
      <c r="B4632" s="167"/>
    </row>
    <row r="4633" spans="1:2" x14ac:dyDescent="0.25">
      <c r="A4633" s="167"/>
      <c r="B4633" s="167"/>
    </row>
    <row r="4634" spans="1:2" x14ac:dyDescent="0.25">
      <c r="A4634" s="167"/>
      <c r="B4634" s="167"/>
    </row>
    <row r="4635" spans="1:2" x14ac:dyDescent="0.25">
      <c r="A4635" s="167"/>
      <c r="B4635" s="167"/>
    </row>
    <row r="4636" spans="1:2" x14ac:dyDescent="0.25">
      <c r="A4636" s="167"/>
      <c r="B4636" s="167"/>
    </row>
    <row r="4637" spans="1:2" x14ac:dyDescent="0.25">
      <c r="A4637" s="167"/>
      <c r="B4637" s="167"/>
    </row>
    <row r="4638" spans="1:2" x14ac:dyDescent="0.25">
      <c r="A4638" s="167"/>
      <c r="B4638" s="167"/>
    </row>
    <row r="4639" spans="1:2" x14ac:dyDescent="0.25">
      <c r="A4639" s="167"/>
      <c r="B4639" s="167"/>
    </row>
    <row r="4640" spans="1:2" x14ac:dyDescent="0.25">
      <c r="A4640" s="167"/>
      <c r="B4640" s="167"/>
    </row>
    <row r="4641" spans="1:2" x14ac:dyDescent="0.25">
      <c r="A4641" s="167"/>
      <c r="B4641" s="167"/>
    </row>
    <row r="4642" spans="1:2" x14ac:dyDescent="0.25">
      <c r="A4642" s="167"/>
      <c r="B4642" s="167"/>
    </row>
    <row r="4643" spans="1:2" x14ac:dyDescent="0.25">
      <c r="A4643" s="167"/>
      <c r="B4643" s="167"/>
    </row>
    <row r="4644" spans="1:2" x14ac:dyDescent="0.25">
      <c r="A4644" s="167"/>
      <c r="B4644" s="167"/>
    </row>
    <row r="4645" spans="1:2" x14ac:dyDescent="0.25">
      <c r="A4645" s="167"/>
      <c r="B4645" s="167"/>
    </row>
    <row r="4646" spans="1:2" x14ac:dyDescent="0.25">
      <c r="A4646" s="167"/>
      <c r="B4646" s="167"/>
    </row>
    <row r="4647" spans="1:2" x14ac:dyDescent="0.25">
      <c r="A4647" s="167"/>
      <c r="B4647" s="167"/>
    </row>
    <row r="4648" spans="1:2" x14ac:dyDescent="0.25">
      <c r="A4648" s="167"/>
      <c r="B4648" s="167"/>
    </row>
    <row r="4649" spans="1:2" x14ac:dyDescent="0.25">
      <c r="A4649" s="167"/>
      <c r="B4649" s="167"/>
    </row>
    <row r="4650" spans="1:2" x14ac:dyDescent="0.25">
      <c r="A4650" s="167"/>
      <c r="B4650" s="167"/>
    </row>
    <row r="4651" spans="1:2" x14ac:dyDescent="0.25">
      <c r="A4651" s="167"/>
      <c r="B4651" s="167"/>
    </row>
    <row r="4652" spans="1:2" x14ac:dyDescent="0.25">
      <c r="A4652" s="167"/>
      <c r="B4652" s="167"/>
    </row>
    <row r="4653" spans="1:2" x14ac:dyDescent="0.25">
      <c r="A4653" s="167"/>
      <c r="B4653" s="167"/>
    </row>
    <row r="4654" spans="1:2" x14ac:dyDescent="0.25">
      <c r="A4654" s="167"/>
      <c r="B4654" s="167"/>
    </row>
    <row r="4655" spans="1:2" x14ac:dyDescent="0.25">
      <c r="A4655" s="167"/>
      <c r="B4655" s="167"/>
    </row>
    <row r="4656" spans="1:2" x14ac:dyDescent="0.25">
      <c r="A4656" s="167"/>
      <c r="B4656" s="167"/>
    </row>
    <row r="4657" spans="1:2" x14ac:dyDescent="0.25">
      <c r="A4657" s="167"/>
      <c r="B4657" s="167"/>
    </row>
    <row r="4658" spans="1:2" x14ac:dyDescent="0.25">
      <c r="A4658" s="167"/>
      <c r="B4658" s="167"/>
    </row>
    <row r="4659" spans="1:2" x14ac:dyDescent="0.25">
      <c r="A4659" s="167"/>
      <c r="B4659" s="167"/>
    </row>
    <row r="4660" spans="1:2" x14ac:dyDescent="0.25">
      <c r="A4660" s="167"/>
      <c r="B4660" s="167"/>
    </row>
    <row r="4661" spans="1:2" x14ac:dyDescent="0.25">
      <c r="A4661" s="167"/>
      <c r="B4661" s="167"/>
    </row>
    <row r="4662" spans="1:2" x14ac:dyDescent="0.25">
      <c r="A4662" s="167"/>
      <c r="B4662" s="167"/>
    </row>
    <row r="4663" spans="1:2" x14ac:dyDescent="0.25">
      <c r="A4663" s="167"/>
      <c r="B4663" s="167"/>
    </row>
    <row r="4664" spans="1:2" x14ac:dyDescent="0.25">
      <c r="A4664" s="167"/>
      <c r="B4664" s="167"/>
    </row>
    <row r="4665" spans="1:2" x14ac:dyDescent="0.25">
      <c r="A4665" s="167"/>
      <c r="B4665" s="167"/>
    </row>
    <row r="4666" spans="1:2" x14ac:dyDescent="0.25">
      <c r="A4666" s="167"/>
      <c r="B4666" s="167"/>
    </row>
    <row r="4667" spans="1:2" x14ac:dyDescent="0.25">
      <c r="A4667" s="167"/>
      <c r="B4667" s="167"/>
    </row>
    <row r="4668" spans="1:2" x14ac:dyDescent="0.25">
      <c r="A4668" s="167"/>
      <c r="B4668" s="167"/>
    </row>
    <row r="4669" spans="1:2" x14ac:dyDescent="0.25">
      <c r="A4669" s="167"/>
      <c r="B4669" s="167"/>
    </row>
    <row r="4670" spans="1:2" x14ac:dyDescent="0.25">
      <c r="A4670" s="167"/>
      <c r="B4670" s="167"/>
    </row>
    <row r="4671" spans="1:2" x14ac:dyDescent="0.25">
      <c r="A4671" s="167"/>
      <c r="B4671" s="167"/>
    </row>
    <row r="4672" spans="1:2" x14ac:dyDescent="0.25">
      <c r="A4672" s="167"/>
      <c r="B4672" s="167"/>
    </row>
    <row r="4673" spans="1:2" x14ac:dyDescent="0.25">
      <c r="A4673" s="167"/>
      <c r="B4673" s="167"/>
    </row>
    <row r="4674" spans="1:2" x14ac:dyDescent="0.25">
      <c r="A4674" s="167"/>
      <c r="B4674" s="167"/>
    </row>
    <row r="4675" spans="1:2" x14ac:dyDescent="0.25">
      <c r="A4675" s="167"/>
      <c r="B4675" s="167"/>
    </row>
    <row r="4676" spans="1:2" x14ac:dyDescent="0.25">
      <c r="A4676" s="167"/>
      <c r="B4676" s="167"/>
    </row>
    <row r="4677" spans="1:2" x14ac:dyDescent="0.25">
      <c r="A4677" s="167"/>
      <c r="B4677" s="167"/>
    </row>
    <row r="4678" spans="1:2" x14ac:dyDescent="0.25">
      <c r="A4678" s="167"/>
      <c r="B4678" s="167"/>
    </row>
    <row r="4679" spans="1:2" x14ac:dyDescent="0.25">
      <c r="A4679" s="167"/>
      <c r="B4679" s="167"/>
    </row>
    <row r="4680" spans="1:2" x14ac:dyDescent="0.25">
      <c r="A4680" s="167"/>
      <c r="B4680" s="167"/>
    </row>
    <row r="4681" spans="1:2" x14ac:dyDescent="0.25">
      <c r="A4681" s="167"/>
      <c r="B4681" s="167"/>
    </row>
    <row r="4682" spans="1:2" x14ac:dyDescent="0.25">
      <c r="A4682" s="167"/>
      <c r="B4682" s="167"/>
    </row>
    <row r="4683" spans="1:2" x14ac:dyDescent="0.25">
      <c r="A4683" s="167"/>
      <c r="B4683" s="167"/>
    </row>
    <row r="4684" spans="1:2" x14ac:dyDescent="0.25">
      <c r="A4684" s="167"/>
      <c r="B4684" s="167"/>
    </row>
    <row r="4685" spans="1:2" x14ac:dyDescent="0.25">
      <c r="A4685" s="167"/>
      <c r="B4685" s="167"/>
    </row>
    <row r="4686" spans="1:2" x14ac:dyDescent="0.25">
      <c r="A4686" s="167"/>
      <c r="B4686" s="167"/>
    </row>
    <row r="4687" spans="1:2" x14ac:dyDescent="0.25">
      <c r="A4687" s="167"/>
      <c r="B4687" s="167"/>
    </row>
    <row r="4688" spans="1:2" x14ac:dyDescent="0.25">
      <c r="A4688" s="167"/>
      <c r="B4688" s="167"/>
    </row>
    <row r="4689" spans="1:2" x14ac:dyDescent="0.25">
      <c r="A4689" s="167"/>
      <c r="B4689" s="167"/>
    </row>
    <row r="4690" spans="1:2" x14ac:dyDescent="0.25">
      <c r="A4690" s="167"/>
      <c r="B4690" s="167"/>
    </row>
    <row r="4691" spans="1:2" x14ac:dyDescent="0.25">
      <c r="A4691" s="167"/>
      <c r="B4691" s="167"/>
    </row>
    <row r="4692" spans="1:2" x14ac:dyDescent="0.25">
      <c r="A4692" s="167"/>
      <c r="B4692" s="167"/>
    </row>
    <row r="4693" spans="1:2" x14ac:dyDescent="0.25">
      <c r="A4693" s="167"/>
      <c r="B4693" s="167"/>
    </row>
    <row r="4694" spans="1:2" x14ac:dyDescent="0.25">
      <c r="A4694" s="167"/>
      <c r="B4694" s="167"/>
    </row>
    <row r="4695" spans="1:2" x14ac:dyDescent="0.25">
      <c r="A4695" s="167"/>
      <c r="B4695" s="167"/>
    </row>
    <row r="4696" spans="1:2" x14ac:dyDescent="0.25">
      <c r="A4696" s="167"/>
      <c r="B4696" s="167"/>
    </row>
    <row r="4697" spans="1:2" x14ac:dyDescent="0.25">
      <c r="A4697" s="167"/>
      <c r="B4697" s="167"/>
    </row>
    <row r="4698" spans="1:2" x14ac:dyDescent="0.25">
      <c r="A4698" s="167"/>
      <c r="B4698" s="167"/>
    </row>
    <row r="4699" spans="1:2" x14ac:dyDescent="0.25">
      <c r="A4699" s="167"/>
      <c r="B4699" s="167"/>
    </row>
    <row r="4700" spans="1:2" x14ac:dyDescent="0.25">
      <c r="A4700" s="167"/>
      <c r="B4700" s="167"/>
    </row>
    <row r="4701" spans="1:2" x14ac:dyDescent="0.25">
      <c r="A4701" s="167"/>
      <c r="B4701" s="167"/>
    </row>
    <row r="4702" spans="1:2" x14ac:dyDescent="0.25">
      <c r="A4702" s="167"/>
      <c r="B4702" s="167"/>
    </row>
    <row r="4703" spans="1:2" x14ac:dyDescent="0.25">
      <c r="A4703" s="167"/>
      <c r="B4703" s="167"/>
    </row>
    <row r="4704" spans="1:2" x14ac:dyDescent="0.25">
      <c r="A4704" s="167"/>
      <c r="B4704" s="167"/>
    </row>
    <row r="4705" spans="1:2" x14ac:dyDescent="0.25">
      <c r="A4705" s="167"/>
      <c r="B4705" s="167"/>
    </row>
    <row r="4706" spans="1:2" x14ac:dyDescent="0.25">
      <c r="A4706" s="167"/>
      <c r="B4706" s="167"/>
    </row>
    <row r="4707" spans="1:2" x14ac:dyDescent="0.25">
      <c r="A4707" s="167"/>
      <c r="B4707" s="167"/>
    </row>
    <row r="4708" spans="1:2" x14ac:dyDescent="0.25">
      <c r="A4708" s="167"/>
      <c r="B4708" s="167"/>
    </row>
    <row r="4709" spans="1:2" x14ac:dyDescent="0.25">
      <c r="A4709" s="167"/>
      <c r="B4709" s="167"/>
    </row>
    <row r="4710" spans="1:2" x14ac:dyDescent="0.25">
      <c r="A4710" s="167"/>
      <c r="B4710" s="167"/>
    </row>
    <row r="4711" spans="1:2" x14ac:dyDescent="0.25">
      <c r="A4711" s="167"/>
      <c r="B4711" s="167"/>
    </row>
    <row r="4712" spans="1:2" x14ac:dyDescent="0.25">
      <c r="A4712" s="167"/>
      <c r="B4712" s="167"/>
    </row>
    <row r="4713" spans="1:2" x14ac:dyDescent="0.25">
      <c r="A4713" s="167"/>
      <c r="B4713" s="167"/>
    </row>
    <row r="4714" spans="1:2" x14ac:dyDescent="0.25">
      <c r="A4714" s="167"/>
      <c r="B4714" s="167"/>
    </row>
    <row r="4715" spans="1:2" x14ac:dyDescent="0.25">
      <c r="A4715" s="167"/>
      <c r="B4715" s="167"/>
    </row>
    <row r="4716" spans="1:2" x14ac:dyDescent="0.25">
      <c r="A4716" s="167"/>
      <c r="B4716" s="167"/>
    </row>
    <row r="4717" spans="1:2" x14ac:dyDescent="0.25">
      <c r="A4717" s="167"/>
      <c r="B4717" s="167"/>
    </row>
    <row r="4718" spans="1:2" x14ac:dyDescent="0.25">
      <c r="A4718" s="167"/>
      <c r="B4718" s="167"/>
    </row>
    <row r="4719" spans="1:2" x14ac:dyDescent="0.25">
      <c r="A4719" s="167"/>
      <c r="B4719" s="167"/>
    </row>
    <row r="4720" spans="1:2" x14ac:dyDescent="0.25">
      <c r="A4720" s="167"/>
      <c r="B4720" s="167"/>
    </row>
    <row r="4721" spans="1:2" x14ac:dyDescent="0.25">
      <c r="A4721" s="167"/>
      <c r="B4721" s="167"/>
    </row>
    <row r="4722" spans="1:2" x14ac:dyDescent="0.25">
      <c r="A4722" s="167"/>
      <c r="B4722" s="167"/>
    </row>
    <row r="4723" spans="1:2" x14ac:dyDescent="0.25">
      <c r="A4723" s="167"/>
      <c r="B4723" s="167"/>
    </row>
    <row r="4724" spans="1:2" x14ac:dyDescent="0.25">
      <c r="A4724" s="167"/>
      <c r="B4724" s="167"/>
    </row>
    <row r="4725" spans="1:2" x14ac:dyDescent="0.25">
      <c r="A4725" s="167"/>
      <c r="B4725" s="167"/>
    </row>
    <row r="4726" spans="1:2" x14ac:dyDescent="0.25">
      <c r="A4726" s="167"/>
      <c r="B4726" s="167"/>
    </row>
    <row r="4727" spans="1:2" x14ac:dyDescent="0.25">
      <c r="A4727" s="167"/>
      <c r="B4727" s="167"/>
    </row>
    <row r="4728" spans="1:2" x14ac:dyDescent="0.25">
      <c r="A4728" s="167"/>
      <c r="B4728" s="167"/>
    </row>
    <row r="4729" spans="1:2" x14ac:dyDescent="0.25">
      <c r="A4729" s="167"/>
      <c r="B4729" s="167"/>
    </row>
    <row r="4730" spans="1:2" x14ac:dyDescent="0.25">
      <c r="A4730" s="167"/>
      <c r="B4730" s="167"/>
    </row>
    <row r="4731" spans="1:2" x14ac:dyDescent="0.25">
      <c r="A4731" s="167"/>
      <c r="B4731" s="167"/>
    </row>
    <row r="4732" spans="1:2" x14ac:dyDescent="0.25">
      <c r="A4732" s="167"/>
      <c r="B4732" s="167"/>
    </row>
    <row r="4733" spans="1:2" x14ac:dyDescent="0.25">
      <c r="A4733" s="167"/>
      <c r="B4733" s="167"/>
    </row>
    <row r="4734" spans="1:2" x14ac:dyDescent="0.25">
      <c r="A4734" s="167"/>
      <c r="B4734" s="167"/>
    </row>
    <row r="4735" spans="1:2" x14ac:dyDescent="0.25">
      <c r="A4735" s="167"/>
      <c r="B4735" s="167"/>
    </row>
    <row r="4736" spans="1:2" x14ac:dyDescent="0.25">
      <c r="A4736" s="167"/>
      <c r="B4736" s="167"/>
    </row>
    <row r="4737" spans="1:2" x14ac:dyDescent="0.25">
      <c r="A4737" s="167"/>
      <c r="B4737" s="167"/>
    </row>
    <row r="4738" spans="1:2" x14ac:dyDescent="0.25">
      <c r="A4738" s="167"/>
      <c r="B4738" s="167"/>
    </row>
    <row r="4739" spans="1:2" x14ac:dyDescent="0.25">
      <c r="A4739" s="167"/>
      <c r="B4739" s="167"/>
    </row>
    <row r="4740" spans="1:2" x14ac:dyDescent="0.25">
      <c r="A4740" s="167"/>
      <c r="B4740" s="167"/>
    </row>
    <row r="4741" spans="1:2" x14ac:dyDescent="0.25">
      <c r="A4741" s="167"/>
      <c r="B4741" s="167"/>
    </row>
    <row r="4742" spans="1:2" x14ac:dyDescent="0.25">
      <c r="A4742" s="167"/>
      <c r="B4742" s="167"/>
    </row>
    <row r="4743" spans="1:2" x14ac:dyDescent="0.25">
      <c r="A4743" s="167"/>
      <c r="B4743" s="167"/>
    </row>
    <row r="4744" spans="1:2" x14ac:dyDescent="0.25">
      <c r="A4744" s="167"/>
      <c r="B4744" s="167"/>
    </row>
    <row r="4745" spans="1:2" x14ac:dyDescent="0.25">
      <c r="A4745" s="167"/>
      <c r="B4745" s="167"/>
    </row>
    <row r="4746" spans="1:2" x14ac:dyDescent="0.25">
      <c r="A4746" s="167"/>
      <c r="B4746" s="167"/>
    </row>
    <row r="4747" spans="1:2" x14ac:dyDescent="0.25">
      <c r="A4747" s="167"/>
      <c r="B4747" s="167"/>
    </row>
    <row r="4748" spans="1:2" x14ac:dyDescent="0.25">
      <c r="A4748" s="167"/>
      <c r="B4748" s="167"/>
    </row>
    <row r="4749" spans="1:2" x14ac:dyDescent="0.25">
      <c r="A4749" s="167"/>
      <c r="B4749" s="167"/>
    </row>
    <row r="4750" spans="1:2" x14ac:dyDescent="0.25">
      <c r="A4750" s="167"/>
      <c r="B4750" s="167"/>
    </row>
    <row r="4751" spans="1:2" x14ac:dyDescent="0.25">
      <c r="A4751" s="167"/>
      <c r="B4751" s="167"/>
    </row>
    <row r="4752" spans="1:2" x14ac:dyDescent="0.25">
      <c r="A4752" s="167"/>
      <c r="B4752" s="167"/>
    </row>
    <row r="4753" spans="1:2" x14ac:dyDescent="0.25">
      <c r="A4753" s="167"/>
      <c r="B4753" s="167"/>
    </row>
    <row r="4754" spans="1:2" x14ac:dyDescent="0.25">
      <c r="A4754" s="167"/>
      <c r="B4754" s="167"/>
    </row>
    <row r="4755" spans="1:2" x14ac:dyDescent="0.25">
      <c r="A4755" s="167"/>
      <c r="B4755" s="167"/>
    </row>
    <row r="4756" spans="1:2" x14ac:dyDescent="0.25">
      <c r="A4756" s="167"/>
      <c r="B4756" s="167"/>
    </row>
    <row r="4757" spans="1:2" x14ac:dyDescent="0.25">
      <c r="A4757" s="167"/>
      <c r="B4757" s="167"/>
    </row>
    <row r="4758" spans="1:2" x14ac:dyDescent="0.25">
      <c r="A4758" s="167"/>
      <c r="B4758" s="167"/>
    </row>
    <row r="4759" spans="1:2" x14ac:dyDescent="0.25">
      <c r="A4759" s="167"/>
      <c r="B4759" s="167"/>
    </row>
    <row r="4760" spans="1:2" x14ac:dyDescent="0.25">
      <c r="A4760" s="167"/>
      <c r="B4760" s="167"/>
    </row>
    <row r="4761" spans="1:2" x14ac:dyDescent="0.25">
      <c r="A4761" s="167"/>
      <c r="B4761" s="167"/>
    </row>
    <row r="4762" spans="1:2" x14ac:dyDescent="0.25">
      <c r="A4762" s="167"/>
      <c r="B4762" s="167"/>
    </row>
    <row r="4763" spans="1:2" x14ac:dyDescent="0.25">
      <c r="A4763" s="167"/>
      <c r="B4763" s="167"/>
    </row>
    <row r="4764" spans="1:2" x14ac:dyDescent="0.25">
      <c r="A4764" s="167"/>
      <c r="B4764" s="167"/>
    </row>
    <row r="4765" spans="1:2" x14ac:dyDescent="0.25">
      <c r="A4765" s="167"/>
      <c r="B4765" s="167"/>
    </row>
    <row r="4766" spans="1:2" x14ac:dyDescent="0.25">
      <c r="A4766" s="167"/>
      <c r="B4766" s="167"/>
    </row>
    <row r="4767" spans="1:2" x14ac:dyDescent="0.25">
      <c r="A4767" s="167"/>
      <c r="B4767" s="167"/>
    </row>
    <row r="4768" spans="1:2" x14ac:dyDescent="0.25">
      <c r="A4768" s="167"/>
      <c r="B4768" s="167"/>
    </row>
    <row r="4769" spans="1:2" x14ac:dyDescent="0.25">
      <c r="A4769" s="167"/>
      <c r="B4769" s="167"/>
    </row>
    <row r="4770" spans="1:2" x14ac:dyDescent="0.25">
      <c r="A4770" s="167"/>
      <c r="B4770" s="167"/>
    </row>
    <row r="4771" spans="1:2" x14ac:dyDescent="0.25">
      <c r="A4771" s="167"/>
      <c r="B4771" s="167"/>
    </row>
    <row r="4772" spans="1:2" x14ac:dyDescent="0.25">
      <c r="A4772" s="167"/>
      <c r="B4772" s="167"/>
    </row>
    <row r="4773" spans="1:2" x14ac:dyDescent="0.25">
      <c r="A4773" s="167"/>
      <c r="B4773" s="167"/>
    </row>
    <row r="4774" spans="1:2" x14ac:dyDescent="0.25">
      <c r="A4774" s="167"/>
      <c r="B4774" s="167"/>
    </row>
    <row r="4775" spans="1:2" x14ac:dyDescent="0.25">
      <c r="A4775" s="167"/>
      <c r="B4775" s="167"/>
    </row>
    <row r="4776" spans="1:2" x14ac:dyDescent="0.25">
      <c r="A4776" s="167"/>
      <c r="B4776" s="167"/>
    </row>
    <row r="4777" spans="1:2" x14ac:dyDescent="0.25">
      <c r="A4777" s="167"/>
      <c r="B4777" s="167"/>
    </row>
    <row r="4778" spans="1:2" x14ac:dyDescent="0.25">
      <c r="A4778" s="167"/>
      <c r="B4778" s="167"/>
    </row>
    <row r="4779" spans="1:2" x14ac:dyDescent="0.25">
      <c r="A4779" s="167"/>
      <c r="B4779" s="167"/>
    </row>
    <row r="4780" spans="1:2" x14ac:dyDescent="0.25">
      <c r="A4780" s="167"/>
      <c r="B4780" s="167"/>
    </row>
    <row r="4781" spans="1:2" x14ac:dyDescent="0.25">
      <c r="A4781" s="167"/>
      <c r="B4781" s="167"/>
    </row>
    <row r="4782" spans="1:2" x14ac:dyDescent="0.25">
      <c r="A4782" s="167"/>
      <c r="B4782" s="167"/>
    </row>
    <row r="4783" spans="1:2" x14ac:dyDescent="0.25">
      <c r="A4783" s="167"/>
      <c r="B4783" s="167"/>
    </row>
    <row r="4784" spans="1:2" x14ac:dyDescent="0.25">
      <c r="A4784" s="167"/>
      <c r="B4784" s="167"/>
    </row>
    <row r="4785" spans="1:2" x14ac:dyDescent="0.25">
      <c r="A4785" s="167"/>
      <c r="B4785" s="167"/>
    </row>
    <row r="4786" spans="1:2" x14ac:dyDescent="0.25">
      <c r="A4786" s="167"/>
      <c r="B4786" s="167"/>
    </row>
    <row r="4787" spans="1:2" x14ac:dyDescent="0.25">
      <c r="A4787" s="167"/>
      <c r="B4787" s="167"/>
    </row>
    <row r="4788" spans="1:2" x14ac:dyDescent="0.25">
      <c r="A4788" s="167"/>
      <c r="B4788" s="167"/>
    </row>
    <row r="4789" spans="1:2" x14ac:dyDescent="0.25">
      <c r="A4789" s="167"/>
      <c r="B4789" s="167"/>
    </row>
    <row r="4790" spans="1:2" x14ac:dyDescent="0.25">
      <c r="A4790" s="167"/>
      <c r="B4790" s="167"/>
    </row>
    <row r="4791" spans="1:2" x14ac:dyDescent="0.25">
      <c r="A4791" s="167"/>
      <c r="B4791" s="167"/>
    </row>
    <row r="4792" spans="1:2" x14ac:dyDescent="0.25">
      <c r="A4792" s="167"/>
      <c r="B4792" s="167"/>
    </row>
    <row r="4793" spans="1:2" x14ac:dyDescent="0.25">
      <c r="A4793" s="167"/>
      <c r="B4793" s="167"/>
    </row>
    <row r="4794" spans="1:2" x14ac:dyDescent="0.25">
      <c r="A4794" s="167"/>
      <c r="B4794" s="167"/>
    </row>
    <row r="4795" spans="1:2" x14ac:dyDescent="0.25">
      <c r="A4795" s="167"/>
      <c r="B4795" s="167"/>
    </row>
    <row r="4796" spans="1:2" x14ac:dyDescent="0.25">
      <c r="A4796" s="167"/>
      <c r="B4796" s="167"/>
    </row>
    <row r="4797" spans="1:2" x14ac:dyDescent="0.25">
      <c r="A4797" s="167"/>
      <c r="B4797" s="167"/>
    </row>
    <row r="4798" spans="1:2" x14ac:dyDescent="0.25">
      <c r="A4798" s="167"/>
      <c r="B4798" s="167"/>
    </row>
    <row r="4799" spans="1:2" x14ac:dyDescent="0.25">
      <c r="A4799" s="167"/>
      <c r="B4799" s="167"/>
    </row>
    <row r="4800" spans="1:2" x14ac:dyDescent="0.25">
      <c r="A4800" s="167"/>
      <c r="B4800" s="167"/>
    </row>
    <row r="4801" spans="1:2" x14ac:dyDescent="0.25">
      <c r="A4801" s="167"/>
      <c r="B4801" s="167"/>
    </row>
    <row r="4802" spans="1:2" x14ac:dyDescent="0.25">
      <c r="A4802" s="167"/>
      <c r="B4802" s="167"/>
    </row>
    <row r="4803" spans="1:2" x14ac:dyDescent="0.25">
      <c r="A4803" s="167"/>
      <c r="B4803" s="167"/>
    </row>
    <row r="4804" spans="1:2" x14ac:dyDescent="0.25">
      <c r="A4804" s="167"/>
      <c r="B4804" s="167"/>
    </row>
    <row r="4805" spans="1:2" x14ac:dyDescent="0.25">
      <c r="A4805" s="167"/>
      <c r="B4805" s="167"/>
    </row>
    <row r="4806" spans="1:2" x14ac:dyDescent="0.25">
      <c r="A4806" s="167"/>
      <c r="B4806" s="167"/>
    </row>
    <row r="4807" spans="1:2" x14ac:dyDescent="0.25">
      <c r="A4807" s="167"/>
      <c r="B4807" s="167"/>
    </row>
    <row r="4808" spans="1:2" x14ac:dyDescent="0.25">
      <c r="A4808" s="167"/>
      <c r="B4808" s="167"/>
    </row>
    <row r="4809" spans="1:2" x14ac:dyDescent="0.25">
      <c r="A4809" s="167"/>
      <c r="B4809" s="167"/>
    </row>
    <row r="4810" spans="1:2" x14ac:dyDescent="0.25">
      <c r="A4810" s="167"/>
      <c r="B4810" s="167"/>
    </row>
    <row r="4811" spans="1:2" x14ac:dyDescent="0.25">
      <c r="A4811" s="167"/>
      <c r="B4811" s="167"/>
    </row>
    <row r="4812" spans="1:2" x14ac:dyDescent="0.25">
      <c r="A4812" s="167"/>
      <c r="B4812" s="167"/>
    </row>
    <row r="4813" spans="1:2" x14ac:dyDescent="0.25">
      <c r="A4813" s="167"/>
      <c r="B4813" s="167"/>
    </row>
    <row r="4814" spans="1:2" x14ac:dyDescent="0.25">
      <c r="A4814" s="167"/>
      <c r="B4814" s="167"/>
    </row>
    <row r="4815" spans="1:2" x14ac:dyDescent="0.25">
      <c r="A4815" s="167"/>
      <c r="B4815" s="167"/>
    </row>
    <row r="4816" spans="1:2" x14ac:dyDescent="0.25">
      <c r="A4816" s="167"/>
      <c r="B4816" s="167"/>
    </row>
    <row r="4817" spans="1:2" x14ac:dyDescent="0.25">
      <c r="A4817" s="167"/>
      <c r="B4817" s="167"/>
    </row>
    <row r="4818" spans="1:2" x14ac:dyDescent="0.25">
      <c r="A4818" s="167"/>
      <c r="B4818" s="167"/>
    </row>
    <row r="4819" spans="1:2" x14ac:dyDescent="0.25">
      <c r="A4819" s="167"/>
      <c r="B4819" s="167"/>
    </row>
    <row r="4820" spans="1:2" x14ac:dyDescent="0.25">
      <c r="A4820" s="167"/>
      <c r="B4820" s="167"/>
    </row>
    <row r="4821" spans="1:2" x14ac:dyDescent="0.25">
      <c r="A4821" s="167"/>
      <c r="B4821" s="167"/>
    </row>
    <row r="4822" spans="1:2" x14ac:dyDescent="0.25">
      <c r="A4822" s="167"/>
      <c r="B4822" s="167"/>
    </row>
    <row r="4823" spans="1:2" x14ac:dyDescent="0.25">
      <c r="A4823" s="167"/>
      <c r="B4823" s="167"/>
    </row>
    <row r="4824" spans="1:2" x14ac:dyDescent="0.25">
      <c r="A4824" s="167"/>
      <c r="B4824" s="167"/>
    </row>
    <row r="4825" spans="1:2" x14ac:dyDescent="0.25">
      <c r="A4825" s="167"/>
      <c r="B4825" s="167"/>
    </row>
    <row r="4826" spans="1:2" x14ac:dyDescent="0.25">
      <c r="A4826" s="167"/>
      <c r="B4826" s="167"/>
    </row>
    <row r="4827" spans="1:2" x14ac:dyDescent="0.25">
      <c r="A4827" s="167"/>
      <c r="B4827" s="167"/>
    </row>
    <row r="4828" spans="1:2" x14ac:dyDescent="0.25">
      <c r="A4828" s="167"/>
      <c r="B4828" s="167"/>
    </row>
    <row r="4829" spans="1:2" x14ac:dyDescent="0.25">
      <c r="A4829" s="167"/>
      <c r="B4829" s="167"/>
    </row>
    <row r="4830" spans="1:2" x14ac:dyDescent="0.25">
      <c r="A4830" s="167"/>
      <c r="B4830" s="167"/>
    </row>
    <row r="4831" spans="1:2" x14ac:dyDescent="0.25">
      <c r="A4831" s="167"/>
      <c r="B4831" s="167"/>
    </row>
    <row r="4832" spans="1:2" x14ac:dyDescent="0.25">
      <c r="A4832" s="167"/>
      <c r="B4832" s="167"/>
    </row>
    <row r="4833" spans="1:2" x14ac:dyDescent="0.25">
      <c r="A4833" s="167"/>
      <c r="B4833" s="167"/>
    </row>
    <row r="4834" spans="1:2" x14ac:dyDescent="0.25">
      <c r="A4834" s="167"/>
      <c r="B4834" s="167"/>
    </row>
    <row r="4835" spans="1:2" x14ac:dyDescent="0.25">
      <c r="A4835" s="167"/>
      <c r="B4835" s="167"/>
    </row>
    <row r="4836" spans="1:2" x14ac:dyDescent="0.25">
      <c r="A4836" s="167"/>
      <c r="B4836" s="167"/>
    </row>
    <row r="4837" spans="1:2" x14ac:dyDescent="0.25">
      <c r="A4837" s="167"/>
      <c r="B4837" s="167"/>
    </row>
    <row r="4838" spans="1:2" x14ac:dyDescent="0.25">
      <c r="A4838" s="167"/>
      <c r="B4838" s="167"/>
    </row>
    <row r="4839" spans="1:2" x14ac:dyDescent="0.25">
      <c r="A4839" s="167"/>
      <c r="B4839" s="167"/>
    </row>
    <row r="4840" spans="1:2" x14ac:dyDescent="0.25">
      <c r="A4840" s="167"/>
      <c r="B4840" s="167"/>
    </row>
    <row r="4841" spans="1:2" x14ac:dyDescent="0.25">
      <c r="A4841" s="167"/>
      <c r="B4841" s="167"/>
    </row>
    <row r="4842" spans="1:2" x14ac:dyDescent="0.25">
      <c r="A4842" s="167"/>
      <c r="B4842" s="167"/>
    </row>
    <row r="4843" spans="1:2" x14ac:dyDescent="0.25">
      <c r="A4843" s="167"/>
      <c r="B4843" s="167"/>
    </row>
    <row r="4844" spans="1:2" x14ac:dyDescent="0.25">
      <c r="A4844" s="167"/>
      <c r="B4844" s="167"/>
    </row>
    <row r="4845" spans="1:2" x14ac:dyDescent="0.25">
      <c r="A4845" s="167"/>
      <c r="B4845" s="167"/>
    </row>
    <row r="4846" spans="1:2" x14ac:dyDescent="0.25">
      <c r="A4846" s="167"/>
      <c r="B4846" s="167"/>
    </row>
    <row r="4847" spans="1:2" x14ac:dyDescent="0.25">
      <c r="A4847" s="167"/>
      <c r="B4847" s="167"/>
    </row>
    <row r="4848" spans="1:2" x14ac:dyDescent="0.25">
      <c r="A4848" s="167"/>
      <c r="B4848" s="167"/>
    </row>
    <row r="4849" spans="1:2" x14ac:dyDescent="0.25">
      <c r="A4849" s="167"/>
      <c r="B4849" s="167"/>
    </row>
    <row r="4850" spans="1:2" x14ac:dyDescent="0.25">
      <c r="A4850" s="167"/>
      <c r="B4850" s="167"/>
    </row>
    <row r="4851" spans="1:2" x14ac:dyDescent="0.25">
      <c r="A4851" s="167"/>
      <c r="B4851" s="167"/>
    </row>
    <row r="4852" spans="1:2" x14ac:dyDescent="0.25">
      <c r="A4852" s="167"/>
      <c r="B4852" s="167"/>
    </row>
    <row r="4853" spans="1:2" x14ac:dyDescent="0.25">
      <c r="A4853" s="167"/>
      <c r="B4853" s="167"/>
    </row>
    <row r="4854" spans="1:2" x14ac:dyDescent="0.25">
      <c r="A4854" s="167"/>
      <c r="B4854" s="167"/>
    </row>
    <row r="4855" spans="1:2" x14ac:dyDescent="0.25">
      <c r="A4855" s="167"/>
      <c r="B4855" s="167"/>
    </row>
    <row r="4856" spans="1:2" x14ac:dyDescent="0.25">
      <c r="A4856" s="167"/>
      <c r="B4856" s="167"/>
    </row>
    <row r="4857" spans="1:2" x14ac:dyDescent="0.25">
      <c r="A4857" s="167"/>
      <c r="B4857" s="167"/>
    </row>
    <row r="4858" spans="1:2" x14ac:dyDescent="0.25">
      <c r="A4858" s="167"/>
      <c r="B4858" s="167"/>
    </row>
    <row r="4859" spans="1:2" x14ac:dyDescent="0.25">
      <c r="A4859" s="167"/>
      <c r="B4859" s="167"/>
    </row>
    <row r="4860" spans="1:2" x14ac:dyDescent="0.25">
      <c r="A4860" s="167"/>
      <c r="B4860" s="167"/>
    </row>
    <row r="4861" spans="1:2" x14ac:dyDescent="0.25">
      <c r="A4861" s="167"/>
      <c r="B4861" s="167"/>
    </row>
    <row r="4862" spans="1:2" x14ac:dyDescent="0.25">
      <c r="A4862" s="167"/>
      <c r="B4862" s="167"/>
    </row>
    <row r="4863" spans="1:2" x14ac:dyDescent="0.25">
      <c r="A4863" s="167"/>
      <c r="B4863" s="167"/>
    </row>
    <row r="4864" spans="1:2" x14ac:dyDescent="0.25">
      <c r="A4864" s="167"/>
      <c r="B4864" s="167"/>
    </row>
    <row r="4865" spans="1:2" x14ac:dyDescent="0.25">
      <c r="A4865" s="167"/>
      <c r="B4865" s="167"/>
    </row>
    <row r="4866" spans="1:2" x14ac:dyDescent="0.25">
      <c r="A4866" s="167"/>
      <c r="B4866" s="167"/>
    </row>
    <row r="4867" spans="1:2" x14ac:dyDescent="0.25">
      <c r="A4867" s="167"/>
      <c r="B4867" s="167"/>
    </row>
    <row r="4868" spans="1:2" x14ac:dyDescent="0.25">
      <c r="A4868" s="167"/>
      <c r="B4868" s="167"/>
    </row>
    <row r="4869" spans="1:2" x14ac:dyDescent="0.25">
      <c r="A4869" s="167"/>
      <c r="B4869" s="167"/>
    </row>
    <row r="4870" spans="1:2" x14ac:dyDescent="0.25">
      <c r="A4870" s="167"/>
      <c r="B4870" s="167"/>
    </row>
    <row r="4871" spans="1:2" x14ac:dyDescent="0.25">
      <c r="A4871" s="167"/>
      <c r="B4871" s="167"/>
    </row>
    <row r="4872" spans="1:2" x14ac:dyDescent="0.25">
      <c r="A4872" s="167"/>
      <c r="B4872" s="167"/>
    </row>
    <row r="4873" spans="1:2" x14ac:dyDescent="0.25">
      <c r="A4873" s="167"/>
      <c r="B4873" s="167"/>
    </row>
    <row r="4874" spans="1:2" x14ac:dyDescent="0.25">
      <c r="A4874" s="167"/>
      <c r="B4874" s="167"/>
    </row>
    <row r="4875" spans="1:2" x14ac:dyDescent="0.25">
      <c r="A4875" s="167"/>
      <c r="B4875" s="167"/>
    </row>
    <row r="4876" spans="1:2" x14ac:dyDescent="0.25">
      <c r="A4876" s="167"/>
      <c r="B4876" s="167"/>
    </row>
    <row r="4877" spans="1:2" x14ac:dyDescent="0.25">
      <c r="A4877" s="167"/>
      <c r="B4877" s="167"/>
    </row>
    <row r="4878" spans="1:2" x14ac:dyDescent="0.25">
      <c r="A4878" s="167"/>
      <c r="B4878" s="167"/>
    </row>
    <row r="4879" spans="1:2" x14ac:dyDescent="0.25">
      <c r="A4879" s="167"/>
      <c r="B4879" s="167"/>
    </row>
    <row r="4880" spans="1:2" x14ac:dyDescent="0.25">
      <c r="A4880" s="167"/>
      <c r="B4880" s="167"/>
    </row>
    <row r="4881" spans="1:2" x14ac:dyDescent="0.25">
      <c r="A4881" s="167"/>
      <c r="B4881" s="167"/>
    </row>
    <row r="4882" spans="1:2" x14ac:dyDescent="0.25">
      <c r="A4882" s="167"/>
      <c r="B4882" s="167"/>
    </row>
    <row r="4883" spans="1:2" x14ac:dyDescent="0.25">
      <c r="A4883" s="167"/>
      <c r="B4883" s="167"/>
    </row>
    <row r="4884" spans="1:2" x14ac:dyDescent="0.25">
      <c r="A4884" s="167"/>
      <c r="B4884" s="167"/>
    </row>
    <row r="4885" spans="1:2" x14ac:dyDescent="0.25">
      <c r="A4885" s="167"/>
      <c r="B4885" s="167"/>
    </row>
    <row r="4886" spans="1:2" x14ac:dyDescent="0.25">
      <c r="A4886" s="167"/>
      <c r="B4886" s="167"/>
    </row>
    <row r="4887" spans="1:2" x14ac:dyDescent="0.25">
      <c r="A4887" s="167"/>
      <c r="B4887" s="167"/>
    </row>
    <row r="4888" spans="1:2" x14ac:dyDescent="0.25">
      <c r="A4888" s="167"/>
      <c r="B4888" s="167"/>
    </row>
    <row r="4889" spans="1:2" x14ac:dyDescent="0.25">
      <c r="A4889" s="167"/>
      <c r="B4889" s="167"/>
    </row>
    <row r="4890" spans="1:2" x14ac:dyDescent="0.25">
      <c r="A4890" s="167"/>
      <c r="B4890" s="167"/>
    </row>
    <row r="4891" spans="1:2" x14ac:dyDescent="0.25">
      <c r="A4891" s="167"/>
      <c r="B4891" s="167"/>
    </row>
    <row r="4892" spans="1:2" x14ac:dyDescent="0.25">
      <c r="A4892" s="167"/>
      <c r="B4892" s="167"/>
    </row>
    <row r="4893" spans="1:2" x14ac:dyDescent="0.25">
      <c r="A4893" s="167"/>
      <c r="B4893" s="167"/>
    </row>
    <row r="4894" spans="1:2" x14ac:dyDescent="0.25">
      <c r="A4894" s="167"/>
      <c r="B4894" s="167"/>
    </row>
    <row r="4895" spans="1:2" x14ac:dyDescent="0.25">
      <c r="A4895" s="167"/>
      <c r="B4895" s="167"/>
    </row>
    <row r="4896" spans="1:2" x14ac:dyDescent="0.25">
      <c r="A4896" s="167"/>
      <c r="B4896" s="167"/>
    </row>
    <row r="4897" spans="1:2" x14ac:dyDescent="0.25">
      <c r="A4897" s="167"/>
      <c r="B4897" s="167"/>
    </row>
    <row r="4898" spans="1:2" x14ac:dyDescent="0.25">
      <c r="A4898" s="167"/>
      <c r="B4898" s="167"/>
    </row>
    <row r="4899" spans="1:2" x14ac:dyDescent="0.25">
      <c r="A4899" s="167"/>
      <c r="B4899" s="167"/>
    </row>
    <row r="4900" spans="1:2" x14ac:dyDescent="0.25">
      <c r="A4900" s="167"/>
      <c r="B4900" s="167"/>
    </row>
    <row r="4901" spans="1:2" x14ac:dyDescent="0.25">
      <c r="A4901" s="167"/>
      <c r="B4901" s="167"/>
    </row>
    <row r="4902" spans="1:2" x14ac:dyDescent="0.25">
      <c r="A4902" s="167"/>
      <c r="B4902" s="167"/>
    </row>
    <row r="4903" spans="1:2" x14ac:dyDescent="0.25">
      <c r="A4903" s="167"/>
      <c r="B4903" s="167"/>
    </row>
    <row r="4904" spans="1:2" x14ac:dyDescent="0.25">
      <c r="A4904" s="167"/>
      <c r="B4904" s="167"/>
    </row>
    <row r="4905" spans="1:2" x14ac:dyDescent="0.25">
      <c r="A4905" s="167"/>
      <c r="B4905" s="167"/>
    </row>
    <row r="4906" spans="1:2" x14ac:dyDescent="0.25">
      <c r="A4906" s="167"/>
      <c r="B4906" s="167"/>
    </row>
    <row r="4907" spans="1:2" x14ac:dyDescent="0.25">
      <c r="A4907" s="167"/>
      <c r="B4907" s="167"/>
    </row>
    <row r="4908" spans="1:2" x14ac:dyDescent="0.25">
      <c r="A4908" s="167"/>
      <c r="B4908" s="167"/>
    </row>
    <row r="4909" spans="1:2" x14ac:dyDescent="0.25">
      <c r="A4909" s="167"/>
      <c r="B4909" s="167"/>
    </row>
    <row r="4910" spans="1:2" x14ac:dyDescent="0.25">
      <c r="A4910" s="167"/>
      <c r="B4910" s="167"/>
    </row>
    <row r="4911" spans="1:2" x14ac:dyDescent="0.25">
      <c r="A4911" s="167"/>
      <c r="B4911" s="167"/>
    </row>
    <row r="4912" spans="1:2" x14ac:dyDescent="0.25">
      <c r="A4912" s="167"/>
      <c r="B4912" s="167"/>
    </row>
    <row r="4913" spans="1:2" x14ac:dyDescent="0.25">
      <c r="A4913" s="167"/>
      <c r="B4913" s="167"/>
    </row>
    <row r="4914" spans="1:2" x14ac:dyDescent="0.25">
      <c r="A4914" s="167"/>
      <c r="B4914" s="167"/>
    </row>
    <row r="4915" spans="1:2" x14ac:dyDescent="0.25">
      <c r="A4915" s="167"/>
      <c r="B4915" s="167"/>
    </row>
    <row r="4916" spans="1:2" x14ac:dyDescent="0.25">
      <c r="A4916" s="167"/>
      <c r="B4916" s="167"/>
    </row>
    <row r="4917" spans="1:2" x14ac:dyDescent="0.25">
      <c r="A4917" s="167"/>
      <c r="B4917" s="167"/>
    </row>
    <row r="4918" spans="1:2" x14ac:dyDescent="0.25">
      <c r="A4918" s="167"/>
      <c r="B4918" s="167"/>
    </row>
    <row r="4919" spans="1:2" x14ac:dyDescent="0.25">
      <c r="A4919" s="167"/>
      <c r="B4919" s="167"/>
    </row>
    <row r="4920" spans="1:2" x14ac:dyDescent="0.25">
      <c r="A4920" s="167"/>
      <c r="B4920" s="167"/>
    </row>
    <row r="4921" spans="1:2" x14ac:dyDescent="0.25">
      <c r="A4921" s="167"/>
      <c r="B4921" s="167"/>
    </row>
    <row r="4922" spans="1:2" x14ac:dyDescent="0.25">
      <c r="A4922" s="167"/>
      <c r="B4922" s="167"/>
    </row>
    <row r="4923" spans="1:2" x14ac:dyDescent="0.25">
      <c r="A4923" s="167"/>
      <c r="B4923" s="167"/>
    </row>
    <row r="4924" spans="1:2" x14ac:dyDescent="0.25">
      <c r="A4924" s="167"/>
      <c r="B4924" s="167"/>
    </row>
    <row r="4925" spans="1:2" x14ac:dyDescent="0.25">
      <c r="A4925" s="167"/>
      <c r="B4925" s="167"/>
    </row>
    <row r="4926" spans="1:2" x14ac:dyDescent="0.25">
      <c r="A4926" s="167"/>
      <c r="B4926" s="167"/>
    </row>
    <row r="4927" spans="1:2" x14ac:dyDescent="0.25">
      <c r="A4927" s="167"/>
      <c r="B4927" s="167"/>
    </row>
    <row r="4928" spans="1:2" x14ac:dyDescent="0.25">
      <c r="A4928" s="167"/>
      <c r="B4928" s="167"/>
    </row>
    <row r="4929" spans="1:2" x14ac:dyDescent="0.25">
      <c r="A4929" s="167"/>
      <c r="B4929" s="167"/>
    </row>
    <row r="4930" spans="1:2" x14ac:dyDescent="0.25">
      <c r="A4930" s="167"/>
      <c r="B4930" s="167"/>
    </row>
    <row r="4931" spans="1:2" x14ac:dyDescent="0.25">
      <c r="A4931" s="167"/>
      <c r="B4931" s="167"/>
    </row>
    <row r="4932" spans="1:2" x14ac:dyDescent="0.25">
      <c r="A4932" s="167"/>
      <c r="B4932" s="167"/>
    </row>
    <row r="4933" spans="1:2" x14ac:dyDescent="0.25">
      <c r="A4933" s="167"/>
      <c r="B4933" s="167"/>
    </row>
    <row r="4934" spans="1:2" x14ac:dyDescent="0.25">
      <c r="A4934" s="167"/>
      <c r="B4934" s="167"/>
    </row>
    <row r="4935" spans="1:2" x14ac:dyDescent="0.25">
      <c r="A4935" s="167"/>
      <c r="B4935" s="167"/>
    </row>
    <row r="4936" spans="1:2" x14ac:dyDescent="0.25">
      <c r="A4936" s="167"/>
      <c r="B4936" s="167"/>
    </row>
    <row r="4937" spans="1:2" x14ac:dyDescent="0.25">
      <c r="A4937" s="167"/>
      <c r="B4937" s="167"/>
    </row>
    <row r="4938" spans="1:2" x14ac:dyDescent="0.25">
      <c r="A4938" s="167"/>
      <c r="B4938" s="167"/>
    </row>
    <row r="4939" spans="1:2" x14ac:dyDescent="0.25">
      <c r="A4939" s="167"/>
      <c r="B4939" s="167"/>
    </row>
    <row r="4940" spans="1:2" x14ac:dyDescent="0.25">
      <c r="A4940" s="167"/>
      <c r="B4940" s="167"/>
    </row>
    <row r="4941" spans="1:2" x14ac:dyDescent="0.25">
      <c r="A4941" s="167"/>
      <c r="B4941" s="167"/>
    </row>
    <row r="4942" spans="1:2" x14ac:dyDescent="0.25">
      <c r="A4942" s="167"/>
      <c r="B4942" s="167"/>
    </row>
    <row r="4943" spans="1:2" x14ac:dyDescent="0.25">
      <c r="A4943" s="167"/>
      <c r="B4943" s="167"/>
    </row>
    <row r="4944" spans="1:2" x14ac:dyDescent="0.25">
      <c r="A4944" s="167"/>
      <c r="B4944" s="167"/>
    </row>
    <row r="4945" spans="1:2" x14ac:dyDescent="0.25">
      <c r="A4945" s="167"/>
      <c r="B4945" s="167"/>
    </row>
    <row r="4946" spans="1:2" x14ac:dyDescent="0.25">
      <c r="A4946" s="167"/>
      <c r="B4946" s="167"/>
    </row>
    <row r="4947" spans="1:2" x14ac:dyDescent="0.25">
      <c r="A4947" s="167"/>
      <c r="B4947" s="167"/>
    </row>
    <row r="4948" spans="1:2" x14ac:dyDescent="0.25">
      <c r="A4948" s="167"/>
      <c r="B4948" s="167"/>
    </row>
    <row r="4949" spans="1:2" x14ac:dyDescent="0.25">
      <c r="A4949" s="167"/>
      <c r="B4949" s="167"/>
    </row>
    <row r="4950" spans="1:2" x14ac:dyDescent="0.25">
      <c r="A4950" s="167"/>
      <c r="B4950" s="167"/>
    </row>
    <row r="4951" spans="1:2" x14ac:dyDescent="0.25">
      <c r="A4951" s="167"/>
      <c r="B4951" s="167"/>
    </row>
    <row r="4952" spans="1:2" x14ac:dyDescent="0.25">
      <c r="A4952" s="167"/>
      <c r="B4952" s="167"/>
    </row>
    <row r="4953" spans="1:2" x14ac:dyDescent="0.25">
      <c r="A4953" s="167"/>
      <c r="B4953" s="167"/>
    </row>
    <row r="4954" spans="1:2" x14ac:dyDescent="0.25">
      <c r="A4954" s="167"/>
      <c r="B4954" s="167"/>
    </row>
  </sheetData>
  <mergeCells count="8">
    <mergeCell ref="A1:K1"/>
    <mergeCell ref="A2:K2"/>
    <mergeCell ref="A3:K3"/>
    <mergeCell ref="A6:A7"/>
    <mergeCell ref="B6:B7"/>
    <mergeCell ref="C6:E6"/>
    <mergeCell ref="F6:H6"/>
    <mergeCell ref="I6:K6"/>
  </mergeCells>
  <printOptions horizontalCentered="1"/>
  <pageMargins left="0.51181102362204722" right="0.51181102362204722" top="0.47244094488188981" bottom="0.74803149606299213" header="0.31496062992125984" footer="0.31496062992125984"/>
  <pageSetup paperSize="9" scale="68" orientation="landscape" r:id="rId1"/>
  <headerFooter>
    <oddHeader>&amp;R&amp;"Times New Roman CE,Dőlt"&amp;10 3. melléklet
a 3/2016.(II.12.) önkormányzati rendelethez&amp;X3</oddHeader>
    <oddFooter>&amp;L&amp;X3&amp;XMódosította a 6/2017.(II.24.) önkormányzati rendelet 4.§ (3) bekezdése, hatályos 2017. február 24. 12 órától&amp;C&amp;P.oldal</oddFooter>
  </headerFooter>
  <rowBreaks count="2" manualBreakCount="2">
    <brk id="26" max="10" man="1"/>
    <brk id="51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9"/>
  <sheetViews>
    <sheetView zoomScaleNormal="100" workbookViewId="0">
      <selection activeCell="AH33" sqref="AH33"/>
    </sheetView>
  </sheetViews>
  <sheetFormatPr defaultRowHeight="15.75" x14ac:dyDescent="0.25"/>
  <cols>
    <col min="1" max="1" width="35.75" style="186" customWidth="1"/>
    <col min="2" max="2" width="11" style="186" customWidth="1"/>
    <col min="3" max="3" width="14.75" style="208" customWidth="1"/>
    <col min="4" max="4" width="14.5" style="208" customWidth="1"/>
    <col min="5" max="5" width="15" style="208" customWidth="1"/>
    <col min="6" max="6" width="14.375" style="208" customWidth="1"/>
    <col min="7" max="7" width="14.25" style="208" customWidth="1"/>
    <col min="8" max="8" width="14.625" style="208" customWidth="1"/>
    <col min="9" max="9" width="14.75" style="208" customWidth="1"/>
    <col min="10" max="10" width="14.375" style="208" customWidth="1"/>
    <col min="11" max="11" width="14.75" style="208" customWidth="1"/>
    <col min="12" max="254" width="9" style="186"/>
  </cols>
  <sheetData>
    <row r="1" spans="1:254" x14ac:dyDescent="0.25">
      <c r="A1" s="1239" t="s">
        <v>417</v>
      </c>
      <c r="B1" s="1239"/>
      <c r="C1" s="1239"/>
      <c r="D1" s="1239"/>
      <c r="E1" s="1239"/>
      <c r="F1" s="1239"/>
      <c r="G1" s="1239"/>
      <c r="H1" s="1239"/>
      <c r="I1" s="1239"/>
      <c r="J1" s="1239"/>
      <c r="K1" s="1239"/>
    </row>
    <row r="2" spans="1:254" x14ac:dyDescent="0.25">
      <c r="A2" s="1239" t="s">
        <v>860</v>
      </c>
      <c r="B2" s="1239"/>
      <c r="C2" s="1239"/>
      <c r="D2" s="1239"/>
      <c r="E2" s="1239"/>
      <c r="F2" s="1239"/>
      <c r="G2" s="1239"/>
      <c r="H2" s="1239"/>
      <c r="I2" s="1239"/>
      <c r="J2" s="1239"/>
      <c r="K2" s="1239"/>
    </row>
    <row r="3" spans="1:254" x14ac:dyDescent="0.25">
      <c r="A3" s="1239" t="s">
        <v>1391</v>
      </c>
      <c r="B3" s="1239"/>
      <c r="C3" s="1239"/>
      <c r="D3" s="1239"/>
      <c r="E3" s="1239"/>
      <c r="F3" s="1239"/>
      <c r="G3" s="1239"/>
      <c r="H3" s="1239"/>
      <c r="I3" s="1239"/>
      <c r="J3" s="1239"/>
      <c r="K3" s="1239"/>
    </row>
    <row r="5" spans="1:254" ht="16.5" thickBot="1" x14ac:dyDescent="0.3"/>
    <row r="6" spans="1:254" ht="46.5" customHeight="1" thickTop="1" thickBot="1" x14ac:dyDescent="0.3">
      <c r="A6" s="1247" t="s">
        <v>249</v>
      </c>
      <c r="B6" s="1247" t="s">
        <v>345</v>
      </c>
      <c r="C6" s="1228" t="s">
        <v>82</v>
      </c>
      <c r="D6" s="1229"/>
      <c r="E6" s="1230"/>
      <c r="F6" s="1241" t="s">
        <v>418</v>
      </c>
      <c r="G6" s="1242"/>
      <c r="H6" s="1243"/>
      <c r="I6" s="1249" t="s">
        <v>270</v>
      </c>
      <c r="J6" s="1250"/>
      <c r="K6" s="125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</row>
    <row r="7" spans="1:254" ht="33" thickTop="1" thickBot="1" x14ac:dyDescent="0.3">
      <c r="A7" s="1248"/>
      <c r="B7" s="1248"/>
      <c r="C7" s="1140" t="s">
        <v>1125</v>
      </c>
      <c r="D7" s="1142" t="s">
        <v>1124</v>
      </c>
      <c r="E7" s="1142" t="s">
        <v>1202</v>
      </c>
      <c r="F7" s="1142" t="s">
        <v>1125</v>
      </c>
      <c r="G7" s="1142" t="s">
        <v>1124</v>
      </c>
      <c r="H7" s="1142" t="s">
        <v>1202</v>
      </c>
      <c r="I7" s="1142" t="s">
        <v>1125</v>
      </c>
      <c r="J7" s="1141" t="s">
        <v>1124</v>
      </c>
      <c r="K7" s="1141" t="s">
        <v>1202</v>
      </c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73"/>
      <c r="BN7" s="173"/>
      <c r="BO7" s="173"/>
      <c r="BP7" s="173"/>
      <c r="BQ7" s="173"/>
      <c r="BR7" s="173"/>
      <c r="BS7" s="173"/>
      <c r="BT7" s="173"/>
      <c r="BU7" s="173"/>
      <c r="BV7" s="173"/>
      <c r="BW7" s="173"/>
      <c r="BX7" s="173"/>
      <c r="BY7" s="173"/>
      <c r="BZ7" s="173"/>
      <c r="CA7" s="173"/>
      <c r="CB7" s="173"/>
      <c r="CC7" s="173"/>
      <c r="CD7" s="173"/>
      <c r="CE7" s="173"/>
      <c r="CF7" s="173"/>
      <c r="CG7" s="173"/>
      <c r="CH7" s="173"/>
      <c r="CI7" s="173"/>
      <c r="CJ7" s="173"/>
      <c r="CK7" s="173"/>
      <c r="CL7" s="173"/>
      <c r="CM7" s="173"/>
      <c r="CN7" s="173"/>
      <c r="CO7" s="173"/>
      <c r="CP7" s="173"/>
      <c r="CQ7" s="173"/>
      <c r="CR7" s="173"/>
      <c r="CS7" s="173"/>
      <c r="CT7" s="173"/>
      <c r="CU7" s="173"/>
      <c r="CV7" s="173"/>
      <c r="CW7" s="173"/>
      <c r="CX7" s="173"/>
      <c r="CY7" s="173"/>
      <c r="CZ7" s="173"/>
      <c r="DA7" s="173"/>
      <c r="DB7" s="173"/>
      <c r="DC7" s="173"/>
      <c r="DD7" s="173"/>
      <c r="DE7" s="173"/>
      <c r="DF7" s="173"/>
      <c r="DG7" s="173"/>
      <c r="DH7" s="173"/>
      <c r="DI7" s="173"/>
      <c r="DJ7" s="173"/>
      <c r="DK7" s="173"/>
      <c r="DL7" s="173"/>
      <c r="DM7" s="173"/>
      <c r="DN7" s="173"/>
      <c r="DO7" s="173"/>
      <c r="DP7" s="173"/>
      <c r="DQ7" s="173"/>
      <c r="DR7" s="173"/>
      <c r="DS7" s="173"/>
      <c r="DT7" s="173"/>
      <c r="DU7" s="173"/>
      <c r="DV7" s="173"/>
      <c r="DW7" s="173"/>
      <c r="DX7" s="173"/>
      <c r="DY7" s="173"/>
      <c r="DZ7" s="173"/>
      <c r="EA7" s="173"/>
      <c r="EB7" s="173"/>
      <c r="EC7" s="173"/>
      <c r="ED7" s="173"/>
      <c r="EE7" s="173"/>
      <c r="EF7" s="173"/>
      <c r="EG7" s="173"/>
      <c r="EH7" s="173"/>
      <c r="EI7" s="173"/>
      <c r="EJ7" s="173"/>
      <c r="EK7" s="173"/>
      <c r="EL7" s="173"/>
      <c r="EM7" s="173"/>
      <c r="EN7" s="173"/>
      <c r="EO7" s="173"/>
      <c r="EP7" s="173"/>
      <c r="EQ7" s="173"/>
      <c r="ER7" s="173"/>
      <c r="ES7" s="173"/>
      <c r="ET7" s="173"/>
      <c r="EU7" s="173"/>
      <c r="EV7" s="173"/>
      <c r="EW7" s="173"/>
      <c r="EX7" s="173"/>
      <c r="EY7" s="173"/>
      <c r="EZ7" s="173"/>
      <c r="FA7" s="173"/>
      <c r="FB7" s="173"/>
      <c r="FC7" s="173"/>
      <c r="FD7" s="173"/>
      <c r="FE7" s="173"/>
      <c r="FF7" s="173"/>
      <c r="FG7" s="173"/>
      <c r="FH7" s="173"/>
      <c r="FI7" s="173"/>
      <c r="FJ7" s="173"/>
      <c r="FK7" s="173"/>
      <c r="FL7" s="173"/>
      <c r="FM7" s="173"/>
      <c r="FN7" s="173"/>
      <c r="FO7" s="173"/>
      <c r="FP7" s="173"/>
      <c r="FQ7" s="173"/>
      <c r="FR7" s="173"/>
      <c r="FS7" s="173"/>
      <c r="FT7" s="173"/>
      <c r="FU7" s="173"/>
      <c r="FV7" s="173"/>
      <c r="FW7" s="173"/>
      <c r="FX7" s="173"/>
      <c r="FY7" s="173"/>
      <c r="FZ7" s="173"/>
      <c r="GA7" s="173"/>
      <c r="GB7" s="173"/>
      <c r="GC7" s="173"/>
      <c r="GD7" s="173"/>
      <c r="GE7" s="173"/>
      <c r="GF7" s="173"/>
      <c r="GG7" s="173"/>
      <c r="GH7" s="173"/>
      <c r="GI7" s="173"/>
      <c r="GJ7" s="173"/>
      <c r="GK7" s="173"/>
      <c r="GL7" s="173"/>
      <c r="GM7" s="173"/>
      <c r="GN7" s="173"/>
      <c r="GO7" s="173"/>
      <c r="GP7" s="173"/>
      <c r="GQ7" s="173"/>
      <c r="GR7" s="173"/>
      <c r="GS7" s="173"/>
      <c r="GT7" s="173"/>
      <c r="GU7" s="173"/>
      <c r="GV7" s="173"/>
      <c r="GW7" s="173"/>
      <c r="GX7" s="173"/>
      <c r="GY7" s="173"/>
      <c r="GZ7" s="173"/>
      <c r="HA7" s="173"/>
      <c r="HB7" s="173"/>
      <c r="HC7" s="173"/>
      <c r="HD7" s="173"/>
      <c r="HE7" s="173"/>
      <c r="HF7" s="173"/>
      <c r="HG7" s="173"/>
      <c r="HH7" s="173"/>
      <c r="HI7" s="173"/>
      <c r="HJ7" s="173"/>
      <c r="HK7" s="173"/>
      <c r="HL7" s="173"/>
      <c r="HM7" s="173"/>
      <c r="HN7" s="173"/>
      <c r="HO7" s="173"/>
      <c r="HP7" s="173"/>
      <c r="HQ7" s="173"/>
      <c r="HR7" s="173"/>
      <c r="HS7" s="173"/>
      <c r="HT7" s="173"/>
      <c r="HU7" s="173"/>
      <c r="HV7" s="173"/>
      <c r="HW7" s="173"/>
      <c r="HX7" s="173"/>
      <c r="HY7" s="173"/>
      <c r="HZ7" s="173"/>
      <c r="IA7" s="173"/>
      <c r="IB7" s="173"/>
      <c r="IC7" s="173"/>
      <c r="ID7" s="173"/>
      <c r="IE7" s="173"/>
      <c r="IF7" s="173"/>
      <c r="IG7" s="173"/>
      <c r="IH7" s="173"/>
      <c r="II7" s="173"/>
      <c r="IJ7" s="173"/>
      <c r="IK7" s="173"/>
      <c r="IL7" s="173"/>
      <c r="IM7" s="173"/>
      <c r="IN7" s="173"/>
      <c r="IO7" s="173"/>
      <c r="IP7" s="173"/>
      <c r="IQ7" s="173"/>
      <c r="IR7" s="173"/>
      <c r="IS7" s="173"/>
      <c r="IT7" s="173"/>
    </row>
    <row r="8" spans="1:254" ht="17.25" thickTop="1" thickBot="1" x14ac:dyDescent="0.3">
      <c r="A8" s="339" t="s">
        <v>253</v>
      </c>
      <c r="B8" s="340"/>
      <c r="C8" s="1137" t="s">
        <v>419</v>
      </c>
      <c r="D8" s="1137" t="s">
        <v>1140</v>
      </c>
      <c r="E8" s="1137" t="s">
        <v>1141</v>
      </c>
      <c r="F8" s="1138" t="s">
        <v>420</v>
      </c>
      <c r="G8" s="1138" t="s">
        <v>1142</v>
      </c>
      <c r="H8" s="1138" t="s">
        <v>1143</v>
      </c>
      <c r="I8" s="1137" t="s">
        <v>421</v>
      </c>
      <c r="J8" s="1137" t="s">
        <v>1147</v>
      </c>
      <c r="K8" s="1137" t="s">
        <v>1148</v>
      </c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  <c r="BQ8" s="173"/>
      <c r="BR8" s="173"/>
      <c r="BS8" s="173"/>
      <c r="BT8" s="173"/>
      <c r="BU8" s="173"/>
      <c r="BV8" s="173"/>
      <c r="BW8" s="173"/>
      <c r="BX8" s="173"/>
      <c r="BY8" s="173"/>
      <c r="BZ8" s="173"/>
      <c r="CA8" s="173"/>
      <c r="CB8" s="173"/>
      <c r="CC8" s="173"/>
      <c r="CD8" s="173"/>
      <c r="CE8" s="173"/>
      <c r="CF8" s="173"/>
      <c r="CG8" s="173"/>
      <c r="CH8" s="173"/>
      <c r="CI8" s="173"/>
      <c r="CJ8" s="173"/>
      <c r="CK8" s="173"/>
      <c r="CL8" s="173"/>
      <c r="CM8" s="173"/>
      <c r="CN8" s="173"/>
      <c r="CO8" s="173"/>
      <c r="CP8" s="173"/>
      <c r="CQ8" s="173"/>
      <c r="CR8" s="173"/>
      <c r="CS8" s="173"/>
      <c r="CT8" s="173"/>
      <c r="CU8" s="173"/>
      <c r="CV8" s="173"/>
      <c r="CW8" s="173"/>
      <c r="CX8" s="173"/>
      <c r="CY8" s="173"/>
      <c r="CZ8" s="173"/>
      <c r="DA8" s="173"/>
      <c r="DB8" s="173"/>
      <c r="DC8" s="173"/>
      <c r="DD8" s="173"/>
      <c r="DE8" s="173"/>
      <c r="DF8" s="173"/>
      <c r="DG8" s="173"/>
      <c r="DH8" s="173"/>
      <c r="DI8" s="173"/>
      <c r="DJ8" s="173"/>
      <c r="DK8" s="173"/>
      <c r="DL8" s="173"/>
      <c r="DM8" s="173"/>
      <c r="DN8" s="173"/>
      <c r="DO8" s="173"/>
      <c r="DP8" s="173"/>
      <c r="DQ8" s="173"/>
      <c r="DR8" s="173"/>
      <c r="DS8" s="173"/>
      <c r="DT8" s="173"/>
      <c r="DU8" s="173"/>
      <c r="DV8" s="173"/>
      <c r="DW8" s="173"/>
      <c r="DX8" s="173"/>
      <c r="DY8" s="173"/>
      <c r="DZ8" s="173"/>
      <c r="EA8" s="173"/>
      <c r="EB8" s="173"/>
      <c r="EC8" s="173"/>
      <c r="ED8" s="173"/>
      <c r="EE8" s="173"/>
      <c r="EF8" s="173"/>
      <c r="EG8" s="173"/>
      <c r="EH8" s="173"/>
      <c r="EI8" s="173"/>
      <c r="EJ8" s="173"/>
      <c r="EK8" s="173"/>
      <c r="EL8" s="173"/>
      <c r="EM8" s="173"/>
      <c r="EN8" s="173"/>
      <c r="EO8" s="173"/>
      <c r="EP8" s="173"/>
      <c r="EQ8" s="173"/>
      <c r="ER8" s="173"/>
      <c r="ES8" s="173"/>
      <c r="ET8" s="173"/>
      <c r="EU8" s="173"/>
      <c r="EV8" s="173"/>
      <c r="EW8" s="173"/>
      <c r="EX8" s="173"/>
      <c r="EY8" s="173"/>
      <c r="EZ8" s="173"/>
      <c r="FA8" s="173"/>
      <c r="FB8" s="173"/>
      <c r="FC8" s="173"/>
      <c r="FD8" s="173"/>
      <c r="FE8" s="173"/>
      <c r="FF8" s="173"/>
      <c r="FG8" s="173"/>
      <c r="FH8" s="173"/>
      <c r="FI8" s="173"/>
      <c r="FJ8" s="173"/>
      <c r="FK8" s="173"/>
      <c r="FL8" s="173"/>
      <c r="FM8" s="173"/>
      <c r="FN8" s="173"/>
      <c r="FO8" s="173"/>
      <c r="FP8" s="173"/>
      <c r="FQ8" s="173"/>
      <c r="FR8" s="173"/>
      <c r="FS8" s="173"/>
      <c r="FT8" s="173"/>
      <c r="FU8" s="173"/>
      <c r="FV8" s="173"/>
      <c r="FW8" s="173"/>
      <c r="FX8" s="173"/>
      <c r="FY8" s="173"/>
      <c r="FZ8" s="173"/>
      <c r="GA8" s="173"/>
      <c r="GB8" s="173"/>
      <c r="GC8" s="173"/>
      <c r="GD8" s="173"/>
      <c r="GE8" s="173"/>
      <c r="GF8" s="173"/>
      <c r="GG8" s="173"/>
      <c r="GH8" s="173"/>
      <c r="GI8" s="173"/>
      <c r="GJ8" s="173"/>
      <c r="GK8" s="173"/>
      <c r="GL8" s="173"/>
      <c r="GM8" s="173"/>
      <c r="GN8" s="173"/>
      <c r="GO8" s="173"/>
      <c r="GP8" s="173"/>
      <c r="GQ8" s="173"/>
      <c r="GR8" s="173"/>
      <c r="GS8" s="173"/>
      <c r="GT8" s="173"/>
      <c r="GU8" s="173"/>
      <c r="GV8" s="173"/>
      <c r="GW8" s="173"/>
      <c r="GX8" s="173"/>
      <c r="GY8" s="173"/>
      <c r="GZ8" s="173"/>
      <c r="HA8" s="173"/>
      <c r="HB8" s="173"/>
      <c r="HC8" s="173"/>
      <c r="HD8" s="173"/>
      <c r="HE8" s="173"/>
      <c r="HF8" s="173"/>
      <c r="HG8" s="173"/>
      <c r="HH8" s="173"/>
      <c r="HI8" s="173"/>
      <c r="HJ8" s="173"/>
      <c r="HK8" s="173"/>
      <c r="HL8" s="173"/>
      <c r="HM8" s="173"/>
      <c r="HN8" s="173"/>
      <c r="HO8" s="173"/>
      <c r="HP8" s="173"/>
      <c r="HQ8" s="173"/>
      <c r="HR8" s="173"/>
      <c r="HS8" s="173"/>
      <c r="HT8" s="173"/>
      <c r="HU8" s="173"/>
      <c r="HV8" s="173"/>
      <c r="HW8" s="173"/>
      <c r="HX8" s="173"/>
      <c r="HY8" s="173"/>
      <c r="HZ8" s="173"/>
      <c r="IA8" s="173"/>
      <c r="IB8" s="173"/>
      <c r="IC8" s="173"/>
      <c r="ID8" s="173"/>
      <c r="IE8" s="173"/>
      <c r="IF8" s="173"/>
      <c r="IG8" s="173"/>
      <c r="IH8" s="173"/>
      <c r="II8" s="173"/>
      <c r="IJ8" s="173"/>
      <c r="IK8" s="173"/>
      <c r="IL8" s="173"/>
      <c r="IM8" s="173"/>
      <c r="IN8" s="173"/>
      <c r="IO8" s="173"/>
      <c r="IP8" s="173"/>
      <c r="IQ8" s="173"/>
      <c r="IR8" s="173"/>
      <c r="IS8" s="173"/>
      <c r="IT8" s="173"/>
    </row>
    <row r="9" spans="1:254" ht="16.5" thickTop="1" x14ac:dyDescent="0.25">
      <c r="A9" s="177" t="s">
        <v>88</v>
      </c>
      <c r="B9" s="177" t="s">
        <v>346</v>
      </c>
      <c r="C9" s="181">
        <v>264578</v>
      </c>
      <c r="D9" s="181">
        <v>-13906</v>
      </c>
      <c r="E9" s="181">
        <f>SUM(C9:D9)</f>
        <v>250672</v>
      </c>
      <c r="F9" s="181">
        <v>6454704</v>
      </c>
      <c r="G9" s="181">
        <v>145497</v>
      </c>
      <c r="H9" s="181">
        <f>SUM(F9:G9)</f>
        <v>6600201</v>
      </c>
      <c r="I9" s="423">
        <f>SUM(C9+F9)</f>
        <v>6719282</v>
      </c>
      <c r="J9" s="423">
        <f t="shared" ref="J9:K13" si="0">SUM(D9+G9)</f>
        <v>131591</v>
      </c>
      <c r="K9" s="423">
        <f t="shared" si="0"/>
        <v>6850873</v>
      </c>
    </row>
    <row r="10" spans="1:254" ht="31.5" x14ac:dyDescent="0.25">
      <c r="A10" s="187" t="s">
        <v>89</v>
      </c>
      <c r="B10" s="187" t="s">
        <v>347</v>
      </c>
      <c r="C10" s="188">
        <v>89939</v>
      </c>
      <c r="D10" s="188">
        <v>-3993</v>
      </c>
      <c r="E10" s="188">
        <f t="shared" ref="E10:E13" si="1">SUM(C10:D10)</f>
        <v>85946</v>
      </c>
      <c r="F10" s="188">
        <v>1813994</v>
      </c>
      <c r="G10" s="188">
        <v>39198</v>
      </c>
      <c r="H10" s="188">
        <f>SUM(F10:G10)</f>
        <v>1853192</v>
      </c>
      <c r="I10" s="193">
        <f>SUM(C10+F10)</f>
        <v>1903933</v>
      </c>
      <c r="J10" s="193">
        <f t="shared" si="0"/>
        <v>35205</v>
      </c>
      <c r="K10" s="193">
        <f t="shared" si="0"/>
        <v>1939138</v>
      </c>
    </row>
    <row r="11" spans="1:254" x14ac:dyDescent="0.25">
      <c r="A11" s="194" t="s">
        <v>90</v>
      </c>
      <c r="B11" s="194" t="s">
        <v>348</v>
      </c>
      <c r="C11" s="188">
        <v>5900468</v>
      </c>
      <c r="D11" s="188">
        <v>-2380175</v>
      </c>
      <c r="E11" s="188">
        <f t="shared" si="1"/>
        <v>3520293</v>
      </c>
      <c r="F11" s="188">
        <v>4623312</v>
      </c>
      <c r="G11" s="188">
        <v>346604</v>
      </c>
      <c r="H11" s="188">
        <f t="shared" ref="H11:H17" si="2">SUM(F11:G11)</f>
        <v>4969916</v>
      </c>
      <c r="I11" s="193">
        <f>SUM(C11+F11)</f>
        <v>10523780</v>
      </c>
      <c r="J11" s="193">
        <f t="shared" si="0"/>
        <v>-2033571</v>
      </c>
      <c r="K11" s="193">
        <f t="shared" si="0"/>
        <v>8490209</v>
      </c>
    </row>
    <row r="12" spans="1:254" x14ac:dyDescent="0.25">
      <c r="A12" s="194" t="s">
        <v>384</v>
      </c>
      <c r="B12" s="194" t="s">
        <v>349</v>
      </c>
      <c r="C12" s="188">
        <v>65034</v>
      </c>
      <c r="D12" s="188">
        <v>2647</v>
      </c>
      <c r="E12" s="188">
        <f t="shared" si="1"/>
        <v>67681</v>
      </c>
      <c r="F12" s="188">
        <v>12271</v>
      </c>
      <c r="G12" s="188">
        <v>700</v>
      </c>
      <c r="H12" s="188">
        <f t="shared" si="2"/>
        <v>12971</v>
      </c>
      <c r="I12" s="193">
        <f>SUM(C12+F12)</f>
        <v>77305</v>
      </c>
      <c r="J12" s="193">
        <f t="shared" si="0"/>
        <v>3347</v>
      </c>
      <c r="K12" s="193">
        <f t="shared" si="0"/>
        <v>80652</v>
      </c>
    </row>
    <row r="13" spans="1:254" ht="31.5" x14ac:dyDescent="0.25">
      <c r="A13" s="187" t="s">
        <v>385</v>
      </c>
      <c r="B13" s="187" t="s">
        <v>731</v>
      </c>
      <c r="C13" s="188">
        <v>7299001</v>
      </c>
      <c r="D13" s="181">
        <v>13071</v>
      </c>
      <c r="E13" s="188">
        <f t="shared" si="1"/>
        <v>7312072</v>
      </c>
      <c r="F13" s="181">
        <v>8621</v>
      </c>
      <c r="G13" s="181">
        <v>0</v>
      </c>
      <c r="H13" s="188">
        <f t="shared" si="2"/>
        <v>8621</v>
      </c>
      <c r="I13" s="193">
        <f>SUM(C13+F13)</f>
        <v>7307622</v>
      </c>
      <c r="J13" s="193">
        <f t="shared" si="0"/>
        <v>13071</v>
      </c>
      <c r="K13" s="193">
        <f t="shared" si="0"/>
        <v>7320693</v>
      </c>
    </row>
    <row r="14" spans="1:254" ht="31.5" x14ac:dyDescent="0.25">
      <c r="A14" s="686" t="s">
        <v>1072</v>
      </c>
      <c r="B14" s="199"/>
      <c r="C14" s="200">
        <f>SUM(C9+C10+C11+C12+C13)</f>
        <v>13619020</v>
      </c>
      <c r="D14" s="200">
        <f t="shared" ref="D14:E14" si="3">SUM(D9+D10+D11+D12+D13)</f>
        <v>-2382356</v>
      </c>
      <c r="E14" s="200">
        <f t="shared" si="3"/>
        <v>11236664</v>
      </c>
      <c r="F14" s="200">
        <f>SUM(F9+F10+F11+F12+F13)</f>
        <v>12912902</v>
      </c>
      <c r="G14" s="200">
        <f>SUM(G9+G10+G11+G12+G13)</f>
        <v>531999</v>
      </c>
      <c r="H14" s="200">
        <f t="shared" ref="H14" si="4">SUM(H9+H10+H11+H12+H13)</f>
        <v>13444901</v>
      </c>
      <c r="I14" s="200">
        <f>SUM(I9:I12,I13)</f>
        <v>26531922</v>
      </c>
      <c r="J14" s="200">
        <f t="shared" ref="J14:K14" si="5">SUM(J9:J12,J13)</f>
        <v>-1850357</v>
      </c>
      <c r="K14" s="200">
        <f t="shared" si="5"/>
        <v>24681565</v>
      </c>
    </row>
    <row r="15" spans="1:254" x14ac:dyDescent="0.25">
      <c r="A15" s="194" t="s">
        <v>353</v>
      </c>
      <c r="B15" s="194" t="s">
        <v>350</v>
      </c>
      <c r="C15" s="189">
        <v>19682740</v>
      </c>
      <c r="D15" s="189">
        <v>-5589304</v>
      </c>
      <c r="E15" s="189">
        <f>SUM(C15:D15)</f>
        <v>14093436</v>
      </c>
      <c r="F15" s="189">
        <v>237910</v>
      </c>
      <c r="G15" s="189">
        <v>68596</v>
      </c>
      <c r="H15" s="189">
        <f t="shared" si="2"/>
        <v>306506</v>
      </c>
      <c r="I15" s="193">
        <f>SUM(C15+F15)</f>
        <v>19920650</v>
      </c>
      <c r="J15" s="193">
        <f t="shared" ref="J15:K17" si="6">SUM(D15+G15)</f>
        <v>-5520708</v>
      </c>
      <c r="K15" s="193">
        <f t="shared" si="6"/>
        <v>14399942</v>
      </c>
    </row>
    <row r="16" spans="1:254" x14ac:dyDescent="0.25">
      <c r="A16" s="194" t="s">
        <v>354</v>
      </c>
      <c r="B16" s="194" t="s">
        <v>351</v>
      </c>
      <c r="C16" s="189">
        <v>2167651</v>
      </c>
      <c r="D16" s="189">
        <v>-302372</v>
      </c>
      <c r="E16" s="189">
        <f>SUM(C16:D16)</f>
        <v>1865279</v>
      </c>
      <c r="F16" s="189">
        <v>49479</v>
      </c>
      <c r="G16" s="189">
        <v>13444</v>
      </c>
      <c r="H16" s="189">
        <f t="shared" si="2"/>
        <v>62923</v>
      </c>
      <c r="I16" s="193">
        <f>SUM(C16+F16)</f>
        <v>2217130</v>
      </c>
      <c r="J16" s="193">
        <f t="shared" si="6"/>
        <v>-288928</v>
      </c>
      <c r="K16" s="193">
        <f t="shared" si="6"/>
        <v>1928202</v>
      </c>
    </row>
    <row r="17" spans="1:254" x14ac:dyDescent="0.25">
      <c r="A17" s="194" t="s">
        <v>606</v>
      </c>
      <c r="B17" s="194" t="s">
        <v>352</v>
      </c>
      <c r="C17" s="189">
        <v>466296</v>
      </c>
      <c r="D17" s="189">
        <v>29247</v>
      </c>
      <c r="E17" s="189">
        <f>SUM(C17:D17)</f>
        <v>495543</v>
      </c>
      <c r="F17" s="189">
        <v>0</v>
      </c>
      <c r="G17" s="189">
        <v>0</v>
      </c>
      <c r="H17" s="189">
        <f t="shared" si="2"/>
        <v>0</v>
      </c>
      <c r="I17" s="193">
        <f>SUM(C17+F17)</f>
        <v>466296</v>
      </c>
      <c r="J17" s="193">
        <f t="shared" si="6"/>
        <v>29247</v>
      </c>
      <c r="K17" s="193">
        <f t="shared" si="6"/>
        <v>495543</v>
      </c>
    </row>
    <row r="18" spans="1:254" ht="31.5" x14ac:dyDescent="0.25">
      <c r="A18" s="686" t="s">
        <v>1073</v>
      </c>
      <c r="B18" s="322"/>
      <c r="C18" s="201">
        <f>SUM(C15:C17)</f>
        <v>22316687</v>
      </c>
      <c r="D18" s="201">
        <f t="shared" ref="D18:E18" si="7">SUM(D15:D17)</f>
        <v>-5862429</v>
      </c>
      <c r="E18" s="201">
        <f t="shared" si="7"/>
        <v>16454258</v>
      </c>
      <c r="F18" s="200">
        <f>SUM(F15:F17)</f>
        <v>287389</v>
      </c>
      <c r="G18" s="200">
        <f t="shared" ref="G18:H18" si="8">SUM(G15:G17)</f>
        <v>82040</v>
      </c>
      <c r="H18" s="200">
        <f t="shared" si="8"/>
        <v>369429</v>
      </c>
      <c r="I18" s="200">
        <f>SUM(I15:I17)</f>
        <v>22604076</v>
      </c>
      <c r="J18" s="200">
        <f t="shared" ref="J18:K18" si="9">SUM(J15:J17)</f>
        <v>-5780389</v>
      </c>
      <c r="K18" s="200">
        <f t="shared" si="9"/>
        <v>16823687</v>
      </c>
    </row>
    <row r="19" spans="1:254" s="353" customFormat="1" x14ac:dyDescent="0.25">
      <c r="A19" s="349" t="s">
        <v>444</v>
      </c>
      <c r="B19" s="349"/>
      <c r="C19" s="350">
        <v>65767</v>
      </c>
      <c r="D19" s="350">
        <v>-17335</v>
      </c>
      <c r="E19" s="350">
        <f>SUM(C19:D19)</f>
        <v>48432</v>
      </c>
      <c r="F19" s="350">
        <v>0</v>
      </c>
      <c r="G19" s="350">
        <v>0</v>
      </c>
      <c r="H19" s="350">
        <f>SUM(F19:G19)</f>
        <v>0</v>
      </c>
      <c r="I19" s="424">
        <f>SUM(C19+F19)</f>
        <v>65767</v>
      </c>
      <c r="J19" s="424">
        <f t="shared" ref="J19:K20" si="10">SUM(D19+G19)</f>
        <v>-17335</v>
      </c>
      <c r="K19" s="424">
        <f t="shared" si="10"/>
        <v>48432</v>
      </c>
      <c r="L19" s="352"/>
      <c r="M19" s="352"/>
      <c r="N19" s="352"/>
      <c r="O19" s="352"/>
      <c r="P19" s="352"/>
      <c r="Q19" s="352"/>
      <c r="R19" s="352"/>
      <c r="S19" s="352"/>
      <c r="T19" s="352"/>
      <c r="U19" s="352"/>
      <c r="V19" s="352"/>
      <c r="W19" s="352"/>
      <c r="X19" s="352"/>
      <c r="Y19" s="352"/>
      <c r="Z19" s="352"/>
      <c r="AA19" s="352"/>
      <c r="AB19" s="352"/>
      <c r="AC19" s="352"/>
      <c r="AD19" s="352"/>
      <c r="AE19" s="352"/>
      <c r="AF19" s="352"/>
      <c r="AG19" s="352"/>
      <c r="AH19" s="352"/>
      <c r="AI19" s="352"/>
      <c r="AJ19" s="352"/>
      <c r="AK19" s="352"/>
      <c r="AL19" s="352"/>
      <c r="AM19" s="352"/>
      <c r="AN19" s="352"/>
      <c r="AO19" s="352"/>
      <c r="AP19" s="352"/>
      <c r="AQ19" s="352"/>
      <c r="AR19" s="352"/>
      <c r="AS19" s="352"/>
      <c r="AT19" s="352"/>
      <c r="AU19" s="352"/>
      <c r="AV19" s="352"/>
      <c r="AW19" s="352"/>
      <c r="AX19" s="352"/>
      <c r="AY19" s="352"/>
      <c r="AZ19" s="352"/>
      <c r="BA19" s="352"/>
      <c r="BB19" s="352"/>
      <c r="BC19" s="352"/>
      <c r="BD19" s="352"/>
      <c r="BE19" s="352"/>
      <c r="BF19" s="352"/>
      <c r="BG19" s="352"/>
      <c r="BH19" s="352"/>
      <c r="BI19" s="352"/>
      <c r="BJ19" s="352"/>
      <c r="BK19" s="352"/>
      <c r="BL19" s="352"/>
      <c r="BM19" s="352"/>
      <c r="BN19" s="352"/>
      <c r="BO19" s="352"/>
      <c r="BP19" s="352"/>
      <c r="BQ19" s="352"/>
      <c r="BR19" s="352"/>
      <c r="BS19" s="352"/>
      <c r="BT19" s="352"/>
      <c r="BU19" s="352"/>
      <c r="BV19" s="352"/>
      <c r="BW19" s="352"/>
      <c r="BX19" s="352"/>
      <c r="BY19" s="352"/>
      <c r="BZ19" s="352"/>
      <c r="CA19" s="352"/>
      <c r="CB19" s="352"/>
      <c r="CC19" s="352"/>
      <c r="CD19" s="352"/>
      <c r="CE19" s="352"/>
      <c r="CF19" s="352"/>
      <c r="CG19" s="352"/>
      <c r="CH19" s="352"/>
      <c r="CI19" s="352"/>
      <c r="CJ19" s="352"/>
      <c r="CK19" s="352"/>
      <c r="CL19" s="352"/>
      <c r="CM19" s="352"/>
      <c r="CN19" s="352"/>
      <c r="CO19" s="352"/>
      <c r="CP19" s="352"/>
      <c r="CQ19" s="352"/>
      <c r="CR19" s="352"/>
      <c r="CS19" s="352"/>
      <c r="CT19" s="352"/>
      <c r="CU19" s="352"/>
      <c r="CV19" s="352"/>
      <c r="CW19" s="352"/>
      <c r="CX19" s="352"/>
      <c r="CY19" s="352"/>
      <c r="CZ19" s="352"/>
      <c r="DA19" s="352"/>
      <c r="DB19" s="352"/>
      <c r="DC19" s="352"/>
      <c r="DD19" s="352"/>
      <c r="DE19" s="352"/>
      <c r="DF19" s="352"/>
      <c r="DG19" s="352"/>
      <c r="DH19" s="352"/>
      <c r="DI19" s="352"/>
      <c r="DJ19" s="352"/>
      <c r="DK19" s="352"/>
      <c r="DL19" s="352"/>
      <c r="DM19" s="352"/>
      <c r="DN19" s="352"/>
      <c r="DO19" s="352"/>
      <c r="DP19" s="352"/>
      <c r="DQ19" s="352"/>
      <c r="DR19" s="352"/>
      <c r="DS19" s="352"/>
      <c r="DT19" s="352"/>
      <c r="DU19" s="352"/>
      <c r="DV19" s="352"/>
      <c r="DW19" s="352"/>
      <c r="DX19" s="352"/>
      <c r="DY19" s="352"/>
      <c r="DZ19" s="352"/>
      <c r="EA19" s="352"/>
      <c r="EB19" s="352"/>
      <c r="EC19" s="352"/>
      <c r="ED19" s="352"/>
      <c r="EE19" s="352"/>
      <c r="EF19" s="352"/>
      <c r="EG19" s="352"/>
      <c r="EH19" s="352"/>
      <c r="EI19" s="352"/>
      <c r="EJ19" s="352"/>
      <c r="EK19" s="352"/>
      <c r="EL19" s="352"/>
      <c r="EM19" s="352"/>
      <c r="EN19" s="352"/>
      <c r="EO19" s="352"/>
      <c r="EP19" s="352"/>
      <c r="EQ19" s="352"/>
      <c r="ER19" s="352"/>
      <c r="ES19" s="352"/>
      <c r="ET19" s="352"/>
      <c r="EU19" s="352"/>
      <c r="EV19" s="352"/>
      <c r="EW19" s="352"/>
      <c r="EX19" s="352"/>
      <c r="EY19" s="352"/>
      <c r="EZ19" s="352"/>
      <c r="FA19" s="352"/>
      <c r="FB19" s="352"/>
      <c r="FC19" s="352"/>
      <c r="FD19" s="352"/>
      <c r="FE19" s="352"/>
      <c r="FF19" s="352"/>
      <c r="FG19" s="352"/>
      <c r="FH19" s="352"/>
      <c r="FI19" s="352"/>
      <c r="FJ19" s="352"/>
      <c r="FK19" s="352"/>
      <c r="FL19" s="352"/>
      <c r="FM19" s="352"/>
      <c r="FN19" s="352"/>
      <c r="FO19" s="352"/>
      <c r="FP19" s="352"/>
      <c r="FQ19" s="352"/>
      <c r="FR19" s="352"/>
      <c r="FS19" s="352"/>
      <c r="FT19" s="352"/>
      <c r="FU19" s="352"/>
      <c r="FV19" s="352"/>
      <c r="FW19" s="352"/>
      <c r="FX19" s="352"/>
      <c r="FY19" s="352"/>
      <c r="FZ19" s="352"/>
      <c r="GA19" s="352"/>
      <c r="GB19" s="352"/>
      <c r="GC19" s="352"/>
      <c r="GD19" s="352"/>
      <c r="GE19" s="352"/>
      <c r="GF19" s="352"/>
      <c r="GG19" s="352"/>
      <c r="GH19" s="352"/>
      <c r="GI19" s="352"/>
      <c r="GJ19" s="352"/>
      <c r="GK19" s="352"/>
      <c r="GL19" s="352"/>
      <c r="GM19" s="352"/>
      <c r="GN19" s="352"/>
      <c r="GO19" s="352"/>
      <c r="GP19" s="352"/>
      <c r="GQ19" s="352"/>
      <c r="GR19" s="352"/>
      <c r="GS19" s="352"/>
      <c r="GT19" s="352"/>
      <c r="GU19" s="352"/>
      <c r="GV19" s="352"/>
      <c r="GW19" s="352"/>
      <c r="GX19" s="352"/>
      <c r="GY19" s="352"/>
      <c r="GZ19" s="352"/>
      <c r="HA19" s="352"/>
      <c r="HB19" s="352"/>
      <c r="HC19" s="352"/>
      <c r="HD19" s="352"/>
      <c r="HE19" s="352"/>
      <c r="HF19" s="352"/>
      <c r="HG19" s="352"/>
      <c r="HH19" s="352"/>
      <c r="HI19" s="352"/>
      <c r="HJ19" s="352"/>
      <c r="HK19" s="352"/>
      <c r="HL19" s="352"/>
      <c r="HM19" s="352"/>
      <c r="HN19" s="352"/>
      <c r="HO19" s="352"/>
      <c r="HP19" s="352"/>
      <c r="HQ19" s="352"/>
      <c r="HR19" s="352"/>
      <c r="HS19" s="352"/>
      <c r="HT19" s="352"/>
      <c r="HU19" s="352"/>
      <c r="HV19" s="352"/>
      <c r="HW19" s="352"/>
      <c r="HX19" s="352"/>
      <c r="HY19" s="352"/>
      <c r="HZ19" s="352"/>
      <c r="IA19" s="352"/>
      <c r="IB19" s="352"/>
      <c r="IC19" s="352"/>
      <c r="ID19" s="352"/>
      <c r="IE19" s="352"/>
      <c r="IF19" s="352"/>
      <c r="IG19" s="352"/>
      <c r="IH19" s="352"/>
      <c r="II19" s="352"/>
      <c r="IJ19" s="352"/>
      <c r="IK19" s="352"/>
      <c r="IL19" s="352"/>
      <c r="IM19" s="352"/>
      <c r="IN19" s="352"/>
      <c r="IO19" s="352"/>
      <c r="IP19" s="352"/>
      <c r="IQ19" s="352"/>
      <c r="IR19" s="352"/>
      <c r="IS19" s="352"/>
      <c r="IT19" s="352"/>
    </row>
    <row r="20" spans="1:254" s="353" customFormat="1" x14ac:dyDescent="0.25">
      <c r="A20" s="349" t="s">
        <v>445</v>
      </c>
      <c r="B20" s="358"/>
      <c r="C20" s="350">
        <v>4985855</v>
      </c>
      <c r="D20" s="350">
        <v>2357361</v>
      </c>
      <c r="E20" s="350">
        <f>SUM(C20:D20)</f>
        <v>7343216</v>
      </c>
      <c r="F20" s="350">
        <v>0</v>
      </c>
      <c r="G20" s="350">
        <v>0</v>
      </c>
      <c r="H20" s="350">
        <f>SUM(F20:G20)</f>
        <v>0</v>
      </c>
      <c r="I20" s="424">
        <f>SUM(C20+F20)</f>
        <v>4985855</v>
      </c>
      <c r="J20" s="424">
        <f t="shared" si="10"/>
        <v>2357361</v>
      </c>
      <c r="K20" s="424">
        <f t="shared" si="10"/>
        <v>7343216</v>
      </c>
      <c r="L20" s="352"/>
      <c r="M20" s="352"/>
      <c r="N20" s="352"/>
      <c r="O20" s="352"/>
      <c r="P20" s="352"/>
      <c r="Q20" s="352"/>
      <c r="R20" s="352"/>
      <c r="S20" s="352"/>
      <c r="T20" s="352"/>
      <c r="U20" s="352"/>
      <c r="V20" s="352"/>
      <c r="W20" s="352"/>
      <c r="X20" s="352"/>
      <c r="Y20" s="352"/>
      <c r="Z20" s="352"/>
      <c r="AA20" s="352"/>
      <c r="AB20" s="352"/>
      <c r="AC20" s="352"/>
      <c r="AD20" s="352"/>
      <c r="AE20" s="352"/>
      <c r="AF20" s="352"/>
      <c r="AG20" s="352"/>
      <c r="AH20" s="352"/>
      <c r="AI20" s="352"/>
      <c r="AJ20" s="352"/>
      <c r="AK20" s="352"/>
      <c r="AL20" s="352"/>
      <c r="AM20" s="352"/>
      <c r="AN20" s="352"/>
      <c r="AO20" s="352"/>
      <c r="AP20" s="352"/>
      <c r="AQ20" s="352"/>
      <c r="AR20" s="352"/>
      <c r="AS20" s="352"/>
      <c r="AT20" s="352"/>
      <c r="AU20" s="352"/>
      <c r="AV20" s="352"/>
      <c r="AW20" s="352"/>
      <c r="AX20" s="352"/>
      <c r="AY20" s="352"/>
      <c r="AZ20" s="352"/>
      <c r="BA20" s="352"/>
      <c r="BB20" s="352"/>
      <c r="BC20" s="352"/>
      <c r="BD20" s="352"/>
      <c r="BE20" s="352"/>
      <c r="BF20" s="352"/>
      <c r="BG20" s="352"/>
      <c r="BH20" s="352"/>
      <c r="BI20" s="352"/>
      <c r="BJ20" s="352"/>
      <c r="BK20" s="352"/>
      <c r="BL20" s="352"/>
      <c r="BM20" s="352"/>
      <c r="BN20" s="352"/>
      <c r="BO20" s="352"/>
      <c r="BP20" s="352"/>
      <c r="BQ20" s="352"/>
      <c r="BR20" s="352"/>
      <c r="BS20" s="352"/>
      <c r="BT20" s="352"/>
      <c r="BU20" s="352"/>
      <c r="BV20" s="352"/>
      <c r="BW20" s="352"/>
      <c r="BX20" s="352"/>
      <c r="BY20" s="352"/>
      <c r="BZ20" s="352"/>
      <c r="CA20" s="352"/>
      <c r="CB20" s="352"/>
      <c r="CC20" s="352"/>
      <c r="CD20" s="352"/>
      <c r="CE20" s="352"/>
      <c r="CF20" s="352"/>
      <c r="CG20" s="352"/>
      <c r="CH20" s="352"/>
      <c r="CI20" s="352"/>
      <c r="CJ20" s="352"/>
      <c r="CK20" s="352"/>
      <c r="CL20" s="352"/>
      <c r="CM20" s="352"/>
      <c r="CN20" s="352"/>
      <c r="CO20" s="352"/>
      <c r="CP20" s="352"/>
      <c r="CQ20" s="352"/>
      <c r="CR20" s="352"/>
      <c r="CS20" s="352"/>
      <c r="CT20" s="352"/>
      <c r="CU20" s="352"/>
      <c r="CV20" s="352"/>
      <c r="CW20" s="352"/>
      <c r="CX20" s="352"/>
      <c r="CY20" s="352"/>
      <c r="CZ20" s="352"/>
      <c r="DA20" s="352"/>
      <c r="DB20" s="352"/>
      <c r="DC20" s="352"/>
      <c r="DD20" s="352"/>
      <c r="DE20" s="352"/>
      <c r="DF20" s="352"/>
      <c r="DG20" s="352"/>
      <c r="DH20" s="352"/>
      <c r="DI20" s="352"/>
      <c r="DJ20" s="352"/>
      <c r="DK20" s="352"/>
      <c r="DL20" s="352"/>
      <c r="DM20" s="352"/>
      <c r="DN20" s="352"/>
      <c r="DO20" s="352"/>
      <c r="DP20" s="352"/>
      <c r="DQ20" s="352"/>
      <c r="DR20" s="352"/>
      <c r="DS20" s="352"/>
      <c r="DT20" s="352"/>
      <c r="DU20" s="352"/>
      <c r="DV20" s="352"/>
      <c r="DW20" s="352"/>
      <c r="DX20" s="352"/>
      <c r="DY20" s="352"/>
      <c r="DZ20" s="352"/>
      <c r="EA20" s="352"/>
      <c r="EB20" s="352"/>
      <c r="EC20" s="352"/>
      <c r="ED20" s="352"/>
      <c r="EE20" s="352"/>
      <c r="EF20" s="352"/>
      <c r="EG20" s="352"/>
      <c r="EH20" s="352"/>
      <c r="EI20" s="352"/>
      <c r="EJ20" s="352"/>
      <c r="EK20" s="352"/>
      <c r="EL20" s="352"/>
      <c r="EM20" s="352"/>
      <c r="EN20" s="352"/>
      <c r="EO20" s="352"/>
      <c r="EP20" s="352"/>
      <c r="EQ20" s="352"/>
      <c r="ER20" s="352"/>
      <c r="ES20" s="352"/>
      <c r="ET20" s="352"/>
      <c r="EU20" s="352"/>
      <c r="EV20" s="352"/>
      <c r="EW20" s="352"/>
      <c r="EX20" s="352"/>
      <c r="EY20" s="352"/>
      <c r="EZ20" s="352"/>
      <c r="FA20" s="352"/>
      <c r="FB20" s="352"/>
      <c r="FC20" s="352"/>
      <c r="FD20" s="352"/>
      <c r="FE20" s="352"/>
      <c r="FF20" s="352"/>
      <c r="FG20" s="352"/>
      <c r="FH20" s="352"/>
      <c r="FI20" s="352"/>
      <c r="FJ20" s="352"/>
      <c r="FK20" s="352"/>
      <c r="FL20" s="352"/>
      <c r="FM20" s="352"/>
      <c r="FN20" s="352"/>
      <c r="FO20" s="352"/>
      <c r="FP20" s="352"/>
      <c r="FQ20" s="352"/>
      <c r="FR20" s="352"/>
      <c r="FS20" s="352"/>
      <c r="FT20" s="352"/>
      <c r="FU20" s="352"/>
      <c r="FV20" s="352"/>
      <c r="FW20" s="352"/>
      <c r="FX20" s="352"/>
      <c r="FY20" s="352"/>
      <c r="FZ20" s="352"/>
      <c r="GA20" s="352"/>
      <c r="GB20" s="352"/>
      <c r="GC20" s="352"/>
      <c r="GD20" s="352"/>
      <c r="GE20" s="352"/>
      <c r="GF20" s="352"/>
      <c r="GG20" s="352"/>
      <c r="GH20" s="352"/>
      <c r="GI20" s="352"/>
      <c r="GJ20" s="352"/>
      <c r="GK20" s="352"/>
      <c r="GL20" s="352"/>
      <c r="GM20" s="352"/>
      <c r="GN20" s="352"/>
      <c r="GO20" s="352"/>
      <c r="GP20" s="352"/>
      <c r="GQ20" s="352"/>
      <c r="GR20" s="352"/>
      <c r="GS20" s="352"/>
      <c r="GT20" s="352"/>
      <c r="GU20" s="352"/>
      <c r="GV20" s="352"/>
      <c r="GW20" s="352"/>
      <c r="GX20" s="352"/>
      <c r="GY20" s="352"/>
      <c r="GZ20" s="352"/>
      <c r="HA20" s="352"/>
      <c r="HB20" s="352"/>
      <c r="HC20" s="352"/>
      <c r="HD20" s="352"/>
      <c r="HE20" s="352"/>
      <c r="HF20" s="352"/>
      <c r="HG20" s="352"/>
      <c r="HH20" s="352"/>
      <c r="HI20" s="352"/>
      <c r="HJ20" s="352"/>
      <c r="HK20" s="352"/>
      <c r="HL20" s="352"/>
      <c r="HM20" s="352"/>
      <c r="HN20" s="352"/>
      <c r="HO20" s="352"/>
      <c r="HP20" s="352"/>
      <c r="HQ20" s="352"/>
      <c r="HR20" s="352"/>
      <c r="HS20" s="352"/>
      <c r="HT20" s="352"/>
      <c r="HU20" s="352"/>
      <c r="HV20" s="352"/>
      <c r="HW20" s="352"/>
      <c r="HX20" s="352"/>
      <c r="HY20" s="352"/>
      <c r="HZ20" s="352"/>
      <c r="IA20" s="352"/>
      <c r="IB20" s="352"/>
      <c r="IC20" s="352"/>
      <c r="ID20" s="352"/>
      <c r="IE20" s="352"/>
      <c r="IF20" s="352"/>
      <c r="IG20" s="352"/>
      <c r="IH20" s="352"/>
      <c r="II20" s="352"/>
      <c r="IJ20" s="352"/>
      <c r="IK20" s="352"/>
      <c r="IL20" s="352"/>
      <c r="IM20" s="352"/>
      <c r="IN20" s="352"/>
      <c r="IO20" s="352"/>
      <c r="IP20" s="352"/>
      <c r="IQ20" s="352"/>
      <c r="IR20" s="352"/>
      <c r="IS20" s="352"/>
      <c r="IT20" s="352"/>
    </row>
    <row r="21" spans="1:254" s="357" customFormat="1" ht="16.5" thickBot="1" x14ac:dyDescent="0.3">
      <c r="A21" s="354" t="s">
        <v>446</v>
      </c>
      <c r="B21" s="359" t="s">
        <v>732</v>
      </c>
      <c r="C21" s="355">
        <f>SUM(C19:C20)</f>
        <v>5051622</v>
      </c>
      <c r="D21" s="355">
        <f t="shared" ref="D21:E21" si="11">SUM(D19:D20)</f>
        <v>2340026</v>
      </c>
      <c r="E21" s="355">
        <f t="shared" si="11"/>
        <v>7391648</v>
      </c>
      <c r="F21" s="355">
        <f>SUM(F19:F20)</f>
        <v>0</v>
      </c>
      <c r="G21" s="355">
        <f t="shared" ref="G21:H21" si="12">SUM(G19:G20)</f>
        <v>0</v>
      </c>
      <c r="H21" s="355">
        <f t="shared" si="12"/>
        <v>0</v>
      </c>
      <c r="I21" s="433">
        <f>SUM(I19:I20)</f>
        <v>5051622</v>
      </c>
      <c r="J21" s="433">
        <f t="shared" ref="J21:K21" si="13">SUM(J19:J20)</f>
        <v>2340026</v>
      </c>
      <c r="K21" s="433">
        <f t="shared" si="13"/>
        <v>7391648</v>
      </c>
      <c r="L21" s="356"/>
      <c r="M21" s="356"/>
      <c r="N21" s="356"/>
      <c r="O21" s="356"/>
      <c r="P21" s="356"/>
      <c r="Q21" s="356"/>
      <c r="R21" s="356"/>
      <c r="S21" s="356"/>
      <c r="T21" s="356"/>
      <c r="U21" s="356"/>
      <c r="V21" s="356"/>
      <c r="W21" s="356"/>
      <c r="X21" s="356"/>
      <c r="Y21" s="356"/>
      <c r="Z21" s="356"/>
      <c r="AA21" s="356"/>
      <c r="AB21" s="356"/>
      <c r="AC21" s="356"/>
      <c r="AD21" s="356"/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6"/>
      <c r="AR21" s="356"/>
      <c r="AS21" s="356"/>
      <c r="AT21" s="356"/>
      <c r="AU21" s="356"/>
      <c r="AV21" s="356"/>
      <c r="AW21" s="356"/>
      <c r="AX21" s="356"/>
      <c r="AY21" s="356"/>
      <c r="AZ21" s="356"/>
      <c r="BA21" s="356"/>
      <c r="BB21" s="356"/>
      <c r="BC21" s="356"/>
      <c r="BD21" s="356"/>
      <c r="BE21" s="356"/>
      <c r="BF21" s="356"/>
      <c r="BG21" s="356"/>
      <c r="BH21" s="356"/>
      <c r="BI21" s="356"/>
      <c r="BJ21" s="356"/>
      <c r="BK21" s="356"/>
      <c r="BL21" s="356"/>
      <c r="BM21" s="356"/>
      <c r="BN21" s="356"/>
      <c r="BO21" s="356"/>
      <c r="BP21" s="356"/>
      <c r="BQ21" s="356"/>
      <c r="BR21" s="356"/>
      <c r="BS21" s="356"/>
      <c r="BT21" s="356"/>
      <c r="BU21" s="356"/>
      <c r="BV21" s="356"/>
      <c r="BW21" s="356"/>
      <c r="BX21" s="356"/>
      <c r="BY21" s="356"/>
      <c r="BZ21" s="356"/>
      <c r="CA21" s="356"/>
      <c r="CB21" s="356"/>
      <c r="CC21" s="356"/>
      <c r="CD21" s="356"/>
      <c r="CE21" s="356"/>
      <c r="CF21" s="356"/>
      <c r="CG21" s="356"/>
      <c r="CH21" s="356"/>
      <c r="CI21" s="356"/>
      <c r="CJ21" s="356"/>
      <c r="CK21" s="356"/>
      <c r="CL21" s="356"/>
      <c r="CM21" s="356"/>
      <c r="CN21" s="356"/>
      <c r="CO21" s="356"/>
      <c r="CP21" s="356"/>
      <c r="CQ21" s="356"/>
      <c r="CR21" s="356"/>
      <c r="CS21" s="356"/>
      <c r="CT21" s="356"/>
      <c r="CU21" s="356"/>
      <c r="CV21" s="356"/>
      <c r="CW21" s="356"/>
      <c r="CX21" s="356"/>
      <c r="CY21" s="356"/>
      <c r="CZ21" s="356"/>
      <c r="DA21" s="356"/>
      <c r="DB21" s="356"/>
      <c r="DC21" s="356"/>
      <c r="DD21" s="356"/>
      <c r="DE21" s="356"/>
      <c r="DF21" s="356"/>
      <c r="DG21" s="356"/>
      <c r="DH21" s="356"/>
      <c r="DI21" s="356"/>
      <c r="DJ21" s="356"/>
      <c r="DK21" s="356"/>
      <c r="DL21" s="356"/>
      <c r="DM21" s="356"/>
      <c r="DN21" s="356"/>
      <c r="DO21" s="356"/>
      <c r="DP21" s="356"/>
      <c r="DQ21" s="356"/>
      <c r="DR21" s="356"/>
      <c r="DS21" s="356"/>
      <c r="DT21" s="356"/>
      <c r="DU21" s="356"/>
      <c r="DV21" s="356"/>
      <c r="DW21" s="356"/>
      <c r="DX21" s="356"/>
      <c r="DY21" s="356"/>
      <c r="DZ21" s="356"/>
      <c r="EA21" s="356"/>
      <c r="EB21" s="356"/>
      <c r="EC21" s="356"/>
      <c r="ED21" s="356"/>
      <c r="EE21" s="356"/>
      <c r="EF21" s="356"/>
      <c r="EG21" s="356"/>
      <c r="EH21" s="356"/>
      <c r="EI21" s="356"/>
      <c r="EJ21" s="356"/>
      <c r="EK21" s="356"/>
      <c r="EL21" s="356"/>
      <c r="EM21" s="356"/>
      <c r="EN21" s="356"/>
      <c r="EO21" s="356"/>
      <c r="EP21" s="356"/>
      <c r="EQ21" s="356"/>
      <c r="ER21" s="356"/>
      <c r="ES21" s="356"/>
      <c r="ET21" s="356"/>
      <c r="EU21" s="356"/>
      <c r="EV21" s="356"/>
      <c r="EW21" s="356"/>
      <c r="EX21" s="356"/>
      <c r="EY21" s="356"/>
      <c r="EZ21" s="356"/>
      <c r="FA21" s="356"/>
      <c r="FB21" s="356"/>
      <c r="FC21" s="356"/>
      <c r="FD21" s="356"/>
      <c r="FE21" s="356"/>
      <c r="FF21" s="356"/>
      <c r="FG21" s="356"/>
      <c r="FH21" s="356"/>
      <c r="FI21" s="356"/>
      <c r="FJ21" s="356"/>
      <c r="FK21" s="356"/>
      <c r="FL21" s="356"/>
      <c r="FM21" s="356"/>
      <c r="FN21" s="356"/>
      <c r="FO21" s="356"/>
      <c r="FP21" s="356"/>
      <c r="FQ21" s="356"/>
      <c r="FR21" s="356"/>
      <c r="FS21" s="356"/>
      <c r="FT21" s="356"/>
      <c r="FU21" s="356"/>
      <c r="FV21" s="356"/>
      <c r="FW21" s="356"/>
      <c r="FX21" s="356"/>
      <c r="FY21" s="356"/>
      <c r="FZ21" s="356"/>
      <c r="GA21" s="356"/>
      <c r="GB21" s="356"/>
      <c r="GC21" s="356"/>
      <c r="GD21" s="356"/>
      <c r="GE21" s="356"/>
      <c r="GF21" s="356"/>
      <c r="GG21" s="356"/>
      <c r="GH21" s="356"/>
      <c r="GI21" s="356"/>
      <c r="GJ21" s="356"/>
      <c r="GK21" s="356"/>
      <c r="GL21" s="356"/>
      <c r="GM21" s="356"/>
      <c r="GN21" s="356"/>
      <c r="GO21" s="356"/>
      <c r="GP21" s="356"/>
      <c r="GQ21" s="356"/>
      <c r="GR21" s="356"/>
      <c r="GS21" s="356"/>
      <c r="GT21" s="356"/>
      <c r="GU21" s="356"/>
      <c r="GV21" s="356"/>
      <c r="GW21" s="356"/>
      <c r="GX21" s="356"/>
      <c r="GY21" s="356"/>
      <c r="GZ21" s="356"/>
      <c r="HA21" s="356"/>
      <c r="HB21" s="356"/>
      <c r="HC21" s="356"/>
      <c r="HD21" s="356"/>
      <c r="HE21" s="356"/>
      <c r="HF21" s="356"/>
      <c r="HG21" s="356"/>
      <c r="HH21" s="356"/>
      <c r="HI21" s="356"/>
      <c r="HJ21" s="356"/>
      <c r="HK21" s="356"/>
      <c r="HL21" s="356"/>
      <c r="HM21" s="356"/>
      <c r="HN21" s="356"/>
      <c r="HO21" s="356"/>
      <c r="HP21" s="356"/>
      <c r="HQ21" s="356"/>
      <c r="HR21" s="356"/>
      <c r="HS21" s="356"/>
      <c r="HT21" s="356"/>
      <c r="HU21" s="356"/>
      <c r="HV21" s="356"/>
      <c r="HW21" s="356"/>
      <c r="HX21" s="356"/>
      <c r="HY21" s="356"/>
      <c r="HZ21" s="356"/>
      <c r="IA21" s="356"/>
      <c r="IB21" s="356"/>
      <c r="IC21" s="356"/>
      <c r="ID21" s="356"/>
      <c r="IE21" s="356"/>
      <c r="IF21" s="356"/>
      <c r="IG21" s="356"/>
      <c r="IH21" s="356"/>
      <c r="II21" s="356"/>
      <c r="IJ21" s="356"/>
      <c r="IK21" s="356"/>
      <c r="IL21" s="356"/>
      <c r="IM21" s="356"/>
      <c r="IN21" s="356"/>
      <c r="IO21" s="356"/>
      <c r="IP21" s="356"/>
      <c r="IQ21" s="356"/>
      <c r="IR21" s="356"/>
      <c r="IS21" s="356"/>
      <c r="IT21" s="356"/>
    </row>
    <row r="22" spans="1:254" ht="17.25" thickTop="1" thickBot="1" x14ac:dyDescent="0.3">
      <c r="A22" s="204" t="s">
        <v>447</v>
      </c>
      <c r="B22" s="325" t="s">
        <v>611</v>
      </c>
      <c r="C22" s="205">
        <f>+C21+C18+C14</f>
        <v>40987329</v>
      </c>
      <c r="D22" s="205">
        <f t="shared" ref="D22:E22" si="14">+D21+D18+D14</f>
        <v>-5904759</v>
      </c>
      <c r="E22" s="205">
        <f t="shared" si="14"/>
        <v>35082570</v>
      </c>
      <c r="F22" s="205">
        <f>+F21+F18+F14</f>
        <v>13200291</v>
      </c>
      <c r="G22" s="205">
        <f t="shared" ref="G22:H22" si="15">+G21+G18+G14</f>
        <v>614039</v>
      </c>
      <c r="H22" s="205">
        <f t="shared" si="15"/>
        <v>13814330</v>
      </c>
      <c r="I22" s="205">
        <f>+I21+I18+I14</f>
        <v>54187620</v>
      </c>
      <c r="J22" s="205">
        <f t="shared" ref="J22:K22" si="16">+J21+J18+J14</f>
        <v>-5290720</v>
      </c>
      <c r="K22" s="205">
        <f t="shared" si="16"/>
        <v>48896900</v>
      </c>
    </row>
    <row r="23" spans="1:254" ht="16.5" thickTop="1" x14ac:dyDescent="0.25">
      <c r="A23" s="574" t="s">
        <v>697</v>
      </c>
      <c r="B23" s="575" t="s">
        <v>695</v>
      </c>
      <c r="C23" s="744">
        <v>9960737</v>
      </c>
      <c r="D23" s="744">
        <v>152028</v>
      </c>
      <c r="E23" s="744">
        <f>SUM(C23:D23)</f>
        <v>10112765</v>
      </c>
      <c r="F23" s="744">
        <v>0</v>
      </c>
      <c r="G23" s="744"/>
      <c r="H23" s="744">
        <f>SUM(F23:G23)</f>
        <v>0</v>
      </c>
      <c r="I23" s="744">
        <f>SUM(C23+F23)</f>
        <v>9960737</v>
      </c>
      <c r="J23" s="744">
        <f>SUM(D23+G23)</f>
        <v>152028</v>
      </c>
      <c r="K23" s="744">
        <f>SUM(E23+H23)</f>
        <v>10112765</v>
      </c>
      <c r="IS23"/>
      <c r="IT23"/>
    </row>
    <row r="24" spans="1:254" ht="31.5" x14ac:dyDescent="0.25">
      <c r="A24" s="720" t="s">
        <v>733</v>
      </c>
      <c r="B24" s="745" t="s">
        <v>696</v>
      </c>
      <c r="C24" s="722"/>
      <c r="D24" s="722"/>
      <c r="E24" s="722">
        <f>SUM(C24:D24)</f>
        <v>0</v>
      </c>
      <c r="F24" s="722"/>
      <c r="G24" s="722"/>
      <c r="H24" s="722"/>
      <c r="I24" s="744">
        <f>SUM(C24+F24)</f>
        <v>0</v>
      </c>
      <c r="J24" s="744">
        <f t="shared" ref="J24:J26" si="17">SUM(D24+G24)</f>
        <v>0</v>
      </c>
      <c r="K24" s="722">
        <f t="shared" ref="K24:K26" si="18">SUM(E24:H24)</f>
        <v>0</v>
      </c>
      <c r="IS24"/>
      <c r="IT24"/>
    </row>
    <row r="25" spans="1:254" ht="31.5" x14ac:dyDescent="0.25">
      <c r="A25" s="574" t="s">
        <v>1138</v>
      </c>
      <c r="B25" s="575" t="s">
        <v>1139</v>
      </c>
      <c r="C25" s="744">
        <v>4800000</v>
      </c>
      <c r="D25" s="744"/>
      <c r="E25" s="744">
        <f>SUM(C25:D25)</f>
        <v>4800000</v>
      </c>
      <c r="F25" s="744"/>
      <c r="G25" s="744"/>
      <c r="H25" s="744"/>
      <c r="I25" s="744">
        <f>SUM(C25+F25)</f>
        <v>4800000</v>
      </c>
      <c r="J25" s="744">
        <f t="shared" si="17"/>
        <v>0</v>
      </c>
      <c r="K25" s="722">
        <f t="shared" si="18"/>
        <v>4800000</v>
      </c>
      <c r="IS25"/>
      <c r="IT25"/>
    </row>
    <row r="26" spans="1:254" ht="32.25" thickBot="1" x14ac:dyDescent="0.3">
      <c r="A26" s="582" t="s">
        <v>1203</v>
      </c>
      <c r="B26" s="723" t="s">
        <v>1204</v>
      </c>
      <c r="C26" s="724">
        <v>129365</v>
      </c>
      <c r="D26" s="724"/>
      <c r="E26" s="724">
        <f>SUM(C26:D26)</f>
        <v>129365</v>
      </c>
      <c r="F26" s="724"/>
      <c r="G26" s="724"/>
      <c r="H26" s="724"/>
      <c r="I26" s="744">
        <f>SUM(C26+F26)</f>
        <v>129365</v>
      </c>
      <c r="J26" s="744">
        <f t="shared" si="17"/>
        <v>0</v>
      </c>
      <c r="K26" s="722">
        <f t="shared" si="18"/>
        <v>129365</v>
      </c>
      <c r="IS26"/>
      <c r="IT26"/>
    </row>
    <row r="27" spans="1:254" s="576" customFormat="1" ht="17.25" thickTop="1" thickBot="1" x14ac:dyDescent="0.3">
      <c r="A27" s="206" t="s">
        <v>698</v>
      </c>
      <c r="B27" s="323" t="s">
        <v>448</v>
      </c>
      <c r="C27" s="434">
        <f>SUM(C23:C26)</f>
        <v>14890102</v>
      </c>
      <c r="D27" s="434">
        <f t="shared" ref="D27:K27" si="19">SUM(D23:D26)</f>
        <v>152028</v>
      </c>
      <c r="E27" s="434">
        <f t="shared" si="19"/>
        <v>15042130</v>
      </c>
      <c r="F27" s="434">
        <f t="shared" si="19"/>
        <v>0</v>
      </c>
      <c r="G27" s="434">
        <f t="shared" si="19"/>
        <v>0</v>
      </c>
      <c r="H27" s="434">
        <f t="shared" si="19"/>
        <v>0</v>
      </c>
      <c r="I27" s="434">
        <f t="shared" si="19"/>
        <v>14890102</v>
      </c>
      <c r="J27" s="434">
        <f t="shared" si="19"/>
        <v>152028</v>
      </c>
      <c r="K27" s="434">
        <f t="shared" si="19"/>
        <v>15042130</v>
      </c>
      <c r="L27" s="746"/>
      <c r="M27" s="746"/>
      <c r="N27" s="746"/>
      <c r="O27" s="746"/>
      <c r="P27" s="746"/>
      <c r="Q27" s="746"/>
      <c r="R27" s="746"/>
      <c r="S27" s="746"/>
      <c r="T27" s="746"/>
      <c r="U27" s="746"/>
      <c r="V27" s="746"/>
      <c r="W27" s="746"/>
      <c r="X27" s="746"/>
      <c r="Y27" s="746"/>
      <c r="Z27" s="746"/>
      <c r="AA27" s="746"/>
      <c r="AB27" s="746"/>
      <c r="AC27" s="746"/>
      <c r="AD27" s="746"/>
      <c r="AE27" s="746"/>
      <c r="AF27" s="746"/>
      <c r="AG27" s="746"/>
      <c r="AH27" s="746"/>
      <c r="AI27" s="746"/>
      <c r="AJ27" s="746"/>
      <c r="AK27" s="746"/>
      <c r="AL27" s="746"/>
      <c r="AM27" s="746"/>
      <c r="AN27" s="746"/>
      <c r="AO27" s="746"/>
      <c r="AP27" s="746"/>
      <c r="AQ27" s="746"/>
      <c r="AR27" s="746"/>
      <c r="AS27" s="746"/>
      <c r="AT27" s="746"/>
      <c r="AU27" s="746"/>
      <c r="AV27" s="746"/>
      <c r="AW27" s="746"/>
      <c r="AX27" s="746"/>
      <c r="AY27" s="746"/>
      <c r="AZ27" s="746"/>
      <c r="BA27" s="746"/>
      <c r="BB27" s="746"/>
      <c r="BC27" s="746"/>
      <c r="BD27" s="746"/>
      <c r="BE27" s="746"/>
      <c r="BF27" s="746"/>
      <c r="BG27" s="746"/>
      <c r="BH27" s="746"/>
      <c r="BI27" s="746"/>
      <c r="BJ27" s="746"/>
      <c r="BK27" s="746"/>
      <c r="BL27" s="746"/>
      <c r="BM27" s="746"/>
      <c r="BN27" s="746"/>
      <c r="BO27" s="746"/>
      <c r="BP27" s="746"/>
      <c r="BQ27" s="746"/>
      <c r="BR27" s="746"/>
      <c r="BS27" s="746"/>
      <c r="BT27" s="746"/>
      <c r="BU27" s="746"/>
      <c r="BV27" s="746"/>
      <c r="BW27" s="746"/>
      <c r="BX27" s="746"/>
      <c r="BY27" s="746"/>
      <c r="BZ27" s="746"/>
      <c r="CA27" s="746"/>
      <c r="CB27" s="746"/>
      <c r="CC27" s="746"/>
      <c r="CD27" s="746"/>
      <c r="CE27" s="746"/>
      <c r="CF27" s="746"/>
      <c r="CG27" s="746"/>
      <c r="CH27" s="746"/>
      <c r="CI27" s="746"/>
      <c r="CJ27" s="746"/>
      <c r="CK27" s="746"/>
      <c r="CL27" s="746"/>
      <c r="CM27" s="746"/>
      <c r="CN27" s="746"/>
      <c r="CO27" s="746"/>
      <c r="CP27" s="746"/>
      <c r="CQ27" s="746"/>
      <c r="CR27" s="746"/>
      <c r="CS27" s="746"/>
      <c r="CT27" s="746"/>
      <c r="CU27" s="746"/>
      <c r="CV27" s="746"/>
      <c r="CW27" s="746"/>
      <c r="CX27" s="746"/>
      <c r="CY27" s="746"/>
      <c r="CZ27" s="746"/>
      <c r="DA27" s="746"/>
      <c r="DB27" s="746"/>
      <c r="DC27" s="746"/>
      <c r="DD27" s="746"/>
      <c r="DE27" s="746"/>
      <c r="DF27" s="746"/>
      <c r="DG27" s="746"/>
      <c r="DH27" s="746"/>
      <c r="DI27" s="746"/>
      <c r="DJ27" s="746"/>
      <c r="DK27" s="746"/>
      <c r="DL27" s="746"/>
      <c r="DM27" s="746"/>
      <c r="DN27" s="746"/>
      <c r="DO27" s="746"/>
      <c r="DP27" s="746"/>
      <c r="DQ27" s="746"/>
      <c r="DR27" s="746"/>
      <c r="DS27" s="746"/>
      <c r="DT27" s="746"/>
      <c r="DU27" s="746"/>
      <c r="DV27" s="746"/>
      <c r="DW27" s="746"/>
      <c r="DX27" s="746"/>
      <c r="DY27" s="746"/>
      <c r="DZ27" s="746"/>
      <c r="EA27" s="746"/>
      <c r="EB27" s="746"/>
      <c r="EC27" s="746"/>
      <c r="ED27" s="746"/>
      <c r="EE27" s="746"/>
      <c r="EF27" s="746"/>
      <c r="EG27" s="746"/>
      <c r="EH27" s="746"/>
      <c r="EI27" s="746"/>
      <c r="EJ27" s="746"/>
      <c r="EK27" s="746"/>
      <c r="EL27" s="746"/>
      <c r="EM27" s="746"/>
      <c r="EN27" s="746"/>
      <c r="EO27" s="746"/>
      <c r="EP27" s="746"/>
      <c r="EQ27" s="746"/>
      <c r="ER27" s="746"/>
      <c r="ES27" s="746"/>
      <c r="ET27" s="746"/>
      <c r="EU27" s="746"/>
      <c r="EV27" s="746"/>
      <c r="EW27" s="746"/>
      <c r="EX27" s="746"/>
      <c r="EY27" s="746"/>
      <c r="EZ27" s="746"/>
      <c r="FA27" s="746"/>
      <c r="FB27" s="746"/>
      <c r="FC27" s="746"/>
      <c r="FD27" s="746"/>
      <c r="FE27" s="746"/>
      <c r="FF27" s="746"/>
      <c r="FG27" s="746"/>
      <c r="FH27" s="746"/>
      <c r="FI27" s="746"/>
      <c r="FJ27" s="746"/>
      <c r="FK27" s="746"/>
      <c r="FL27" s="746"/>
      <c r="FM27" s="746"/>
      <c r="FN27" s="746"/>
      <c r="FO27" s="746"/>
      <c r="FP27" s="746"/>
      <c r="FQ27" s="746"/>
      <c r="FR27" s="746"/>
      <c r="FS27" s="746"/>
      <c r="FT27" s="746"/>
      <c r="FU27" s="746"/>
      <c r="FV27" s="746"/>
      <c r="FW27" s="746"/>
      <c r="FX27" s="746"/>
      <c r="FY27" s="746"/>
      <c r="FZ27" s="746"/>
      <c r="GA27" s="746"/>
      <c r="GB27" s="746"/>
      <c r="GC27" s="746"/>
      <c r="GD27" s="746"/>
      <c r="GE27" s="746"/>
      <c r="GF27" s="746"/>
      <c r="GG27" s="746"/>
      <c r="GH27" s="746"/>
      <c r="GI27" s="746"/>
      <c r="GJ27" s="746"/>
      <c r="GK27" s="746"/>
      <c r="GL27" s="746"/>
      <c r="GM27" s="746"/>
      <c r="GN27" s="746"/>
      <c r="GO27" s="746"/>
      <c r="GP27" s="746"/>
      <c r="GQ27" s="746"/>
      <c r="GR27" s="746"/>
      <c r="GS27" s="746"/>
      <c r="GT27" s="746"/>
      <c r="GU27" s="746"/>
      <c r="GV27" s="746"/>
      <c r="GW27" s="746"/>
      <c r="GX27" s="746"/>
      <c r="GY27" s="746"/>
      <c r="GZ27" s="746"/>
      <c r="HA27" s="746"/>
      <c r="HB27" s="746"/>
      <c r="HC27" s="746"/>
      <c r="HD27" s="746"/>
      <c r="HE27" s="746"/>
      <c r="HF27" s="746"/>
      <c r="HG27" s="746"/>
      <c r="HH27" s="746"/>
      <c r="HI27" s="746"/>
      <c r="HJ27" s="746"/>
      <c r="HK27" s="746"/>
      <c r="HL27" s="746"/>
      <c r="HM27" s="746"/>
      <c r="HN27" s="746"/>
      <c r="HO27" s="746"/>
      <c r="HP27" s="746"/>
      <c r="HQ27" s="746"/>
      <c r="HR27" s="746"/>
      <c r="HS27" s="746"/>
      <c r="HT27" s="746"/>
      <c r="HU27" s="746"/>
      <c r="HV27" s="746"/>
      <c r="HW27" s="746"/>
      <c r="HX27" s="746"/>
      <c r="HY27" s="746"/>
      <c r="HZ27" s="746"/>
      <c r="IA27" s="746"/>
      <c r="IB27" s="746"/>
      <c r="IC27" s="746"/>
      <c r="ID27" s="746"/>
      <c r="IE27" s="746"/>
      <c r="IF27" s="746"/>
      <c r="IG27" s="746"/>
      <c r="IH27" s="746"/>
      <c r="II27" s="746"/>
      <c r="IJ27" s="746"/>
      <c r="IK27" s="746"/>
      <c r="IL27" s="746"/>
      <c r="IM27" s="746"/>
      <c r="IN27" s="746"/>
      <c r="IO27" s="746"/>
      <c r="IP27" s="746"/>
      <c r="IQ27" s="746"/>
      <c r="IR27" s="746"/>
    </row>
    <row r="28" spans="1:254" s="353" customFormat="1" ht="17.25" thickTop="1" thickBot="1" x14ac:dyDescent="0.3">
      <c r="A28" s="485" t="s">
        <v>1063</v>
      </c>
      <c r="B28" s="486"/>
      <c r="C28" s="487"/>
      <c r="D28" s="487"/>
      <c r="E28" s="487"/>
      <c r="F28" s="666">
        <v>2103.1799999999998</v>
      </c>
      <c r="G28" s="666"/>
      <c r="H28" s="666">
        <f>SUM(F28:G28)</f>
        <v>2103.1799999999998</v>
      </c>
      <c r="I28" s="666">
        <f>F28</f>
        <v>2103.1799999999998</v>
      </c>
      <c r="J28" s="666">
        <f t="shared" ref="J28:K28" si="20">G28</f>
        <v>0</v>
      </c>
      <c r="K28" s="666">
        <f t="shared" si="20"/>
        <v>2103.1799999999998</v>
      </c>
      <c r="L28" s="577"/>
      <c r="M28" s="577"/>
      <c r="N28" s="577"/>
      <c r="O28" s="577"/>
      <c r="P28" s="577"/>
      <c r="Q28" s="577"/>
      <c r="R28" s="577"/>
      <c r="S28" s="577"/>
      <c r="T28" s="577"/>
      <c r="U28" s="577"/>
      <c r="V28" s="577"/>
      <c r="W28" s="577"/>
      <c r="X28" s="577"/>
      <c r="Y28" s="577"/>
      <c r="Z28" s="577"/>
      <c r="AA28" s="577"/>
      <c r="AB28" s="577"/>
      <c r="AC28" s="577"/>
      <c r="AD28" s="577"/>
      <c r="AE28" s="577"/>
      <c r="AF28" s="577"/>
      <c r="AG28" s="577"/>
      <c r="AH28" s="577"/>
      <c r="AI28" s="577"/>
      <c r="AJ28" s="577"/>
      <c r="AK28" s="577"/>
      <c r="AL28" s="577"/>
      <c r="AM28" s="577"/>
      <c r="AN28" s="577"/>
      <c r="AO28" s="577"/>
      <c r="AP28" s="577"/>
      <c r="AQ28" s="577"/>
      <c r="AR28" s="577"/>
      <c r="AS28" s="577"/>
      <c r="AT28" s="577"/>
      <c r="AU28" s="577"/>
      <c r="AV28" s="577"/>
      <c r="AW28" s="577"/>
      <c r="AX28" s="577"/>
      <c r="AY28" s="577"/>
      <c r="AZ28" s="577"/>
      <c r="BA28" s="577"/>
      <c r="BB28" s="577"/>
      <c r="BC28" s="577"/>
      <c r="BD28" s="577"/>
      <c r="BE28" s="577"/>
      <c r="BF28" s="577"/>
      <c r="BG28" s="577"/>
      <c r="BH28" s="577"/>
      <c r="BI28" s="577"/>
      <c r="BJ28" s="577"/>
      <c r="BK28" s="577"/>
      <c r="BL28" s="577"/>
      <c r="BM28" s="577"/>
      <c r="BN28" s="577"/>
      <c r="BO28" s="577"/>
      <c r="BP28" s="577"/>
      <c r="BQ28" s="577"/>
      <c r="BR28" s="577"/>
      <c r="BS28" s="577"/>
      <c r="BT28" s="577"/>
      <c r="BU28" s="577"/>
      <c r="BV28" s="577"/>
      <c r="BW28" s="577"/>
      <c r="BX28" s="577"/>
      <c r="BY28" s="577"/>
      <c r="BZ28" s="577"/>
      <c r="CA28" s="577"/>
      <c r="CB28" s="577"/>
      <c r="CC28" s="577"/>
      <c r="CD28" s="577"/>
      <c r="CE28" s="577"/>
      <c r="CF28" s="577"/>
      <c r="CG28" s="577"/>
      <c r="CH28" s="577"/>
      <c r="CI28" s="577"/>
      <c r="CJ28" s="577"/>
      <c r="CK28" s="577"/>
      <c r="CL28" s="577"/>
      <c r="CM28" s="577"/>
      <c r="CN28" s="577"/>
      <c r="CO28" s="577"/>
      <c r="CP28" s="577"/>
      <c r="CQ28" s="577"/>
      <c r="CR28" s="577"/>
      <c r="CS28" s="577"/>
      <c r="CT28" s="577"/>
      <c r="CU28" s="577"/>
      <c r="CV28" s="577"/>
      <c r="CW28" s="577"/>
      <c r="CX28" s="577"/>
      <c r="CY28" s="577"/>
      <c r="CZ28" s="577"/>
      <c r="DA28" s="577"/>
      <c r="DB28" s="577"/>
      <c r="DC28" s="577"/>
      <c r="DD28" s="577"/>
      <c r="DE28" s="577"/>
      <c r="DF28" s="577"/>
      <c r="DG28" s="577"/>
      <c r="DH28" s="577"/>
      <c r="DI28" s="577"/>
      <c r="DJ28" s="577"/>
      <c r="DK28" s="577"/>
      <c r="DL28" s="577"/>
      <c r="DM28" s="577"/>
      <c r="DN28" s="577"/>
      <c r="DO28" s="577"/>
      <c r="DP28" s="577"/>
      <c r="DQ28" s="577"/>
      <c r="DR28" s="577"/>
      <c r="DS28" s="577"/>
      <c r="DT28" s="577"/>
      <c r="DU28" s="577"/>
      <c r="DV28" s="577"/>
      <c r="DW28" s="577"/>
      <c r="DX28" s="577"/>
      <c r="DY28" s="577"/>
      <c r="DZ28" s="577"/>
      <c r="EA28" s="577"/>
      <c r="EB28" s="577"/>
      <c r="EC28" s="577"/>
      <c r="ED28" s="577"/>
      <c r="EE28" s="577"/>
      <c r="EF28" s="577"/>
      <c r="EG28" s="577"/>
      <c r="EH28" s="577"/>
      <c r="EI28" s="577"/>
      <c r="EJ28" s="577"/>
      <c r="EK28" s="577"/>
      <c r="EL28" s="577"/>
      <c r="EM28" s="577"/>
      <c r="EN28" s="577"/>
      <c r="EO28" s="577"/>
      <c r="EP28" s="577"/>
      <c r="EQ28" s="577"/>
      <c r="ER28" s="577"/>
      <c r="ES28" s="577"/>
      <c r="ET28" s="577"/>
      <c r="EU28" s="577"/>
      <c r="EV28" s="577"/>
      <c r="EW28" s="577"/>
      <c r="EX28" s="577"/>
      <c r="EY28" s="577"/>
      <c r="EZ28" s="577"/>
      <c r="FA28" s="577"/>
      <c r="FB28" s="577"/>
      <c r="FC28" s="577"/>
      <c r="FD28" s="577"/>
      <c r="FE28" s="577"/>
      <c r="FF28" s="577"/>
      <c r="FG28" s="577"/>
      <c r="FH28" s="577"/>
      <c r="FI28" s="577"/>
      <c r="FJ28" s="577"/>
      <c r="FK28" s="577"/>
      <c r="FL28" s="577"/>
      <c r="FM28" s="577"/>
      <c r="FN28" s="577"/>
      <c r="FO28" s="577"/>
      <c r="FP28" s="577"/>
      <c r="FQ28" s="577"/>
      <c r="FR28" s="577"/>
      <c r="FS28" s="577"/>
      <c r="FT28" s="577"/>
      <c r="FU28" s="577"/>
      <c r="FV28" s="577"/>
      <c r="FW28" s="577"/>
      <c r="FX28" s="577"/>
      <c r="FY28" s="577"/>
      <c r="FZ28" s="577"/>
      <c r="GA28" s="577"/>
      <c r="GB28" s="577"/>
      <c r="GC28" s="577"/>
      <c r="GD28" s="577"/>
      <c r="GE28" s="577"/>
      <c r="GF28" s="577"/>
      <c r="GG28" s="577"/>
      <c r="GH28" s="577"/>
      <c r="GI28" s="577"/>
      <c r="GJ28" s="577"/>
      <c r="GK28" s="577"/>
      <c r="GL28" s="577"/>
      <c r="GM28" s="577"/>
      <c r="GN28" s="577"/>
      <c r="GO28" s="577"/>
      <c r="GP28" s="577"/>
      <c r="GQ28" s="577"/>
      <c r="GR28" s="577"/>
      <c r="GS28" s="577"/>
      <c r="GT28" s="577"/>
      <c r="GU28" s="577"/>
      <c r="GV28" s="577"/>
      <c r="GW28" s="577"/>
      <c r="GX28" s="577"/>
      <c r="GY28" s="577"/>
      <c r="GZ28" s="577"/>
      <c r="HA28" s="577"/>
      <c r="HB28" s="577"/>
      <c r="HC28" s="577"/>
      <c r="HD28" s="577"/>
      <c r="HE28" s="577"/>
      <c r="HF28" s="577"/>
      <c r="HG28" s="577"/>
      <c r="HH28" s="577"/>
      <c r="HI28" s="577"/>
      <c r="HJ28" s="577"/>
      <c r="HK28" s="577"/>
      <c r="HL28" s="577"/>
      <c r="HM28" s="577"/>
      <c r="HN28" s="577"/>
      <c r="HO28" s="577"/>
      <c r="HP28" s="577"/>
      <c r="HQ28" s="577"/>
      <c r="HR28" s="577"/>
      <c r="HS28" s="577"/>
      <c r="HT28" s="577"/>
      <c r="HU28" s="577"/>
      <c r="HV28" s="577"/>
      <c r="HW28" s="577"/>
      <c r="HX28" s="577"/>
      <c r="HY28" s="577"/>
      <c r="HZ28" s="577"/>
      <c r="IA28" s="577"/>
      <c r="IB28" s="577"/>
      <c r="IC28" s="577"/>
      <c r="ID28" s="577"/>
      <c r="IE28" s="577"/>
      <c r="IF28" s="577"/>
      <c r="IG28" s="577"/>
      <c r="IH28" s="577"/>
      <c r="II28" s="577"/>
      <c r="IJ28" s="577"/>
      <c r="IK28" s="577"/>
      <c r="IL28" s="577"/>
      <c r="IM28" s="577"/>
      <c r="IN28" s="577"/>
      <c r="IO28" s="577"/>
      <c r="IP28" s="577"/>
      <c r="IQ28" s="577"/>
      <c r="IR28" s="577"/>
    </row>
    <row r="29" spans="1:254" ht="16.5" thickTop="1" x14ac:dyDescent="0.25">
      <c r="A29" s="208"/>
      <c r="B29" s="208"/>
      <c r="C29" s="186"/>
      <c r="D29" s="186"/>
      <c r="E29" s="186"/>
      <c r="F29" s="186"/>
      <c r="G29" s="186"/>
      <c r="H29" s="186"/>
    </row>
    <row r="30" spans="1:254" x14ac:dyDescent="0.25">
      <c r="A30" s="208"/>
      <c r="B30" s="208"/>
      <c r="C30" s="186"/>
      <c r="D30" s="186"/>
      <c r="E30" s="186"/>
      <c r="F30" s="186"/>
      <c r="G30" s="186"/>
      <c r="H30" s="186"/>
    </row>
    <row r="31" spans="1:254" x14ac:dyDescent="0.25">
      <c r="A31" s="208"/>
      <c r="B31" s="208"/>
      <c r="C31" s="186"/>
      <c r="D31" s="186"/>
      <c r="E31" s="186"/>
      <c r="F31" s="186"/>
      <c r="G31" s="186"/>
      <c r="H31" s="186"/>
    </row>
    <row r="32" spans="1:254" x14ac:dyDescent="0.25">
      <c r="A32" s="208"/>
      <c r="B32" s="208"/>
      <c r="C32" s="186"/>
      <c r="D32" s="186"/>
      <c r="E32" s="186"/>
      <c r="F32" s="186"/>
      <c r="G32" s="186"/>
      <c r="H32" s="186"/>
    </row>
    <row r="33" spans="1:8" x14ac:dyDescent="0.25">
      <c r="A33" s="208"/>
      <c r="B33" s="208"/>
      <c r="C33" s="186"/>
      <c r="D33" s="186"/>
      <c r="E33" s="186"/>
      <c r="F33" s="186"/>
      <c r="G33" s="186"/>
      <c r="H33" s="186"/>
    </row>
    <row r="34" spans="1:8" x14ac:dyDescent="0.25">
      <c r="A34" s="208"/>
      <c r="B34" s="208"/>
      <c r="C34" s="186"/>
      <c r="D34" s="186"/>
      <c r="E34" s="186"/>
      <c r="F34" s="186"/>
      <c r="G34" s="186"/>
      <c r="H34" s="186"/>
    </row>
    <row r="35" spans="1:8" x14ac:dyDescent="0.25">
      <c r="A35" s="208"/>
      <c r="B35" s="208"/>
      <c r="C35" s="186"/>
      <c r="D35" s="186"/>
      <c r="E35" s="186"/>
      <c r="F35" s="186"/>
      <c r="G35" s="186"/>
      <c r="H35" s="186"/>
    </row>
    <row r="36" spans="1:8" x14ac:dyDescent="0.25">
      <c r="A36" s="208"/>
      <c r="B36" s="208"/>
      <c r="C36" s="186"/>
      <c r="D36" s="186"/>
      <c r="E36" s="186"/>
      <c r="F36" s="186"/>
      <c r="G36" s="186"/>
      <c r="H36" s="186"/>
    </row>
    <row r="37" spans="1:8" x14ac:dyDescent="0.25">
      <c r="A37" s="208"/>
      <c r="B37" s="208"/>
      <c r="C37" s="186"/>
      <c r="D37" s="186"/>
      <c r="E37" s="186"/>
      <c r="F37" s="186"/>
      <c r="G37" s="186"/>
      <c r="H37" s="186"/>
    </row>
    <row r="38" spans="1:8" x14ac:dyDescent="0.25">
      <c r="A38" s="161"/>
      <c r="B38" s="161"/>
      <c r="C38" s="186"/>
      <c r="D38" s="186"/>
      <c r="E38" s="186"/>
      <c r="F38" s="186"/>
      <c r="G38" s="186"/>
      <c r="H38" s="186"/>
    </row>
    <row r="39" spans="1:8" x14ac:dyDescent="0.25">
      <c r="C39" s="157"/>
      <c r="D39" s="157"/>
      <c r="E39" s="157"/>
    </row>
  </sheetData>
  <mergeCells count="8">
    <mergeCell ref="A1:K1"/>
    <mergeCell ref="A2:K2"/>
    <mergeCell ref="A3:K3"/>
    <mergeCell ref="A6:A7"/>
    <mergeCell ref="B6:B7"/>
    <mergeCell ref="C6:E6"/>
    <mergeCell ref="F6:H6"/>
    <mergeCell ref="I6:K6"/>
  </mergeCells>
  <pageMargins left="0.51181102362204722" right="0.51181102362204722" top="0.94488188976377963" bottom="0.74803149606299213" header="0.31496062992125984" footer="0.31496062992125984"/>
  <pageSetup paperSize="9" scale="71" orientation="landscape" r:id="rId1"/>
  <headerFooter>
    <oddHeader>&amp;R&amp;"Times New Roman CE,Félkövér"&amp;11 &amp;"Times New Roman CE,Dőlt"&amp;10 4. melléklet
a 3/2016.(II.12.) önkormányzati rendelethez&amp;X4</oddHeader>
    <oddFooter>&amp;L&amp;X4&amp;XMódosította a 6/2017.(II.24.) önkormányzati rendelet 4.§ (4) bekezdése, hatályos 2017. február 24. 12 órától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AH33" sqref="AH33"/>
    </sheetView>
  </sheetViews>
  <sheetFormatPr defaultRowHeight="15.75" x14ac:dyDescent="0.25"/>
  <cols>
    <col min="1" max="1" width="44.5" style="186" customWidth="1"/>
    <col min="2" max="2" width="14.25" style="207" customWidth="1"/>
    <col min="3" max="3" width="16.125" style="208" customWidth="1"/>
  </cols>
  <sheetData>
    <row r="1" spans="1:3" x14ac:dyDescent="0.25">
      <c r="A1" s="1239" t="s">
        <v>482</v>
      </c>
      <c r="B1" s="1239"/>
      <c r="C1" s="1239"/>
    </row>
    <row r="2" spans="1:3" x14ac:dyDescent="0.25">
      <c r="A2" s="1239" t="s">
        <v>861</v>
      </c>
      <c r="B2" s="1239"/>
      <c r="C2" s="1239"/>
    </row>
    <row r="3" spans="1:3" x14ac:dyDescent="0.25">
      <c r="A3" s="1239" t="s">
        <v>1391</v>
      </c>
      <c r="B3" s="1239"/>
      <c r="C3" s="1239"/>
    </row>
    <row r="5" spans="1:3" ht="16.5" thickBot="1" x14ac:dyDescent="0.3"/>
    <row r="6" spans="1:3" ht="17.25" customHeight="1" thickTop="1" thickBot="1" x14ac:dyDescent="0.3">
      <c r="A6" s="425" t="s">
        <v>249</v>
      </c>
      <c r="B6" s="426" t="s">
        <v>345</v>
      </c>
      <c r="C6" s="1139" t="s">
        <v>270</v>
      </c>
    </row>
    <row r="7" spans="1:3" ht="16.5" thickTop="1" x14ac:dyDescent="0.25">
      <c r="A7" s="421" t="s">
        <v>477</v>
      </c>
      <c r="B7" s="422" t="s">
        <v>483</v>
      </c>
      <c r="C7" s="747">
        <f>'3 bevétel(szűkített)'!K60</f>
        <v>38170771</v>
      </c>
    </row>
    <row r="8" spans="1:3" x14ac:dyDescent="0.25">
      <c r="A8" s="419" t="s">
        <v>484</v>
      </c>
      <c r="B8" s="420"/>
      <c r="C8" s="423">
        <f>'3 bevétel(szűkített)'!K65</f>
        <v>928104</v>
      </c>
    </row>
    <row r="9" spans="1:3" x14ac:dyDescent="0.25">
      <c r="A9" s="187" t="s">
        <v>667</v>
      </c>
      <c r="B9" s="415"/>
      <c r="C9" s="193">
        <f>'3 bevétel(szűkített)'!K67</f>
        <v>10112765</v>
      </c>
    </row>
    <row r="10" spans="1:3" x14ac:dyDescent="0.25">
      <c r="A10" s="187" t="s">
        <v>740</v>
      </c>
      <c r="B10" s="415"/>
      <c r="C10" s="193">
        <f>'3 bevétel(szűkített)'!K68</f>
        <v>6800000</v>
      </c>
    </row>
    <row r="11" spans="1:3" ht="31.5" x14ac:dyDescent="0.25">
      <c r="A11" s="187" t="s">
        <v>1205</v>
      </c>
      <c r="B11" s="415"/>
      <c r="C11" s="193">
        <f>'3 bevétel(szűkített)'!K69</f>
        <v>7800000</v>
      </c>
    </row>
    <row r="12" spans="1:3" x14ac:dyDescent="0.25">
      <c r="A12" s="187" t="s">
        <v>1405</v>
      </c>
      <c r="B12" s="415"/>
      <c r="C12" s="193">
        <f>'3 bevétel(szűkített)'!K66</f>
        <v>127390</v>
      </c>
    </row>
    <row r="13" spans="1:3" s="412" customFormat="1" x14ac:dyDescent="0.25">
      <c r="A13" s="199" t="s">
        <v>1406</v>
      </c>
      <c r="B13" s="414" t="s">
        <v>366</v>
      </c>
      <c r="C13" s="193">
        <f>SUM(C8:C12)</f>
        <v>25768259</v>
      </c>
    </row>
    <row r="14" spans="1:3" x14ac:dyDescent="0.25">
      <c r="A14" s="194"/>
      <c r="B14" s="199"/>
      <c r="C14" s="193"/>
    </row>
    <row r="15" spans="1:3" s="412" customFormat="1" x14ac:dyDescent="0.25">
      <c r="A15" s="199" t="s">
        <v>478</v>
      </c>
      <c r="B15" s="199" t="s">
        <v>355</v>
      </c>
      <c r="C15" s="193">
        <f>'4 kiadás(szűkített)'!K22</f>
        <v>48896900</v>
      </c>
    </row>
    <row r="16" spans="1:3" x14ac:dyDescent="0.25">
      <c r="A16" s="187" t="s">
        <v>668</v>
      </c>
      <c r="B16" s="351"/>
      <c r="C16" s="424">
        <f>'4 kiadás(szűkített)'!K23</f>
        <v>10112765</v>
      </c>
    </row>
    <row r="17" spans="1:3" x14ac:dyDescent="0.25">
      <c r="A17" s="578" t="s">
        <v>734</v>
      </c>
      <c r="B17" s="416"/>
      <c r="C17" s="579">
        <f>'4 kiadás(szűkített)'!K24</f>
        <v>0</v>
      </c>
    </row>
    <row r="18" spans="1:3" x14ac:dyDescent="0.25">
      <c r="A18" s="578" t="s">
        <v>1206</v>
      </c>
      <c r="B18" s="416"/>
      <c r="C18" s="579">
        <f>'4 kiadás(szűkített)'!K25</f>
        <v>4800000</v>
      </c>
    </row>
    <row r="19" spans="1:3" ht="31.5" x14ac:dyDescent="0.25">
      <c r="A19" s="578" t="s">
        <v>1207</v>
      </c>
      <c r="B19" s="416"/>
      <c r="C19" s="579">
        <f>'4 kiadás(szűkített)'!K26</f>
        <v>129365</v>
      </c>
    </row>
    <row r="20" spans="1:3" x14ac:dyDescent="0.25">
      <c r="A20" s="416" t="s">
        <v>1208</v>
      </c>
      <c r="B20" s="416" t="s">
        <v>448</v>
      </c>
      <c r="C20" s="417">
        <f>SUM(C16+C17+C18+C19)</f>
        <v>15042130</v>
      </c>
    </row>
    <row r="21" spans="1:3" x14ac:dyDescent="0.25">
      <c r="A21" s="194"/>
      <c r="B21" s="199"/>
      <c r="C21" s="188"/>
    </row>
    <row r="22" spans="1:3" s="412" customFormat="1" x14ac:dyDescent="0.25">
      <c r="A22" s="199" t="s">
        <v>479</v>
      </c>
      <c r="B22" s="199"/>
      <c r="C22" s="193">
        <f>SUM(C7-C15)</f>
        <v>-10726129</v>
      </c>
    </row>
    <row r="23" spans="1:3" s="412" customFormat="1" x14ac:dyDescent="0.25">
      <c r="A23" s="199" t="s">
        <v>480</v>
      </c>
      <c r="B23" s="199"/>
      <c r="C23" s="193">
        <f>SUM(C13-C20)</f>
        <v>10726129</v>
      </c>
    </row>
    <row r="24" spans="1:3" s="412" customFormat="1" ht="16.5" thickBot="1" x14ac:dyDescent="0.3">
      <c r="A24" s="418" t="s">
        <v>481</v>
      </c>
      <c r="B24" s="418"/>
      <c r="C24" s="413">
        <f>SUM(C22+C23)</f>
        <v>0</v>
      </c>
    </row>
    <row r="25" spans="1:3" ht="16.5" thickTop="1" x14ac:dyDescent="0.25"/>
  </sheetData>
  <mergeCells count="3">
    <mergeCell ref="A1:C1"/>
    <mergeCell ref="A2:C2"/>
    <mergeCell ref="A3:C3"/>
  </mergeCells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&amp;R&amp;"Times New Roman CE,Dőlt"&amp;10 5. melléklet
a 3/2016.(II.12.) önkormányzati rendelethez&amp;X5</oddHeader>
    <oddFooter>&amp;L&amp;X5&amp;XMódosította a 6/2017.(II.24.) önkormányzati rendelet 4.§ (5) bekezdése, hatályos 2017. február 24. 12 órától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zoomScaleNormal="100" workbookViewId="0">
      <selection activeCell="H11" sqref="H11"/>
    </sheetView>
  </sheetViews>
  <sheetFormatPr defaultRowHeight="15.75" x14ac:dyDescent="0.25"/>
  <cols>
    <col min="1" max="1" width="20" style="781" customWidth="1"/>
    <col min="2" max="2" width="36" style="781" customWidth="1"/>
    <col min="3" max="3" width="10.75" style="781" customWidth="1"/>
    <col min="4" max="4" width="12.625" style="781" customWidth="1"/>
    <col min="5" max="5" width="13" style="781" customWidth="1"/>
    <col min="6" max="6" width="9" style="781"/>
    <col min="7" max="7" width="9.875" style="781" bestFit="1" customWidth="1"/>
    <col min="8" max="10" width="9" style="781"/>
    <col min="11" max="11" width="9.875" style="781" bestFit="1" customWidth="1"/>
    <col min="12" max="16384" width="9" style="781"/>
  </cols>
  <sheetData>
    <row r="1" spans="1:6" ht="16.5" thickBot="1" x14ac:dyDescent="0.3">
      <c r="A1" s="1252" t="s">
        <v>387</v>
      </c>
      <c r="B1" s="1252"/>
      <c r="C1" s="1253" t="s">
        <v>863</v>
      </c>
      <c r="D1" s="1253"/>
      <c r="E1" s="1253"/>
    </row>
    <row r="2" spans="1:6" ht="45.75" customHeight="1" thickBot="1" x14ac:dyDescent="0.3">
      <c r="A2" s="1072" t="s">
        <v>862</v>
      </c>
      <c r="B2" s="1072" t="s">
        <v>249</v>
      </c>
      <c r="C2" s="1072" t="s">
        <v>388</v>
      </c>
      <c r="D2" s="1072" t="s">
        <v>389</v>
      </c>
      <c r="E2" s="1072" t="s">
        <v>390</v>
      </c>
      <c r="F2" s="1073"/>
    </row>
    <row r="3" spans="1:6" ht="51.75" customHeight="1" x14ac:dyDescent="0.25">
      <c r="A3" s="1074" t="s">
        <v>710</v>
      </c>
      <c r="B3" s="1075" t="s">
        <v>391</v>
      </c>
      <c r="C3" s="1076">
        <v>100</v>
      </c>
      <c r="D3" s="1077" t="s">
        <v>871</v>
      </c>
      <c r="E3" s="1078">
        <v>70</v>
      </c>
    </row>
    <row r="4" spans="1:6" ht="47.25" x14ac:dyDescent="0.25">
      <c r="A4" s="1079" t="s">
        <v>392</v>
      </c>
      <c r="B4" s="1080" t="s">
        <v>393</v>
      </c>
      <c r="C4" s="1081"/>
      <c r="D4" s="1081"/>
      <c r="E4" s="1082">
        <v>1538724</v>
      </c>
    </row>
    <row r="5" spans="1:6" x14ac:dyDescent="0.25">
      <c r="A5" s="1079" t="s">
        <v>394</v>
      </c>
      <c r="B5" s="1080" t="s">
        <v>395</v>
      </c>
      <c r="C5" s="1081">
        <v>70000</v>
      </c>
      <c r="D5" s="1081">
        <v>3286</v>
      </c>
      <c r="E5" s="1082">
        <v>257120</v>
      </c>
    </row>
    <row r="6" spans="1:6" ht="31.5" x14ac:dyDescent="0.25">
      <c r="A6" s="1083" t="s">
        <v>865</v>
      </c>
      <c r="B6" s="1084" t="s">
        <v>866</v>
      </c>
      <c r="C6" s="1081"/>
      <c r="D6" s="1081"/>
      <c r="E6" s="1082">
        <v>11514</v>
      </c>
    </row>
    <row r="7" spans="1:6" ht="31.5" x14ac:dyDescent="0.25">
      <c r="A7" s="1083" t="s">
        <v>701</v>
      </c>
      <c r="B7" s="1084" t="s">
        <v>700</v>
      </c>
      <c r="C7" s="1081"/>
      <c r="D7" s="1081"/>
      <c r="E7" s="1082">
        <v>34504</v>
      </c>
    </row>
    <row r="8" spans="1:6" x14ac:dyDescent="0.25">
      <c r="A8" s="1083" t="s">
        <v>867</v>
      </c>
      <c r="B8" s="1080" t="s">
        <v>868</v>
      </c>
      <c r="C8" s="1081"/>
      <c r="D8" s="1085"/>
      <c r="E8" s="1082">
        <v>37200</v>
      </c>
    </row>
    <row r="9" spans="1:6" x14ac:dyDescent="0.25">
      <c r="A9" s="1083" t="s">
        <v>703</v>
      </c>
      <c r="B9" s="1084" t="s">
        <v>1121</v>
      </c>
      <c r="C9" s="1081"/>
      <c r="D9" s="1085"/>
      <c r="E9" s="1082">
        <v>66900</v>
      </c>
    </row>
    <row r="10" spans="1:6" x14ac:dyDescent="0.25">
      <c r="A10" s="1079" t="s">
        <v>704</v>
      </c>
      <c r="B10" s="1080" t="s">
        <v>396</v>
      </c>
      <c r="C10" s="1081">
        <v>55360</v>
      </c>
      <c r="D10" s="1085">
        <v>772</v>
      </c>
      <c r="E10" s="1082">
        <v>42738</v>
      </c>
    </row>
    <row r="11" spans="1:6" x14ac:dyDescent="0.25">
      <c r="A11" s="1079" t="s">
        <v>713</v>
      </c>
      <c r="B11" s="1080" t="s">
        <v>702</v>
      </c>
      <c r="C11" s="1081">
        <v>188500</v>
      </c>
      <c r="D11" s="1086">
        <v>136</v>
      </c>
      <c r="E11" s="1082">
        <v>25636</v>
      </c>
    </row>
    <row r="12" spans="1:6" x14ac:dyDescent="0.25">
      <c r="A12" s="1079" t="s">
        <v>397</v>
      </c>
      <c r="B12" s="1080" t="s">
        <v>398</v>
      </c>
      <c r="C12" s="1081">
        <v>109000</v>
      </c>
      <c r="D12" s="1081">
        <v>85</v>
      </c>
      <c r="E12" s="1082">
        <v>9265</v>
      </c>
    </row>
    <row r="13" spans="1:6" ht="31.5" x14ac:dyDescent="0.25">
      <c r="A13" s="1079" t="s">
        <v>399</v>
      </c>
      <c r="B13" s="1080" t="s">
        <v>400</v>
      </c>
      <c r="C13" s="1081">
        <v>500000</v>
      </c>
      <c r="D13" s="1081">
        <v>20</v>
      </c>
      <c r="E13" s="1082">
        <v>10000</v>
      </c>
    </row>
    <row r="14" spans="1:6" x14ac:dyDescent="0.25">
      <c r="A14" s="1079" t="s">
        <v>401</v>
      </c>
      <c r="B14" s="1080" t="s">
        <v>402</v>
      </c>
      <c r="C14" s="1081">
        <v>206100</v>
      </c>
      <c r="D14" s="1081">
        <v>60</v>
      </c>
      <c r="E14" s="1082">
        <v>12366</v>
      </c>
    </row>
    <row r="15" spans="1:6" x14ac:dyDescent="0.25">
      <c r="A15" s="1079" t="s">
        <v>403</v>
      </c>
      <c r="B15" s="1084" t="s">
        <v>404</v>
      </c>
      <c r="C15" s="1081"/>
      <c r="D15" s="1081"/>
      <c r="E15" s="1082">
        <v>135136</v>
      </c>
    </row>
    <row r="16" spans="1:6" x14ac:dyDescent="0.25">
      <c r="A16" s="1079" t="s">
        <v>405</v>
      </c>
      <c r="B16" s="1084" t="s">
        <v>406</v>
      </c>
      <c r="C16" s="1081">
        <v>468350</v>
      </c>
      <c r="D16" s="1081">
        <v>121</v>
      </c>
      <c r="E16" s="1082">
        <v>56670</v>
      </c>
    </row>
    <row r="17" spans="1:5" ht="99.75" customHeight="1" x14ac:dyDescent="0.25">
      <c r="A17" s="1079" t="s">
        <v>407</v>
      </c>
      <c r="B17" s="1084" t="s">
        <v>705</v>
      </c>
      <c r="C17" s="1081">
        <v>2606040</v>
      </c>
      <c r="D17" s="1087">
        <v>75</v>
      </c>
      <c r="E17" s="1082">
        <v>195453</v>
      </c>
    </row>
    <row r="18" spans="1:5" ht="78.75" x14ac:dyDescent="0.25">
      <c r="A18" s="1088" t="s">
        <v>408</v>
      </c>
      <c r="B18" s="1089" t="s">
        <v>707</v>
      </c>
      <c r="C18" s="1090"/>
      <c r="D18" s="1090"/>
      <c r="E18" s="1091">
        <v>178175</v>
      </c>
    </row>
    <row r="19" spans="1:5" ht="47.25" x14ac:dyDescent="0.25">
      <c r="A19" s="1079" t="s">
        <v>409</v>
      </c>
      <c r="B19" s="1080" t="s">
        <v>706</v>
      </c>
      <c r="C19" s="1081">
        <v>1632000</v>
      </c>
      <c r="D19" s="1081">
        <v>169.41</v>
      </c>
      <c r="E19" s="1082">
        <v>276477</v>
      </c>
    </row>
    <row r="20" spans="1:5" x14ac:dyDescent="0.25">
      <c r="A20" s="1079" t="s">
        <v>709</v>
      </c>
      <c r="B20" s="1080" t="s">
        <v>708</v>
      </c>
      <c r="C20" s="1081"/>
      <c r="D20" s="1081"/>
      <c r="E20" s="1082">
        <v>289462</v>
      </c>
    </row>
    <row r="21" spans="1:5" ht="31.5" x14ac:dyDescent="0.25">
      <c r="A21" s="1079" t="s">
        <v>869</v>
      </c>
      <c r="B21" s="1084" t="s">
        <v>870</v>
      </c>
      <c r="C21" s="1081">
        <v>22434</v>
      </c>
      <c r="D21" s="1081">
        <v>285</v>
      </c>
      <c r="E21" s="1082">
        <v>6394</v>
      </c>
    </row>
    <row r="22" spans="1:5" ht="31.5" x14ac:dyDescent="0.25">
      <c r="A22" s="1083" t="s">
        <v>410</v>
      </c>
      <c r="B22" s="1092" t="s">
        <v>411</v>
      </c>
      <c r="C22" s="1093"/>
      <c r="D22" s="1093"/>
      <c r="E22" s="1094">
        <v>221200</v>
      </c>
    </row>
    <row r="23" spans="1:5" x14ac:dyDescent="0.25">
      <c r="A23" s="1083" t="s">
        <v>412</v>
      </c>
      <c r="B23" s="1084" t="s">
        <v>413</v>
      </c>
      <c r="C23" s="1081"/>
      <c r="D23" s="1081"/>
      <c r="E23" s="1082">
        <v>134300</v>
      </c>
    </row>
    <row r="24" spans="1:5" ht="31.5" x14ac:dyDescent="0.25">
      <c r="A24" s="1083" t="s">
        <v>414</v>
      </c>
      <c r="B24" s="1084" t="s">
        <v>711</v>
      </c>
      <c r="C24" s="1081">
        <v>400</v>
      </c>
      <c r="D24" s="1081">
        <v>99315</v>
      </c>
      <c r="E24" s="1082">
        <v>39726</v>
      </c>
    </row>
    <row r="25" spans="1:5" ht="31.5" x14ac:dyDescent="0.25">
      <c r="A25" s="1095" t="s">
        <v>470</v>
      </c>
      <c r="B25" s="1092" t="s">
        <v>471</v>
      </c>
      <c r="C25" s="1093"/>
      <c r="D25" s="1093"/>
      <c r="E25" s="1094">
        <v>63361</v>
      </c>
    </row>
    <row r="26" spans="1:5" ht="48" thickBot="1" x14ac:dyDescent="0.3">
      <c r="A26" s="1095" t="s">
        <v>712</v>
      </c>
      <c r="B26" s="1096" t="s">
        <v>415</v>
      </c>
      <c r="C26" s="1093"/>
      <c r="D26" s="1093"/>
      <c r="E26" s="1094">
        <v>304300</v>
      </c>
    </row>
    <row r="27" spans="1:5" ht="16.5" thickBot="1" x14ac:dyDescent="0.3">
      <c r="A27" s="1097" t="s">
        <v>416</v>
      </c>
      <c r="B27" s="1098"/>
      <c r="C27" s="1099"/>
      <c r="D27" s="1099"/>
      <c r="E27" s="1100">
        <f>SUM(E3:E26)</f>
        <v>3946691</v>
      </c>
    </row>
    <row r="28" spans="1:5" x14ac:dyDescent="0.25">
      <c r="B28" s="1101"/>
      <c r="C28" s="780"/>
      <c r="D28" s="780"/>
      <c r="E28" s="780"/>
    </row>
    <row r="29" spans="1:5" x14ac:dyDescent="0.25">
      <c r="B29" s="1101"/>
      <c r="C29" s="780"/>
      <c r="D29" s="780"/>
      <c r="E29" s="780"/>
    </row>
    <row r="30" spans="1:5" x14ac:dyDescent="0.25">
      <c r="B30" s="1101"/>
      <c r="C30" s="780"/>
      <c r="D30" s="780"/>
      <c r="E30" s="780"/>
    </row>
    <row r="31" spans="1:5" x14ac:dyDescent="0.25">
      <c r="B31" s="1101"/>
      <c r="C31" s="780"/>
      <c r="D31" s="780"/>
      <c r="E31" s="780"/>
    </row>
    <row r="32" spans="1:5" x14ac:dyDescent="0.25">
      <c r="B32" s="1101"/>
      <c r="C32" s="780"/>
      <c r="D32" s="780"/>
      <c r="E32" s="780"/>
    </row>
    <row r="33" spans="2:5" x14ac:dyDescent="0.25">
      <c r="B33" s="1101"/>
      <c r="C33" s="780"/>
      <c r="D33" s="780"/>
      <c r="E33" s="780"/>
    </row>
    <row r="34" spans="2:5" x14ac:dyDescent="0.25">
      <c r="B34" s="1101"/>
      <c r="C34" s="780"/>
      <c r="D34" s="780"/>
      <c r="E34" s="780"/>
    </row>
    <row r="35" spans="2:5" x14ac:dyDescent="0.25">
      <c r="B35" s="1101"/>
      <c r="C35" s="780"/>
      <c r="D35" s="780"/>
      <c r="E35" s="780"/>
    </row>
    <row r="36" spans="2:5" x14ac:dyDescent="0.25">
      <c r="B36" s="1101"/>
      <c r="C36" s="780"/>
      <c r="D36" s="780"/>
      <c r="E36" s="780"/>
    </row>
    <row r="37" spans="2:5" x14ac:dyDescent="0.25">
      <c r="B37" s="1101"/>
      <c r="C37" s="780"/>
      <c r="D37" s="780"/>
      <c r="E37" s="780"/>
    </row>
    <row r="38" spans="2:5" x14ac:dyDescent="0.25">
      <c r="B38" s="1101"/>
      <c r="C38" s="780"/>
      <c r="D38" s="780"/>
      <c r="E38" s="780"/>
    </row>
    <row r="39" spans="2:5" x14ac:dyDescent="0.25">
      <c r="B39" s="1101"/>
      <c r="C39" s="780"/>
      <c r="D39" s="780"/>
      <c r="E39" s="780"/>
    </row>
    <row r="40" spans="2:5" x14ac:dyDescent="0.25">
      <c r="B40" s="1101"/>
      <c r="C40" s="780"/>
      <c r="D40" s="780"/>
      <c r="E40" s="780"/>
    </row>
    <row r="41" spans="2:5" x14ac:dyDescent="0.25">
      <c r="B41" s="1101"/>
      <c r="C41" s="780"/>
      <c r="D41" s="780"/>
      <c r="E41" s="780"/>
    </row>
    <row r="42" spans="2:5" x14ac:dyDescent="0.25">
      <c r="B42" s="1101"/>
      <c r="C42" s="780"/>
      <c r="D42" s="780"/>
      <c r="E42" s="780"/>
    </row>
    <row r="43" spans="2:5" x14ac:dyDescent="0.25">
      <c r="B43" s="1101"/>
      <c r="C43" s="780"/>
      <c r="D43" s="780"/>
      <c r="E43" s="780"/>
    </row>
    <row r="44" spans="2:5" x14ac:dyDescent="0.25">
      <c r="B44" s="1101"/>
      <c r="C44" s="780"/>
      <c r="D44" s="780"/>
      <c r="E44" s="780"/>
    </row>
    <row r="45" spans="2:5" x14ac:dyDescent="0.25">
      <c r="B45" s="1101"/>
      <c r="C45" s="780"/>
      <c r="D45" s="780"/>
      <c r="E45" s="780"/>
    </row>
    <row r="46" spans="2:5" x14ac:dyDescent="0.25">
      <c r="B46" s="1101"/>
      <c r="C46" s="780"/>
      <c r="D46" s="780"/>
      <c r="E46" s="780"/>
    </row>
    <row r="47" spans="2:5" x14ac:dyDescent="0.25">
      <c r="B47" s="1101"/>
      <c r="C47" s="780"/>
      <c r="D47" s="780"/>
      <c r="E47" s="780"/>
    </row>
    <row r="48" spans="2:5" x14ac:dyDescent="0.25">
      <c r="B48" s="1101"/>
      <c r="C48" s="780"/>
      <c r="D48" s="780"/>
      <c r="E48" s="780"/>
    </row>
    <row r="49" spans="2:5" x14ac:dyDescent="0.25">
      <c r="B49" s="1101"/>
      <c r="C49" s="780"/>
      <c r="D49" s="780"/>
      <c r="E49" s="780"/>
    </row>
    <row r="50" spans="2:5" x14ac:dyDescent="0.25">
      <c r="B50" s="1101"/>
    </row>
    <row r="51" spans="2:5" x14ac:dyDescent="0.25">
      <c r="B51" s="1101"/>
    </row>
    <row r="52" spans="2:5" x14ac:dyDescent="0.25">
      <c r="B52" s="1101"/>
    </row>
    <row r="53" spans="2:5" x14ac:dyDescent="0.25">
      <c r="B53" s="1101"/>
    </row>
    <row r="54" spans="2:5" x14ac:dyDescent="0.25">
      <c r="B54" s="1101"/>
    </row>
    <row r="55" spans="2:5" x14ac:dyDescent="0.25">
      <c r="B55" s="1101"/>
    </row>
    <row r="56" spans="2:5" x14ac:dyDescent="0.25">
      <c r="B56" s="1101"/>
    </row>
    <row r="57" spans="2:5" x14ac:dyDescent="0.25">
      <c r="B57" s="1101"/>
    </row>
  </sheetData>
  <mergeCells count="2">
    <mergeCell ref="A1:B1"/>
    <mergeCell ref="C1:E1"/>
  </mergeCells>
  <printOptions horizontalCentered="1"/>
  <pageMargins left="0.23622047244094491" right="0.19685039370078741" top="1.299212598425197" bottom="0.51181102362204722" header="0.31496062992125984" footer="0.23622047244094491"/>
  <pageSetup paperSize="9" orientation="portrait" r:id="rId1"/>
  <headerFooter alignWithMargins="0">
    <oddHeader>&amp;C&amp;"Times New Roman,Félkövér"
2016. évi központi költségvetésből
 származó  állami hozzájárulás (eFt-ban)&amp;R&amp;"Times New Roman CE,Félkövér"6. melléklet
&amp;10a 3/2016.(II.12.) önkormányzati rendelethez</oddHead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0"/>
  <sheetViews>
    <sheetView zoomScaleNormal="100" workbookViewId="0">
      <pane xSplit="2" ySplit="4" topLeftCell="C434" activePane="bottomRight" state="frozen"/>
      <selection activeCell="AH33" sqref="AH33"/>
      <selection pane="topRight" activeCell="AH33" sqref="AH33"/>
      <selection pane="bottomLeft" activeCell="AH33" sqref="AH33"/>
      <selection pane="bottomRight" activeCell="AH33" sqref="AH33"/>
    </sheetView>
  </sheetViews>
  <sheetFormatPr defaultColWidth="8" defaultRowHeight="15.75" x14ac:dyDescent="0.25"/>
  <cols>
    <col min="1" max="1" width="3.125" style="1152" customWidth="1"/>
    <col min="2" max="2" width="38.25" style="780" customWidth="1"/>
    <col min="3" max="3" width="15.75" style="1149" customWidth="1"/>
    <col min="4" max="4" width="16.875" style="1149" customWidth="1"/>
    <col min="5" max="5" width="11.75" style="1149" customWidth="1"/>
    <col min="6" max="6" width="10.125" style="1149" customWidth="1"/>
    <col min="7" max="7" width="12.625" style="1149" customWidth="1"/>
    <col min="8" max="8" width="13.25" style="1149" customWidth="1"/>
    <col min="9" max="9" width="12.375" style="1149" customWidth="1"/>
    <col min="10" max="10" width="13.75" style="1149" customWidth="1"/>
    <col min="11" max="11" width="13.375" style="1149" customWidth="1"/>
    <col min="12" max="12" width="14" style="1149" customWidth="1"/>
    <col min="13" max="13" width="14.875" style="1149" customWidth="1"/>
    <col min="14" max="14" width="12.5" style="1149" customWidth="1"/>
    <col min="15" max="15" width="11.125" style="1149" customWidth="1"/>
    <col min="16" max="16" width="8.625" style="1149" bestFit="1" customWidth="1"/>
    <col min="17" max="16384" width="8" style="1149"/>
  </cols>
  <sheetData>
    <row r="1" spans="1:16" ht="21.75" customHeight="1" thickBot="1" x14ac:dyDescent="0.3">
      <c r="A1" s="1256" t="s">
        <v>1149</v>
      </c>
      <c r="B1" s="1254" t="s">
        <v>632</v>
      </c>
      <c r="C1" s="1254" t="s">
        <v>574</v>
      </c>
      <c r="D1" s="1254" t="s">
        <v>575</v>
      </c>
      <c r="E1" s="1254" t="s">
        <v>576</v>
      </c>
      <c r="F1" s="1254" t="s">
        <v>144</v>
      </c>
      <c r="G1" s="1254" t="s">
        <v>150</v>
      </c>
      <c r="H1" s="1254" t="s">
        <v>577</v>
      </c>
      <c r="I1" s="1254" t="s">
        <v>578</v>
      </c>
      <c r="J1" s="1254" t="s">
        <v>1074</v>
      </c>
      <c r="K1" s="1254" t="s">
        <v>1150</v>
      </c>
      <c r="L1" s="1254" t="s">
        <v>579</v>
      </c>
      <c r="M1" s="1259" t="s">
        <v>1151</v>
      </c>
      <c r="N1" s="1260"/>
      <c r="O1" s="1254" t="s">
        <v>1152</v>
      </c>
    </row>
    <row r="2" spans="1:16" ht="33.75" customHeight="1" thickBot="1" x14ac:dyDescent="0.3">
      <c r="A2" s="1257"/>
      <c r="B2" s="1255"/>
      <c r="C2" s="1255"/>
      <c r="D2" s="1255"/>
      <c r="E2" s="1255"/>
      <c r="F2" s="1255"/>
      <c r="G2" s="1255"/>
      <c r="H2" s="1255"/>
      <c r="I2" s="1255"/>
      <c r="J2" s="1255"/>
      <c r="K2" s="1255"/>
      <c r="L2" s="1255"/>
      <c r="M2" s="748" t="s">
        <v>580</v>
      </c>
      <c r="N2" s="749" t="s">
        <v>581</v>
      </c>
      <c r="O2" s="1255"/>
    </row>
    <row r="3" spans="1:16" thickBot="1" x14ac:dyDescent="0.3">
      <c r="A3" s="1258"/>
      <c r="B3" s="1143"/>
      <c r="C3" s="1144" t="s">
        <v>356</v>
      </c>
      <c r="D3" s="1144" t="s">
        <v>357</v>
      </c>
      <c r="E3" s="1144" t="s">
        <v>358</v>
      </c>
      <c r="F3" s="1144" t="s">
        <v>359</v>
      </c>
      <c r="G3" s="1144" t="s">
        <v>360</v>
      </c>
      <c r="H3" s="1144" t="s">
        <v>361</v>
      </c>
      <c r="I3" s="1144" t="s">
        <v>362</v>
      </c>
      <c r="J3" s="451" t="s">
        <v>582</v>
      </c>
      <c r="K3" s="452" t="s">
        <v>583</v>
      </c>
      <c r="L3" s="1144" t="s">
        <v>1153</v>
      </c>
      <c r="M3" s="1261" t="s">
        <v>366</v>
      </c>
      <c r="N3" s="1262"/>
      <c r="O3" s="750" t="s">
        <v>1154</v>
      </c>
    </row>
    <row r="4" spans="1:16" ht="17.25" thickTop="1" thickBot="1" x14ac:dyDescent="0.3">
      <c r="A4" s="751"/>
      <c r="B4" s="752" t="s">
        <v>254</v>
      </c>
      <c r="C4" s="453" t="s">
        <v>255</v>
      </c>
      <c r="D4" s="453" t="s">
        <v>256</v>
      </c>
      <c r="E4" s="453" t="s">
        <v>257</v>
      </c>
      <c r="F4" s="453" t="s">
        <v>258</v>
      </c>
      <c r="G4" s="453" t="s">
        <v>537</v>
      </c>
      <c r="H4" s="453" t="s">
        <v>100</v>
      </c>
      <c r="I4" s="453" t="s">
        <v>101</v>
      </c>
      <c r="J4" s="453" t="s">
        <v>584</v>
      </c>
      <c r="K4" s="453" t="s">
        <v>585</v>
      </c>
      <c r="L4" s="453" t="s">
        <v>586</v>
      </c>
      <c r="M4" s="1263" t="s">
        <v>105</v>
      </c>
      <c r="N4" s="1264"/>
      <c r="O4" s="454" t="s">
        <v>587</v>
      </c>
    </row>
    <row r="5" spans="1:16" ht="16.5" thickTop="1" x14ac:dyDescent="0.25">
      <c r="A5" s="753" t="s">
        <v>318</v>
      </c>
      <c r="B5" s="754" t="s">
        <v>542</v>
      </c>
      <c r="C5" s="754"/>
      <c r="D5" s="754"/>
      <c r="E5" s="754"/>
      <c r="F5" s="754"/>
      <c r="G5" s="754"/>
      <c r="H5" s="754"/>
      <c r="I5" s="754"/>
      <c r="J5" s="754"/>
      <c r="K5" s="754"/>
      <c r="L5" s="754"/>
      <c r="M5" s="754"/>
      <c r="N5" s="754"/>
      <c r="O5" s="754"/>
    </row>
    <row r="6" spans="1:16" x14ac:dyDescent="0.25">
      <c r="A6" s="753"/>
      <c r="B6" s="755" t="s">
        <v>1125</v>
      </c>
      <c r="C6" s="755">
        <v>395109</v>
      </c>
      <c r="D6" s="755"/>
      <c r="E6" s="755"/>
      <c r="F6" s="755">
        <v>43996</v>
      </c>
      <c r="G6" s="755"/>
      <c r="H6" s="755"/>
      <c r="I6" s="755"/>
      <c r="J6" s="755">
        <f>SUM(C6+E6+F6+H6)</f>
        <v>439105</v>
      </c>
      <c r="K6" s="755">
        <f>SUM(D6+G6+I6)</f>
        <v>0</v>
      </c>
      <c r="L6" s="755">
        <f>SUM(J6:K6)</f>
        <v>439105</v>
      </c>
      <c r="M6" s="755">
        <v>193960</v>
      </c>
      <c r="N6" s="755">
        <v>77426</v>
      </c>
      <c r="O6" s="755">
        <f>SUM(L6:N6)</f>
        <v>710491</v>
      </c>
    </row>
    <row r="7" spans="1:16" s="1150" customFormat="1" x14ac:dyDescent="0.25">
      <c r="A7" s="756"/>
      <c r="B7" s="757" t="s">
        <v>1155</v>
      </c>
      <c r="C7" s="757">
        <v>303378</v>
      </c>
      <c r="D7" s="757"/>
      <c r="E7" s="757"/>
      <c r="F7" s="757">
        <v>43171</v>
      </c>
      <c r="G7" s="757"/>
      <c r="H7" s="757"/>
      <c r="I7" s="758"/>
      <c r="J7" s="758">
        <f>SUM(C7+E7+F7+H7)</f>
        <v>346549</v>
      </c>
      <c r="K7" s="758">
        <f>SUM(D7+G7+I7)</f>
        <v>0</v>
      </c>
      <c r="L7" s="758">
        <f>SUM(J7:K7)</f>
        <v>346549</v>
      </c>
      <c r="M7" s="758">
        <v>136587</v>
      </c>
      <c r="N7" s="758">
        <v>77426</v>
      </c>
      <c r="O7" s="758">
        <f>SUM(L7:N7)</f>
        <v>560562</v>
      </c>
    </row>
    <row r="8" spans="1:16" s="1150" customFormat="1" x14ac:dyDescent="0.25">
      <c r="A8" s="756"/>
      <c r="B8" s="757" t="s">
        <v>1156</v>
      </c>
      <c r="C8" s="757">
        <v>91731</v>
      </c>
      <c r="D8" s="757"/>
      <c r="E8" s="757"/>
      <c r="F8" s="757">
        <v>825</v>
      </c>
      <c r="G8" s="757"/>
      <c r="H8" s="757"/>
      <c r="I8" s="758"/>
      <c r="J8" s="758">
        <f>SUM(C8+E8+F8+H8)</f>
        <v>92556</v>
      </c>
      <c r="K8" s="758">
        <f>SUM(D8+G8+I8)</f>
        <v>0</v>
      </c>
      <c r="L8" s="758">
        <f>SUM(J8:K8)</f>
        <v>92556</v>
      </c>
      <c r="M8" s="758">
        <v>57373</v>
      </c>
      <c r="N8" s="758"/>
      <c r="O8" s="758">
        <f>SUM(L8:N8)</f>
        <v>149929</v>
      </c>
    </row>
    <row r="9" spans="1:16" s="1150" customFormat="1" x14ac:dyDescent="0.25">
      <c r="A9" s="756"/>
      <c r="B9" s="757" t="s">
        <v>243</v>
      </c>
      <c r="C9" s="757"/>
      <c r="D9" s="757"/>
      <c r="E9" s="757"/>
      <c r="F9" s="757"/>
      <c r="G9" s="757"/>
      <c r="H9" s="757"/>
      <c r="I9" s="758"/>
      <c r="J9" s="758"/>
      <c r="K9" s="758"/>
      <c r="L9" s="758"/>
      <c r="M9" s="758"/>
      <c r="N9" s="758"/>
      <c r="O9" s="758"/>
    </row>
    <row r="10" spans="1:16" s="1150" customFormat="1" x14ac:dyDescent="0.25">
      <c r="A10" s="756"/>
      <c r="B10" s="954" t="s">
        <v>1407</v>
      </c>
      <c r="C10" s="757"/>
      <c r="D10" s="757"/>
      <c r="E10" s="757"/>
      <c r="F10" s="757"/>
      <c r="G10" s="757"/>
      <c r="H10" s="757"/>
      <c r="I10" s="758"/>
      <c r="J10" s="954">
        <f t="shared" ref="J10:J13" si="0">SUM(C10+E10+F10+H10)</f>
        <v>0</v>
      </c>
      <c r="K10" s="954">
        <f t="shared" ref="K10:K13" si="1">SUM(D10+G10+I10)</f>
        <v>0</v>
      </c>
      <c r="L10" s="954">
        <f t="shared" ref="L10:L13" si="2">SUM(J10:K10)</f>
        <v>0</v>
      </c>
      <c r="M10" s="954">
        <v>945</v>
      </c>
      <c r="N10" s="954"/>
      <c r="O10" s="954">
        <f t="shared" ref="O10:O13" si="3">SUM(L10:N10)</f>
        <v>945</v>
      </c>
    </row>
    <row r="11" spans="1:16" s="1150" customFormat="1" ht="31.5" x14ac:dyDescent="0.25">
      <c r="A11" s="756"/>
      <c r="B11" s="954" t="s">
        <v>1262</v>
      </c>
      <c r="C11" s="954">
        <f>81520+1</f>
        <v>81521</v>
      </c>
      <c r="D11" s="757"/>
      <c r="E11" s="757"/>
      <c r="F11" s="757">
        <v>9305</v>
      </c>
      <c r="G11" s="757"/>
      <c r="H11" s="757"/>
      <c r="I11" s="758"/>
      <c r="J11" s="954">
        <f t="shared" si="0"/>
        <v>90826</v>
      </c>
      <c r="K11" s="954">
        <f t="shared" si="1"/>
        <v>0</v>
      </c>
      <c r="L11" s="954">
        <f t="shared" si="2"/>
        <v>90826</v>
      </c>
      <c r="M11" s="954">
        <v>-1413</v>
      </c>
      <c r="N11" s="954"/>
      <c r="O11" s="954">
        <f t="shared" si="3"/>
        <v>89413</v>
      </c>
    </row>
    <row r="12" spans="1:16" s="1150" customFormat="1" x14ac:dyDescent="0.25">
      <c r="A12" s="756"/>
      <c r="B12" s="757" t="s">
        <v>244</v>
      </c>
      <c r="C12" s="757"/>
      <c r="D12" s="757"/>
      <c r="E12" s="757"/>
      <c r="F12" s="757"/>
      <c r="G12" s="757"/>
      <c r="H12" s="757"/>
      <c r="I12" s="758"/>
      <c r="J12" s="954"/>
      <c r="K12" s="954"/>
      <c r="L12" s="954"/>
      <c r="M12" s="954"/>
      <c r="N12" s="954"/>
      <c r="O12" s="954"/>
    </row>
    <row r="13" spans="1:16" s="1150" customFormat="1" ht="16.5" thickBot="1" x14ac:dyDescent="0.3">
      <c r="A13" s="756"/>
      <c r="B13" s="813" t="s">
        <v>1408</v>
      </c>
      <c r="C13" s="757"/>
      <c r="D13" s="757"/>
      <c r="E13" s="757"/>
      <c r="F13" s="757"/>
      <c r="G13" s="757"/>
      <c r="H13" s="757"/>
      <c r="I13" s="758"/>
      <c r="J13" s="954">
        <f t="shared" si="0"/>
        <v>0</v>
      </c>
      <c r="K13" s="954">
        <f t="shared" si="1"/>
        <v>0</v>
      </c>
      <c r="L13" s="954">
        <f t="shared" si="2"/>
        <v>0</v>
      </c>
      <c r="M13" s="954">
        <v>2393</v>
      </c>
      <c r="N13" s="954"/>
      <c r="O13" s="954">
        <f t="shared" si="3"/>
        <v>2393</v>
      </c>
    </row>
    <row r="14" spans="1:16" ht="17.25" thickTop="1" thickBot="1" x14ac:dyDescent="0.3">
      <c r="A14" s="751"/>
      <c r="B14" s="759" t="s">
        <v>1157</v>
      </c>
      <c r="C14" s="759">
        <f>+C6+C10+C11+C13</f>
        <v>476630</v>
      </c>
      <c r="D14" s="759">
        <f t="shared" ref="D14:O14" si="4">+D6+D10+D11+D13</f>
        <v>0</v>
      </c>
      <c r="E14" s="759">
        <f t="shared" si="4"/>
        <v>0</v>
      </c>
      <c r="F14" s="759">
        <f t="shared" si="4"/>
        <v>53301</v>
      </c>
      <c r="G14" s="759">
        <f t="shared" si="4"/>
        <v>0</v>
      </c>
      <c r="H14" s="759">
        <f t="shared" si="4"/>
        <v>0</v>
      </c>
      <c r="I14" s="759">
        <f t="shared" si="4"/>
        <v>0</v>
      </c>
      <c r="J14" s="759">
        <f t="shared" si="4"/>
        <v>529931</v>
      </c>
      <c r="K14" s="759">
        <f t="shared" si="4"/>
        <v>0</v>
      </c>
      <c r="L14" s="759">
        <f t="shared" si="4"/>
        <v>529931</v>
      </c>
      <c r="M14" s="759">
        <f t="shared" si="4"/>
        <v>195885</v>
      </c>
      <c r="N14" s="759">
        <f t="shared" si="4"/>
        <v>77426</v>
      </c>
      <c r="O14" s="759">
        <f t="shared" si="4"/>
        <v>803242</v>
      </c>
      <c r="P14" s="1149">
        <f>O15+O16</f>
        <v>803242</v>
      </c>
    </row>
    <row r="15" spans="1:16" ht="17.25" thickTop="1" thickBot="1" x14ac:dyDescent="0.3">
      <c r="A15" s="751"/>
      <c r="B15" s="759" t="s">
        <v>1158</v>
      </c>
      <c r="C15" s="759">
        <f>+C7+C10+C11</f>
        <v>384899</v>
      </c>
      <c r="D15" s="759">
        <f t="shared" ref="D15:O15" si="5">+D7+D10+D11</f>
        <v>0</v>
      </c>
      <c r="E15" s="759">
        <f t="shared" si="5"/>
        <v>0</v>
      </c>
      <c r="F15" s="759">
        <f t="shared" si="5"/>
        <v>52476</v>
      </c>
      <c r="G15" s="759">
        <f t="shared" si="5"/>
        <v>0</v>
      </c>
      <c r="H15" s="759">
        <f t="shared" si="5"/>
        <v>0</v>
      </c>
      <c r="I15" s="759">
        <f t="shared" si="5"/>
        <v>0</v>
      </c>
      <c r="J15" s="759">
        <f t="shared" si="5"/>
        <v>437375</v>
      </c>
      <c r="K15" s="759">
        <f t="shared" si="5"/>
        <v>0</v>
      </c>
      <c r="L15" s="759">
        <f t="shared" si="5"/>
        <v>437375</v>
      </c>
      <c r="M15" s="759">
        <f t="shared" si="5"/>
        <v>136119</v>
      </c>
      <c r="N15" s="759">
        <f t="shared" si="5"/>
        <v>77426</v>
      </c>
      <c r="O15" s="759">
        <f t="shared" si="5"/>
        <v>650920</v>
      </c>
    </row>
    <row r="16" spans="1:16" ht="17.25" thickTop="1" thickBot="1" x14ac:dyDescent="0.3">
      <c r="A16" s="751"/>
      <c r="B16" s="759" t="s">
        <v>1159</v>
      </c>
      <c r="C16" s="759">
        <f>+C8+C13</f>
        <v>91731</v>
      </c>
      <c r="D16" s="759">
        <f t="shared" ref="D16:O16" si="6">+D8+D13</f>
        <v>0</v>
      </c>
      <c r="E16" s="759">
        <f t="shared" si="6"/>
        <v>0</v>
      </c>
      <c r="F16" s="759">
        <f t="shared" si="6"/>
        <v>825</v>
      </c>
      <c r="G16" s="759">
        <f t="shared" si="6"/>
        <v>0</v>
      </c>
      <c r="H16" s="759">
        <f t="shared" si="6"/>
        <v>0</v>
      </c>
      <c r="I16" s="759">
        <f t="shared" si="6"/>
        <v>0</v>
      </c>
      <c r="J16" s="759">
        <f t="shared" si="6"/>
        <v>92556</v>
      </c>
      <c r="K16" s="759">
        <f t="shared" si="6"/>
        <v>0</v>
      </c>
      <c r="L16" s="759">
        <f t="shared" si="6"/>
        <v>92556</v>
      </c>
      <c r="M16" s="759">
        <f t="shared" si="6"/>
        <v>59766</v>
      </c>
      <c r="N16" s="759">
        <f t="shared" si="6"/>
        <v>0</v>
      </c>
      <c r="O16" s="759">
        <f t="shared" si="6"/>
        <v>152322</v>
      </c>
    </row>
    <row r="17" spans="1:16" ht="32.25" thickTop="1" x14ac:dyDescent="0.25">
      <c r="A17" s="753" t="s">
        <v>319</v>
      </c>
      <c r="B17" s="754" t="s">
        <v>543</v>
      </c>
      <c r="C17" s="754"/>
      <c r="D17" s="754"/>
      <c r="E17" s="754"/>
      <c r="F17" s="754"/>
      <c r="G17" s="754"/>
      <c r="H17" s="754"/>
      <c r="I17" s="754"/>
      <c r="J17" s="755"/>
      <c r="K17" s="755"/>
      <c r="L17" s="755"/>
      <c r="M17" s="755"/>
      <c r="N17" s="755"/>
      <c r="O17" s="755"/>
    </row>
    <row r="18" spans="1:16" s="1150" customFormat="1" x14ac:dyDescent="0.25">
      <c r="A18" s="753"/>
      <c r="B18" s="755" t="s">
        <v>1125</v>
      </c>
      <c r="C18" s="755">
        <v>5938</v>
      </c>
      <c r="D18" s="755"/>
      <c r="E18" s="755"/>
      <c r="F18" s="755">
        <v>13190</v>
      </c>
      <c r="G18" s="755"/>
      <c r="H18" s="755"/>
      <c r="I18" s="755"/>
      <c r="J18" s="755">
        <f>SUM(C18+E18+F18+H18)</f>
        <v>19128</v>
      </c>
      <c r="K18" s="755">
        <f>SUM(D18+G18+I18)</f>
        <v>0</v>
      </c>
      <c r="L18" s="755">
        <f>SUM(J18:K18)</f>
        <v>19128</v>
      </c>
      <c r="M18" s="755">
        <v>91444</v>
      </c>
      <c r="N18" s="755">
        <v>469</v>
      </c>
      <c r="O18" s="755">
        <f>SUM(L18:N18)</f>
        <v>111041</v>
      </c>
    </row>
    <row r="19" spans="1:16" s="1150" customFormat="1" x14ac:dyDescent="0.25">
      <c r="A19" s="756"/>
      <c r="B19" s="757" t="s">
        <v>1155</v>
      </c>
      <c r="C19" s="757">
        <v>5938</v>
      </c>
      <c r="D19" s="757"/>
      <c r="E19" s="757"/>
      <c r="F19" s="757">
        <v>5277</v>
      </c>
      <c r="G19" s="757"/>
      <c r="H19" s="757"/>
      <c r="I19" s="757"/>
      <c r="J19" s="758">
        <f>SUM(C19+E19+F19+H19)</f>
        <v>11215</v>
      </c>
      <c r="K19" s="758">
        <f>SUM(D19+G19+I19)</f>
        <v>0</v>
      </c>
      <c r="L19" s="758">
        <f>SUM(J19:K19)</f>
        <v>11215</v>
      </c>
      <c r="M19" s="758">
        <v>41495</v>
      </c>
      <c r="N19" s="758">
        <v>469</v>
      </c>
      <c r="O19" s="758">
        <f>SUM(L19:N19)</f>
        <v>53179</v>
      </c>
    </row>
    <row r="20" spans="1:16" s="1150" customFormat="1" x14ac:dyDescent="0.25">
      <c r="A20" s="756"/>
      <c r="B20" s="757" t="s">
        <v>1156</v>
      </c>
      <c r="C20" s="757"/>
      <c r="D20" s="757"/>
      <c r="E20" s="757"/>
      <c r="F20" s="757">
        <v>7913</v>
      </c>
      <c r="G20" s="757"/>
      <c r="H20" s="757"/>
      <c r="I20" s="757"/>
      <c r="J20" s="758">
        <f>SUM(C20+E20+F20+H20)</f>
        <v>7913</v>
      </c>
      <c r="K20" s="758">
        <f>SUM(D20+G20+I20)</f>
        <v>0</v>
      </c>
      <c r="L20" s="758">
        <f>SUM(J20:K20)</f>
        <v>7913</v>
      </c>
      <c r="M20" s="758">
        <v>49949</v>
      </c>
      <c r="N20" s="758"/>
      <c r="O20" s="758">
        <f>SUM(L20:N20)</f>
        <v>57862</v>
      </c>
    </row>
    <row r="21" spans="1:16" s="1150" customFormat="1" x14ac:dyDescent="0.25">
      <c r="A21" s="756"/>
      <c r="B21" s="757" t="s">
        <v>243</v>
      </c>
      <c r="C21" s="757"/>
      <c r="D21" s="757"/>
      <c r="E21" s="757"/>
      <c r="F21" s="757"/>
      <c r="G21" s="757"/>
      <c r="H21" s="757"/>
      <c r="I21" s="757"/>
      <c r="J21" s="758"/>
      <c r="K21" s="758"/>
      <c r="L21" s="758"/>
      <c r="M21" s="758"/>
      <c r="N21" s="758"/>
      <c r="O21" s="758"/>
    </row>
    <row r="22" spans="1:16" s="1150" customFormat="1" x14ac:dyDescent="0.25">
      <c r="A22" s="756"/>
      <c r="B22" s="954" t="s">
        <v>1407</v>
      </c>
      <c r="C22" s="757"/>
      <c r="D22" s="757"/>
      <c r="E22" s="757"/>
      <c r="F22" s="757"/>
      <c r="G22" s="757"/>
      <c r="H22" s="757"/>
      <c r="I22" s="757"/>
      <c r="J22" s="954">
        <f t="shared" ref="J22:J27" si="7">SUM(C22+E22+F22+H22)</f>
        <v>0</v>
      </c>
      <c r="K22" s="954">
        <f t="shared" ref="K22:K27" si="8">SUM(D22+G22+I22)</f>
        <v>0</v>
      </c>
      <c r="L22" s="954">
        <f t="shared" ref="L22:L27" si="9">SUM(J22:K22)</f>
        <v>0</v>
      </c>
      <c r="M22" s="954">
        <v>157</v>
      </c>
      <c r="N22" s="954"/>
      <c r="O22" s="954">
        <f t="shared" ref="O22:O27" si="10">SUM(L22:N22)</f>
        <v>157</v>
      </c>
    </row>
    <row r="23" spans="1:16" s="1150" customFormat="1" ht="31.5" x14ac:dyDescent="0.25">
      <c r="A23" s="756"/>
      <c r="B23" s="954" t="s">
        <v>1409</v>
      </c>
      <c r="C23" s="954"/>
      <c r="D23" s="757"/>
      <c r="E23" s="757"/>
      <c r="F23" s="757"/>
      <c r="G23" s="757"/>
      <c r="H23" s="757"/>
      <c r="I23" s="757"/>
      <c r="J23" s="954">
        <f t="shared" si="7"/>
        <v>0</v>
      </c>
      <c r="K23" s="954">
        <f t="shared" si="8"/>
        <v>0</v>
      </c>
      <c r="L23" s="954">
        <f t="shared" si="9"/>
        <v>0</v>
      </c>
      <c r="M23" s="954">
        <v>487</v>
      </c>
      <c r="N23" s="954"/>
      <c r="O23" s="954">
        <f t="shared" si="10"/>
        <v>487</v>
      </c>
    </row>
    <row r="24" spans="1:16" s="1150" customFormat="1" ht="31.5" x14ac:dyDescent="0.25">
      <c r="A24" s="756"/>
      <c r="B24" s="954" t="s">
        <v>1410</v>
      </c>
      <c r="C24" s="954"/>
      <c r="D24" s="757"/>
      <c r="E24" s="757"/>
      <c r="F24" s="757"/>
      <c r="G24" s="757"/>
      <c r="H24" s="757"/>
      <c r="I24" s="757"/>
      <c r="J24" s="954">
        <f t="shared" si="7"/>
        <v>0</v>
      </c>
      <c r="K24" s="954">
        <f t="shared" si="8"/>
        <v>0</v>
      </c>
      <c r="L24" s="954">
        <f t="shared" si="9"/>
        <v>0</v>
      </c>
      <c r="M24" s="954">
        <v>-37</v>
      </c>
      <c r="N24" s="954"/>
      <c r="O24" s="954">
        <f t="shared" si="10"/>
        <v>-37</v>
      </c>
    </row>
    <row r="25" spans="1:16" s="1150" customFormat="1" ht="31.5" x14ac:dyDescent="0.25">
      <c r="A25" s="756"/>
      <c r="B25" s="954" t="s">
        <v>1262</v>
      </c>
      <c r="C25" s="954"/>
      <c r="D25" s="757"/>
      <c r="E25" s="757"/>
      <c r="F25" s="757">
        <f>115+3035</f>
        <v>3150</v>
      </c>
      <c r="G25" s="757"/>
      <c r="H25" s="757"/>
      <c r="I25" s="757"/>
      <c r="J25" s="954">
        <f t="shared" si="7"/>
        <v>3150</v>
      </c>
      <c r="K25" s="954">
        <f t="shared" si="8"/>
        <v>0</v>
      </c>
      <c r="L25" s="954">
        <f t="shared" si="9"/>
        <v>3150</v>
      </c>
      <c r="M25" s="954"/>
      <c r="N25" s="954"/>
      <c r="O25" s="954">
        <f t="shared" si="10"/>
        <v>3150</v>
      </c>
    </row>
    <row r="26" spans="1:16" s="1150" customFormat="1" x14ac:dyDescent="0.25">
      <c r="A26" s="756"/>
      <c r="B26" s="757" t="s">
        <v>244</v>
      </c>
      <c r="C26" s="757"/>
      <c r="D26" s="757"/>
      <c r="E26" s="757"/>
      <c r="F26" s="757"/>
      <c r="G26" s="757"/>
      <c r="H26" s="757"/>
      <c r="I26" s="757"/>
      <c r="J26" s="954"/>
      <c r="K26" s="954"/>
      <c r="L26" s="954"/>
      <c r="M26" s="954"/>
      <c r="N26" s="954"/>
      <c r="O26" s="954"/>
    </row>
    <row r="27" spans="1:16" s="1150" customFormat="1" ht="16.5" thickBot="1" x14ac:dyDescent="0.3">
      <c r="A27" s="756"/>
      <c r="B27" s="813" t="s">
        <v>1408</v>
      </c>
      <c r="C27" s="757"/>
      <c r="D27" s="757"/>
      <c r="E27" s="757"/>
      <c r="F27" s="757"/>
      <c r="G27" s="757"/>
      <c r="H27" s="757"/>
      <c r="I27" s="757"/>
      <c r="J27" s="954">
        <f t="shared" si="7"/>
        <v>0</v>
      </c>
      <c r="K27" s="954">
        <f t="shared" si="8"/>
        <v>0</v>
      </c>
      <c r="L27" s="954">
        <f t="shared" si="9"/>
        <v>0</v>
      </c>
      <c r="M27" s="954">
        <v>496</v>
      </c>
      <c r="N27" s="954"/>
      <c r="O27" s="954">
        <f t="shared" si="10"/>
        <v>496</v>
      </c>
    </row>
    <row r="28" spans="1:16" s="1150" customFormat="1" ht="17.25" thickTop="1" thickBot="1" x14ac:dyDescent="0.3">
      <c r="A28" s="751"/>
      <c r="B28" s="759" t="s">
        <v>1157</v>
      </c>
      <c r="C28" s="759">
        <f>+C18+C22+C23+C24+C27+C25</f>
        <v>5938</v>
      </c>
      <c r="D28" s="759">
        <f t="shared" ref="D28:O28" si="11">+D18+D22+D23+D24+D27+D25</f>
        <v>0</v>
      </c>
      <c r="E28" s="759">
        <f t="shared" si="11"/>
        <v>0</v>
      </c>
      <c r="F28" s="759">
        <f t="shared" si="11"/>
        <v>16340</v>
      </c>
      <c r="G28" s="759">
        <f t="shared" si="11"/>
        <v>0</v>
      </c>
      <c r="H28" s="759">
        <f t="shared" si="11"/>
        <v>0</v>
      </c>
      <c r="I28" s="759">
        <f t="shared" si="11"/>
        <v>0</v>
      </c>
      <c r="J28" s="759">
        <f t="shared" si="11"/>
        <v>22278</v>
      </c>
      <c r="K28" s="759">
        <f t="shared" si="11"/>
        <v>0</v>
      </c>
      <c r="L28" s="759">
        <f t="shared" si="11"/>
        <v>22278</v>
      </c>
      <c r="M28" s="759">
        <f t="shared" si="11"/>
        <v>92547</v>
      </c>
      <c r="N28" s="759">
        <f t="shared" si="11"/>
        <v>469</v>
      </c>
      <c r="O28" s="759">
        <f t="shared" si="11"/>
        <v>115294</v>
      </c>
      <c r="P28" s="1150">
        <f>O29+O30</f>
        <v>115294</v>
      </c>
    </row>
    <row r="29" spans="1:16" ht="17.25" thickTop="1" thickBot="1" x14ac:dyDescent="0.3">
      <c r="A29" s="751"/>
      <c r="B29" s="759" t="s">
        <v>1158</v>
      </c>
      <c r="C29" s="759">
        <f t="shared" ref="C29:O29" si="12">+C19+C22+C23+C24+C25</f>
        <v>5938</v>
      </c>
      <c r="D29" s="759">
        <f t="shared" si="12"/>
        <v>0</v>
      </c>
      <c r="E29" s="759">
        <f t="shared" si="12"/>
        <v>0</v>
      </c>
      <c r="F29" s="759">
        <f t="shared" si="12"/>
        <v>8427</v>
      </c>
      <c r="G29" s="759">
        <f t="shared" si="12"/>
        <v>0</v>
      </c>
      <c r="H29" s="759">
        <f t="shared" si="12"/>
        <v>0</v>
      </c>
      <c r="I29" s="759">
        <f t="shared" si="12"/>
        <v>0</v>
      </c>
      <c r="J29" s="759">
        <f t="shared" si="12"/>
        <v>14365</v>
      </c>
      <c r="K29" s="759">
        <f t="shared" si="12"/>
        <v>0</v>
      </c>
      <c r="L29" s="759">
        <f t="shared" si="12"/>
        <v>14365</v>
      </c>
      <c r="M29" s="759">
        <f t="shared" si="12"/>
        <v>42102</v>
      </c>
      <c r="N29" s="759">
        <f t="shared" si="12"/>
        <v>469</v>
      </c>
      <c r="O29" s="759">
        <f t="shared" si="12"/>
        <v>56936</v>
      </c>
    </row>
    <row r="30" spans="1:16" ht="17.25" thickTop="1" thickBot="1" x14ac:dyDescent="0.3">
      <c r="A30" s="751"/>
      <c r="B30" s="759" t="s">
        <v>1159</v>
      </c>
      <c r="C30" s="759">
        <f>+C20+C27</f>
        <v>0</v>
      </c>
      <c r="D30" s="759">
        <f t="shared" ref="D30:O30" si="13">+D20+D27</f>
        <v>0</v>
      </c>
      <c r="E30" s="759">
        <f t="shared" si="13"/>
        <v>0</v>
      </c>
      <c r="F30" s="759">
        <f t="shared" si="13"/>
        <v>7913</v>
      </c>
      <c r="G30" s="759">
        <f t="shared" si="13"/>
        <v>0</v>
      </c>
      <c r="H30" s="759">
        <f t="shared" si="13"/>
        <v>0</v>
      </c>
      <c r="I30" s="759">
        <f t="shared" si="13"/>
        <v>0</v>
      </c>
      <c r="J30" s="759">
        <f t="shared" si="13"/>
        <v>7913</v>
      </c>
      <c r="K30" s="759">
        <f t="shared" si="13"/>
        <v>0</v>
      </c>
      <c r="L30" s="759">
        <f t="shared" si="13"/>
        <v>7913</v>
      </c>
      <c r="M30" s="759">
        <f t="shared" si="13"/>
        <v>50445</v>
      </c>
      <c r="N30" s="759">
        <f t="shared" si="13"/>
        <v>0</v>
      </c>
      <c r="O30" s="759">
        <f t="shared" si="13"/>
        <v>58358</v>
      </c>
    </row>
    <row r="31" spans="1:16" ht="17.25" thickTop="1" thickBot="1" x14ac:dyDescent="0.3">
      <c r="A31" s="751"/>
      <c r="B31" s="759" t="s">
        <v>544</v>
      </c>
      <c r="C31" s="759">
        <f>SUM(C14+C28)</f>
        <v>482568</v>
      </c>
      <c r="D31" s="759">
        <f t="shared" ref="D31:O31" si="14">SUM(D14+D28)</f>
        <v>0</v>
      </c>
      <c r="E31" s="759">
        <f t="shared" si="14"/>
        <v>0</v>
      </c>
      <c r="F31" s="759">
        <f t="shared" si="14"/>
        <v>69641</v>
      </c>
      <c r="G31" s="759">
        <f t="shared" si="14"/>
        <v>0</v>
      </c>
      <c r="H31" s="759">
        <f t="shared" si="14"/>
        <v>0</v>
      </c>
      <c r="I31" s="759">
        <f t="shared" si="14"/>
        <v>0</v>
      </c>
      <c r="J31" s="759">
        <f t="shared" si="14"/>
        <v>552209</v>
      </c>
      <c r="K31" s="759">
        <f t="shared" si="14"/>
        <v>0</v>
      </c>
      <c r="L31" s="759">
        <f t="shared" si="14"/>
        <v>552209</v>
      </c>
      <c r="M31" s="759">
        <f t="shared" si="14"/>
        <v>288432</v>
      </c>
      <c r="N31" s="759">
        <f t="shared" si="14"/>
        <v>77895</v>
      </c>
      <c r="O31" s="759">
        <f t="shared" si="14"/>
        <v>918536</v>
      </c>
    </row>
    <row r="32" spans="1:16" ht="16.5" thickTop="1" x14ac:dyDescent="0.25">
      <c r="A32" s="753" t="s">
        <v>323</v>
      </c>
      <c r="B32" s="760" t="s">
        <v>545</v>
      </c>
      <c r="C32" s="760"/>
      <c r="D32" s="760"/>
      <c r="E32" s="760"/>
      <c r="F32" s="760"/>
      <c r="G32" s="760"/>
      <c r="H32" s="760"/>
      <c r="I32" s="760"/>
      <c r="J32" s="760"/>
      <c r="K32" s="760"/>
      <c r="L32" s="760"/>
      <c r="M32" s="760"/>
      <c r="N32" s="760"/>
      <c r="O32" s="760"/>
    </row>
    <row r="33" spans="1:16" x14ac:dyDescent="0.25">
      <c r="A33" s="753"/>
      <c r="B33" s="755" t="s">
        <v>1125</v>
      </c>
      <c r="C33" s="755">
        <v>4956</v>
      </c>
      <c r="D33" s="755"/>
      <c r="E33" s="755"/>
      <c r="F33" s="755">
        <v>1485</v>
      </c>
      <c r="G33" s="755"/>
      <c r="H33" s="755"/>
      <c r="I33" s="755"/>
      <c r="J33" s="755">
        <f>SUM(C33+E33+F33+H33)</f>
        <v>6441</v>
      </c>
      <c r="K33" s="755">
        <f>SUM(D33+G33+I33)</f>
        <v>0</v>
      </c>
      <c r="L33" s="755">
        <f>SUM(J33:K33)</f>
        <v>6441</v>
      </c>
      <c r="M33" s="755">
        <v>72383</v>
      </c>
      <c r="N33" s="755">
        <v>392</v>
      </c>
      <c r="O33" s="755">
        <f>SUM(L33:N33)</f>
        <v>79216</v>
      </c>
    </row>
    <row r="34" spans="1:16" x14ac:dyDescent="0.25">
      <c r="A34" s="756"/>
      <c r="B34" s="757" t="s">
        <v>1155</v>
      </c>
      <c r="C34" s="757">
        <v>4956</v>
      </c>
      <c r="D34" s="757"/>
      <c r="E34" s="757"/>
      <c r="F34" s="757">
        <v>1485</v>
      </c>
      <c r="G34" s="757"/>
      <c r="H34" s="757"/>
      <c r="I34" s="757"/>
      <c r="J34" s="758">
        <f>SUM(C34+E34+F34+H34)</f>
        <v>6441</v>
      </c>
      <c r="K34" s="758">
        <f>SUM(D34+G34+I34)</f>
        <v>0</v>
      </c>
      <c r="L34" s="758">
        <f>SUM(J34:K34)</f>
        <v>6441</v>
      </c>
      <c r="M34" s="758">
        <v>69671</v>
      </c>
      <c r="N34" s="758">
        <v>392</v>
      </c>
      <c r="O34" s="758">
        <f>SUM(L34:N34)</f>
        <v>76504</v>
      </c>
    </row>
    <row r="35" spans="1:16" s="1150" customFormat="1" x14ac:dyDescent="0.25">
      <c r="A35" s="761"/>
      <c r="B35" s="762" t="s">
        <v>1156</v>
      </c>
      <c r="C35" s="762"/>
      <c r="D35" s="762"/>
      <c r="E35" s="762"/>
      <c r="F35" s="762"/>
      <c r="G35" s="762"/>
      <c r="H35" s="762"/>
      <c r="I35" s="762"/>
      <c r="J35" s="763">
        <f>SUM(C35+E35+F35+H35)</f>
        <v>0</v>
      </c>
      <c r="K35" s="763">
        <f>SUM(D35+G35+I35)</f>
        <v>0</v>
      </c>
      <c r="L35" s="763">
        <f>SUM(J35:K35)</f>
        <v>0</v>
      </c>
      <c r="M35" s="763">
        <v>2712</v>
      </c>
      <c r="N35" s="763"/>
      <c r="O35" s="763">
        <f>SUM(L35:N35)</f>
        <v>2712</v>
      </c>
    </row>
    <row r="36" spans="1:16" s="1150" customFormat="1" x14ac:dyDescent="0.25">
      <c r="A36" s="756"/>
      <c r="B36" s="757" t="s">
        <v>243</v>
      </c>
      <c r="C36" s="757"/>
      <c r="D36" s="757"/>
      <c r="E36" s="757"/>
      <c r="F36" s="757"/>
      <c r="G36" s="757"/>
      <c r="H36" s="757"/>
      <c r="I36" s="757"/>
      <c r="J36" s="758"/>
      <c r="K36" s="758"/>
      <c r="L36" s="758"/>
      <c r="M36" s="758"/>
      <c r="N36" s="758"/>
      <c r="O36" s="758"/>
    </row>
    <row r="37" spans="1:16" s="1150" customFormat="1" x14ac:dyDescent="0.25">
      <c r="A37" s="761"/>
      <c r="B37" s="954" t="s">
        <v>1407</v>
      </c>
      <c r="C37" s="955"/>
      <c r="D37" s="762"/>
      <c r="E37" s="762"/>
      <c r="F37" s="762"/>
      <c r="G37" s="762"/>
      <c r="H37" s="762"/>
      <c r="I37" s="762"/>
      <c r="J37" s="955">
        <f t="shared" ref="J37:J44" si="15">SUM(C37+E37+F37+H37)</f>
        <v>0</v>
      </c>
      <c r="K37" s="955">
        <f t="shared" ref="K37:K44" si="16">SUM(D37+G37+I37)</f>
        <v>0</v>
      </c>
      <c r="L37" s="955">
        <f t="shared" ref="L37:L44" si="17">SUM(J37:K37)</f>
        <v>0</v>
      </c>
      <c r="M37" s="955">
        <v>61</v>
      </c>
      <c r="N37" s="955"/>
      <c r="O37" s="955">
        <f t="shared" ref="O37:O44" si="18">SUM(L37:N37)</f>
        <v>61</v>
      </c>
    </row>
    <row r="38" spans="1:16" s="1150" customFormat="1" ht="31.5" x14ac:dyDescent="0.25">
      <c r="A38" s="761"/>
      <c r="B38" s="954" t="s">
        <v>1409</v>
      </c>
      <c r="C38" s="955"/>
      <c r="D38" s="762"/>
      <c r="E38" s="762"/>
      <c r="F38" s="762"/>
      <c r="G38" s="762"/>
      <c r="H38" s="762"/>
      <c r="I38" s="762"/>
      <c r="J38" s="955">
        <f t="shared" si="15"/>
        <v>0</v>
      </c>
      <c r="K38" s="955">
        <f t="shared" si="16"/>
        <v>0</v>
      </c>
      <c r="L38" s="955">
        <f t="shared" si="17"/>
        <v>0</v>
      </c>
      <c r="M38" s="955">
        <v>231</v>
      </c>
      <c r="N38" s="955"/>
      <c r="O38" s="955">
        <f t="shared" si="18"/>
        <v>231</v>
      </c>
    </row>
    <row r="39" spans="1:16" s="1150" customFormat="1" ht="31.5" x14ac:dyDescent="0.25">
      <c r="A39" s="761"/>
      <c r="B39" s="955" t="s">
        <v>1410</v>
      </c>
      <c r="C39" s="955"/>
      <c r="D39" s="762"/>
      <c r="E39" s="762"/>
      <c r="F39" s="762"/>
      <c r="G39" s="762"/>
      <c r="H39" s="762"/>
      <c r="I39" s="762"/>
      <c r="J39" s="955">
        <f t="shared" si="15"/>
        <v>0</v>
      </c>
      <c r="K39" s="955">
        <f t="shared" si="16"/>
        <v>0</v>
      </c>
      <c r="L39" s="955">
        <f t="shared" si="17"/>
        <v>0</v>
      </c>
      <c r="M39" s="955">
        <v>26</v>
      </c>
      <c r="N39" s="955"/>
      <c r="O39" s="955">
        <f t="shared" si="18"/>
        <v>26</v>
      </c>
    </row>
    <row r="40" spans="1:16" s="1150" customFormat="1" ht="78.75" x14ac:dyDescent="0.25">
      <c r="A40" s="761"/>
      <c r="B40" s="955" t="s">
        <v>1411</v>
      </c>
      <c r="C40" s="955"/>
      <c r="D40" s="762"/>
      <c r="E40" s="762"/>
      <c r="F40" s="762"/>
      <c r="G40" s="762"/>
      <c r="H40" s="762"/>
      <c r="I40" s="762"/>
      <c r="J40" s="955">
        <f t="shared" si="15"/>
        <v>0</v>
      </c>
      <c r="K40" s="955">
        <f t="shared" si="16"/>
        <v>0</v>
      </c>
      <c r="L40" s="955">
        <f t="shared" si="17"/>
        <v>0</v>
      </c>
      <c r="M40" s="955">
        <v>1912</v>
      </c>
      <c r="N40" s="955"/>
      <c r="O40" s="955">
        <f t="shared" si="18"/>
        <v>1912</v>
      </c>
    </row>
    <row r="41" spans="1:16" s="1150" customFormat="1" ht="31.5" x14ac:dyDescent="0.25">
      <c r="A41" s="756"/>
      <c r="B41" s="954" t="s">
        <v>1209</v>
      </c>
      <c r="C41" s="954"/>
      <c r="D41" s="757"/>
      <c r="E41" s="757"/>
      <c r="F41" s="757"/>
      <c r="G41" s="757"/>
      <c r="H41" s="757"/>
      <c r="I41" s="757"/>
      <c r="J41" s="954">
        <f t="shared" si="15"/>
        <v>0</v>
      </c>
      <c r="K41" s="954">
        <f t="shared" si="16"/>
        <v>0</v>
      </c>
      <c r="L41" s="954">
        <f>SUM(J41:K41)</f>
        <v>0</v>
      </c>
      <c r="M41" s="954">
        <v>675</v>
      </c>
      <c r="N41" s="954"/>
      <c r="O41" s="954">
        <f t="shared" si="18"/>
        <v>675</v>
      </c>
    </row>
    <row r="42" spans="1:16" s="1150" customFormat="1" ht="31.5" x14ac:dyDescent="0.25">
      <c r="A42" s="756"/>
      <c r="B42" s="954" t="s">
        <v>1262</v>
      </c>
      <c r="C42" s="954"/>
      <c r="D42" s="757"/>
      <c r="E42" s="757"/>
      <c r="F42" s="757">
        <f>2+174</f>
        <v>176</v>
      </c>
      <c r="G42" s="757"/>
      <c r="H42" s="757"/>
      <c r="I42" s="757"/>
      <c r="J42" s="954">
        <f t="shared" si="15"/>
        <v>176</v>
      </c>
      <c r="K42" s="954">
        <f t="shared" si="16"/>
        <v>0</v>
      </c>
      <c r="L42" s="954">
        <f>SUM(J42:K42)</f>
        <v>176</v>
      </c>
      <c r="M42" s="954"/>
      <c r="N42" s="954"/>
      <c r="O42" s="954">
        <f t="shared" si="18"/>
        <v>176</v>
      </c>
    </row>
    <row r="43" spans="1:16" s="1150" customFormat="1" x14ac:dyDescent="0.25">
      <c r="A43" s="756"/>
      <c r="B43" s="757" t="s">
        <v>244</v>
      </c>
      <c r="C43" s="757"/>
      <c r="D43" s="757"/>
      <c r="E43" s="757"/>
      <c r="F43" s="757"/>
      <c r="G43" s="757"/>
      <c r="H43" s="757"/>
      <c r="I43" s="757"/>
      <c r="J43" s="954"/>
      <c r="K43" s="954"/>
      <c r="L43" s="954"/>
      <c r="M43" s="954"/>
      <c r="N43" s="954"/>
      <c r="O43" s="954"/>
    </row>
    <row r="44" spans="1:16" s="1150" customFormat="1" ht="16.5" thickBot="1" x14ac:dyDescent="0.3">
      <c r="A44" s="761"/>
      <c r="B44" s="813" t="s">
        <v>1408</v>
      </c>
      <c r="C44" s="762"/>
      <c r="D44" s="762"/>
      <c r="E44" s="762"/>
      <c r="F44" s="762"/>
      <c r="G44" s="762"/>
      <c r="H44" s="762"/>
      <c r="I44" s="762"/>
      <c r="J44" s="955">
        <f t="shared" si="15"/>
        <v>0</v>
      </c>
      <c r="K44" s="955">
        <f t="shared" si="16"/>
        <v>0</v>
      </c>
      <c r="L44" s="955">
        <f t="shared" si="17"/>
        <v>0</v>
      </c>
      <c r="M44" s="955">
        <v>466</v>
      </c>
      <c r="N44" s="955"/>
      <c r="O44" s="955">
        <f t="shared" si="18"/>
        <v>466</v>
      </c>
    </row>
    <row r="45" spans="1:16" s="1150" customFormat="1" ht="17.25" thickTop="1" thickBot="1" x14ac:dyDescent="0.3">
      <c r="A45" s="751"/>
      <c r="B45" s="759" t="s">
        <v>1157</v>
      </c>
      <c r="C45" s="759">
        <f>+C33+C37+C38+C39+C44+C40+C41+C42</f>
        <v>4956</v>
      </c>
      <c r="D45" s="759">
        <f t="shared" ref="D45:O45" si="19">+D33+D37+D38+D39+D44+D40+D41+D42</f>
        <v>0</v>
      </c>
      <c r="E45" s="759">
        <f t="shared" si="19"/>
        <v>0</v>
      </c>
      <c r="F45" s="759">
        <f t="shared" si="19"/>
        <v>1661</v>
      </c>
      <c r="G45" s="759">
        <f t="shared" si="19"/>
        <v>0</v>
      </c>
      <c r="H45" s="759">
        <f t="shared" si="19"/>
        <v>0</v>
      </c>
      <c r="I45" s="759">
        <f t="shared" si="19"/>
        <v>0</v>
      </c>
      <c r="J45" s="759">
        <f t="shared" si="19"/>
        <v>6617</v>
      </c>
      <c r="K45" s="759">
        <f t="shared" si="19"/>
        <v>0</v>
      </c>
      <c r="L45" s="759">
        <f t="shared" si="19"/>
        <v>6617</v>
      </c>
      <c r="M45" s="759">
        <f t="shared" si="19"/>
        <v>75754</v>
      </c>
      <c r="N45" s="759">
        <f t="shared" si="19"/>
        <v>392</v>
      </c>
      <c r="O45" s="759">
        <f t="shared" si="19"/>
        <v>82763</v>
      </c>
      <c r="P45" s="1150">
        <f>O46+O47</f>
        <v>82763</v>
      </c>
    </row>
    <row r="46" spans="1:16" s="1150" customFormat="1" ht="17.25" thickTop="1" thickBot="1" x14ac:dyDescent="0.3">
      <c r="A46" s="751"/>
      <c r="B46" s="759" t="s">
        <v>1158</v>
      </c>
      <c r="C46" s="759">
        <f t="shared" ref="C46:O46" si="20">+C34+C37+C38+C39+C40+C41+C42</f>
        <v>4956</v>
      </c>
      <c r="D46" s="759">
        <f t="shared" si="20"/>
        <v>0</v>
      </c>
      <c r="E46" s="759">
        <f t="shared" si="20"/>
        <v>0</v>
      </c>
      <c r="F46" s="759">
        <f t="shared" si="20"/>
        <v>1661</v>
      </c>
      <c r="G46" s="759">
        <f t="shared" si="20"/>
        <v>0</v>
      </c>
      <c r="H46" s="759">
        <f t="shared" si="20"/>
        <v>0</v>
      </c>
      <c r="I46" s="759">
        <f t="shared" si="20"/>
        <v>0</v>
      </c>
      <c r="J46" s="759">
        <f t="shared" si="20"/>
        <v>6617</v>
      </c>
      <c r="K46" s="759">
        <f t="shared" si="20"/>
        <v>0</v>
      </c>
      <c r="L46" s="759">
        <f t="shared" si="20"/>
        <v>6617</v>
      </c>
      <c r="M46" s="759">
        <f t="shared" si="20"/>
        <v>72576</v>
      </c>
      <c r="N46" s="759">
        <f t="shared" si="20"/>
        <v>392</v>
      </c>
      <c r="O46" s="759">
        <f t="shared" si="20"/>
        <v>79585</v>
      </c>
    </row>
    <row r="47" spans="1:16" s="1150" customFormat="1" ht="17.25" thickTop="1" thickBot="1" x14ac:dyDescent="0.3">
      <c r="A47" s="751"/>
      <c r="B47" s="759" t="s">
        <v>1159</v>
      </c>
      <c r="C47" s="759">
        <f>+C35+C44</f>
        <v>0</v>
      </c>
      <c r="D47" s="759">
        <f t="shared" ref="D47:O47" si="21">+D35+D44</f>
        <v>0</v>
      </c>
      <c r="E47" s="759">
        <f t="shared" si="21"/>
        <v>0</v>
      </c>
      <c r="F47" s="759">
        <f t="shared" si="21"/>
        <v>0</v>
      </c>
      <c r="G47" s="759">
        <f t="shared" si="21"/>
        <v>0</v>
      </c>
      <c r="H47" s="759">
        <f t="shared" si="21"/>
        <v>0</v>
      </c>
      <c r="I47" s="759">
        <f t="shared" si="21"/>
        <v>0</v>
      </c>
      <c r="J47" s="759">
        <f t="shared" si="21"/>
        <v>0</v>
      </c>
      <c r="K47" s="759">
        <f t="shared" si="21"/>
        <v>0</v>
      </c>
      <c r="L47" s="759">
        <f t="shared" si="21"/>
        <v>0</v>
      </c>
      <c r="M47" s="759">
        <f t="shared" si="21"/>
        <v>3178</v>
      </c>
      <c r="N47" s="759">
        <f t="shared" si="21"/>
        <v>0</v>
      </c>
      <c r="O47" s="759">
        <f t="shared" si="21"/>
        <v>3178</v>
      </c>
    </row>
    <row r="48" spans="1:16" ht="16.5" thickTop="1" x14ac:dyDescent="0.25">
      <c r="A48" s="753" t="s">
        <v>326</v>
      </c>
      <c r="B48" s="754" t="s">
        <v>546</v>
      </c>
      <c r="C48" s="754"/>
      <c r="D48" s="754"/>
      <c r="E48" s="754"/>
      <c r="F48" s="754"/>
      <c r="G48" s="754"/>
      <c r="H48" s="754"/>
      <c r="I48" s="754"/>
      <c r="J48" s="754"/>
      <c r="K48" s="754"/>
      <c r="L48" s="754"/>
      <c r="M48" s="754"/>
      <c r="N48" s="754"/>
      <c r="O48" s="754"/>
    </row>
    <row r="49" spans="1:16" x14ac:dyDescent="0.25">
      <c r="A49" s="753"/>
      <c r="B49" s="755" t="s">
        <v>1125</v>
      </c>
      <c r="C49" s="755">
        <v>5102</v>
      </c>
      <c r="D49" s="755"/>
      <c r="E49" s="755"/>
      <c r="F49" s="755">
        <v>3006</v>
      </c>
      <c r="G49" s="755"/>
      <c r="H49" s="755"/>
      <c r="I49" s="755"/>
      <c r="J49" s="755">
        <f>SUM(C49+E49+F49+H49)</f>
        <v>8108</v>
      </c>
      <c r="K49" s="755">
        <f>SUM(D49+G49+I49)</f>
        <v>0</v>
      </c>
      <c r="L49" s="755">
        <f>SUM(J49:K49)</f>
        <v>8108</v>
      </c>
      <c r="M49" s="755">
        <v>78066</v>
      </c>
      <c r="N49" s="755">
        <v>72</v>
      </c>
      <c r="O49" s="755">
        <f>SUM(L49:N49)</f>
        <v>86246</v>
      </c>
    </row>
    <row r="50" spans="1:16" x14ac:dyDescent="0.25">
      <c r="A50" s="756"/>
      <c r="B50" s="757" t="s">
        <v>1155</v>
      </c>
      <c r="C50" s="757">
        <v>5102</v>
      </c>
      <c r="D50" s="757"/>
      <c r="E50" s="757"/>
      <c r="F50" s="757">
        <v>3006</v>
      </c>
      <c r="G50" s="757"/>
      <c r="H50" s="757"/>
      <c r="I50" s="757"/>
      <c r="J50" s="758">
        <f>SUM(C50+E50+F50+H50)</f>
        <v>8108</v>
      </c>
      <c r="K50" s="758">
        <f>SUM(D50+G50+I50)</f>
        <v>0</v>
      </c>
      <c r="L50" s="758">
        <f>SUM(J50:K50)</f>
        <v>8108</v>
      </c>
      <c r="M50" s="758">
        <v>75538</v>
      </c>
      <c r="N50" s="758">
        <v>72</v>
      </c>
      <c r="O50" s="758">
        <f>SUM(L50:N50)</f>
        <v>83718</v>
      </c>
    </row>
    <row r="51" spans="1:16" x14ac:dyDescent="0.25">
      <c r="A51" s="756"/>
      <c r="B51" s="757" t="s">
        <v>1156</v>
      </c>
      <c r="C51" s="757"/>
      <c r="D51" s="757"/>
      <c r="E51" s="757"/>
      <c r="F51" s="757"/>
      <c r="G51" s="757"/>
      <c r="H51" s="757"/>
      <c r="I51" s="757"/>
      <c r="J51" s="758">
        <f>SUM(C51+E51+F51+H51)</f>
        <v>0</v>
      </c>
      <c r="K51" s="758">
        <f>SUM(D51+G51+I51)</f>
        <v>0</v>
      </c>
      <c r="L51" s="758">
        <f>SUM(J51:K51)</f>
        <v>0</v>
      </c>
      <c r="M51" s="758">
        <v>2528</v>
      </c>
      <c r="N51" s="758"/>
      <c r="O51" s="758">
        <f>SUM(L51:N51)</f>
        <v>2528</v>
      </c>
    </row>
    <row r="52" spans="1:16" x14ac:dyDescent="0.25">
      <c r="A52" s="756"/>
      <c r="B52" s="757" t="s">
        <v>243</v>
      </c>
      <c r="C52" s="757"/>
      <c r="D52" s="757"/>
      <c r="E52" s="757"/>
      <c r="F52" s="757"/>
      <c r="G52" s="757"/>
      <c r="H52" s="757"/>
      <c r="I52" s="757"/>
      <c r="J52" s="758"/>
      <c r="K52" s="758"/>
      <c r="L52" s="758"/>
      <c r="M52" s="758"/>
      <c r="N52" s="758"/>
      <c r="O52" s="758"/>
    </row>
    <row r="53" spans="1:16" s="1150" customFormat="1" x14ac:dyDescent="0.25">
      <c r="A53" s="756"/>
      <c r="B53" s="954" t="s">
        <v>1407</v>
      </c>
      <c r="C53" s="757"/>
      <c r="D53" s="757"/>
      <c r="E53" s="757"/>
      <c r="F53" s="757"/>
      <c r="G53" s="757"/>
      <c r="H53" s="757"/>
      <c r="I53" s="757"/>
      <c r="J53" s="954">
        <f t="shared" ref="J53:J59" si="22">SUM(C53+E53+F53+H53)</f>
        <v>0</v>
      </c>
      <c r="K53" s="954">
        <f t="shared" ref="K53:K59" si="23">SUM(D53+G53+I53)</f>
        <v>0</v>
      </c>
      <c r="L53" s="954">
        <f t="shared" ref="L53:L59" si="24">SUM(J53:K53)</f>
        <v>0</v>
      </c>
      <c r="M53" s="954">
        <v>156</v>
      </c>
      <c r="N53" s="954"/>
      <c r="O53" s="954">
        <f t="shared" ref="O53:O59" si="25">SUM(L53:N53)</f>
        <v>156</v>
      </c>
    </row>
    <row r="54" spans="1:16" s="1150" customFormat="1" ht="31.5" x14ac:dyDescent="0.25">
      <c r="A54" s="756"/>
      <c r="B54" s="954" t="s">
        <v>1409</v>
      </c>
      <c r="C54" s="954"/>
      <c r="D54" s="757"/>
      <c r="E54" s="757"/>
      <c r="F54" s="757"/>
      <c r="G54" s="757"/>
      <c r="H54" s="757"/>
      <c r="I54" s="757"/>
      <c r="J54" s="954">
        <f t="shared" si="22"/>
        <v>0</v>
      </c>
      <c r="K54" s="954">
        <f t="shared" si="23"/>
        <v>0</v>
      </c>
      <c r="L54" s="954">
        <f t="shared" si="24"/>
        <v>0</v>
      </c>
      <c r="M54" s="954">
        <v>306</v>
      </c>
      <c r="N54" s="954"/>
      <c r="O54" s="954">
        <f t="shared" si="25"/>
        <v>306</v>
      </c>
    </row>
    <row r="55" spans="1:16" s="1150" customFormat="1" ht="31.5" x14ac:dyDescent="0.25">
      <c r="A55" s="756"/>
      <c r="B55" s="954" t="s">
        <v>1410</v>
      </c>
      <c r="C55" s="757"/>
      <c r="D55" s="757"/>
      <c r="E55" s="757"/>
      <c r="F55" s="757"/>
      <c r="G55" s="757"/>
      <c r="H55" s="757"/>
      <c r="I55" s="757"/>
      <c r="J55" s="954">
        <f t="shared" si="22"/>
        <v>0</v>
      </c>
      <c r="K55" s="954">
        <f t="shared" si="23"/>
        <v>0</v>
      </c>
      <c r="L55" s="954">
        <f t="shared" si="24"/>
        <v>0</v>
      </c>
      <c r="M55" s="954">
        <v>-18</v>
      </c>
      <c r="N55" s="954"/>
      <c r="O55" s="954">
        <f t="shared" si="25"/>
        <v>-18</v>
      </c>
    </row>
    <row r="56" spans="1:16" s="1150" customFormat="1" ht="78.75" x14ac:dyDescent="0.25">
      <c r="A56" s="756"/>
      <c r="B56" s="954" t="s">
        <v>1411</v>
      </c>
      <c r="C56" s="757"/>
      <c r="D56" s="757"/>
      <c r="E56" s="757"/>
      <c r="F56" s="757"/>
      <c r="G56" s="757"/>
      <c r="H56" s="757"/>
      <c r="I56" s="757"/>
      <c r="J56" s="954">
        <f t="shared" si="22"/>
        <v>0</v>
      </c>
      <c r="K56" s="954">
        <f t="shared" si="23"/>
        <v>0</v>
      </c>
      <c r="L56" s="954">
        <f t="shared" si="24"/>
        <v>0</v>
      </c>
      <c r="M56" s="954">
        <v>2270</v>
      </c>
      <c r="N56" s="954"/>
      <c r="O56" s="954">
        <f t="shared" si="25"/>
        <v>2270</v>
      </c>
    </row>
    <row r="57" spans="1:16" s="1150" customFormat="1" ht="31.5" x14ac:dyDescent="0.25">
      <c r="A57" s="756"/>
      <c r="B57" s="954" t="s">
        <v>1262</v>
      </c>
      <c r="C57" s="757"/>
      <c r="D57" s="757"/>
      <c r="E57" s="757"/>
      <c r="F57" s="757">
        <v>375</v>
      </c>
      <c r="G57" s="757"/>
      <c r="H57" s="757"/>
      <c r="I57" s="757"/>
      <c r="J57" s="954">
        <f t="shared" si="22"/>
        <v>375</v>
      </c>
      <c r="K57" s="954">
        <f t="shared" si="23"/>
        <v>0</v>
      </c>
      <c r="L57" s="954">
        <f t="shared" si="24"/>
        <v>375</v>
      </c>
      <c r="M57" s="954">
        <v>677</v>
      </c>
      <c r="N57" s="954"/>
      <c r="O57" s="954">
        <f t="shared" si="25"/>
        <v>1052</v>
      </c>
    </row>
    <row r="58" spans="1:16" s="1150" customFormat="1" x14ac:dyDescent="0.25">
      <c r="A58" s="756"/>
      <c r="B58" s="757" t="s">
        <v>244</v>
      </c>
      <c r="C58" s="757"/>
      <c r="D58" s="757"/>
      <c r="E58" s="757"/>
      <c r="F58" s="757"/>
      <c r="G58" s="757"/>
      <c r="H58" s="757"/>
      <c r="I58" s="757"/>
      <c r="J58" s="954"/>
      <c r="K58" s="954"/>
      <c r="L58" s="954"/>
      <c r="M58" s="954"/>
      <c r="N58" s="954"/>
      <c r="O58" s="954"/>
    </row>
    <row r="59" spans="1:16" s="1150" customFormat="1" ht="16.5" thickBot="1" x14ac:dyDescent="0.3">
      <c r="A59" s="756"/>
      <c r="B59" s="813" t="s">
        <v>1408</v>
      </c>
      <c r="C59" s="757"/>
      <c r="D59" s="757"/>
      <c r="E59" s="757"/>
      <c r="F59" s="757"/>
      <c r="G59" s="757"/>
      <c r="H59" s="757"/>
      <c r="I59" s="757"/>
      <c r="J59" s="954">
        <f t="shared" si="22"/>
        <v>0</v>
      </c>
      <c r="K59" s="954">
        <f t="shared" si="23"/>
        <v>0</v>
      </c>
      <c r="L59" s="954">
        <f t="shared" si="24"/>
        <v>0</v>
      </c>
      <c r="M59" s="954">
        <v>480</v>
      </c>
      <c r="N59" s="954"/>
      <c r="O59" s="954">
        <f t="shared" si="25"/>
        <v>480</v>
      </c>
    </row>
    <row r="60" spans="1:16" s="1150" customFormat="1" ht="17.25" thickTop="1" thickBot="1" x14ac:dyDescent="0.3">
      <c r="A60" s="751"/>
      <c r="B60" s="759" t="s">
        <v>1157</v>
      </c>
      <c r="C60" s="759">
        <f>+C49+C53+C54+C55+C59+C56+C57</f>
        <v>5102</v>
      </c>
      <c r="D60" s="759">
        <f t="shared" ref="D60:O60" si="26">+D49+D53+D54+D55+D59+D56+D57</f>
        <v>0</v>
      </c>
      <c r="E60" s="759">
        <f t="shared" si="26"/>
        <v>0</v>
      </c>
      <c r="F60" s="759">
        <f t="shared" si="26"/>
        <v>3381</v>
      </c>
      <c r="G60" s="759">
        <f t="shared" si="26"/>
        <v>0</v>
      </c>
      <c r="H60" s="759">
        <f t="shared" si="26"/>
        <v>0</v>
      </c>
      <c r="I60" s="759">
        <f t="shared" si="26"/>
        <v>0</v>
      </c>
      <c r="J60" s="759">
        <f t="shared" si="26"/>
        <v>8483</v>
      </c>
      <c r="K60" s="759">
        <f t="shared" si="26"/>
        <v>0</v>
      </c>
      <c r="L60" s="759">
        <f t="shared" si="26"/>
        <v>8483</v>
      </c>
      <c r="M60" s="759">
        <f t="shared" si="26"/>
        <v>81937</v>
      </c>
      <c r="N60" s="759">
        <f t="shared" si="26"/>
        <v>72</v>
      </c>
      <c r="O60" s="759">
        <f t="shared" si="26"/>
        <v>90492</v>
      </c>
      <c r="P60" s="1150">
        <f>O61+O62</f>
        <v>90492</v>
      </c>
    </row>
    <row r="61" spans="1:16" s="1150" customFormat="1" ht="17.25" thickTop="1" thickBot="1" x14ac:dyDescent="0.3">
      <c r="A61" s="751"/>
      <c r="B61" s="759" t="s">
        <v>1158</v>
      </c>
      <c r="C61" s="759">
        <f t="shared" ref="C61:O61" si="27">+C50+C53+C54+C55+C56+C57</f>
        <v>5102</v>
      </c>
      <c r="D61" s="759">
        <f t="shared" si="27"/>
        <v>0</v>
      </c>
      <c r="E61" s="759">
        <f t="shared" si="27"/>
        <v>0</v>
      </c>
      <c r="F61" s="759">
        <f t="shared" si="27"/>
        <v>3381</v>
      </c>
      <c r="G61" s="759">
        <f t="shared" si="27"/>
        <v>0</v>
      </c>
      <c r="H61" s="759">
        <f t="shared" si="27"/>
        <v>0</v>
      </c>
      <c r="I61" s="759">
        <f t="shared" si="27"/>
        <v>0</v>
      </c>
      <c r="J61" s="759">
        <f t="shared" si="27"/>
        <v>8483</v>
      </c>
      <c r="K61" s="759">
        <f t="shared" si="27"/>
        <v>0</v>
      </c>
      <c r="L61" s="759">
        <f t="shared" si="27"/>
        <v>8483</v>
      </c>
      <c r="M61" s="759">
        <f t="shared" si="27"/>
        <v>78929</v>
      </c>
      <c r="N61" s="759">
        <f t="shared" si="27"/>
        <v>72</v>
      </c>
      <c r="O61" s="759">
        <f t="shared" si="27"/>
        <v>87484</v>
      </c>
    </row>
    <row r="62" spans="1:16" s="1150" customFormat="1" ht="17.25" thickTop="1" thickBot="1" x14ac:dyDescent="0.3">
      <c r="A62" s="751"/>
      <c r="B62" s="759" t="s">
        <v>1159</v>
      </c>
      <c r="C62" s="759">
        <f>+C51+C59</f>
        <v>0</v>
      </c>
      <c r="D62" s="759">
        <f t="shared" ref="D62:O62" si="28">+D51+D59</f>
        <v>0</v>
      </c>
      <c r="E62" s="759">
        <f t="shared" si="28"/>
        <v>0</v>
      </c>
      <c r="F62" s="759">
        <f t="shared" si="28"/>
        <v>0</v>
      </c>
      <c r="G62" s="759">
        <f t="shared" si="28"/>
        <v>0</v>
      </c>
      <c r="H62" s="759">
        <f t="shared" si="28"/>
        <v>0</v>
      </c>
      <c r="I62" s="759">
        <f t="shared" si="28"/>
        <v>0</v>
      </c>
      <c r="J62" s="759">
        <f t="shared" si="28"/>
        <v>0</v>
      </c>
      <c r="K62" s="759">
        <f t="shared" si="28"/>
        <v>0</v>
      </c>
      <c r="L62" s="759">
        <f t="shared" si="28"/>
        <v>0</v>
      </c>
      <c r="M62" s="759">
        <f t="shared" si="28"/>
        <v>3008</v>
      </c>
      <c r="N62" s="759">
        <f t="shared" si="28"/>
        <v>0</v>
      </c>
      <c r="O62" s="759">
        <f t="shared" si="28"/>
        <v>3008</v>
      </c>
    </row>
    <row r="63" spans="1:16" s="1150" customFormat="1" ht="16.5" thickTop="1" x14ac:dyDescent="0.25">
      <c r="A63" s="753" t="s">
        <v>330</v>
      </c>
      <c r="B63" s="754" t="s">
        <v>547</v>
      </c>
      <c r="C63" s="754"/>
      <c r="D63" s="754"/>
      <c r="E63" s="754"/>
      <c r="F63" s="754"/>
      <c r="G63" s="754"/>
      <c r="H63" s="754"/>
      <c r="I63" s="754"/>
      <c r="J63" s="754"/>
      <c r="K63" s="754"/>
      <c r="L63" s="754"/>
      <c r="M63" s="754"/>
      <c r="N63" s="754"/>
      <c r="O63" s="754"/>
    </row>
    <row r="64" spans="1:16" s="1150" customFormat="1" x14ac:dyDescent="0.25">
      <c r="A64" s="753"/>
      <c r="B64" s="755" t="s">
        <v>1125</v>
      </c>
      <c r="C64" s="755">
        <v>4786</v>
      </c>
      <c r="D64" s="755"/>
      <c r="E64" s="755"/>
      <c r="F64" s="755">
        <v>2118</v>
      </c>
      <c r="G64" s="755"/>
      <c r="H64" s="755"/>
      <c r="I64" s="755"/>
      <c r="J64" s="755">
        <f>SUM(C64+E64+F64+H64)</f>
        <v>6904</v>
      </c>
      <c r="K64" s="755">
        <f>SUM(D64+G64+I64)</f>
        <v>0</v>
      </c>
      <c r="L64" s="755">
        <f>SUM(J64:K64)</f>
        <v>6904</v>
      </c>
      <c r="M64" s="755">
        <v>71931</v>
      </c>
      <c r="N64" s="755">
        <v>111</v>
      </c>
      <c r="O64" s="755">
        <f>SUM(L64:N64)</f>
        <v>78946</v>
      </c>
    </row>
    <row r="65" spans="1:16" s="1150" customFormat="1" x14ac:dyDescent="0.25">
      <c r="A65" s="756"/>
      <c r="B65" s="757" t="s">
        <v>1155</v>
      </c>
      <c r="C65" s="757">
        <v>4786</v>
      </c>
      <c r="D65" s="757"/>
      <c r="E65" s="757"/>
      <c r="F65" s="757">
        <v>2118</v>
      </c>
      <c r="G65" s="757"/>
      <c r="H65" s="757"/>
      <c r="I65" s="757"/>
      <c r="J65" s="758">
        <f>SUM(C65+E65+F65+H65)</f>
        <v>6904</v>
      </c>
      <c r="K65" s="758">
        <f>SUM(D65+G65+I65)</f>
        <v>0</v>
      </c>
      <c r="L65" s="758">
        <f>SUM(J65:K65)</f>
        <v>6904</v>
      </c>
      <c r="M65" s="758">
        <v>69174</v>
      </c>
      <c r="N65" s="758">
        <v>111</v>
      </c>
      <c r="O65" s="758">
        <f>SUM(L65:N65)</f>
        <v>76189</v>
      </c>
    </row>
    <row r="66" spans="1:16" s="1150" customFormat="1" x14ac:dyDescent="0.25">
      <c r="A66" s="756"/>
      <c r="B66" s="757" t="s">
        <v>1156</v>
      </c>
      <c r="C66" s="757"/>
      <c r="D66" s="757"/>
      <c r="E66" s="757"/>
      <c r="F66" s="757"/>
      <c r="G66" s="757"/>
      <c r="H66" s="757"/>
      <c r="I66" s="757"/>
      <c r="J66" s="758">
        <f>SUM(C66+E66+F66+H66)</f>
        <v>0</v>
      </c>
      <c r="K66" s="758">
        <f>SUM(D66+G66+I66)</f>
        <v>0</v>
      </c>
      <c r="L66" s="758">
        <f>SUM(J66:K66)</f>
        <v>0</v>
      </c>
      <c r="M66" s="758">
        <v>2757</v>
      </c>
      <c r="N66" s="758"/>
      <c r="O66" s="758">
        <f>SUM(L66:N66)</f>
        <v>2757</v>
      </c>
    </row>
    <row r="67" spans="1:16" x14ac:dyDescent="0.25">
      <c r="A67" s="756"/>
      <c r="B67" s="757" t="s">
        <v>243</v>
      </c>
      <c r="C67" s="757"/>
      <c r="D67" s="757"/>
      <c r="E67" s="757"/>
      <c r="F67" s="757"/>
      <c r="G67" s="757"/>
      <c r="H67" s="757"/>
      <c r="I67" s="757"/>
      <c r="J67" s="758"/>
      <c r="K67" s="758"/>
      <c r="L67" s="758"/>
      <c r="M67" s="758"/>
      <c r="N67" s="758"/>
      <c r="O67" s="758"/>
    </row>
    <row r="68" spans="1:16" x14ac:dyDescent="0.25">
      <c r="A68" s="756"/>
      <c r="B68" s="954" t="s">
        <v>1407</v>
      </c>
      <c r="C68" s="757"/>
      <c r="D68" s="757"/>
      <c r="E68" s="757"/>
      <c r="F68" s="757"/>
      <c r="G68" s="757"/>
      <c r="H68" s="757"/>
      <c r="I68" s="757"/>
      <c r="J68" s="954">
        <f t="shared" ref="J68:J73" si="29">SUM(C68+E68+F68+H68)</f>
        <v>0</v>
      </c>
      <c r="K68" s="954">
        <f t="shared" ref="K68:K73" si="30">SUM(D68+G68+I68)</f>
        <v>0</v>
      </c>
      <c r="L68" s="954">
        <f t="shared" ref="L68:L73" si="31">SUM(J68:K68)</f>
        <v>0</v>
      </c>
      <c r="M68" s="954">
        <v>98</v>
      </c>
      <c r="N68" s="954"/>
      <c r="O68" s="954">
        <f t="shared" ref="O68:O73" si="32">SUM(L68:N68)</f>
        <v>98</v>
      </c>
    </row>
    <row r="69" spans="1:16" ht="31.5" x14ac:dyDescent="0.25">
      <c r="A69" s="761"/>
      <c r="B69" s="955" t="s">
        <v>1409</v>
      </c>
      <c r="C69" s="955"/>
      <c r="D69" s="762"/>
      <c r="E69" s="762"/>
      <c r="F69" s="762"/>
      <c r="G69" s="762"/>
      <c r="H69" s="762"/>
      <c r="I69" s="762"/>
      <c r="J69" s="955">
        <f t="shared" si="29"/>
        <v>0</v>
      </c>
      <c r="K69" s="955">
        <f t="shared" si="30"/>
        <v>0</v>
      </c>
      <c r="L69" s="955">
        <f t="shared" si="31"/>
        <v>0</v>
      </c>
      <c r="M69" s="955">
        <v>293</v>
      </c>
      <c r="N69" s="955"/>
      <c r="O69" s="955">
        <f t="shared" si="32"/>
        <v>293</v>
      </c>
    </row>
    <row r="70" spans="1:16" ht="31.5" x14ac:dyDescent="0.25">
      <c r="A70" s="761"/>
      <c r="B70" s="955" t="s">
        <v>1410</v>
      </c>
      <c r="C70" s="762"/>
      <c r="D70" s="762"/>
      <c r="E70" s="762"/>
      <c r="F70" s="762"/>
      <c r="G70" s="762"/>
      <c r="H70" s="762"/>
      <c r="I70" s="762"/>
      <c r="J70" s="955">
        <f t="shared" si="29"/>
        <v>0</v>
      </c>
      <c r="K70" s="955">
        <f t="shared" si="30"/>
        <v>0</v>
      </c>
      <c r="L70" s="955">
        <f t="shared" si="31"/>
        <v>0</v>
      </c>
      <c r="M70" s="955">
        <v>42</v>
      </c>
      <c r="N70" s="955"/>
      <c r="O70" s="955">
        <f t="shared" si="32"/>
        <v>42</v>
      </c>
    </row>
    <row r="71" spans="1:16" ht="78.75" x14ac:dyDescent="0.25">
      <c r="A71" s="756"/>
      <c r="B71" s="954" t="s">
        <v>1411</v>
      </c>
      <c r="C71" s="757"/>
      <c r="D71" s="757"/>
      <c r="E71" s="757"/>
      <c r="F71" s="757"/>
      <c r="G71" s="757"/>
      <c r="H71" s="757"/>
      <c r="I71" s="757"/>
      <c r="J71" s="954">
        <f t="shared" si="29"/>
        <v>0</v>
      </c>
      <c r="K71" s="954">
        <f t="shared" si="30"/>
        <v>0</v>
      </c>
      <c r="L71" s="954">
        <f t="shared" si="31"/>
        <v>0</v>
      </c>
      <c r="M71" s="954">
        <v>1881</v>
      </c>
      <c r="N71" s="954"/>
      <c r="O71" s="954">
        <f t="shared" si="32"/>
        <v>1881</v>
      </c>
    </row>
    <row r="72" spans="1:16" s="1150" customFormat="1" x14ac:dyDescent="0.25">
      <c r="A72" s="756"/>
      <c r="B72" s="757" t="s">
        <v>244</v>
      </c>
      <c r="C72" s="757"/>
      <c r="D72" s="757"/>
      <c r="E72" s="757"/>
      <c r="F72" s="757"/>
      <c r="G72" s="757"/>
      <c r="H72" s="757"/>
      <c r="I72" s="757"/>
      <c r="J72" s="954"/>
      <c r="K72" s="954"/>
      <c r="L72" s="954"/>
      <c r="M72" s="954"/>
      <c r="N72" s="954"/>
      <c r="O72" s="954"/>
    </row>
    <row r="73" spans="1:16" s="1150" customFormat="1" ht="16.5" thickBot="1" x14ac:dyDescent="0.3">
      <c r="A73" s="756"/>
      <c r="B73" s="813" t="s">
        <v>1408</v>
      </c>
      <c r="C73" s="757"/>
      <c r="D73" s="757"/>
      <c r="E73" s="757"/>
      <c r="F73" s="757"/>
      <c r="G73" s="757"/>
      <c r="H73" s="757"/>
      <c r="I73" s="757"/>
      <c r="J73" s="954">
        <f t="shared" si="29"/>
        <v>0</v>
      </c>
      <c r="K73" s="954">
        <f t="shared" si="30"/>
        <v>0</v>
      </c>
      <c r="L73" s="954">
        <f t="shared" si="31"/>
        <v>0</v>
      </c>
      <c r="M73" s="954">
        <v>475</v>
      </c>
      <c r="N73" s="954"/>
      <c r="O73" s="954">
        <f t="shared" si="32"/>
        <v>475</v>
      </c>
    </row>
    <row r="74" spans="1:16" s="1150" customFormat="1" ht="17.25" thickTop="1" thickBot="1" x14ac:dyDescent="0.3">
      <c r="A74" s="751"/>
      <c r="B74" s="759" t="s">
        <v>1157</v>
      </c>
      <c r="C74" s="759">
        <f>+C64+C68+C69+C70+C73+C71</f>
        <v>4786</v>
      </c>
      <c r="D74" s="759">
        <f t="shared" ref="D74:O74" si="33">+D64+D68+D69+D70+D73+D71</f>
        <v>0</v>
      </c>
      <c r="E74" s="759">
        <f t="shared" si="33"/>
        <v>0</v>
      </c>
      <c r="F74" s="759">
        <f t="shared" si="33"/>
        <v>2118</v>
      </c>
      <c r="G74" s="759">
        <f t="shared" si="33"/>
        <v>0</v>
      </c>
      <c r="H74" s="759">
        <f t="shared" si="33"/>
        <v>0</v>
      </c>
      <c r="I74" s="759">
        <f t="shared" si="33"/>
        <v>0</v>
      </c>
      <c r="J74" s="759">
        <f t="shared" si="33"/>
        <v>6904</v>
      </c>
      <c r="K74" s="759">
        <f t="shared" si="33"/>
        <v>0</v>
      </c>
      <c r="L74" s="759">
        <f t="shared" si="33"/>
        <v>6904</v>
      </c>
      <c r="M74" s="759">
        <f t="shared" si="33"/>
        <v>74720</v>
      </c>
      <c r="N74" s="759">
        <f t="shared" si="33"/>
        <v>111</v>
      </c>
      <c r="O74" s="759">
        <f t="shared" si="33"/>
        <v>81735</v>
      </c>
      <c r="P74" s="1150">
        <f>O75+O76</f>
        <v>81735</v>
      </c>
    </row>
    <row r="75" spans="1:16" s="1150" customFormat="1" ht="17.25" thickTop="1" thickBot="1" x14ac:dyDescent="0.3">
      <c r="A75" s="751"/>
      <c r="B75" s="759" t="s">
        <v>1158</v>
      </c>
      <c r="C75" s="759">
        <f>+C65+C68+C69+C70+C71</f>
        <v>4786</v>
      </c>
      <c r="D75" s="759">
        <f t="shared" ref="D75:O75" si="34">+D65+D68+D69+D70+D71</f>
        <v>0</v>
      </c>
      <c r="E75" s="759">
        <f t="shared" si="34"/>
        <v>0</v>
      </c>
      <c r="F75" s="759">
        <f t="shared" si="34"/>
        <v>2118</v>
      </c>
      <c r="G75" s="759">
        <f t="shared" si="34"/>
        <v>0</v>
      </c>
      <c r="H75" s="759">
        <f t="shared" si="34"/>
        <v>0</v>
      </c>
      <c r="I75" s="759">
        <f t="shared" si="34"/>
        <v>0</v>
      </c>
      <c r="J75" s="759">
        <f t="shared" si="34"/>
        <v>6904</v>
      </c>
      <c r="K75" s="759">
        <f t="shared" si="34"/>
        <v>0</v>
      </c>
      <c r="L75" s="759">
        <f t="shared" si="34"/>
        <v>6904</v>
      </c>
      <c r="M75" s="759">
        <f t="shared" si="34"/>
        <v>71488</v>
      </c>
      <c r="N75" s="759">
        <f t="shared" si="34"/>
        <v>111</v>
      </c>
      <c r="O75" s="759">
        <f t="shared" si="34"/>
        <v>78503</v>
      </c>
    </row>
    <row r="76" spans="1:16" s="1150" customFormat="1" ht="17.25" thickTop="1" thickBot="1" x14ac:dyDescent="0.3">
      <c r="A76" s="751"/>
      <c r="B76" s="759" t="s">
        <v>1159</v>
      </c>
      <c r="C76" s="759">
        <f>+C66+C73</f>
        <v>0</v>
      </c>
      <c r="D76" s="759">
        <f t="shared" ref="D76:O76" si="35">+D66+D73</f>
        <v>0</v>
      </c>
      <c r="E76" s="759">
        <f t="shared" si="35"/>
        <v>0</v>
      </c>
      <c r="F76" s="759">
        <f t="shared" si="35"/>
        <v>0</v>
      </c>
      <c r="G76" s="759">
        <f t="shared" si="35"/>
        <v>0</v>
      </c>
      <c r="H76" s="759">
        <f t="shared" si="35"/>
        <v>0</v>
      </c>
      <c r="I76" s="759">
        <f t="shared" si="35"/>
        <v>0</v>
      </c>
      <c r="J76" s="759">
        <f t="shared" si="35"/>
        <v>0</v>
      </c>
      <c r="K76" s="759">
        <f t="shared" si="35"/>
        <v>0</v>
      </c>
      <c r="L76" s="759">
        <f t="shared" si="35"/>
        <v>0</v>
      </c>
      <c r="M76" s="759">
        <f t="shared" si="35"/>
        <v>3232</v>
      </c>
      <c r="N76" s="759">
        <f t="shared" si="35"/>
        <v>0</v>
      </c>
      <c r="O76" s="759">
        <f t="shared" si="35"/>
        <v>3232</v>
      </c>
    </row>
    <row r="77" spans="1:16" s="1150" customFormat="1" ht="16.5" thickTop="1" x14ac:dyDescent="0.25">
      <c r="A77" s="753" t="s">
        <v>334</v>
      </c>
      <c r="B77" s="754" t="s">
        <v>548</v>
      </c>
      <c r="C77" s="754"/>
      <c r="D77" s="754"/>
      <c r="E77" s="754"/>
      <c r="F77" s="754"/>
      <c r="G77" s="754"/>
      <c r="H77" s="754"/>
      <c r="I77" s="754"/>
      <c r="J77" s="754"/>
      <c r="K77" s="754"/>
      <c r="L77" s="754"/>
      <c r="M77" s="754"/>
      <c r="N77" s="754"/>
      <c r="O77" s="754"/>
    </row>
    <row r="78" spans="1:16" s="1150" customFormat="1" x14ac:dyDescent="0.25">
      <c r="A78" s="753"/>
      <c r="B78" s="755" t="s">
        <v>1125</v>
      </c>
      <c r="C78" s="755">
        <v>2928</v>
      </c>
      <c r="D78" s="755"/>
      <c r="E78" s="755"/>
      <c r="F78" s="755">
        <v>99</v>
      </c>
      <c r="G78" s="755"/>
      <c r="H78" s="755"/>
      <c r="I78" s="755"/>
      <c r="J78" s="755">
        <f>SUM(C78+E78+F78+H78)</f>
        <v>3027</v>
      </c>
      <c r="K78" s="755">
        <f>SUM(D78+G78+I78)</f>
        <v>0</v>
      </c>
      <c r="L78" s="755">
        <f>SUM(J78:K78)</f>
        <v>3027</v>
      </c>
      <c r="M78" s="755">
        <v>41132</v>
      </c>
      <c r="N78" s="755">
        <v>268</v>
      </c>
      <c r="O78" s="755">
        <f>SUM(L78:N78)</f>
        <v>44427</v>
      </c>
    </row>
    <row r="79" spans="1:16" s="1150" customFormat="1" x14ac:dyDescent="0.25">
      <c r="A79" s="756"/>
      <c r="B79" s="757" t="s">
        <v>1155</v>
      </c>
      <c r="C79" s="757">
        <v>2928</v>
      </c>
      <c r="D79" s="757"/>
      <c r="E79" s="757"/>
      <c r="F79" s="757">
        <v>99</v>
      </c>
      <c r="G79" s="757"/>
      <c r="H79" s="757"/>
      <c r="I79" s="757"/>
      <c r="J79" s="758">
        <f>SUM(C79+E79+F79+H79)</f>
        <v>3027</v>
      </c>
      <c r="K79" s="758">
        <f>SUM(D79+G79+I79)</f>
        <v>0</v>
      </c>
      <c r="L79" s="758">
        <f>SUM(J79:K79)</f>
        <v>3027</v>
      </c>
      <c r="M79" s="758">
        <v>39566</v>
      </c>
      <c r="N79" s="758">
        <v>268</v>
      </c>
      <c r="O79" s="758">
        <f>SUM(L79:N79)</f>
        <v>42861</v>
      </c>
    </row>
    <row r="80" spans="1:16" s="1150" customFormat="1" x14ac:dyDescent="0.25">
      <c r="A80" s="753"/>
      <c r="B80" s="757" t="s">
        <v>1156</v>
      </c>
      <c r="C80" s="755"/>
      <c r="D80" s="755"/>
      <c r="E80" s="755"/>
      <c r="F80" s="755"/>
      <c r="G80" s="755"/>
      <c r="H80" s="755"/>
      <c r="I80" s="755"/>
      <c r="J80" s="755">
        <f>SUM(C80+E80+F80+H80)</f>
        <v>0</v>
      </c>
      <c r="K80" s="755">
        <f>SUM(D80+G80+I80)</f>
        <v>0</v>
      </c>
      <c r="L80" s="755">
        <f>SUM(J80:K80)</f>
        <v>0</v>
      </c>
      <c r="M80" s="755">
        <v>1566</v>
      </c>
      <c r="N80" s="755"/>
      <c r="O80" s="755">
        <f>SUM(L80:N80)</f>
        <v>1566</v>
      </c>
    </row>
    <row r="81" spans="1:16" s="1150" customFormat="1" x14ac:dyDescent="0.25">
      <c r="A81" s="756"/>
      <c r="B81" s="757" t="s">
        <v>243</v>
      </c>
      <c r="C81" s="757"/>
      <c r="D81" s="757"/>
      <c r="E81" s="757"/>
      <c r="F81" s="757"/>
      <c r="G81" s="757"/>
      <c r="H81" s="757"/>
      <c r="I81" s="757"/>
      <c r="J81" s="758"/>
      <c r="K81" s="758"/>
      <c r="L81" s="758"/>
      <c r="M81" s="758"/>
      <c r="N81" s="758"/>
      <c r="O81" s="758"/>
    </row>
    <row r="82" spans="1:16" s="1150" customFormat="1" x14ac:dyDescent="0.25">
      <c r="A82" s="753"/>
      <c r="B82" s="954" t="s">
        <v>1407</v>
      </c>
      <c r="C82" s="755"/>
      <c r="D82" s="755"/>
      <c r="E82" s="755"/>
      <c r="F82" s="755"/>
      <c r="G82" s="755"/>
      <c r="H82" s="755"/>
      <c r="I82" s="755"/>
      <c r="J82" s="954">
        <f t="shared" ref="J82:J88" si="36">SUM(C82+E82+F82+H82)</f>
        <v>0</v>
      </c>
      <c r="K82" s="954">
        <f t="shared" ref="K82:K88" si="37">SUM(D82+G82+I82)</f>
        <v>0</v>
      </c>
      <c r="L82" s="954">
        <f t="shared" ref="L82:L88" si="38">SUM(J82:K82)</f>
        <v>0</v>
      </c>
      <c r="M82" s="954">
        <v>39</v>
      </c>
      <c r="N82" s="954"/>
      <c r="O82" s="954">
        <f t="shared" ref="O82:O88" si="39">SUM(L82:N82)</f>
        <v>39</v>
      </c>
    </row>
    <row r="83" spans="1:16" s="1150" customFormat="1" ht="31.5" x14ac:dyDescent="0.25">
      <c r="A83" s="756"/>
      <c r="B83" s="954" t="s">
        <v>1409</v>
      </c>
      <c r="C83" s="954"/>
      <c r="D83" s="757"/>
      <c r="E83" s="757"/>
      <c r="F83" s="757"/>
      <c r="G83" s="757"/>
      <c r="H83" s="757"/>
      <c r="I83" s="757"/>
      <c r="J83" s="954">
        <f t="shared" si="36"/>
        <v>0</v>
      </c>
      <c r="K83" s="954">
        <f t="shared" si="37"/>
        <v>0</v>
      </c>
      <c r="L83" s="954">
        <f t="shared" si="38"/>
        <v>0</v>
      </c>
      <c r="M83" s="954">
        <v>168</v>
      </c>
      <c r="N83" s="954"/>
      <c r="O83" s="954">
        <f t="shared" si="39"/>
        <v>168</v>
      </c>
    </row>
    <row r="84" spans="1:16" ht="31.5" x14ac:dyDescent="0.25">
      <c r="A84" s="753"/>
      <c r="B84" s="954" t="s">
        <v>1410</v>
      </c>
      <c r="C84" s="755"/>
      <c r="D84" s="755"/>
      <c r="E84" s="755"/>
      <c r="F84" s="755"/>
      <c r="G84" s="755"/>
      <c r="H84" s="755"/>
      <c r="I84" s="755"/>
      <c r="J84" s="954">
        <f t="shared" si="36"/>
        <v>0</v>
      </c>
      <c r="K84" s="954">
        <f t="shared" si="37"/>
        <v>0</v>
      </c>
      <c r="L84" s="954">
        <f t="shared" si="38"/>
        <v>0</v>
      </c>
      <c r="M84" s="954">
        <v>-18</v>
      </c>
      <c r="N84" s="954"/>
      <c r="O84" s="954">
        <f t="shared" si="39"/>
        <v>-18</v>
      </c>
    </row>
    <row r="85" spans="1:16" ht="78.75" x14ac:dyDescent="0.25">
      <c r="A85" s="753"/>
      <c r="B85" s="954" t="s">
        <v>1411</v>
      </c>
      <c r="C85" s="755"/>
      <c r="D85" s="755"/>
      <c r="E85" s="755"/>
      <c r="F85" s="755"/>
      <c r="G85" s="755"/>
      <c r="H85" s="755"/>
      <c r="I85" s="755"/>
      <c r="J85" s="954">
        <f t="shared" si="36"/>
        <v>0</v>
      </c>
      <c r="K85" s="954">
        <f t="shared" si="37"/>
        <v>0</v>
      </c>
      <c r="L85" s="954">
        <f t="shared" si="38"/>
        <v>0</v>
      </c>
      <c r="M85" s="954">
        <v>1897</v>
      </c>
      <c r="N85" s="954"/>
      <c r="O85" s="954">
        <f t="shared" si="39"/>
        <v>1897</v>
      </c>
    </row>
    <row r="86" spans="1:16" ht="31.5" x14ac:dyDescent="0.25">
      <c r="A86" s="753"/>
      <c r="B86" s="954" t="s">
        <v>1262</v>
      </c>
      <c r="C86" s="755"/>
      <c r="D86" s="755"/>
      <c r="E86" s="755"/>
      <c r="F86" s="755">
        <f>1+209</f>
        <v>210</v>
      </c>
      <c r="G86" s="755"/>
      <c r="H86" s="755"/>
      <c r="I86" s="755"/>
      <c r="J86" s="954">
        <f t="shared" si="36"/>
        <v>210</v>
      </c>
      <c r="K86" s="954">
        <f t="shared" si="37"/>
        <v>0</v>
      </c>
      <c r="L86" s="954">
        <f t="shared" si="38"/>
        <v>210</v>
      </c>
      <c r="M86" s="954"/>
      <c r="N86" s="954"/>
      <c r="O86" s="954">
        <f t="shared" si="39"/>
        <v>210</v>
      </c>
    </row>
    <row r="87" spans="1:16" x14ac:dyDescent="0.25">
      <c r="A87" s="756"/>
      <c r="B87" s="757" t="s">
        <v>244</v>
      </c>
      <c r="C87" s="757"/>
      <c r="D87" s="757"/>
      <c r="E87" s="757"/>
      <c r="F87" s="757"/>
      <c r="G87" s="757"/>
      <c r="H87" s="757"/>
      <c r="I87" s="757"/>
      <c r="J87" s="954"/>
      <c r="K87" s="954"/>
      <c r="L87" s="954"/>
      <c r="M87" s="954"/>
      <c r="N87" s="954"/>
      <c r="O87" s="954"/>
    </row>
    <row r="88" spans="1:16" ht="16.5" thickBot="1" x14ac:dyDescent="0.3">
      <c r="A88" s="753"/>
      <c r="B88" s="813" t="s">
        <v>1408</v>
      </c>
      <c r="C88" s="755"/>
      <c r="D88" s="755"/>
      <c r="E88" s="755"/>
      <c r="F88" s="755"/>
      <c r="G88" s="755"/>
      <c r="H88" s="755"/>
      <c r="I88" s="755"/>
      <c r="J88" s="954">
        <f t="shared" si="36"/>
        <v>0</v>
      </c>
      <c r="K88" s="954">
        <f t="shared" si="37"/>
        <v>0</v>
      </c>
      <c r="L88" s="954">
        <f t="shared" si="38"/>
        <v>0</v>
      </c>
      <c r="M88" s="954">
        <v>259</v>
      </c>
      <c r="N88" s="954"/>
      <c r="O88" s="954">
        <f t="shared" si="39"/>
        <v>259</v>
      </c>
    </row>
    <row r="89" spans="1:16" s="1150" customFormat="1" ht="17.25" thickTop="1" thickBot="1" x14ac:dyDescent="0.3">
      <c r="A89" s="751"/>
      <c r="B89" s="759" t="s">
        <v>1157</v>
      </c>
      <c r="C89" s="759">
        <f>+C78+C82+C83+C84+C88+C85+C86</f>
        <v>2928</v>
      </c>
      <c r="D89" s="759">
        <f t="shared" ref="D89:O89" si="40">+D78+D82+D83+D84+D88+D85+D86</f>
        <v>0</v>
      </c>
      <c r="E89" s="759">
        <f t="shared" si="40"/>
        <v>0</v>
      </c>
      <c r="F89" s="759">
        <f t="shared" si="40"/>
        <v>309</v>
      </c>
      <c r="G89" s="759">
        <f t="shared" si="40"/>
        <v>0</v>
      </c>
      <c r="H89" s="759">
        <f t="shared" si="40"/>
        <v>0</v>
      </c>
      <c r="I89" s="759">
        <f t="shared" si="40"/>
        <v>0</v>
      </c>
      <c r="J89" s="759">
        <f t="shared" si="40"/>
        <v>3237</v>
      </c>
      <c r="K89" s="759">
        <f t="shared" si="40"/>
        <v>0</v>
      </c>
      <c r="L89" s="759">
        <f t="shared" si="40"/>
        <v>3237</v>
      </c>
      <c r="M89" s="759">
        <f t="shared" si="40"/>
        <v>43477</v>
      </c>
      <c r="N89" s="759">
        <f t="shared" si="40"/>
        <v>268</v>
      </c>
      <c r="O89" s="759">
        <f t="shared" si="40"/>
        <v>46982</v>
      </c>
      <c r="P89" s="1150">
        <f>O90+O91</f>
        <v>46982</v>
      </c>
    </row>
    <row r="90" spans="1:16" ht="17.25" thickTop="1" thickBot="1" x14ac:dyDescent="0.3">
      <c r="A90" s="751"/>
      <c r="B90" s="759" t="s">
        <v>1158</v>
      </c>
      <c r="C90" s="759">
        <f t="shared" ref="C90:O90" si="41">+C79+C82+C83+C84+C85+C86</f>
        <v>2928</v>
      </c>
      <c r="D90" s="759">
        <f t="shared" si="41"/>
        <v>0</v>
      </c>
      <c r="E90" s="759">
        <f t="shared" si="41"/>
        <v>0</v>
      </c>
      <c r="F90" s="759">
        <f t="shared" si="41"/>
        <v>309</v>
      </c>
      <c r="G90" s="759">
        <f t="shared" si="41"/>
        <v>0</v>
      </c>
      <c r="H90" s="759">
        <f t="shared" si="41"/>
        <v>0</v>
      </c>
      <c r="I90" s="759">
        <f t="shared" si="41"/>
        <v>0</v>
      </c>
      <c r="J90" s="759">
        <f t="shared" si="41"/>
        <v>3237</v>
      </c>
      <c r="K90" s="759">
        <f t="shared" si="41"/>
        <v>0</v>
      </c>
      <c r="L90" s="759">
        <f t="shared" si="41"/>
        <v>3237</v>
      </c>
      <c r="M90" s="759">
        <f t="shared" si="41"/>
        <v>41652</v>
      </c>
      <c r="N90" s="759">
        <f t="shared" si="41"/>
        <v>268</v>
      </c>
      <c r="O90" s="759">
        <f t="shared" si="41"/>
        <v>45157</v>
      </c>
    </row>
    <row r="91" spans="1:16" s="1150" customFormat="1" ht="17.25" thickTop="1" thickBot="1" x14ac:dyDescent="0.3">
      <c r="A91" s="751"/>
      <c r="B91" s="759" t="s">
        <v>1159</v>
      </c>
      <c r="C91" s="759">
        <f>+C80+C88</f>
        <v>0</v>
      </c>
      <c r="D91" s="759">
        <f t="shared" ref="D91:O91" si="42">+D80+D88</f>
        <v>0</v>
      </c>
      <c r="E91" s="759">
        <f t="shared" si="42"/>
        <v>0</v>
      </c>
      <c r="F91" s="759">
        <f t="shared" si="42"/>
        <v>0</v>
      </c>
      <c r="G91" s="759">
        <f t="shared" si="42"/>
        <v>0</v>
      </c>
      <c r="H91" s="759">
        <f t="shared" si="42"/>
        <v>0</v>
      </c>
      <c r="I91" s="759">
        <f t="shared" si="42"/>
        <v>0</v>
      </c>
      <c r="J91" s="759">
        <f t="shared" si="42"/>
        <v>0</v>
      </c>
      <c r="K91" s="759">
        <f t="shared" si="42"/>
        <v>0</v>
      </c>
      <c r="L91" s="759">
        <f t="shared" si="42"/>
        <v>0</v>
      </c>
      <c r="M91" s="759">
        <f t="shared" si="42"/>
        <v>1825</v>
      </c>
      <c r="N91" s="759">
        <f t="shared" si="42"/>
        <v>0</v>
      </c>
      <c r="O91" s="759">
        <f t="shared" si="42"/>
        <v>1825</v>
      </c>
    </row>
    <row r="92" spans="1:16" ht="16.5" thickTop="1" x14ac:dyDescent="0.25">
      <c r="A92" s="753" t="s">
        <v>338</v>
      </c>
      <c r="B92" s="754" t="s">
        <v>549</v>
      </c>
      <c r="C92" s="754"/>
      <c r="D92" s="754"/>
      <c r="E92" s="754"/>
      <c r="F92" s="754"/>
      <c r="G92" s="754"/>
      <c r="H92" s="754"/>
      <c r="I92" s="754"/>
      <c r="J92" s="754"/>
      <c r="K92" s="754"/>
      <c r="L92" s="754"/>
      <c r="M92" s="754"/>
      <c r="N92" s="754"/>
      <c r="O92" s="754"/>
    </row>
    <row r="93" spans="1:16" s="1150" customFormat="1" x14ac:dyDescent="0.25">
      <c r="A93" s="753"/>
      <c r="B93" s="755" t="s">
        <v>1125</v>
      </c>
      <c r="C93" s="755">
        <v>5344</v>
      </c>
      <c r="D93" s="755"/>
      <c r="E93" s="755"/>
      <c r="F93" s="755">
        <v>1394</v>
      </c>
      <c r="G93" s="755"/>
      <c r="H93" s="755"/>
      <c r="I93" s="755"/>
      <c r="J93" s="755">
        <f>SUM(C93+E93+F93+H93)</f>
        <v>6738</v>
      </c>
      <c r="K93" s="755">
        <f>SUM(D93+G93+I93)</f>
        <v>0</v>
      </c>
      <c r="L93" s="755">
        <f>SUM(J93:K93)</f>
        <v>6738</v>
      </c>
      <c r="M93" s="755">
        <v>99247</v>
      </c>
      <c r="N93" s="755">
        <v>576</v>
      </c>
      <c r="O93" s="755">
        <f>SUM(L93:N93)</f>
        <v>106561</v>
      </c>
    </row>
    <row r="94" spans="1:16" x14ac:dyDescent="0.25">
      <c r="A94" s="756"/>
      <c r="B94" s="757" t="s">
        <v>1155</v>
      </c>
      <c r="C94" s="757">
        <v>5344</v>
      </c>
      <c r="D94" s="757"/>
      <c r="E94" s="757"/>
      <c r="F94" s="757">
        <v>1394</v>
      </c>
      <c r="G94" s="757"/>
      <c r="H94" s="757"/>
      <c r="I94" s="757"/>
      <c r="J94" s="758">
        <f>SUM(C94+E94+F94+H94)</f>
        <v>6738</v>
      </c>
      <c r="K94" s="758">
        <f>SUM(D94+G94+I94)</f>
        <v>0</v>
      </c>
      <c r="L94" s="758">
        <f>SUM(J94:K94)</f>
        <v>6738</v>
      </c>
      <c r="M94" s="758">
        <v>95923</v>
      </c>
      <c r="N94" s="758">
        <v>576</v>
      </c>
      <c r="O94" s="758">
        <f>SUM(L94:N94)</f>
        <v>103237</v>
      </c>
    </row>
    <row r="95" spans="1:16" x14ac:dyDescent="0.25">
      <c r="A95" s="753"/>
      <c r="B95" s="757" t="s">
        <v>1156</v>
      </c>
      <c r="C95" s="755"/>
      <c r="D95" s="755"/>
      <c r="E95" s="755"/>
      <c r="F95" s="755"/>
      <c r="G95" s="755"/>
      <c r="H95" s="755"/>
      <c r="I95" s="755"/>
      <c r="J95" s="755">
        <f>SUM(C95+E95+F95+H95)</f>
        <v>0</v>
      </c>
      <c r="K95" s="755">
        <f>SUM(D95+G95+I95)</f>
        <v>0</v>
      </c>
      <c r="L95" s="755">
        <f>SUM(J95:K95)</f>
        <v>0</v>
      </c>
      <c r="M95" s="755">
        <v>3324</v>
      </c>
      <c r="N95" s="755"/>
      <c r="O95" s="755">
        <f>SUM(L95:N95)</f>
        <v>3324</v>
      </c>
    </row>
    <row r="96" spans="1:16" x14ac:dyDescent="0.25">
      <c r="A96" s="756"/>
      <c r="B96" s="757" t="s">
        <v>243</v>
      </c>
      <c r="C96" s="757"/>
      <c r="D96" s="757"/>
      <c r="E96" s="757"/>
      <c r="F96" s="757"/>
      <c r="G96" s="757"/>
      <c r="H96" s="757"/>
      <c r="I96" s="757"/>
      <c r="J96" s="755"/>
      <c r="K96" s="755"/>
      <c r="L96" s="755"/>
      <c r="M96" s="758"/>
      <c r="N96" s="758"/>
      <c r="O96" s="755"/>
    </row>
    <row r="97" spans="1:16" s="1150" customFormat="1" x14ac:dyDescent="0.25">
      <c r="A97" s="753"/>
      <c r="B97" s="954" t="s">
        <v>1407</v>
      </c>
      <c r="C97" s="755"/>
      <c r="D97" s="755"/>
      <c r="E97" s="755"/>
      <c r="F97" s="755"/>
      <c r="G97" s="755"/>
      <c r="H97" s="755"/>
      <c r="I97" s="755"/>
      <c r="J97" s="755">
        <f t="shared" ref="J97:J103" si="43">SUM(C97+E97+F97+H97)</f>
        <v>0</v>
      </c>
      <c r="K97" s="755">
        <f t="shared" ref="K97:K103" si="44">SUM(D97+G97+I97)</f>
        <v>0</v>
      </c>
      <c r="L97" s="755">
        <f t="shared" ref="L97:L103" si="45">SUM(J97:K97)</f>
        <v>0</v>
      </c>
      <c r="M97" s="755">
        <v>222</v>
      </c>
      <c r="N97" s="755"/>
      <c r="O97" s="755">
        <f t="shared" ref="O97:O103" si="46">SUM(L97:N97)</f>
        <v>222</v>
      </c>
    </row>
    <row r="98" spans="1:16" ht="31.5" x14ac:dyDescent="0.25">
      <c r="A98" s="756"/>
      <c r="B98" s="954" t="s">
        <v>1409</v>
      </c>
      <c r="C98" s="954"/>
      <c r="D98" s="757"/>
      <c r="E98" s="757"/>
      <c r="F98" s="757"/>
      <c r="G98" s="757"/>
      <c r="H98" s="757"/>
      <c r="I98" s="757"/>
      <c r="J98" s="755">
        <f t="shared" si="43"/>
        <v>0</v>
      </c>
      <c r="K98" s="755">
        <f t="shared" si="44"/>
        <v>0</v>
      </c>
      <c r="L98" s="755">
        <f t="shared" si="45"/>
        <v>0</v>
      </c>
      <c r="M98" s="954">
        <v>449</v>
      </c>
      <c r="N98" s="758"/>
      <c r="O98" s="755">
        <f t="shared" si="46"/>
        <v>449</v>
      </c>
    </row>
    <row r="99" spans="1:16" s="1150" customFormat="1" ht="31.5" x14ac:dyDescent="0.25">
      <c r="A99" s="764"/>
      <c r="B99" s="955" t="s">
        <v>1410</v>
      </c>
      <c r="C99" s="754"/>
      <c r="D99" s="754"/>
      <c r="E99" s="754"/>
      <c r="F99" s="754"/>
      <c r="G99" s="754"/>
      <c r="H99" s="754"/>
      <c r="I99" s="754"/>
      <c r="J99" s="754">
        <f t="shared" si="43"/>
        <v>0</v>
      </c>
      <c r="K99" s="754">
        <f t="shared" si="44"/>
        <v>0</v>
      </c>
      <c r="L99" s="754">
        <f t="shared" si="45"/>
        <v>0</v>
      </c>
      <c r="M99" s="754">
        <v>-16</v>
      </c>
      <c r="N99" s="754"/>
      <c r="O99" s="754">
        <f t="shared" si="46"/>
        <v>-16</v>
      </c>
    </row>
    <row r="100" spans="1:16" ht="78.75" x14ac:dyDescent="0.25">
      <c r="A100" s="764"/>
      <c r="B100" s="955" t="s">
        <v>1411</v>
      </c>
      <c r="C100" s="754"/>
      <c r="D100" s="754"/>
      <c r="E100" s="754"/>
      <c r="F100" s="754"/>
      <c r="G100" s="754"/>
      <c r="H100" s="754"/>
      <c r="I100" s="754"/>
      <c r="J100" s="754">
        <f t="shared" si="43"/>
        <v>0</v>
      </c>
      <c r="K100" s="754">
        <f t="shared" si="44"/>
        <v>0</v>
      </c>
      <c r="L100" s="754">
        <f t="shared" si="45"/>
        <v>0</v>
      </c>
      <c r="M100" s="754">
        <v>2217</v>
      </c>
      <c r="N100" s="754"/>
      <c r="O100" s="754">
        <f t="shared" si="46"/>
        <v>2217</v>
      </c>
    </row>
    <row r="101" spans="1:16" ht="31.5" x14ac:dyDescent="0.25">
      <c r="A101" s="753"/>
      <c r="B101" s="954" t="s">
        <v>1262</v>
      </c>
      <c r="C101" s="755"/>
      <c r="D101" s="755"/>
      <c r="E101" s="755"/>
      <c r="F101" s="755">
        <f>2+1188</f>
        <v>1190</v>
      </c>
      <c r="G101" s="755"/>
      <c r="H101" s="755"/>
      <c r="I101" s="755"/>
      <c r="J101" s="755">
        <f t="shared" si="43"/>
        <v>1190</v>
      </c>
      <c r="K101" s="755">
        <f t="shared" si="44"/>
        <v>0</v>
      </c>
      <c r="L101" s="755">
        <f t="shared" si="45"/>
        <v>1190</v>
      </c>
      <c r="M101" s="755"/>
      <c r="N101" s="755"/>
      <c r="O101" s="755">
        <f t="shared" si="46"/>
        <v>1190</v>
      </c>
    </row>
    <row r="102" spans="1:16" x14ac:dyDescent="0.25">
      <c r="A102" s="756"/>
      <c r="B102" s="757" t="s">
        <v>244</v>
      </c>
      <c r="C102" s="757"/>
      <c r="D102" s="757"/>
      <c r="E102" s="757"/>
      <c r="F102" s="757"/>
      <c r="G102" s="757"/>
      <c r="H102" s="757"/>
      <c r="I102" s="757"/>
      <c r="J102" s="755"/>
      <c r="K102" s="755"/>
      <c r="L102" s="755"/>
      <c r="M102" s="758"/>
      <c r="N102" s="758"/>
      <c r="O102" s="755"/>
    </row>
    <row r="103" spans="1:16" ht="16.5" thickBot="1" x14ac:dyDescent="0.3">
      <c r="A103" s="753"/>
      <c r="B103" s="813" t="s">
        <v>1408</v>
      </c>
      <c r="C103" s="755"/>
      <c r="D103" s="755"/>
      <c r="E103" s="755"/>
      <c r="F103" s="755"/>
      <c r="G103" s="755"/>
      <c r="H103" s="755"/>
      <c r="I103" s="755"/>
      <c r="J103" s="755">
        <f t="shared" si="43"/>
        <v>0</v>
      </c>
      <c r="K103" s="755">
        <f t="shared" si="44"/>
        <v>0</v>
      </c>
      <c r="L103" s="755">
        <f t="shared" si="45"/>
        <v>0</v>
      </c>
      <c r="M103" s="755">
        <v>589</v>
      </c>
      <c r="N103" s="755"/>
      <c r="O103" s="755">
        <f t="shared" si="46"/>
        <v>589</v>
      </c>
    </row>
    <row r="104" spans="1:16" ht="17.25" thickTop="1" thickBot="1" x14ac:dyDescent="0.3">
      <c r="A104" s="751"/>
      <c r="B104" s="759" t="s">
        <v>1157</v>
      </c>
      <c r="C104" s="759">
        <f>+C93+C97+C98+C99+C103+C100+C101</f>
        <v>5344</v>
      </c>
      <c r="D104" s="759">
        <f t="shared" ref="D104:O104" si="47">+D93+D97+D98+D99+D103+D100+D101</f>
        <v>0</v>
      </c>
      <c r="E104" s="759">
        <f t="shared" si="47"/>
        <v>0</v>
      </c>
      <c r="F104" s="759">
        <f t="shared" si="47"/>
        <v>2584</v>
      </c>
      <c r="G104" s="759">
        <f t="shared" si="47"/>
        <v>0</v>
      </c>
      <c r="H104" s="759">
        <f t="shared" si="47"/>
        <v>0</v>
      </c>
      <c r="I104" s="759">
        <f t="shared" si="47"/>
        <v>0</v>
      </c>
      <c r="J104" s="759">
        <f t="shared" si="47"/>
        <v>7928</v>
      </c>
      <c r="K104" s="759">
        <f t="shared" si="47"/>
        <v>0</v>
      </c>
      <c r="L104" s="759">
        <f t="shared" si="47"/>
        <v>7928</v>
      </c>
      <c r="M104" s="759">
        <f t="shared" si="47"/>
        <v>102708</v>
      </c>
      <c r="N104" s="759">
        <f t="shared" si="47"/>
        <v>576</v>
      </c>
      <c r="O104" s="759">
        <f t="shared" si="47"/>
        <v>111212</v>
      </c>
      <c r="P104" s="1149">
        <f>O105+O106</f>
        <v>111212</v>
      </c>
    </row>
    <row r="105" spans="1:16" s="1150" customFormat="1" ht="17.25" thickTop="1" thickBot="1" x14ac:dyDescent="0.3">
      <c r="A105" s="751"/>
      <c r="B105" s="759" t="s">
        <v>1158</v>
      </c>
      <c r="C105" s="759">
        <f>+C94+C97+C98+C99+C100+C101</f>
        <v>5344</v>
      </c>
      <c r="D105" s="759">
        <f t="shared" ref="D105:O105" si="48">+D94+D97+D98+D99+D100+D101</f>
        <v>0</v>
      </c>
      <c r="E105" s="759">
        <f t="shared" si="48"/>
        <v>0</v>
      </c>
      <c r="F105" s="759">
        <f t="shared" si="48"/>
        <v>2584</v>
      </c>
      <c r="G105" s="759">
        <f t="shared" si="48"/>
        <v>0</v>
      </c>
      <c r="H105" s="759">
        <f t="shared" si="48"/>
        <v>0</v>
      </c>
      <c r="I105" s="759">
        <f t="shared" si="48"/>
        <v>0</v>
      </c>
      <c r="J105" s="759">
        <f t="shared" si="48"/>
        <v>7928</v>
      </c>
      <c r="K105" s="759">
        <f t="shared" si="48"/>
        <v>0</v>
      </c>
      <c r="L105" s="759">
        <f t="shared" si="48"/>
        <v>7928</v>
      </c>
      <c r="M105" s="759">
        <f t="shared" si="48"/>
        <v>98795</v>
      </c>
      <c r="N105" s="759">
        <f t="shared" si="48"/>
        <v>576</v>
      </c>
      <c r="O105" s="759">
        <f t="shared" si="48"/>
        <v>107299</v>
      </c>
    </row>
    <row r="106" spans="1:16" ht="17.25" thickTop="1" thickBot="1" x14ac:dyDescent="0.3">
      <c r="A106" s="751"/>
      <c r="B106" s="759" t="s">
        <v>1159</v>
      </c>
      <c r="C106" s="759">
        <f>+C95+C103</f>
        <v>0</v>
      </c>
      <c r="D106" s="759">
        <f t="shared" ref="D106:O106" si="49">+D95+D103</f>
        <v>0</v>
      </c>
      <c r="E106" s="759">
        <f t="shared" si="49"/>
        <v>0</v>
      </c>
      <c r="F106" s="759">
        <f t="shared" si="49"/>
        <v>0</v>
      </c>
      <c r="G106" s="759">
        <f t="shared" si="49"/>
        <v>0</v>
      </c>
      <c r="H106" s="759">
        <f t="shared" si="49"/>
        <v>0</v>
      </c>
      <c r="I106" s="759">
        <f t="shared" si="49"/>
        <v>0</v>
      </c>
      <c r="J106" s="759">
        <f t="shared" si="49"/>
        <v>0</v>
      </c>
      <c r="K106" s="759">
        <f t="shared" si="49"/>
        <v>0</v>
      </c>
      <c r="L106" s="759">
        <f t="shared" si="49"/>
        <v>0</v>
      </c>
      <c r="M106" s="759">
        <f t="shared" si="49"/>
        <v>3913</v>
      </c>
      <c r="N106" s="759">
        <f t="shared" si="49"/>
        <v>0</v>
      </c>
      <c r="O106" s="759">
        <f t="shared" si="49"/>
        <v>3913</v>
      </c>
    </row>
    <row r="107" spans="1:16" s="1150" customFormat="1" ht="16.5" thickTop="1" x14ac:dyDescent="0.25">
      <c r="A107" s="753" t="s">
        <v>341</v>
      </c>
      <c r="B107" s="754" t="s">
        <v>550</v>
      </c>
      <c r="C107" s="754"/>
      <c r="D107" s="754"/>
      <c r="E107" s="754"/>
      <c r="F107" s="754"/>
      <c r="G107" s="754"/>
      <c r="H107" s="754"/>
      <c r="I107" s="754"/>
      <c r="J107" s="754"/>
      <c r="K107" s="754"/>
      <c r="L107" s="754"/>
      <c r="M107" s="754"/>
      <c r="N107" s="754"/>
      <c r="O107" s="754"/>
    </row>
    <row r="108" spans="1:16" x14ac:dyDescent="0.25">
      <c r="A108" s="753"/>
      <c r="B108" s="755" t="s">
        <v>1125</v>
      </c>
      <c r="C108" s="755">
        <v>7717</v>
      </c>
      <c r="D108" s="755"/>
      <c r="E108" s="755"/>
      <c r="F108" s="755">
        <v>9585</v>
      </c>
      <c r="G108" s="755"/>
      <c r="H108" s="755"/>
      <c r="I108" s="755"/>
      <c r="J108" s="755">
        <f>SUM(C108+E108+F108+H108)</f>
        <v>17302</v>
      </c>
      <c r="K108" s="755">
        <f>SUM(D108+G108+I108)</f>
        <v>0</v>
      </c>
      <c r="L108" s="755">
        <f>SUM(J108:K108)</f>
        <v>17302</v>
      </c>
      <c r="M108" s="755">
        <v>83498</v>
      </c>
      <c r="N108" s="755">
        <v>303</v>
      </c>
      <c r="O108" s="755">
        <f>SUM(L108:N108)</f>
        <v>101103</v>
      </c>
    </row>
    <row r="109" spans="1:16" s="1150" customFormat="1" x14ac:dyDescent="0.25">
      <c r="A109" s="761"/>
      <c r="B109" s="762" t="s">
        <v>1155</v>
      </c>
      <c r="C109" s="762">
        <v>7717</v>
      </c>
      <c r="D109" s="762"/>
      <c r="E109" s="762"/>
      <c r="F109" s="762">
        <v>9585</v>
      </c>
      <c r="G109" s="762"/>
      <c r="H109" s="762"/>
      <c r="I109" s="762"/>
      <c r="J109" s="763">
        <f>SUM(C109+E109+F109+H109)</f>
        <v>17302</v>
      </c>
      <c r="K109" s="763">
        <f>SUM(D109+G109+I109)</f>
        <v>0</v>
      </c>
      <c r="L109" s="763">
        <f>SUM(J109:K109)</f>
        <v>17302</v>
      </c>
      <c r="M109" s="763">
        <v>80482</v>
      </c>
      <c r="N109" s="763">
        <v>303</v>
      </c>
      <c r="O109" s="763">
        <f>SUM(L109:N109)</f>
        <v>98087</v>
      </c>
    </row>
    <row r="110" spans="1:16" x14ac:dyDescent="0.25">
      <c r="A110" s="761"/>
      <c r="B110" s="762" t="s">
        <v>1156</v>
      </c>
      <c r="C110" s="762"/>
      <c r="D110" s="762"/>
      <c r="E110" s="762"/>
      <c r="F110" s="762"/>
      <c r="G110" s="762"/>
      <c r="H110" s="762"/>
      <c r="I110" s="762"/>
      <c r="J110" s="763">
        <f>SUM(C110+E110+F110+H110)</f>
        <v>0</v>
      </c>
      <c r="K110" s="763">
        <f>SUM(D110+G110+I110)</f>
        <v>0</v>
      </c>
      <c r="L110" s="763">
        <f>SUM(J110:K110)</f>
        <v>0</v>
      </c>
      <c r="M110" s="763">
        <v>3016</v>
      </c>
      <c r="N110" s="763"/>
      <c r="O110" s="763">
        <f>SUM(L110:N110)</f>
        <v>3016</v>
      </c>
    </row>
    <row r="111" spans="1:16" x14ac:dyDescent="0.25">
      <c r="A111" s="761"/>
      <c r="B111" s="762" t="s">
        <v>243</v>
      </c>
      <c r="C111" s="762"/>
      <c r="D111" s="762"/>
      <c r="E111" s="762"/>
      <c r="F111" s="762"/>
      <c r="G111" s="762"/>
      <c r="H111" s="762"/>
      <c r="I111" s="762"/>
      <c r="J111" s="763"/>
      <c r="K111" s="763"/>
      <c r="L111" s="763"/>
      <c r="M111" s="763"/>
      <c r="N111" s="763"/>
      <c r="O111" s="763"/>
    </row>
    <row r="112" spans="1:16" x14ac:dyDescent="0.25">
      <c r="A112" s="761"/>
      <c r="B112" s="954" t="s">
        <v>1407</v>
      </c>
      <c r="C112" s="762"/>
      <c r="D112" s="762"/>
      <c r="E112" s="762"/>
      <c r="F112" s="762"/>
      <c r="G112" s="762"/>
      <c r="H112" s="762"/>
      <c r="I112" s="762"/>
      <c r="J112" s="955">
        <f t="shared" ref="J112:J119" si="50">SUM(C112+E112+F112+H112)</f>
        <v>0</v>
      </c>
      <c r="K112" s="955">
        <f t="shared" ref="K112:K119" si="51">SUM(D112+G112+I112)</f>
        <v>0</v>
      </c>
      <c r="L112" s="955">
        <f t="shared" ref="L112:L119" si="52">SUM(J112:K112)</f>
        <v>0</v>
      </c>
      <c r="M112" s="955">
        <v>110</v>
      </c>
      <c r="N112" s="955"/>
      <c r="O112" s="955">
        <f t="shared" ref="O112:O119" si="53">SUM(L112:N112)</f>
        <v>110</v>
      </c>
    </row>
    <row r="113" spans="1:16" ht="31.5" x14ac:dyDescent="0.25">
      <c r="A113" s="761"/>
      <c r="B113" s="954" t="s">
        <v>1409</v>
      </c>
      <c r="C113" s="955"/>
      <c r="D113" s="762"/>
      <c r="E113" s="762"/>
      <c r="F113" s="762"/>
      <c r="G113" s="762"/>
      <c r="H113" s="762"/>
      <c r="I113" s="762"/>
      <c r="J113" s="955">
        <f t="shared" si="50"/>
        <v>0</v>
      </c>
      <c r="K113" s="955">
        <f t="shared" si="51"/>
        <v>0</v>
      </c>
      <c r="L113" s="955">
        <f t="shared" si="52"/>
        <v>0</v>
      </c>
      <c r="M113" s="955">
        <v>378</v>
      </c>
      <c r="N113" s="955"/>
      <c r="O113" s="955">
        <f t="shared" si="53"/>
        <v>378</v>
      </c>
    </row>
    <row r="114" spans="1:16" s="1150" customFormat="1" ht="31.5" x14ac:dyDescent="0.25">
      <c r="A114" s="761"/>
      <c r="B114" s="954" t="s">
        <v>1410</v>
      </c>
      <c r="C114" s="955"/>
      <c r="D114" s="762"/>
      <c r="E114" s="762"/>
      <c r="F114" s="762"/>
      <c r="G114" s="762"/>
      <c r="H114" s="762"/>
      <c r="I114" s="762"/>
      <c r="J114" s="955">
        <f t="shared" si="50"/>
        <v>0</v>
      </c>
      <c r="K114" s="955">
        <f t="shared" si="51"/>
        <v>0</v>
      </c>
      <c r="L114" s="955">
        <f t="shared" si="52"/>
        <v>0</v>
      </c>
      <c r="M114" s="955">
        <v>98</v>
      </c>
      <c r="N114" s="955"/>
      <c r="O114" s="955">
        <f t="shared" si="53"/>
        <v>98</v>
      </c>
    </row>
    <row r="115" spans="1:16" ht="78.75" x14ac:dyDescent="0.25">
      <c r="A115" s="761"/>
      <c r="B115" s="954" t="s">
        <v>1411</v>
      </c>
      <c r="C115" s="955"/>
      <c r="D115" s="762"/>
      <c r="E115" s="762"/>
      <c r="F115" s="955"/>
      <c r="G115" s="762"/>
      <c r="H115" s="762"/>
      <c r="I115" s="762"/>
      <c r="J115" s="955">
        <f t="shared" si="50"/>
        <v>0</v>
      </c>
      <c r="K115" s="955">
        <f t="shared" si="51"/>
        <v>0</v>
      </c>
      <c r="L115" s="955">
        <f t="shared" si="52"/>
        <v>0</v>
      </c>
      <c r="M115" s="955">
        <v>1915</v>
      </c>
      <c r="N115" s="955"/>
      <c r="O115" s="955">
        <f t="shared" si="53"/>
        <v>1915</v>
      </c>
    </row>
    <row r="116" spans="1:16" ht="63" x14ac:dyDescent="0.25">
      <c r="A116" s="761"/>
      <c r="B116" s="954" t="s">
        <v>1412</v>
      </c>
      <c r="C116" s="955"/>
      <c r="D116" s="762"/>
      <c r="E116" s="762"/>
      <c r="F116" s="955"/>
      <c r="G116" s="762"/>
      <c r="H116" s="762"/>
      <c r="I116" s="762"/>
      <c r="J116" s="955">
        <f t="shared" si="50"/>
        <v>0</v>
      </c>
      <c r="K116" s="955">
        <f t="shared" si="51"/>
        <v>0</v>
      </c>
      <c r="L116" s="955">
        <f t="shared" si="52"/>
        <v>0</v>
      </c>
      <c r="M116" s="955">
        <v>291</v>
      </c>
      <c r="N116" s="955"/>
      <c r="O116" s="955">
        <f t="shared" si="53"/>
        <v>291</v>
      </c>
    </row>
    <row r="117" spans="1:16" ht="31.5" x14ac:dyDescent="0.25">
      <c r="A117" s="761"/>
      <c r="B117" s="954" t="s">
        <v>1262</v>
      </c>
      <c r="C117" s="955">
        <v>471</v>
      </c>
      <c r="D117" s="762"/>
      <c r="E117" s="762"/>
      <c r="F117" s="955">
        <f>2164+2117</f>
        <v>4281</v>
      </c>
      <c r="G117" s="762"/>
      <c r="H117" s="762"/>
      <c r="I117" s="762"/>
      <c r="J117" s="955">
        <f t="shared" si="50"/>
        <v>4752</v>
      </c>
      <c r="K117" s="955">
        <f t="shared" si="51"/>
        <v>0</v>
      </c>
      <c r="L117" s="955">
        <f t="shared" si="52"/>
        <v>4752</v>
      </c>
      <c r="M117" s="955"/>
      <c r="N117" s="955"/>
      <c r="O117" s="955">
        <f t="shared" si="53"/>
        <v>4752</v>
      </c>
    </row>
    <row r="118" spans="1:16" s="1150" customFormat="1" x14ac:dyDescent="0.25">
      <c r="A118" s="761"/>
      <c r="B118" s="762" t="s">
        <v>244</v>
      </c>
      <c r="C118" s="762"/>
      <c r="D118" s="762"/>
      <c r="E118" s="762"/>
      <c r="F118" s="762"/>
      <c r="G118" s="762"/>
      <c r="H118" s="762"/>
      <c r="I118" s="762"/>
      <c r="J118" s="955"/>
      <c r="K118" s="955"/>
      <c r="L118" s="955"/>
      <c r="M118" s="955"/>
      <c r="N118" s="955"/>
      <c r="O118" s="955"/>
    </row>
    <row r="119" spans="1:16" ht="16.5" thickBot="1" x14ac:dyDescent="0.3">
      <c r="A119" s="761"/>
      <c r="B119" s="813" t="s">
        <v>1408</v>
      </c>
      <c r="C119" s="762"/>
      <c r="D119" s="762"/>
      <c r="E119" s="762"/>
      <c r="F119" s="762"/>
      <c r="G119" s="762"/>
      <c r="H119" s="762"/>
      <c r="I119" s="762"/>
      <c r="J119" s="955">
        <f t="shared" si="50"/>
        <v>0</v>
      </c>
      <c r="K119" s="955">
        <f t="shared" si="51"/>
        <v>0</v>
      </c>
      <c r="L119" s="955">
        <f t="shared" si="52"/>
        <v>0</v>
      </c>
      <c r="M119" s="955">
        <v>548</v>
      </c>
      <c r="N119" s="955"/>
      <c r="O119" s="955">
        <f t="shared" si="53"/>
        <v>548</v>
      </c>
    </row>
    <row r="120" spans="1:16" ht="17.25" thickTop="1" thickBot="1" x14ac:dyDescent="0.3">
      <c r="A120" s="751"/>
      <c r="B120" s="759" t="s">
        <v>1157</v>
      </c>
      <c r="C120" s="759">
        <f>+C108+C112+C113+C114+C119+C115+C116+C117</f>
        <v>8188</v>
      </c>
      <c r="D120" s="759">
        <f t="shared" ref="D120:O120" si="54">+D108+D112+D113+D114+D119+D115+D116+D117</f>
        <v>0</v>
      </c>
      <c r="E120" s="759">
        <f t="shared" si="54"/>
        <v>0</v>
      </c>
      <c r="F120" s="759">
        <f t="shared" si="54"/>
        <v>13866</v>
      </c>
      <c r="G120" s="759">
        <f t="shared" si="54"/>
        <v>0</v>
      </c>
      <c r="H120" s="759">
        <f t="shared" si="54"/>
        <v>0</v>
      </c>
      <c r="I120" s="759">
        <f t="shared" si="54"/>
        <v>0</v>
      </c>
      <c r="J120" s="759">
        <f t="shared" si="54"/>
        <v>22054</v>
      </c>
      <c r="K120" s="759">
        <f t="shared" si="54"/>
        <v>0</v>
      </c>
      <c r="L120" s="759">
        <f t="shared" si="54"/>
        <v>22054</v>
      </c>
      <c r="M120" s="759">
        <f t="shared" si="54"/>
        <v>86838</v>
      </c>
      <c r="N120" s="759">
        <f t="shared" si="54"/>
        <v>303</v>
      </c>
      <c r="O120" s="759">
        <f t="shared" si="54"/>
        <v>109195</v>
      </c>
      <c r="P120" s="1149">
        <f>O121+O122</f>
        <v>109195</v>
      </c>
    </row>
    <row r="121" spans="1:16" ht="17.25" thickTop="1" thickBot="1" x14ac:dyDescent="0.3">
      <c r="A121" s="751"/>
      <c r="B121" s="759" t="s">
        <v>1158</v>
      </c>
      <c r="C121" s="759">
        <f t="shared" ref="C121:O121" si="55">+C109+C112+C113+C114+C115+C116+C117</f>
        <v>8188</v>
      </c>
      <c r="D121" s="759">
        <f t="shared" si="55"/>
        <v>0</v>
      </c>
      <c r="E121" s="759">
        <f t="shared" si="55"/>
        <v>0</v>
      </c>
      <c r="F121" s="759">
        <f t="shared" si="55"/>
        <v>13866</v>
      </c>
      <c r="G121" s="759">
        <f t="shared" si="55"/>
        <v>0</v>
      </c>
      <c r="H121" s="759">
        <f t="shared" si="55"/>
        <v>0</v>
      </c>
      <c r="I121" s="759">
        <f t="shared" si="55"/>
        <v>0</v>
      </c>
      <c r="J121" s="759">
        <f t="shared" si="55"/>
        <v>22054</v>
      </c>
      <c r="K121" s="759">
        <f t="shared" si="55"/>
        <v>0</v>
      </c>
      <c r="L121" s="759">
        <f t="shared" si="55"/>
        <v>22054</v>
      </c>
      <c r="M121" s="759">
        <f t="shared" si="55"/>
        <v>83274</v>
      </c>
      <c r="N121" s="759">
        <f t="shared" si="55"/>
        <v>303</v>
      </c>
      <c r="O121" s="759">
        <f t="shared" si="55"/>
        <v>105631</v>
      </c>
    </row>
    <row r="122" spans="1:16" ht="17.25" thickTop="1" thickBot="1" x14ac:dyDescent="0.3">
      <c r="A122" s="751"/>
      <c r="B122" s="759" t="s">
        <v>1159</v>
      </c>
      <c r="C122" s="759">
        <f>+C110+C119</f>
        <v>0</v>
      </c>
      <c r="D122" s="759">
        <f t="shared" ref="D122:O122" si="56">+D110+D119</f>
        <v>0</v>
      </c>
      <c r="E122" s="759">
        <f t="shared" si="56"/>
        <v>0</v>
      </c>
      <c r="F122" s="759">
        <f t="shared" si="56"/>
        <v>0</v>
      </c>
      <c r="G122" s="759">
        <f t="shared" si="56"/>
        <v>0</v>
      </c>
      <c r="H122" s="759">
        <f t="shared" si="56"/>
        <v>0</v>
      </c>
      <c r="I122" s="759">
        <f t="shared" si="56"/>
        <v>0</v>
      </c>
      <c r="J122" s="759">
        <f t="shared" si="56"/>
        <v>0</v>
      </c>
      <c r="K122" s="759">
        <f t="shared" si="56"/>
        <v>0</v>
      </c>
      <c r="L122" s="759">
        <f t="shared" si="56"/>
        <v>0</v>
      </c>
      <c r="M122" s="759">
        <f t="shared" si="56"/>
        <v>3564</v>
      </c>
      <c r="N122" s="759">
        <f t="shared" si="56"/>
        <v>0</v>
      </c>
      <c r="O122" s="759">
        <f t="shared" si="56"/>
        <v>3564</v>
      </c>
    </row>
    <row r="123" spans="1:16" ht="17.25" thickTop="1" thickBot="1" x14ac:dyDescent="0.3">
      <c r="A123" s="751"/>
      <c r="B123" s="759" t="s">
        <v>551</v>
      </c>
      <c r="C123" s="759">
        <f t="shared" ref="C123:O123" si="57">SUM(C45+C60+C74+C89+C104+C120)</f>
        <v>31304</v>
      </c>
      <c r="D123" s="759">
        <f t="shared" si="57"/>
        <v>0</v>
      </c>
      <c r="E123" s="759">
        <f t="shared" si="57"/>
        <v>0</v>
      </c>
      <c r="F123" s="759">
        <f t="shared" si="57"/>
        <v>23919</v>
      </c>
      <c r="G123" s="759">
        <f t="shared" si="57"/>
        <v>0</v>
      </c>
      <c r="H123" s="759">
        <f t="shared" si="57"/>
        <v>0</v>
      </c>
      <c r="I123" s="759">
        <f t="shared" si="57"/>
        <v>0</v>
      </c>
      <c r="J123" s="759">
        <f t="shared" si="57"/>
        <v>55223</v>
      </c>
      <c r="K123" s="759">
        <f t="shared" si="57"/>
        <v>0</v>
      </c>
      <c r="L123" s="759">
        <f t="shared" si="57"/>
        <v>55223</v>
      </c>
      <c r="M123" s="759">
        <f t="shared" si="57"/>
        <v>465434</v>
      </c>
      <c r="N123" s="759">
        <f t="shared" si="57"/>
        <v>1722</v>
      </c>
      <c r="O123" s="759">
        <f t="shared" si="57"/>
        <v>522379</v>
      </c>
    </row>
    <row r="124" spans="1:16" ht="16.5" thickTop="1" x14ac:dyDescent="0.25">
      <c r="A124" s="753" t="s">
        <v>344</v>
      </c>
      <c r="B124" s="754" t="s">
        <v>552</v>
      </c>
      <c r="C124" s="754"/>
      <c r="D124" s="754"/>
      <c r="E124" s="754"/>
      <c r="F124" s="754"/>
      <c r="G124" s="754"/>
      <c r="H124" s="754"/>
      <c r="I124" s="754"/>
      <c r="J124" s="754"/>
      <c r="K124" s="754"/>
      <c r="L124" s="754"/>
      <c r="M124" s="754"/>
      <c r="N124" s="754"/>
      <c r="O124" s="754"/>
    </row>
    <row r="125" spans="1:16" s="1150" customFormat="1" x14ac:dyDescent="0.25">
      <c r="A125" s="753"/>
      <c r="B125" s="755" t="s">
        <v>1125</v>
      </c>
      <c r="C125" s="755">
        <v>13630</v>
      </c>
      <c r="D125" s="755"/>
      <c r="E125" s="755"/>
      <c r="F125" s="755">
        <v>8837</v>
      </c>
      <c r="G125" s="755"/>
      <c r="H125" s="755"/>
      <c r="I125" s="755"/>
      <c r="J125" s="755">
        <f>SUM(C125+E125+F125+H125)</f>
        <v>22467</v>
      </c>
      <c r="K125" s="755">
        <f>SUM(D125+G125+I125)</f>
        <v>0</v>
      </c>
      <c r="L125" s="755">
        <f>SUM(J125:K125)</f>
        <v>22467</v>
      </c>
      <c r="M125" s="755">
        <v>226721</v>
      </c>
      <c r="N125" s="755">
        <v>827</v>
      </c>
      <c r="O125" s="755">
        <f>SUM(L125:N125)</f>
        <v>250015</v>
      </c>
    </row>
    <row r="126" spans="1:16" s="1150" customFormat="1" x14ac:dyDescent="0.25">
      <c r="A126" s="756"/>
      <c r="B126" s="757" t="s">
        <v>1155</v>
      </c>
      <c r="C126" s="757">
        <v>13630</v>
      </c>
      <c r="D126" s="757"/>
      <c r="E126" s="757"/>
      <c r="F126" s="757">
        <v>8837</v>
      </c>
      <c r="G126" s="757"/>
      <c r="H126" s="757"/>
      <c r="I126" s="757"/>
      <c r="J126" s="758">
        <f>SUM(C126+E126+F126+H126)</f>
        <v>22467</v>
      </c>
      <c r="K126" s="758">
        <f>SUM(D126+G126+I126)</f>
        <v>0</v>
      </c>
      <c r="L126" s="758">
        <f>SUM(J126:K126)</f>
        <v>22467</v>
      </c>
      <c r="M126" s="758">
        <v>221514</v>
      </c>
      <c r="N126" s="758">
        <v>827</v>
      </c>
      <c r="O126" s="758">
        <f>SUM(L126:N126)</f>
        <v>244808</v>
      </c>
    </row>
    <row r="127" spans="1:16" s="1150" customFormat="1" x14ac:dyDescent="0.25">
      <c r="A127" s="761"/>
      <c r="B127" s="757" t="s">
        <v>1156</v>
      </c>
      <c r="C127" s="757"/>
      <c r="D127" s="757"/>
      <c r="E127" s="757"/>
      <c r="F127" s="757"/>
      <c r="G127" s="757"/>
      <c r="H127" s="757"/>
      <c r="I127" s="757"/>
      <c r="J127" s="954">
        <f>SUM(C127+E127+F127+H127)</f>
        <v>0</v>
      </c>
      <c r="K127" s="954">
        <f>SUM(D127+G127+I127)</f>
        <v>0</v>
      </c>
      <c r="L127" s="954">
        <f>SUM(J127:K127)</f>
        <v>0</v>
      </c>
      <c r="M127" s="954">
        <v>5207</v>
      </c>
      <c r="N127" s="954"/>
      <c r="O127" s="954">
        <f>SUM(L127:N127)</f>
        <v>5207</v>
      </c>
    </row>
    <row r="128" spans="1:16" s="1150" customFormat="1" x14ac:dyDescent="0.25">
      <c r="A128" s="756"/>
      <c r="B128" s="757" t="s">
        <v>243</v>
      </c>
      <c r="C128" s="757"/>
      <c r="D128" s="757"/>
      <c r="E128" s="757"/>
      <c r="F128" s="757"/>
      <c r="G128" s="757"/>
      <c r="H128" s="757"/>
      <c r="I128" s="757"/>
      <c r="J128" s="954"/>
      <c r="K128" s="954"/>
      <c r="L128" s="954"/>
      <c r="M128" s="954"/>
      <c r="N128" s="954"/>
      <c r="O128" s="954"/>
    </row>
    <row r="129" spans="1:16" s="1150" customFormat="1" x14ac:dyDescent="0.25">
      <c r="A129" s="761"/>
      <c r="B129" s="955" t="s">
        <v>1407</v>
      </c>
      <c r="C129" s="762"/>
      <c r="D129" s="762"/>
      <c r="E129" s="762"/>
      <c r="F129" s="762"/>
      <c r="G129" s="762"/>
      <c r="H129" s="762"/>
      <c r="I129" s="762"/>
      <c r="J129" s="955">
        <f t="shared" ref="J129:J132" si="58">SUM(C129+E129+F129+H129)</f>
        <v>0</v>
      </c>
      <c r="K129" s="955">
        <f t="shared" ref="K129:K132" si="59">SUM(D129+G129+I129)</f>
        <v>0</v>
      </c>
      <c r="L129" s="955">
        <f t="shared" ref="L129:L132" si="60">SUM(J129:K129)</f>
        <v>0</v>
      </c>
      <c r="M129" s="955">
        <v>34</v>
      </c>
      <c r="N129" s="955"/>
      <c r="O129" s="955">
        <f t="shared" ref="O129:O132" si="61">SUM(L129:N129)</f>
        <v>34</v>
      </c>
    </row>
    <row r="130" spans="1:16" s="1150" customFormat="1" ht="31.5" x14ac:dyDescent="0.25">
      <c r="A130" s="761"/>
      <c r="B130" s="955" t="s">
        <v>1262</v>
      </c>
      <c r="C130" s="955"/>
      <c r="D130" s="762"/>
      <c r="E130" s="762"/>
      <c r="F130" s="762">
        <f>2154+655</f>
        <v>2809</v>
      </c>
      <c r="G130" s="762"/>
      <c r="H130" s="762"/>
      <c r="I130" s="762"/>
      <c r="J130" s="955">
        <f t="shared" si="58"/>
        <v>2809</v>
      </c>
      <c r="K130" s="955">
        <f t="shared" si="59"/>
        <v>0</v>
      </c>
      <c r="L130" s="955">
        <f t="shared" si="60"/>
        <v>2809</v>
      </c>
      <c r="M130" s="955"/>
      <c r="N130" s="955"/>
      <c r="O130" s="955">
        <f t="shared" si="61"/>
        <v>2809</v>
      </c>
    </row>
    <row r="131" spans="1:16" s="1150" customFormat="1" x14ac:dyDescent="0.25">
      <c r="A131" s="756"/>
      <c r="B131" s="757" t="s">
        <v>244</v>
      </c>
      <c r="C131" s="757"/>
      <c r="D131" s="757"/>
      <c r="E131" s="757"/>
      <c r="F131" s="757"/>
      <c r="G131" s="757"/>
      <c r="H131" s="757"/>
      <c r="I131" s="757"/>
      <c r="J131" s="954"/>
      <c r="K131" s="954"/>
      <c r="L131" s="954"/>
      <c r="M131" s="954"/>
      <c r="N131" s="954"/>
      <c r="O131" s="954"/>
    </row>
    <row r="132" spans="1:16" s="1150" customFormat="1" ht="16.5" thickBot="1" x14ac:dyDescent="0.3">
      <c r="A132" s="761"/>
      <c r="B132" s="813" t="s">
        <v>1408</v>
      </c>
      <c r="C132" s="757"/>
      <c r="D132" s="757"/>
      <c r="E132" s="757"/>
      <c r="F132" s="757"/>
      <c r="G132" s="757"/>
      <c r="H132" s="757"/>
      <c r="I132" s="757"/>
      <c r="J132" s="954">
        <f t="shared" si="58"/>
        <v>0</v>
      </c>
      <c r="K132" s="954">
        <f t="shared" si="59"/>
        <v>0</v>
      </c>
      <c r="L132" s="954">
        <f t="shared" si="60"/>
        <v>0</v>
      </c>
      <c r="M132" s="954">
        <v>964</v>
      </c>
      <c r="N132" s="954"/>
      <c r="O132" s="954">
        <f t="shared" si="61"/>
        <v>964</v>
      </c>
    </row>
    <row r="133" spans="1:16" s="1150" customFormat="1" ht="17.25" thickTop="1" thickBot="1" x14ac:dyDescent="0.3">
      <c r="A133" s="751"/>
      <c r="B133" s="759" t="s">
        <v>1157</v>
      </c>
      <c r="C133" s="759">
        <f>+C125+C129+C130+C132</f>
        <v>13630</v>
      </c>
      <c r="D133" s="759">
        <f t="shared" ref="D133:O133" si="62">+D125+D129+D130+D132</f>
        <v>0</v>
      </c>
      <c r="E133" s="759">
        <f t="shared" si="62"/>
        <v>0</v>
      </c>
      <c r="F133" s="759">
        <f t="shared" si="62"/>
        <v>11646</v>
      </c>
      <c r="G133" s="759">
        <f t="shared" si="62"/>
        <v>0</v>
      </c>
      <c r="H133" s="759">
        <f t="shared" si="62"/>
        <v>0</v>
      </c>
      <c r="I133" s="759">
        <f t="shared" si="62"/>
        <v>0</v>
      </c>
      <c r="J133" s="759">
        <f t="shared" si="62"/>
        <v>25276</v>
      </c>
      <c r="K133" s="759">
        <f t="shared" si="62"/>
        <v>0</v>
      </c>
      <c r="L133" s="759">
        <f t="shared" si="62"/>
        <v>25276</v>
      </c>
      <c r="M133" s="759">
        <f t="shared" si="62"/>
        <v>227719</v>
      </c>
      <c r="N133" s="759">
        <f t="shared" si="62"/>
        <v>827</v>
      </c>
      <c r="O133" s="759">
        <f t="shared" si="62"/>
        <v>253822</v>
      </c>
      <c r="P133" s="1150">
        <f>O134+O135</f>
        <v>253822</v>
      </c>
    </row>
    <row r="134" spans="1:16" s="1150" customFormat="1" ht="17.25" thickTop="1" thickBot="1" x14ac:dyDescent="0.3">
      <c r="A134" s="751"/>
      <c r="B134" s="759" t="s">
        <v>1158</v>
      </c>
      <c r="C134" s="759">
        <f>+C126+C129+C130</f>
        <v>13630</v>
      </c>
      <c r="D134" s="759">
        <f t="shared" ref="D134:O134" si="63">+D126+D129+D130</f>
        <v>0</v>
      </c>
      <c r="E134" s="759">
        <f t="shared" si="63"/>
        <v>0</v>
      </c>
      <c r="F134" s="759">
        <f t="shared" si="63"/>
        <v>11646</v>
      </c>
      <c r="G134" s="759">
        <f t="shared" si="63"/>
        <v>0</v>
      </c>
      <c r="H134" s="759">
        <f t="shared" si="63"/>
        <v>0</v>
      </c>
      <c r="I134" s="759">
        <f t="shared" si="63"/>
        <v>0</v>
      </c>
      <c r="J134" s="759">
        <f t="shared" si="63"/>
        <v>25276</v>
      </c>
      <c r="K134" s="759">
        <f t="shared" si="63"/>
        <v>0</v>
      </c>
      <c r="L134" s="759">
        <f t="shared" si="63"/>
        <v>25276</v>
      </c>
      <c r="M134" s="759">
        <f t="shared" si="63"/>
        <v>221548</v>
      </c>
      <c r="N134" s="759">
        <f t="shared" si="63"/>
        <v>827</v>
      </c>
      <c r="O134" s="759">
        <f t="shared" si="63"/>
        <v>247651</v>
      </c>
    </row>
    <row r="135" spans="1:16" ht="17.25" thickTop="1" thickBot="1" x14ac:dyDescent="0.3">
      <c r="A135" s="753"/>
      <c r="B135" s="759" t="s">
        <v>1159</v>
      </c>
      <c r="C135" s="759">
        <f>+C127+C132</f>
        <v>0</v>
      </c>
      <c r="D135" s="759">
        <f t="shared" ref="D135:O135" si="64">+D127+D132</f>
        <v>0</v>
      </c>
      <c r="E135" s="759">
        <f t="shared" si="64"/>
        <v>0</v>
      </c>
      <c r="F135" s="759">
        <f t="shared" si="64"/>
        <v>0</v>
      </c>
      <c r="G135" s="759">
        <f t="shared" si="64"/>
        <v>0</v>
      </c>
      <c r="H135" s="759">
        <f t="shared" si="64"/>
        <v>0</v>
      </c>
      <c r="I135" s="759">
        <f t="shared" si="64"/>
        <v>0</v>
      </c>
      <c r="J135" s="759">
        <f t="shared" si="64"/>
        <v>0</v>
      </c>
      <c r="K135" s="759">
        <f t="shared" si="64"/>
        <v>0</v>
      </c>
      <c r="L135" s="759">
        <f t="shared" si="64"/>
        <v>0</v>
      </c>
      <c r="M135" s="759">
        <f t="shared" si="64"/>
        <v>6171</v>
      </c>
      <c r="N135" s="759">
        <f t="shared" si="64"/>
        <v>0</v>
      </c>
      <c r="O135" s="759">
        <f t="shared" si="64"/>
        <v>6171</v>
      </c>
    </row>
    <row r="136" spans="1:16" ht="16.5" thickTop="1" x14ac:dyDescent="0.25">
      <c r="A136" s="753" t="s">
        <v>0</v>
      </c>
      <c r="B136" s="754" t="s">
        <v>553</v>
      </c>
      <c r="C136" s="754"/>
      <c r="D136" s="754"/>
      <c r="E136" s="754"/>
      <c r="F136" s="754"/>
      <c r="G136" s="754"/>
      <c r="H136" s="754"/>
      <c r="I136" s="754"/>
      <c r="J136" s="754"/>
      <c r="K136" s="754"/>
      <c r="L136" s="754"/>
      <c r="M136" s="754"/>
      <c r="N136" s="754"/>
      <c r="O136" s="754"/>
    </row>
    <row r="137" spans="1:16" x14ac:dyDescent="0.25">
      <c r="A137" s="753"/>
      <c r="B137" s="755" t="s">
        <v>1125</v>
      </c>
      <c r="C137" s="755">
        <v>14161</v>
      </c>
      <c r="D137" s="755"/>
      <c r="E137" s="755"/>
      <c r="F137" s="755">
        <v>8393</v>
      </c>
      <c r="G137" s="755"/>
      <c r="H137" s="755"/>
      <c r="I137" s="755"/>
      <c r="J137" s="755">
        <f>SUM(C137+E137+F137+H137)</f>
        <v>22554</v>
      </c>
      <c r="K137" s="755">
        <f>SUM(D137+G137+I137)</f>
        <v>0</v>
      </c>
      <c r="L137" s="755">
        <f>SUM(J137:K137)</f>
        <v>22554</v>
      </c>
      <c r="M137" s="755">
        <v>226378</v>
      </c>
      <c r="N137" s="755">
        <v>251</v>
      </c>
      <c r="O137" s="755">
        <f>SUM(L137:N137)</f>
        <v>249183</v>
      </c>
    </row>
    <row r="138" spans="1:16" x14ac:dyDescent="0.25">
      <c r="A138" s="756"/>
      <c r="B138" s="757" t="s">
        <v>1155</v>
      </c>
      <c r="C138" s="757">
        <v>14161</v>
      </c>
      <c r="D138" s="757"/>
      <c r="E138" s="757"/>
      <c r="F138" s="757">
        <v>8393</v>
      </c>
      <c r="G138" s="757"/>
      <c r="H138" s="757"/>
      <c r="I138" s="757"/>
      <c r="J138" s="758">
        <f>SUM(C138+E138+F138+H138)</f>
        <v>22554</v>
      </c>
      <c r="K138" s="758">
        <f>SUM(D138+G138+I138)</f>
        <v>0</v>
      </c>
      <c r="L138" s="758">
        <f>SUM(J138:K138)</f>
        <v>22554</v>
      </c>
      <c r="M138" s="758">
        <v>220934</v>
      </c>
      <c r="N138" s="758">
        <v>251</v>
      </c>
      <c r="O138" s="758">
        <f>SUM(L138:N138)</f>
        <v>243739</v>
      </c>
    </row>
    <row r="139" spans="1:16" x14ac:dyDescent="0.25">
      <c r="A139" s="756"/>
      <c r="B139" s="757" t="s">
        <v>1156</v>
      </c>
      <c r="C139" s="757"/>
      <c r="D139" s="757"/>
      <c r="E139" s="757"/>
      <c r="F139" s="757"/>
      <c r="G139" s="757"/>
      <c r="H139" s="757"/>
      <c r="I139" s="757"/>
      <c r="J139" s="758">
        <f>SUM(C139+E139+F139+H139)</f>
        <v>0</v>
      </c>
      <c r="K139" s="758">
        <f>SUM(D139+G139+I139)</f>
        <v>0</v>
      </c>
      <c r="L139" s="758">
        <f>SUM(J139:K139)</f>
        <v>0</v>
      </c>
      <c r="M139" s="758">
        <v>5444</v>
      </c>
      <c r="N139" s="758"/>
      <c r="O139" s="758">
        <f>SUM(L139:N139)</f>
        <v>5444</v>
      </c>
    </row>
    <row r="140" spans="1:16" x14ac:dyDescent="0.25">
      <c r="A140" s="756"/>
      <c r="B140" s="757" t="s">
        <v>243</v>
      </c>
      <c r="C140" s="757"/>
      <c r="D140" s="757"/>
      <c r="E140" s="757"/>
      <c r="F140" s="757"/>
      <c r="G140" s="757"/>
      <c r="H140" s="757"/>
      <c r="I140" s="757"/>
      <c r="J140" s="758"/>
      <c r="K140" s="758"/>
      <c r="L140" s="758"/>
      <c r="M140" s="758"/>
      <c r="N140" s="758"/>
      <c r="O140" s="758"/>
    </row>
    <row r="141" spans="1:16" s="1150" customFormat="1" x14ac:dyDescent="0.25">
      <c r="A141" s="756"/>
      <c r="B141" s="954" t="s">
        <v>1407</v>
      </c>
      <c r="C141" s="757"/>
      <c r="D141" s="757"/>
      <c r="E141" s="757"/>
      <c r="F141" s="757"/>
      <c r="G141" s="757"/>
      <c r="H141" s="757"/>
      <c r="I141" s="757"/>
      <c r="J141" s="954">
        <f t="shared" ref="J141:J144" si="65">SUM(C141+E141+F141+H141)</f>
        <v>0</v>
      </c>
      <c r="K141" s="954">
        <f t="shared" ref="K141:K144" si="66">SUM(D141+G141+I141)</f>
        <v>0</v>
      </c>
      <c r="L141" s="954">
        <f t="shared" ref="L141:L144" si="67">SUM(J141:K141)</f>
        <v>0</v>
      </c>
      <c r="M141" s="954">
        <v>63</v>
      </c>
      <c r="N141" s="954"/>
      <c r="O141" s="954">
        <f t="shared" ref="O141:O144" si="68">SUM(L141:N141)</f>
        <v>63</v>
      </c>
    </row>
    <row r="142" spans="1:16" s="1150" customFormat="1" ht="31.5" x14ac:dyDescent="0.25">
      <c r="A142" s="756"/>
      <c r="B142" s="954" t="s">
        <v>1262</v>
      </c>
      <c r="C142" s="954"/>
      <c r="D142" s="757"/>
      <c r="E142" s="757"/>
      <c r="F142" s="757">
        <f>3928+207</f>
        <v>4135</v>
      </c>
      <c r="G142" s="757"/>
      <c r="H142" s="757"/>
      <c r="I142" s="757"/>
      <c r="J142" s="954">
        <f t="shared" si="65"/>
        <v>4135</v>
      </c>
      <c r="K142" s="954">
        <f t="shared" si="66"/>
        <v>0</v>
      </c>
      <c r="L142" s="954">
        <f t="shared" si="67"/>
        <v>4135</v>
      </c>
      <c r="M142" s="954">
        <v>602</v>
      </c>
      <c r="N142" s="954"/>
      <c r="O142" s="954">
        <f t="shared" si="68"/>
        <v>4737</v>
      </c>
    </row>
    <row r="143" spans="1:16" s="1150" customFormat="1" x14ac:dyDescent="0.25">
      <c r="A143" s="756"/>
      <c r="B143" s="757" t="s">
        <v>244</v>
      </c>
      <c r="C143" s="757"/>
      <c r="D143" s="757"/>
      <c r="E143" s="757"/>
      <c r="F143" s="757"/>
      <c r="G143" s="757"/>
      <c r="H143" s="757"/>
      <c r="I143" s="757"/>
      <c r="J143" s="954"/>
      <c r="K143" s="954"/>
      <c r="L143" s="954"/>
      <c r="M143" s="954"/>
      <c r="N143" s="954"/>
      <c r="O143" s="954"/>
    </row>
    <row r="144" spans="1:16" s="1150" customFormat="1" ht="16.5" thickBot="1" x14ac:dyDescent="0.3">
      <c r="A144" s="761"/>
      <c r="B144" s="813" t="s">
        <v>1408</v>
      </c>
      <c r="C144" s="762"/>
      <c r="D144" s="762"/>
      <c r="E144" s="762"/>
      <c r="F144" s="762"/>
      <c r="G144" s="762"/>
      <c r="H144" s="762"/>
      <c r="I144" s="762"/>
      <c r="J144" s="955">
        <f t="shared" si="65"/>
        <v>0</v>
      </c>
      <c r="K144" s="955">
        <f t="shared" si="66"/>
        <v>0</v>
      </c>
      <c r="L144" s="955">
        <f t="shared" si="67"/>
        <v>0</v>
      </c>
      <c r="M144" s="955">
        <v>1017</v>
      </c>
      <c r="N144" s="955"/>
      <c r="O144" s="955">
        <f t="shared" si="68"/>
        <v>1017</v>
      </c>
    </row>
    <row r="145" spans="1:16" s="1150" customFormat="1" ht="17.25" thickTop="1" thickBot="1" x14ac:dyDescent="0.3">
      <c r="A145" s="751"/>
      <c r="B145" s="759" t="s">
        <v>1157</v>
      </c>
      <c r="C145" s="759">
        <f>+C137+C141+C142+C144</f>
        <v>14161</v>
      </c>
      <c r="D145" s="759">
        <f t="shared" ref="D145:O145" si="69">+D137+D141+D142+D144</f>
        <v>0</v>
      </c>
      <c r="E145" s="759">
        <f t="shared" si="69"/>
        <v>0</v>
      </c>
      <c r="F145" s="759">
        <f t="shared" si="69"/>
        <v>12528</v>
      </c>
      <c r="G145" s="759">
        <f t="shared" si="69"/>
        <v>0</v>
      </c>
      <c r="H145" s="759">
        <f t="shared" si="69"/>
        <v>0</v>
      </c>
      <c r="I145" s="759">
        <f t="shared" si="69"/>
        <v>0</v>
      </c>
      <c r="J145" s="759">
        <f t="shared" si="69"/>
        <v>26689</v>
      </c>
      <c r="K145" s="759">
        <f t="shared" si="69"/>
        <v>0</v>
      </c>
      <c r="L145" s="759">
        <f t="shared" si="69"/>
        <v>26689</v>
      </c>
      <c r="M145" s="759">
        <f t="shared" si="69"/>
        <v>228060</v>
      </c>
      <c r="N145" s="759">
        <f t="shared" si="69"/>
        <v>251</v>
      </c>
      <c r="O145" s="759">
        <f t="shared" si="69"/>
        <v>255000</v>
      </c>
      <c r="P145" s="1150">
        <f>O146+O147</f>
        <v>255000</v>
      </c>
    </row>
    <row r="146" spans="1:16" s="1150" customFormat="1" ht="17.25" thickTop="1" thickBot="1" x14ac:dyDescent="0.3">
      <c r="A146" s="751"/>
      <c r="B146" s="759" t="s">
        <v>1158</v>
      </c>
      <c r="C146" s="759">
        <f>+C138+C141+C142</f>
        <v>14161</v>
      </c>
      <c r="D146" s="759">
        <f t="shared" ref="D146:O146" si="70">+D138+D141+D142</f>
        <v>0</v>
      </c>
      <c r="E146" s="759">
        <f t="shared" si="70"/>
        <v>0</v>
      </c>
      <c r="F146" s="759">
        <f t="shared" si="70"/>
        <v>12528</v>
      </c>
      <c r="G146" s="759">
        <f t="shared" si="70"/>
        <v>0</v>
      </c>
      <c r="H146" s="759">
        <f t="shared" si="70"/>
        <v>0</v>
      </c>
      <c r="I146" s="759">
        <f t="shared" si="70"/>
        <v>0</v>
      </c>
      <c r="J146" s="759">
        <f t="shared" si="70"/>
        <v>26689</v>
      </c>
      <c r="K146" s="759">
        <f t="shared" si="70"/>
        <v>0</v>
      </c>
      <c r="L146" s="759">
        <f t="shared" si="70"/>
        <v>26689</v>
      </c>
      <c r="M146" s="759">
        <f t="shared" si="70"/>
        <v>221599</v>
      </c>
      <c r="N146" s="759">
        <f t="shared" si="70"/>
        <v>251</v>
      </c>
      <c r="O146" s="759">
        <f t="shared" si="70"/>
        <v>248539</v>
      </c>
    </row>
    <row r="147" spans="1:16" s="1150" customFormat="1" ht="17.25" thickTop="1" thickBot="1" x14ac:dyDescent="0.3">
      <c r="A147" s="751"/>
      <c r="B147" s="759" t="s">
        <v>1159</v>
      </c>
      <c r="C147" s="759">
        <f>+C139+C144</f>
        <v>0</v>
      </c>
      <c r="D147" s="759">
        <f t="shared" ref="D147:O147" si="71">+D139+D144</f>
        <v>0</v>
      </c>
      <c r="E147" s="759">
        <f t="shared" si="71"/>
        <v>0</v>
      </c>
      <c r="F147" s="759">
        <f t="shared" si="71"/>
        <v>0</v>
      </c>
      <c r="G147" s="759">
        <f t="shared" si="71"/>
        <v>0</v>
      </c>
      <c r="H147" s="759">
        <f t="shared" si="71"/>
        <v>0</v>
      </c>
      <c r="I147" s="759">
        <f t="shared" si="71"/>
        <v>0</v>
      </c>
      <c r="J147" s="759">
        <f t="shared" si="71"/>
        <v>0</v>
      </c>
      <c r="K147" s="759">
        <f t="shared" si="71"/>
        <v>0</v>
      </c>
      <c r="L147" s="759">
        <f t="shared" si="71"/>
        <v>0</v>
      </c>
      <c r="M147" s="759">
        <f t="shared" si="71"/>
        <v>6461</v>
      </c>
      <c r="N147" s="759">
        <f t="shared" si="71"/>
        <v>0</v>
      </c>
      <c r="O147" s="759">
        <f t="shared" si="71"/>
        <v>6461</v>
      </c>
    </row>
    <row r="148" spans="1:16" ht="32.25" thickTop="1" x14ac:dyDescent="0.25">
      <c r="A148" s="753" t="s">
        <v>1</v>
      </c>
      <c r="B148" s="754" t="s">
        <v>554</v>
      </c>
      <c r="C148" s="754"/>
      <c r="D148" s="754"/>
      <c r="E148" s="754"/>
      <c r="F148" s="754"/>
      <c r="G148" s="754"/>
      <c r="H148" s="754"/>
      <c r="I148" s="754"/>
      <c r="J148" s="754"/>
      <c r="K148" s="754"/>
      <c r="L148" s="754"/>
      <c r="M148" s="754"/>
      <c r="N148" s="754"/>
      <c r="O148" s="754"/>
    </row>
    <row r="149" spans="1:16" x14ac:dyDescent="0.25">
      <c r="A149" s="753"/>
      <c r="B149" s="755" t="s">
        <v>1125</v>
      </c>
      <c r="C149" s="755">
        <v>10030</v>
      </c>
      <c r="D149" s="755"/>
      <c r="E149" s="755"/>
      <c r="F149" s="755">
        <v>14053</v>
      </c>
      <c r="G149" s="755"/>
      <c r="H149" s="755"/>
      <c r="I149" s="755"/>
      <c r="J149" s="755">
        <f>SUM(C149+E149+F149+H149)</f>
        <v>24083</v>
      </c>
      <c r="K149" s="755">
        <f>SUM(D149+G149+I149)</f>
        <v>0</v>
      </c>
      <c r="L149" s="755">
        <f>SUM(J149:K149)</f>
        <v>24083</v>
      </c>
      <c r="M149" s="755">
        <v>270608</v>
      </c>
      <c r="N149" s="755">
        <v>4914</v>
      </c>
      <c r="O149" s="755">
        <f>SUM(L149:N149)</f>
        <v>299605</v>
      </c>
    </row>
    <row r="150" spans="1:16" x14ac:dyDescent="0.25">
      <c r="A150" s="756"/>
      <c r="B150" s="757" t="s">
        <v>1155</v>
      </c>
      <c r="C150" s="757">
        <v>10030</v>
      </c>
      <c r="D150" s="757"/>
      <c r="E150" s="757"/>
      <c r="F150" s="757">
        <v>14053</v>
      </c>
      <c r="G150" s="757"/>
      <c r="H150" s="757"/>
      <c r="I150" s="757"/>
      <c r="J150" s="758">
        <f>SUM(C150+E150+F150+H150)</f>
        <v>24083</v>
      </c>
      <c r="K150" s="758">
        <f>SUM(D150+G150+I150)</f>
        <v>0</v>
      </c>
      <c r="L150" s="758">
        <f>SUM(J150:K150)</f>
        <v>24083</v>
      </c>
      <c r="M150" s="758">
        <v>264794</v>
      </c>
      <c r="N150" s="758">
        <v>4914</v>
      </c>
      <c r="O150" s="758">
        <f>SUM(L150:N150)</f>
        <v>293791</v>
      </c>
    </row>
    <row r="151" spans="1:16" x14ac:dyDescent="0.25">
      <c r="A151" s="756"/>
      <c r="B151" s="757" t="s">
        <v>1156</v>
      </c>
      <c r="C151" s="757"/>
      <c r="D151" s="757"/>
      <c r="E151" s="757"/>
      <c r="F151" s="757"/>
      <c r="G151" s="757"/>
      <c r="H151" s="757"/>
      <c r="I151" s="757"/>
      <c r="J151" s="758">
        <f>SUM(C151+E151+F151+H151)</f>
        <v>0</v>
      </c>
      <c r="K151" s="758">
        <f>SUM(D151+G151+I151)</f>
        <v>0</v>
      </c>
      <c r="L151" s="758">
        <f>SUM(J151:K151)</f>
        <v>0</v>
      </c>
      <c r="M151" s="758">
        <v>5814</v>
      </c>
      <c r="N151" s="758"/>
      <c r="O151" s="758">
        <f>SUM(L151:N151)</f>
        <v>5814</v>
      </c>
    </row>
    <row r="152" spans="1:16" x14ac:dyDescent="0.25">
      <c r="A152" s="756"/>
      <c r="B152" s="757" t="s">
        <v>243</v>
      </c>
      <c r="C152" s="757"/>
      <c r="D152" s="757"/>
      <c r="E152" s="757"/>
      <c r="F152" s="757"/>
      <c r="G152" s="757"/>
      <c r="H152" s="757"/>
      <c r="I152" s="757"/>
      <c r="J152" s="758"/>
      <c r="K152" s="758"/>
      <c r="L152" s="758"/>
      <c r="M152" s="758"/>
      <c r="N152" s="758"/>
      <c r="O152" s="758"/>
    </row>
    <row r="153" spans="1:16" s="1150" customFormat="1" x14ac:dyDescent="0.25">
      <c r="A153" s="756"/>
      <c r="B153" s="954" t="s">
        <v>1407</v>
      </c>
      <c r="C153" s="757"/>
      <c r="D153" s="757"/>
      <c r="E153" s="757"/>
      <c r="F153" s="757"/>
      <c r="G153" s="757"/>
      <c r="H153" s="757"/>
      <c r="I153" s="757"/>
      <c r="J153" s="954">
        <f t="shared" ref="J153:J157" si="72">SUM(C153+E153+F153+H153)</f>
        <v>0</v>
      </c>
      <c r="K153" s="954">
        <f t="shared" ref="K153:K157" si="73">SUM(D153+G153+I153)</f>
        <v>0</v>
      </c>
      <c r="L153" s="954">
        <f t="shared" ref="L153:L157" si="74">SUM(J153:K153)</f>
        <v>0</v>
      </c>
      <c r="M153" s="954">
        <v>80</v>
      </c>
      <c r="N153" s="954"/>
      <c r="O153" s="954">
        <f t="shared" ref="O153:O157" si="75">SUM(L153:N153)</f>
        <v>80</v>
      </c>
    </row>
    <row r="154" spans="1:16" s="1150" customFormat="1" ht="31.5" x14ac:dyDescent="0.25">
      <c r="A154" s="756"/>
      <c r="B154" s="954" t="s">
        <v>1209</v>
      </c>
      <c r="C154" s="954"/>
      <c r="D154" s="757"/>
      <c r="E154" s="757"/>
      <c r="F154" s="757"/>
      <c r="G154" s="757"/>
      <c r="H154" s="757"/>
      <c r="I154" s="757"/>
      <c r="J154" s="954">
        <f t="shared" si="72"/>
        <v>0</v>
      </c>
      <c r="K154" s="954">
        <f t="shared" si="73"/>
        <v>0</v>
      </c>
      <c r="L154" s="954">
        <f t="shared" si="74"/>
        <v>0</v>
      </c>
      <c r="M154" s="954">
        <v>415</v>
      </c>
      <c r="N154" s="954"/>
      <c r="O154" s="954">
        <f t="shared" si="75"/>
        <v>415</v>
      </c>
    </row>
    <row r="155" spans="1:16" s="1150" customFormat="1" ht="31.5" x14ac:dyDescent="0.25">
      <c r="A155" s="756"/>
      <c r="B155" s="954" t="s">
        <v>1262</v>
      </c>
      <c r="C155" s="954"/>
      <c r="D155" s="757"/>
      <c r="E155" s="757"/>
      <c r="F155" s="757">
        <f>2165+1292</f>
        <v>3457</v>
      </c>
      <c r="G155" s="757"/>
      <c r="H155" s="757"/>
      <c r="I155" s="757"/>
      <c r="J155" s="954">
        <f t="shared" si="72"/>
        <v>3457</v>
      </c>
      <c r="K155" s="954">
        <f t="shared" si="73"/>
        <v>0</v>
      </c>
      <c r="L155" s="954">
        <f t="shared" si="74"/>
        <v>3457</v>
      </c>
      <c r="M155" s="954"/>
      <c r="N155" s="954"/>
      <c r="O155" s="954">
        <f t="shared" si="75"/>
        <v>3457</v>
      </c>
    </row>
    <row r="156" spans="1:16" s="1150" customFormat="1" x14ac:dyDescent="0.25">
      <c r="A156" s="756"/>
      <c r="B156" s="757" t="s">
        <v>244</v>
      </c>
      <c r="C156" s="757"/>
      <c r="D156" s="757"/>
      <c r="E156" s="757"/>
      <c r="F156" s="757"/>
      <c r="G156" s="757"/>
      <c r="H156" s="757"/>
      <c r="I156" s="757"/>
      <c r="J156" s="954"/>
      <c r="K156" s="954"/>
      <c r="L156" s="954"/>
      <c r="M156" s="954"/>
      <c r="N156" s="954"/>
      <c r="O156" s="954"/>
    </row>
    <row r="157" spans="1:16" s="1150" customFormat="1" ht="16.5" thickBot="1" x14ac:dyDescent="0.3">
      <c r="A157" s="756"/>
      <c r="B157" s="813" t="s">
        <v>1408</v>
      </c>
      <c r="C157" s="757"/>
      <c r="D157" s="757"/>
      <c r="E157" s="757"/>
      <c r="F157" s="757"/>
      <c r="G157" s="757"/>
      <c r="H157" s="757"/>
      <c r="I157" s="757"/>
      <c r="J157" s="954">
        <f t="shared" si="72"/>
        <v>0</v>
      </c>
      <c r="K157" s="954">
        <f t="shared" si="73"/>
        <v>0</v>
      </c>
      <c r="L157" s="954">
        <f t="shared" si="74"/>
        <v>0</v>
      </c>
      <c r="M157" s="954">
        <v>1096</v>
      </c>
      <c r="N157" s="954"/>
      <c r="O157" s="954">
        <f t="shared" si="75"/>
        <v>1096</v>
      </c>
    </row>
    <row r="158" spans="1:16" s="1150" customFormat="1" ht="17.25" thickTop="1" thickBot="1" x14ac:dyDescent="0.3">
      <c r="A158" s="751"/>
      <c r="B158" s="759" t="s">
        <v>1157</v>
      </c>
      <c r="C158" s="759">
        <f>+C149+C153+C154+C157+C155</f>
        <v>10030</v>
      </c>
      <c r="D158" s="759">
        <f t="shared" ref="D158:O158" si="76">+D149+D153+D154+D157+D155</f>
        <v>0</v>
      </c>
      <c r="E158" s="759">
        <f t="shared" si="76"/>
        <v>0</v>
      </c>
      <c r="F158" s="759">
        <f t="shared" si="76"/>
        <v>17510</v>
      </c>
      <c r="G158" s="759">
        <f t="shared" si="76"/>
        <v>0</v>
      </c>
      <c r="H158" s="759">
        <f t="shared" si="76"/>
        <v>0</v>
      </c>
      <c r="I158" s="759">
        <f t="shared" si="76"/>
        <v>0</v>
      </c>
      <c r="J158" s="759">
        <f t="shared" si="76"/>
        <v>27540</v>
      </c>
      <c r="K158" s="759">
        <f t="shared" si="76"/>
        <v>0</v>
      </c>
      <c r="L158" s="759">
        <f t="shared" si="76"/>
        <v>27540</v>
      </c>
      <c r="M158" s="759">
        <f t="shared" si="76"/>
        <v>272199</v>
      </c>
      <c r="N158" s="759">
        <f t="shared" si="76"/>
        <v>4914</v>
      </c>
      <c r="O158" s="759">
        <f t="shared" si="76"/>
        <v>304653</v>
      </c>
      <c r="P158" s="1150">
        <f>O159+O160</f>
        <v>304653</v>
      </c>
    </row>
    <row r="159" spans="1:16" s="1150" customFormat="1" ht="17.25" thickTop="1" thickBot="1" x14ac:dyDescent="0.3">
      <c r="A159" s="751"/>
      <c r="B159" s="759" t="s">
        <v>1158</v>
      </c>
      <c r="C159" s="759">
        <f>+C150+C153+C154+C155</f>
        <v>10030</v>
      </c>
      <c r="D159" s="759">
        <f t="shared" ref="D159:O159" si="77">+D150+D153+D154+D155</f>
        <v>0</v>
      </c>
      <c r="E159" s="759">
        <f t="shared" si="77"/>
        <v>0</v>
      </c>
      <c r="F159" s="759">
        <f t="shared" si="77"/>
        <v>17510</v>
      </c>
      <c r="G159" s="759">
        <f t="shared" si="77"/>
        <v>0</v>
      </c>
      <c r="H159" s="759">
        <f t="shared" si="77"/>
        <v>0</v>
      </c>
      <c r="I159" s="759">
        <f t="shared" si="77"/>
        <v>0</v>
      </c>
      <c r="J159" s="759">
        <f t="shared" si="77"/>
        <v>27540</v>
      </c>
      <c r="K159" s="759">
        <f t="shared" si="77"/>
        <v>0</v>
      </c>
      <c r="L159" s="759">
        <f t="shared" si="77"/>
        <v>27540</v>
      </c>
      <c r="M159" s="759">
        <f t="shared" si="77"/>
        <v>265289</v>
      </c>
      <c r="N159" s="759">
        <f t="shared" si="77"/>
        <v>4914</v>
      </c>
      <c r="O159" s="759">
        <f t="shared" si="77"/>
        <v>297743</v>
      </c>
    </row>
    <row r="160" spans="1:16" s="1150" customFormat="1" ht="17.25" thickTop="1" thickBot="1" x14ac:dyDescent="0.3">
      <c r="A160" s="751"/>
      <c r="B160" s="759" t="s">
        <v>1159</v>
      </c>
      <c r="C160" s="759">
        <f>+C151+C157</f>
        <v>0</v>
      </c>
      <c r="D160" s="759">
        <f t="shared" ref="D160:O160" si="78">+D151+D157</f>
        <v>0</v>
      </c>
      <c r="E160" s="759">
        <f t="shared" si="78"/>
        <v>0</v>
      </c>
      <c r="F160" s="759">
        <f t="shared" si="78"/>
        <v>0</v>
      </c>
      <c r="G160" s="759">
        <f t="shared" si="78"/>
        <v>0</v>
      </c>
      <c r="H160" s="759">
        <f t="shared" si="78"/>
        <v>0</v>
      </c>
      <c r="I160" s="759">
        <f t="shared" si="78"/>
        <v>0</v>
      </c>
      <c r="J160" s="759">
        <f t="shared" si="78"/>
        <v>0</v>
      </c>
      <c r="K160" s="759">
        <f t="shared" si="78"/>
        <v>0</v>
      </c>
      <c r="L160" s="759">
        <f t="shared" si="78"/>
        <v>0</v>
      </c>
      <c r="M160" s="759">
        <f t="shared" si="78"/>
        <v>6910</v>
      </c>
      <c r="N160" s="759">
        <f t="shared" si="78"/>
        <v>0</v>
      </c>
      <c r="O160" s="759">
        <f t="shared" si="78"/>
        <v>6910</v>
      </c>
    </row>
    <row r="161" spans="1:16" s="1150" customFormat="1" ht="16.5" thickTop="1" x14ac:dyDescent="0.25">
      <c r="A161" s="764" t="s">
        <v>2</v>
      </c>
      <c r="B161" s="754" t="s">
        <v>555</v>
      </c>
      <c r="C161" s="754"/>
      <c r="D161" s="754"/>
      <c r="E161" s="754"/>
      <c r="F161" s="754"/>
      <c r="G161" s="754"/>
      <c r="H161" s="754"/>
      <c r="I161" s="754"/>
      <c r="J161" s="754"/>
      <c r="K161" s="754"/>
      <c r="L161" s="754"/>
      <c r="M161" s="754"/>
      <c r="N161" s="754"/>
      <c r="O161" s="754"/>
    </row>
    <row r="162" spans="1:16" s="1150" customFormat="1" x14ac:dyDescent="0.25">
      <c r="A162" s="764"/>
      <c r="B162" s="754" t="s">
        <v>1125</v>
      </c>
      <c r="C162" s="754">
        <v>9548</v>
      </c>
      <c r="D162" s="754"/>
      <c r="E162" s="754"/>
      <c r="F162" s="754">
        <v>7699</v>
      </c>
      <c r="G162" s="754"/>
      <c r="H162" s="754"/>
      <c r="I162" s="754"/>
      <c r="J162" s="755">
        <f>SUM(C162+E162+F162+H162)</f>
        <v>17247</v>
      </c>
      <c r="K162" s="755">
        <f>SUM(D162+G162+I162)</f>
        <v>0</v>
      </c>
      <c r="L162" s="755">
        <f>SUM(J162:K162)</f>
        <v>17247</v>
      </c>
      <c r="M162" s="755">
        <v>177546</v>
      </c>
      <c r="N162" s="755">
        <v>571</v>
      </c>
      <c r="O162" s="755">
        <f>SUM(L162:N162)</f>
        <v>195364</v>
      </c>
    </row>
    <row r="163" spans="1:16" s="1150" customFormat="1" x14ac:dyDescent="0.25">
      <c r="A163" s="761"/>
      <c r="B163" s="757" t="s">
        <v>1155</v>
      </c>
      <c r="C163" s="757">
        <v>9548</v>
      </c>
      <c r="D163" s="757"/>
      <c r="E163" s="757"/>
      <c r="F163" s="757">
        <v>7699</v>
      </c>
      <c r="G163" s="757"/>
      <c r="H163" s="757"/>
      <c r="I163" s="757"/>
      <c r="J163" s="758">
        <f>SUM(C163+E163+F163+H163)</f>
        <v>17247</v>
      </c>
      <c r="K163" s="758">
        <f>SUM(D163+G163+I163)</f>
        <v>0</v>
      </c>
      <c r="L163" s="758">
        <f>SUM(J163:K163)</f>
        <v>17247</v>
      </c>
      <c r="M163" s="758">
        <v>173764</v>
      </c>
      <c r="N163" s="758">
        <v>571</v>
      </c>
      <c r="O163" s="758">
        <f>SUM(L163:N163)</f>
        <v>191582</v>
      </c>
    </row>
    <row r="164" spans="1:16" x14ac:dyDescent="0.25">
      <c r="A164" s="761"/>
      <c r="B164" s="757" t="s">
        <v>1156</v>
      </c>
      <c r="C164" s="757"/>
      <c r="D164" s="757"/>
      <c r="E164" s="757"/>
      <c r="F164" s="757"/>
      <c r="G164" s="757"/>
      <c r="H164" s="757"/>
      <c r="I164" s="757"/>
      <c r="J164" s="758">
        <f>SUM(C164+E164+F164+H164)</f>
        <v>0</v>
      </c>
      <c r="K164" s="758">
        <f>SUM(D164+G164+I164)</f>
        <v>0</v>
      </c>
      <c r="L164" s="758">
        <f>SUM(J164:K164)</f>
        <v>0</v>
      </c>
      <c r="M164" s="758">
        <v>3782</v>
      </c>
      <c r="N164" s="758"/>
      <c r="O164" s="758">
        <f>SUM(L164:N164)</f>
        <v>3782</v>
      </c>
    </row>
    <row r="165" spans="1:16" x14ac:dyDescent="0.25">
      <c r="A165" s="764"/>
      <c r="B165" s="762" t="s">
        <v>243</v>
      </c>
      <c r="C165" s="762"/>
      <c r="D165" s="762"/>
      <c r="E165" s="762"/>
      <c r="F165" s="762"/>
      <c r="G165" s="762"/>
      <c r="H165" s="762"/>
      <c r="I165" s="762"/>
      <c r="J165" s="754"/>
      <c r="K165" s="754"/>
      <c r="L165" s="754"/>
      <c r="M165" s="754"/>
      <c r="N165" s="754"/>
      <c r="O165" s="754"/>
    </row>
    <row r="166" spans="1:16" x14ac:dyDescent="0.25">
      <c r="A166" s="761"/>
      <c r="B166" s="954" t="s">
        <v>1407</v>
      </c>
      <c r="C166" s="757"/>
      <c r="D166" s="757"/>
      <c r="E166" s="757"/>
      <c r="F166" s="757"/>
      <c r="G166" s="757"/>
      <c r="H166" s="757"/>
      <c r="I166" s="757"/>
      <c r="J166" s="954">
        <f>SUM(C166+E166+F166+H166)</f>
        <v>0</v>
      </c>
      <c r="K166" s="954">
        <f>SUM(D166+G166+I166)</f>
        <v>0</v>
      </c>
      <c r="L166" s="954">
        <f>SUM(J166:K166)</f>
        <v>0</v>
      </c>
      <c r="M166" s="954">
        <v>82</v>
      </c>
      <c r="N166" s="954"/>
      <c r="O166" s="954">
        <f>SUM(L166:N166)</f>
        <v>82</v>
      </c>
    </row>
    <row r="167" spans="1:16" ht="31.5" x14ac:dyDescent="0.25">
      <c r="A167" s="764"/>
      <c r="B167" s="955" t="s">
        <v>1209</v>
      </c>
      <c r="C167" s="955"/>
      <c r="D167" s="762"/>
      <c r="E167" s="762"/>
      <c r="F167" s="762"/>
      <c r="G167" s="762"/>
      <c r="H167" s="762"/>
      <c r="I167" s="762"/>
      <c r="J167" s="955">
        <f t="shared" ref="J167:J170" si="79">SUM(C167+E167+F167+H167)</f>
        <v>0</v>
      </c>
      <c r="K167" s="955">
        <f t="shared" ref="K167:K170" si="80">SUM(D167+G167+I167)</f>
        <v>0</v>
      </c>
      <c r="L167" s="955">
        <f t="shared" ref="L167:L170" si="81">SUM(J167:K167)</f>
        <v>0</v>
      </c>
      <c r="M167" s="955">
        <v>343</v>
      </c>
      <c r="N167" s="955"/>
      <c r="O167" s="955">
        <f t="shared" ref="O167:O170" si="82">SUM(L167:N167)</f>
        <v>343</v>
      </c>
    </row>
    <row r="168" spans="1:16" ht="31.5" x14ac:dyDescent="0.25">
      <c r="A168" s="764"/>
      <c r="B168" s="955" t="s">
        <v>1262</v>
      </c>
      <c r="C168" s="955"/>
      <c r="D168" s="762"/>
      <c r="E168" s="762"/>
      <c r="F168" s="762">
        <f>3164+27</f>
        <v>3191</v>
      </c>
      <c r="G168" s="762"/>
      <c r="H168" s="762"/>
      <c r="I168" s="762"/>
      <c r="J168" s="955">
        <f t="shared" si="79"/>
        <v>3191</v>
      </c>
      <c r="K168" s="955">
        <f t="shared" si="80"/>
        <v>0</v>
      </c>
      <c r="L168" s="955">
        <f t="shared" si="81"/>
        <v>3191</v>
      </c>
      <c r="M168" s="955"/>
      <c r="N168" s="955"/>
      <c r="O168" s="955">
        <f t="shared" si="82"/>
        <v>3191</v>
      </c>
    </row>
    <row r="169" spans="1:16" s="1150" customFormat="1" x14ac:dyDescent="0.25">
      <c r="A169" s="764"/>
      <c r="B169" s="762" t="s">
        <v>244</v>
      </c>
      <c r="C169" s="762"/>
      <c r="D169" s="762"/>
      <c r="E169" s="762"/>
      <c r="F169" s="762"/>
      <c r="G169" s="762"/>
      <c r="H169" s="762"/>
      <c r="I169" s="762"/>
      <c r="J169" s="954"/>
      <c r="K169" s="954"/>
      <c r="L169" s="954"/>
      <c r="M169" s="955"/>
      <c r="N169" s="955"/>
      <c r="O169" s="954"/>
    </row>
    <row r="170" spans="1:16" s="1150" customFormat="1" ht="16.5" thickBot="1" x14ac:dyDescent="0.3">
      <c r="A170" s="761"/>
      <c r="B170" s="813" t="s">
        <v>1408</v>
      </c>
      <c r="C170" s="757"/>
      <c r="D170" s="757"/>
      <c r="E170" s="757"/>
      <c r="F170" s="757"/>
      <c r="G170" s="757"/>
      <c r="H170" s="757"/>
      <c r="I170" s="757"/>
      <c r="J170" s="954">
        <f t="shared" si="79"/>
        <v>0</v>
      </c>
      <c r="K170" s="954">
        <f t="shared" si="80"/>
        <v>0</v>
      </c>
      <c r="L170" s="954">
        <f t="shared" si="81"/>
        <v>0</v>
      </c>
      <c r="M170" s="954">
        <v>630</v>
      </c>
      <c r="N170" s="954"/>
      <c r="O170" s="954">
        <f t="shared" si="82"/>
        <v>630</v>
      </c>
    </row>
    <row r="171" spans="1:16" s="1150" customFormat="1" ht="17.25" thickTop="1" thickBot="1" x14ac:dyDescent="0.3">
      <c r="A171" s="751"/>
      <c r="B171" s="759" t="s">
        <v>1157</v>
      </c>
      <c r="C171" s="759">
        <f>+C162+C166+C167+C168+C170</f>
        <v>9548</v>
      </c>
      <c r="D171" s="759">
        <f t="shared" ref="D171:O171" si="83">+D162+D166+D167+D168+D170</f>
        <v>0</v>
      </c>
      <c r="E171" s="759">
        <f t="shared" si="83"/>
        <v>0</v>
      </c>
      <c r="F171" s="759">
        <f t="shared" si="83"/>
        <v>10890</v>
      </c>
      <c r="G171" s="759">
        <f t="shared" si="83"/>
        <v>0</v>
      </c>
      <c r="H171" s="759">
        <f t="shared" si="83"/>
        <v>0</v>
      </c>
      <c r="I171" s="759">
        <f t="shared" si="83"/>
        <v>0</v>
      </c>
      <c r="J171" s="759">
        <f t="shared" si="83"/>
        <v>20438</v>
      </c>
      <c r="K171" s="759">
        <f t="shared" si="83"/>
        <v>0</v>
      </c>
      <c r="L171" s="759">
        <f t="shared" si="83"/>
        <v>20438</v>
      </c>
      <c r="M171" s="759">
        <f t="shared" si="83"/>
        <v>178601</v>
      </c>
      <c r="N171" s="759">
        <f t="shared" si="83"/>
        <v>571</v>
      </c>
      <c r="O171" s="759">
        <f t="shared" si="83"/>
        <v>199610</v>
      </c>
      <c r="P171" s="1150">
        <f>O172+O173</f>
        <v>199610</v>
      </c>
    </row>
    <row r="172" spans="1:16" s="1150" customFormat="1" ht="17.25" thickTop="1" thickBot="1" x14ac:dyDescent="0.3">
      <c r="A172" s="751"/>
      <c r="B172" s="759" t="s">
        <v>1158</v>
      </c>
      <c r="C172" s="759">
        <f>+C163+C166+C167+C168</f>
        <v>9548</v>
      </c>
      <c r="D172" s="759">
        <f t="shared" ref="D172:O172" si="84">+D163+D166+D167+D168</f>
        <v>0</v>
      </c>
      <c r="E172" s="759">
        <f t="shared" si="84"/>
        <v>0</v>
      </c>
      <c r="F172" s="759">
        <f t="shared" si="84"/>
        <v>10890</v>
      </c>
      <c r="G172" s="759">
        <f t="shared" si="84"/>
        <v>0</v>
      </c>
      <c r="H172" s="759">
        <f t="shared" si="84"/>
        <v>0</v>
      </c>
      <c r="I172" s="759">
        <f t="shared" si="84"/>
        <v>0</v>
      </c>
      <c r="J172" s="759">
        <f t="shared" si="84"/>
        <v>20438</v>
      </c>
      <c r="K172" s="759">
        <f t="shared" si="84"/>
        <v>0</v>
      </c>
      <c r="L172" s="759">
        <f t="shared" si="84"/>
        <v>20438</v>
      </c>
      <c r="M172" s="759">
        <f t="shared" si="84"/>
        <v>174189</v>
      </c>
      <c r="N172" s="759">
        <f t="shared" si="84"/>
        <v>571</v>
      </c>
      <c r="O172" s="759">
        <f t="shared" si="84"/>
        <v>195198</v>
      </c>
    </row>
    <row r="173" spans="1:16" s="1150" customFormat="1" ht="17.25" thickTop="1" thickBot="1" x14ac:dyDescent="0.3">
      <c r="A173" s="751"/>
      <c r="B173" s="759" t="s">
        <v>1159</v>
      </c>
      <c r="C173" s="759">
        <f>+C164+C170</f>
        <v>0</v>
      </c>
      <c r="D173" s="759">
        <f t="shared" ref="D173:O173" si="85">+D164+D170</f>
        <v>0</v>
      </c>
      <c r="E173" s="759">
        <f t="shared" si="85"/>
        <v>0</v>
      </c>
      <c r="F173" s="759">
        <f t="shared" si="85"/>
        <v>0</v>
      </c>
      <c r="G173" s="759">
        <f t="shared" si="85"/>
        <v>0</v>
      </c>
      <c r="H173" s="759">
        <f t="shared" si="85"/>
        <v>0</v>
      </c>
      <c r="I173" s="759">
        <f t="shared" si="85"/>
        <v>0</v>
      </c>
      <c r="J173" s="759">
        <f t="shared" si="85"/>
        <v>0</v>
      </c>
      <c r="K173" s="759">
        <f t="shared" si="85"/>
        <v>0</v>
      </c>
      <c r="L173" s="759">
        <f t="shared" si="85"/>
        <v>0</v>
      </c>
      <c r="M173" s="759">
        <f t="shared" si="85"/>
        <v>4412</v>
      </c>
      <c r="N173" s="759">
        <f t="shared" si="85"/>
        <v>0</v>
      </c>
      <c r="O173" s="759">
        <f t="shared" si="85"/>
        <v>4412</v>
      </c>
    </row>
    <row r="174" spans="1:16" s="1150" customFormat="1" ht="16.5" thickTop="1" x14ac:dyDescent="0.25">
      <c r="A174" s="753" t="s">
        <v>3</v>
      </c>
      <c r="B174" s="754" t="s">
        <v>556</v>
      </c>
      <c r="C174" s="754"/>
      <c r="D174" s="754"/>
      <c r="E174" s="754"/>
      <c r="F174" s="754"/>
      <c r="G174" s="754"/>
      <c r="H174" s="754"/>
      <c r="I174" s="754"/>
      <c r="J174" s="754"/>
      <c r="K174" s="754"/>
      <c r="L174" s="754"/>
      <c r="M174" s="754"/>
      <c r="N174" s="754"/>
      <c r="O174" s="754"/>
    </row>
    <row r="175" spans="1:16" x14ac:dyDescent="0.25">
      <c r="A175" s="753"/>
      <c r="B175" s="755" t="s">
        <v>1125</v>
      </c>
      <c r="C175" s="755">
        <v>10914</v>
      </c>
      <c r="D175" s="755"/>
      <c r="E175" s="755"/>
      <c r="F175" s="755">
        <v>8002</v>
      </c>
      <c r="G175" s="755"/>
      <c r="H175" s="755"/>
      <c r="I175" s="755"/>
      <c r="J175" s="755">
        <f>SUM(C175+E175+F175+H175)</f>
        <v>18916</v>
      </c>
      <c r="K175" s="755">
        <f>SUM(D175+G175+I175)</f>
        <v>0</v>
      </c>
      <c r="L175" s="755">
        <f>SUM(J175:K175)</f>
        <v>18916</v>
      </c>
      <c r="M175" s="755">
        <v>210366</v>
      </c>
      <c r="N175" s="755">
        <v>2319</v>
      </c>
      <c r="O175" s="755">
        <f>SUM(L175:N175)</f>
        <v>231601</v>
      </c>
    </row>
    <row r="176" spans="1:16" x14ac:dyDescent="0.25">
      <c r="A176" s="756"/>
      <c r="B176" s="757" t="s">
        <v>1155</v>
      </c>
      <c r="C176" s="757">
        <v>10914</v>
      </c>
      <c r="D176" s="757"/>
      <c r="E176" s="757"/>
      <c r="F176" s="757">
        <v>8002</v>
      </c>
      <c r="G176" s="757"/>
      <c r="H176" s="757"/>
      <c r="I176" s="757"/>
      <c r="J176" s="758">
        <f>SUM(C176+E176+F176+H176)</f>
        <v>18916</v>
      </c>
      <c r="K176" s="758">
        <f>SUM(D176+G176+I176)</f>
        <v>0</v>
      </c>
      <c r="L176" s="758">
        <f>SUM(J176:K176)</f>
        <v>18916</v>
      </c>
      <c r="M176" s="758">
        <v>205903</v>
      </c>
      <c r="N176" s="758">
        <v>2319</v>
      </c>
      <c r="O176" s="758">
        <f>SUM(L176:N176)</f>
        <v>227138</v>
      </c>
    </row>
    <row r="177" spans="1:16" x14ac:dyDescent="0.25">
      <c r="A177" s="756"/>
      <c r="B177" s="757" t="s">
        <v>1156</v>
      </c>
      <c r="C177" s="757"/>
      <c r="D177" s="757"/>
      <c r="E177" s="757"/>
      <c r="F177" s="757"/>
      <c r="G177" s="757"/>
      <c r="H177" s="757"/>
      <c r="I177" s="757"/>
      <c r="J177" s="758">
        <f>SUM(C177+E177+F177+H177)</f>
        <v>0</v>
      </c>
      <c r="K177" s="758">
        <f>SUM(D177+G177+I177)</f>
        <v>0</v>
      </c>
      <c r="L177" s="758">
        <f>SUM(J177:K177)</f>
        <v>0</v>
      </c>
      <c r="M177" s="758">
        <v>4463</v>
      </c>
      <c r="N177" s="758"/>
      <c r="O177" s="758">
        <f>SUM(L177:N177)</f>
        <v>4463</v>
      </c>
    </row>
    <row r="178" spans="1:16" x14ac:dyDescent="0.25">
      <c r="A178" s="756"/>
      <c r="B178" s="757" t="s">
        <v>243</v>
      </c>
      <c r="C178" s="757"/>
      <c r="D178" s="757"/>
      <c r="E178" s="757"/>
      <c r="F178" s="757"/>
      <c r="G178" s="757"/>
      <c r="H178" s="757"/>
      <c r="I178" s="757"/>
      <c r="J178" s="758"/>
      <c r="K178" s="758"/>
      <c r="L178" s="758"/>
      <c r="M178" s="758"/>
      <c r="N178" s="758"/>
      <c r="O178" s="758"/>
    </row>
    <row r="179" spans="1:16" x14ac:dyDescent="0.25">
      <c r="A179" s="756"/>
      <c r="B179" s="954" t="s">
        <v>1407</v>
      </c>
      <c r="C179" s="757"/>
      <c r="D179" s="757"/>
      <c r="E179" s="757"/>
      <c r="F179" s="757"/>
      <c r="G179" s="757"/>
      <c r="H179" s="757"/>
      <c r="I179" s="757"/>
      <c r="J179" s="954">
        <f t="shared" ref="J179:J182" si="86">SUM(C179+E179+F179+H179)</f>
        <v>0</v>
      </c>
      <c r="K179" s="954">
        <f t="shared" ref="K179:K182" si="87">SUM(D179+G179+I179)</f>
        <v>0</v>
      </c>
      <c r="L179" s="954">
        <f t="shared" ref="L179:L182" si="88">SUM(J179:K179)</f>
        <v>0</v>
      </c>
      <c r="M179" s="954">
        <v>33</v>
      </c>
      <c r="N179" s="954"/>
      <c r="O179" s="954">
        <f t="shared" ref="O179:O182" si="89">SUM(L179:N179)</f>
        <v>33</v>
      </c>
    </row>
    <row r="180" spans="1:16" s="1150" customFormat="1" ht="31.5" x14ac:dyDescent="0.25">
      <c r="A180" s="761"/>
      <c r="B180" s="954" t="s">
        <v>1262</v>
      </c>
      <c r="C180" s="955"/>
      <c r="D180" s="762"/>
      <c r="E180" s="762"/>
      <c r="F180" s="762">
        <f>2335+129</f>
        <v>2464</v>
      </c>
      <c r="G180" s="762"/>
      <c r="H180" s="762"/>
      <c r="I180" s="762"/>
      <c r="J180" s="955">
        <f t="shared" si="86"/>
        <v>2464</v>
      </c>
      <c r="K180" s="955">
        <f t="shared" si="87"/>
        <v>0</v>
      </c>
      <c r="L180" s="955">
        <f t="shared" si="88"/>
        <v>2464</v>
      </c>
      <c r="M180" s="955">
        <v>134</v>
      </c>
      <c r="N180" s="955"/>
      <c r="O180" s="955">
        <f t="shared" si="89"/>
        <v>2598</v>
      </c>
    </row>
    <row r="181" spans="1:16" x14ac:dyDescent="0.25">
      <c r="A181" s="756"/>
      <c r="B181" s="757" t="s">
        <v>244</v>
      </c>
      <c r="C181" s="757"/>
      <c r="D181" s="757"/>
      <c r="E181" s="757"/>
      <c r="F181" s="757"/>
      <c r="G181" s="757"/>
      <c r="H181" s="757"/>
      <c r="I181" s="757"/>
      <c r="J181" s="954"/>
      <c r="K181" s="954"/>
      <c r="L181" s="954"/>
      <c r="M181" s="954"/>
      <c r="N181" s="954"/>
      <c r="O181" s="954"/>
    </row>
    <row r="182" spans="1:16" s="1150" customFormat="1" ht="16.5" thickBot="1" x14ac:dyDescent="0.3">
      <c r="A182" s="756"/>
      <c r="B182" s="813" t="s">
        <v>1408</v>
      </c>
      <c r="C182" s="757"/>
      <c r="D182" s="757"/>
      <c r="E182" s="757"/>
      <c r="F182" s="757"/>
      <c r="G182" s="757"/>
      <c r="H182" s="757"/>
      <c r="I182" s="757"/>
      <c r="J182" s="954">
        <f t="shared" si="86"/>
        <v>0</v>
      </c>
      <c r="K182" s="954">
        <f t="shared" si="87"/>
        <v>0</v>
      </c>
      <c r="L182" s="954">
        <f t="shared" si="88"/>
        <v>0</v>
      </c>
      <c r="M182" s="954">
        <v>842</v>
      </c>
      <c r="N182" s="954"/>
      <c r="O182" s="954">
        <f t="shared" si="89"/>
        <v>842</v>
      </c>
    </row>
    <row r="183" spans="1:16" ht="17.25" thickTop="1" thickBot="1" x14ac:dyDescent="0.3">
      <c r="A183" s="751"/>
      <c r="B183" s="759" t="s">
        <v>1157</v>
      </c>
      <c r="C183" s="759">
        <f>+C175+C179+C180+C182</f>
        <v>10914</v>
      </c>
      <c r="D183" s="759">
        <f t="shared" ref="D183:O183" si="90">+D175+D179+D180+D182</f>
        <v>0</v>
      </c>
      <c r="E183" s="759">
        <f t="shared" si="90"/>
        <v>0</v>
      </c>
      <c r="F183" s="759">
        <f t="shared" si="90"/>
        <v>10466</v>
      </c>
      <c r="G183" s="759">
        <f t="shared" si="90"/>
        <v>0</v>
      </c>
      <c r="H183" s="759">
        <f t="shared" si="90"/>
        <v>0</v>
      </c>
      <c r="I183" s="759">
        <f t="shared" si="90"/>
        <v>0</v>
      </c>
      <c r="J183" s="759">
        <f t="shared" si="90"/>
        <v>21380</v>
      </c>
      <c r="K183" s="759">
        <f t="shared" si="90"/>
        <v>0</v>
      </c>
      <c r="L183" s="759">
        <f t="shared" si="90"/>
        <v>21380</v>
      </c>
      <c r="M183" s="759">
        <f t="shared" si="90"/>
        <v>211375</v>
      </c>
      <c r="N183" s="759">
        <f t="shared" si="90"/>
        <v>2319</v>
      </c>
      <c r="O183" s="759">
        <f t="shared" si="90"/>
        <v>235074</v>
      </c>
      <c r="P183" s="1149">
        <f>O184+O185</f>
        <v>235074</v>
      </c>
    </row>
    <row r="184" spans="1:16" ht="17.25" thickTop="1" thickBot="1" x14ac:dyDescent="0.3">
      <c r="A184" s="751"/>
      <c r="B184" s="759" t="s">
        <v>1158</v>
      </c>
      <c r="C184" s="759">
        <f>+C176+C179+C180</f>
        <v>10914</v>
      </c>
      <c r="D184" s="759">
        <f t="shared" ref="D184:O184" si="91">+D176+D179+D180</f>
        <v>0</v>
      </c>
      <c r="E184" s="759">
        <f t="shared" si="91"/>
        <v>0</v>
      </c>
      <c r="F184" s="759">
        <f t="shared" si="91"/>
        <v>10466</v>
      </c>
      <c r="G184" s="759">
        <f t="shared" si="91"/>
        <v>0</v>
      </c>
      <c r="H184" s="759">
        <f t="shared" si="91"/>
        <v>0</v>
      </c>
      <c r="I184" s="759">
        <f t="shared" si="91"/>
        <v>0</v>
      </c>
      <c r="J184" s="759">
        <f t="shared" si="91"/>
        <v>21380</v>
      </c>
      <c r="K184" s="759">
        <f t="shared" si="91"/>
        <v>0</v>
      </c>
      <c r="L184" s="759">
        <f t="shared" si="91"/>
        <v>21380</v>
      </c>
      <c r="M184" s="759">
        <f t="shared" si="91"/>
        <v>206070</v>
      </c>
      <c r="N184" s="759">
        <f t="shared" si="91"/>
        <v>2319</v>
      </c>
      <c r="O184" s="759">
        <f t="shared" si="91"/>
        <v>229769</v>
      </c>
    </row>
    <row r="185" spans="1:16" ht="17.25" thickTop="1" thickBot="1" x14ac:dyDescent="0.3">
      <c r="A185" s="751"/>
      <c r="B185" s="759" t="s">
        <v>1159</v>
      </c>
      <c r="C185" s="759">
        <f>+C177+C182</f>
        <v>0</v>
      </c>
      <c r="D185" s="759">
        <f t="shared" ref="D185:O185" si="92">+D177+D182</f>
        <v>0</v>
      </c>
      <c r="E185" s="759">
        <f t="shared" si="92"/>
        <v>0</v>
      </c>
      <c r="F185" s="759">
        <f t="shared" si="92"/>
        <v>0</v>
      </c>
      <c r="G185" s="759">
        <f t="shared" si="92"/>
        <v>0</v>
      </c>
      <c r="H185" s="759">
        <f t="shared" si="92"/>
        <v>0</v>
      </c>
      <c r="I185" s="759">
        <f t="shared" si="92"/>
        <v>0</v>
      </c>
      <c r="J185" s="759">
        <f t="shared" si="92"/>
        <v>0</v>
      </c>
      <c r="K185" s="759">
        <f t="shared" si="92"/>
        <v>0</v>
      </c>
      <c r="L185" s="759">
        <f t="shared" si="92"/>
        <v>0</v>
      </c>
      <c r="M185" s="759">
        <f t="shared" si="92"/>
        <v>5305</v>
      </c>
      <c r="N185" s="759">
        <f t="shared" si="92"/>
        <v>0</v>
      </c>
      <c r="O185" s="759">
        <f t="shared" si="92"/>
        <v>5305</v>
      </c>
    </row>
    <row r="186" spans="1:16" s="1150" customFormat="1" ht="16.5" thickTop="1" x14ac:dyDescent="0.25">
      <c r="A186" s="764" t="s">
        <v>7</v>
      </c>
      <c r="B186" s="754" t="s">
        <v>557</v>
      </c>
      <c r="C186" s="754"/>
      <c r="D186" s="754"/>
      <c r="E186" s="754"/>
      <c r="F186" s="754"/>
      <c r="G186" s="754"/>
      <c r="H186" s="754"/>
      <c r="I186" s="754"/>
      <c r="J186" s="754"/>
      <c r="K186" s="754"/>
      <c r="L186" s="754"/>
      <c r="M186" s="754"/>
      <c r="N186" s="754"/>
      <c r="O186" s="754"/>
    </row>
    <row r="187" spans="1:16" x14ac:dyDescent="0.25">
      <c r="A187" s="764"/>
      <c r="B187" s="754" t="s">
        <v>1125</v>
      </c>
      <c r="C187" s="754">
        <v>11832</v>
      </c>
      <c r="D187" s="754"/>
      <c r="E187" s="754"/>
      <c r="F187" s="754">
        <v>6824</v>
      </c>
      <c r="G187" s="754"/>
      <c r="H187" s="754"/>
      <c r="I187" s="754"/>
      <c r="J187" s="755">
        <f>SUM(C187+E187+F187+H187)</f>
        <v>18656</v>
      </c>
      <c r="K187" s="755">
        <f>SUM(D187+G187+I187)</f>
        <v>0</v>
      </c>
      <c r="L187" s="755">
        <f>SUM(J187:K187)</f>
        <v>18656</v>
      </c>
      <c r="M187" s="755">
        <v>188881</v>
      </c>
      <c r="N187" s="755">
        <v>199</v>
      </c>
      <c r="O187" s="755">
        <f>SUM(L187:N187)</f>
        <v>207736</v>
      </c>
    </row>
    <row r="188" spans="1:16" s="1150" customFormat="1" x14ac:dyDescent="0.25">
      <c r="A188" s="761"/>
      <c r="B188" s="757" t="s">
        <v>1155</v>
      </c>
      <c r="C188" s="757">
        <v>11832</v>
      </c>
      <c r="D188" s="757"/>
      <c r="E188" s="757"/>
      <c r="F188" s="757">
        <v>6824</v>
      </c>
      <c r="G188" s="757"/>
      <c r="H188" s="757"/>
      <c r="I188" s="757"/>
      <c r="J188" s="758">
        <f>SUM(C188+E188+F188+H188)</f>
        <v>18656</v>
      </c>
      <c r="K188" s="758">
        <f>SUM(D188+G188+I188)</f>
        <v>0</v>
      </c>
      <c r="L188" s="758">
        <f>SUM(J188:K188)</f>
        <v>18656</v>
      </c>
      <c r="M188" s="758">
        <v>185128</v>
      </c>
      <c r="N188" s="758">
        <v>199</v>
      </c>
      <c r="O188" s="758">
        <f>SUM(L188:N188)</f>
        <v>203983</v>
      </c>
    </row>
    <row r="189" spans="1:16" x14ac:dyDescent="0.25">
      <c r="A189" s="761"/>
      <c r="B189" s="757" t="s">
        <v>1156</v>
      </c>
      <c r="C189" s="757"/>
      <c r="D189" s="757"/>
      <c r="E189" s="757"/>
      <c r="F189" s="757"/>
      <c r="G189" s="757"/>
      <c r="H189" s="757"/>
      <c r="I189" s="757"/>
      <c r="J189" s="758">
        <f>SUM(C189+E189+F189+H189)</f>
        <v>0</v>
      </c>
      <c r="K189" s="758">
        <f>SUM(D189+G189+I189)</f>
        <v>0</v>
      </c>
      <c r="L189" s="758">
        <f>SUM(J189:K189)</f>
        <v>0</v>
      </c>
      <c r="M189" s="758">
        <v>3753</v>
      </c>
      <c r="N189" s="758"/>
      <c r="O189" s="758">
        <f>SUM(L189:N189)</f>
        <v>3753</v>
      </c>
    </row>
    <row r="190" spans="1:16" x14ac:dyDescent="0.25">
      <c r="A190" s="761"/>
      <c r="B190" s="757" t="s">
        <v>243</v>
      </c>
      <c r="C190" s="757"/>
      <c r="D190" s="757"/>
      <c r="E190" s="757"/>
      <c r="F190" s="757"/>
      <c r="G190" s="757"/>
      <c r="H190" s="757"/>
      <c r="I190" s="757"/>
      <c r="J190" s="758"/>
      <c r="K190" s="758"/>
      <c r="L190" s="758"/>
      <c r="M190" s="758"/>
      <c r="N190" s="758"/>
      <c r="O190" s="758"/>
    </row>
    <row r="191" spans="1:16" x14ac:dyDescent="0.25">
      <c r="A191" s="761"/>
      <c r="B191" s="954" t="s">
        <v>1407</v>
      </c>
      <c r="C191" s="757"/>
      <c r="D191" s="757"/>
      <c r="E191" s="757"/>
      <c r="F191" s="757"/>
      <c r="G191" s="757"/>
      <c r="H191" s="757"/>
      <c r="I191" s="757"/>
      <c r="J191" s="954">
        <f t="shared" ref="J191:J194" si="93">SUM(C191+E191+F191+H191)</f>
        <v>0</v>
      </c>
      <c r="K191" s="954">
        <f t="shared" ref="K191:K194" si="94">SUM(D191+G191+I191)</f>
        <v>0</v>
      </c>
      <c r="L191" s="954">
        <f t="shared" ref="L191:L194" si="95">SUM(J191:K191)</f>
        <v>0</v>
      </c>
      <c r="M191" s="954">
        <v>23</v>
      </c>
      <c r="N191" s="954"/>
      <c r="O191" s="954">
        <f t="shared" ref="O191:O194" si="96">SUM(L191:N191)</f>
        <v>23</v>
      </c>
    </row>
    <row r="192" spans="1:16" ht="31.5" x14ac:dyDescent="0.25">
      <c r="A192" s="761"/>
      <c r="B192" s="954" t="s">
        <v>1262</v>
      </c>
      <c r="C192" s="954"/>
      <c r="D192" s="757"/>
      <c r="E192" s="757"/>
      <c r="F192" s="757">
        <f>2889+392</f>
        <v>3281</v>
      </c>
      <c r="G192" s="757"/>
      <c r="H192" s="757"/>
      <c r="I192" s="757"/>
      <c r="J192" s="954">
        <f t="shared" si="93"/>
        <v>3281</v>
      </c>
      <c r="K192" s="954">
        <f t="shared" si="94"/>
        <v>0</v>
      </c>
      <c r="L192" s="954">
        <f t="shared" si="95"/>
        <v>3281</v>
      </c>
      <c r="M192" s="954"/>
      <c r="N192" s="954"/>
      <c r="O192" s="954">
        <f t="shared" si="96"/>
        <v>3281</v>
      </c>
    </row>
    <row r="193" spans="1:16" s="1150" customFormat="1" x14ac:dyDescent="0.25">
      <c r="A193" s="761"/>
      <c r="B193" s="757" t="s">
        <v>244</v>
      </c>
      <c r="C193" s="757"/>
      <c r="D193" s="757"/>
      <c r="E193" s="757"/>
      <c r="F193" s="757"/>
      <c r="G193" s="757"/>
      <c r="H193" s="757"/>
      <c r="I193" s="757"/>
      <c r="J193" s="954"/>
      <c r="K193" s="954"/>
      <c r="L193" s="954"/>
      <c r="M193" s="954"/>
      <c r="N193" s="954"/>
      <c r="O193" s="954"/>
    </row>
    <row r="194" spans="1:16" s="1150" customFormat="1" ht="16.5" thickBot="1" x14ac:dyDescent="0.3">
      <c r="A194" s="761"/>
      <c r="B194" s="813" t="s">
        <v>1408</v>
      </c>
      <c r="C194" s="757"/>
      <c r="D194" s="757"/>
      <c r="E194" s="757"/>
      <c r="F194" s="757"/>
      <c r="G194" s="757"/>
      <c r="H194" s="757"/>
      <c r="I194" s="757"/>
      <c r="J194" s="954">
        <f t="shared" si="93"/>
        <v>0</v>
      </c>
      <c r="K194" s="954">
        <f t="shared" si="94"/>
        <v>0</v>
      </c>
      <c r="L194" s="954">
        <f t="shared" si="95"/>
        <v>0</v>
      </c>
      <c r="M194" s="954">
        <v>728</v>
      </c>
      <c r="N194" s="954"/>
      <c r="O194" s="954">
        <f t="shared" si="96"/>
        <v>728</v>
      </c>
    </row>
    <row r="195" spans="1:16" s="1150" customFormat="1" ht="17.25" thickTop="1" thickBot="1" x14ac:dyDescent="0.3">
      <c r="A195" s="751"/>
      <c r="B195" s="759" t="s">
        <v>1157</v>
      </c>
      <c r="C195" s="759">
        <f>+C187+C191+C192+C194</f>
        <v>11832</v>
      </c>
      <c r="D195" s="759">
        <f t="shared" ref="D195:O195" si="97">+D187+D191+D192+D194</f>
        <v>0</v>
      </c>
      <c r="E195" s="759">
        <f t="shared" si="97"/>
        <v>0</v>
      </c>
      <c r="F195" s="759">
        <f t="shared" si="97"/>
        <v>10105</v>
      </c>
      <c r="G195" s="759">
        <f t="shared" si="97"/>
        <v>0</v>
      </c>
      <c r="H195" s="759">
        <f t="shared" si="97"/>
        <v>0</v>
      </c>
      <c r="I195" s="759">
        <f t="shared" si="97"/>
        <v>0</v>
      </c>
      <c r="J195" s="759">
        <f t="shared" si="97"/>
        <v>21937</v>
      </c>
      <c r="K195" s="759">
        <f t="shared" si="97"/>
        <v>0</v>
      </c>
      <c r="L195" s="759">
        <f t="shared" si="97"/>
        <v>21937</v>
      </c>
      <c r="M195" s="759">
        <f t="shared" si="97"/>
        <v>189632</v>
      </c>
      <c r="N195" s="759">
        <f t="shared" si="97"/>
        <v>199</v>
      </c>
      <c r="O195" s="759">
        <f t="shared" si="97"/>
        <v>211768</v>
      </c>
      <c r="P195" s="1150">
        <f>O196+O197</f>
        <v>211768</v>
      </c>
    </row>
    <row r="196" spans="1:16" s="1150" customFormat="1" ht="17.25" thickTop="1" thickBot="1" x14ac:dyDescent="0.3">
      <c r="A196" s="751"/>
      <c r="B196" s="759" t="s">
        <v>1158</v>
      </c>
      <c r="C196" s="759">
        <f>+C188+C191+C192</f>
        <v>11832</v>
      </c>
      <c r="D196" s="759">
        <f t="shared" ref="D196:O196" si="98">+D188+D191+D192</f>
        <v>0</v>
      </c>
      <c r="E196" s="759">
        <f t="shared" si="98"/>
        <v>0</v>
      </c>
      <c r="F196" s="759">
        <f t="shared" si="98"/>
        <v>10105</v>
      </c>
      <c r="G196" s="759">
        <f t="shared" si="98"/>
        <v>0</v>
      </c>
      <c r="H196" s="759">
        <f t="shared" si="98"/>
        <v>0</v>
      </c>
      <c r="I196" s="759">
        <f t="shared" si="98"/>
        <v>0</v>
      </c>
      <c r="J196" s="759">
        <f t="shared" si="98"/>
        <v>21937</v>
      </c>
      <c r="K196" s="759">
        <f t="shared" si="98"/>
        <v>0</v>
      </c>
      <c r="L196" s="759">
        <f t="shared" si="98"/>
        <v>21937</v>
      </c>
      <c r="M196" s="759">
        <f t="shared" si="98"/>
        <v>185151</v>
      </c>
      <c r="N196" s="759">
        <f t="shared" si="98"/>
        <v>199</v>
      </c>
      <c r="O196" s="759">
        <f t="shared" si="98"/>
        <v>207287</v>
      </c>
    </row>
    <row r="197" spans="1:16" s="1150" customFormat="1" ht="17.25" thickTop="1" thickBot="1" x14ac:dyDescent="0.3">
      <c r="A197" s="751"/>
      <c r="B197" s="759" t="s">
        <v>1159</v>
      </c>
      <c r="C197" s="759">
        <f>+C189+C194</f>
        <v>0</v>
      </c>
      <c r="D197" s="759">
        <f t="shared" ref="D197:O197" si="99">+D189+D194</f>
        <v>0</v>
      </c>
      <c r="E197" s="759">
        <f t="shared" si="99"/>
        <v>0</v>
      </c>
      <c r="F197" s="759">
        <f t="shared" si="99"/>
        <v>0</v>
      </c>
      <c r="G197" s="759">
        <f t="shared" si="99"/>
        <v>0</v>
      </c>
      <c r="H197" s="759">
        <f t="shared" si="99"/>
        <v>0</v>
      </c>
      <c r="I197" s="759">
        <f t="shared" si="99"/>
        <v>0</v>
      </c>
      <c r="J197" s="759">
        <f t="shared" si="99"/>
        <v>0</v>
      </c>
      <c r="K197" s="759">
        <f t="shared" si="99"/>
        <v>0</v>
      </c>
      <c r="L197" s="759">
        <f t="shared" si="99"/>
        <v>0</v>
      </c>
      <c r="M197" s="759">
        <f t="shared" si="99"/>
        <v>4481</v>
      </c>
      <c r="N197" s="759">
        <f t="shared" si="99"/>
        <v>0</v>
      </c>
      <c r="O197" s="759">
        <f t="shared" si="99"/>
        <v>4481</v>
      </c>
    </row>
    <row r="198" spans="1:16" s="1150" customFormat="1" ht="16.5" thickTop="1" x14ac:dyDescent="0.25">
      <c r="A198" s="753" t="s">
        <v>11</v>
      </c>
      <c r="B198" s="754" t="s">
        <v>91</v>
      </c>
      <c r="C198" s="754"/>
      <c r="D198" s="754"/>
      <c r="E198" s="754"/>
      <c r="F198" s="754"/>
      <c r="G198" s="754"/>
      <c r="H198" s="754"/>
      <c r="I198" s="754"/>
      <c r="J198" s="754"/>
      <c r="K198" s="754"/>
      <c r="L198" s="754"/>
      <c r="M198" s="754"/>
      <c r="N198" s="754"/>
      <c r="O198" s="754"/>
    </row>
    <row r="199" spans="1:16" s="1150" customFormat="1" x14ac:dyDescent="0.25">
      <c r="A199" s="753"/>
      <c r="B199" s="755" t="s">
        <v>1125</v>
      </c>
      <c r="C199" s="755">
        <v>10189</v>
      </c>
      <c r="D199" s="755"/>
      <c r="E199" s="755"/>
      <c r="F199" s="755">
        <v>7959</v>
      </c>
      <c r="G199" s="755"/>
      <c r="H199" s="755"/>
      <c r="I199" s="755"/>
      <c r="J199" s="755">
        <f>SUM(C199+E199+F199+H199)</f>
        <v>18148</v>
      </c>
      <c r="K199" s="755">
        <f>SUM(D199+G199+I199)</f>
        <v>0</v>
      </c>
      <c r="L199" s="755">
        <f>SUM(J199:K199)</f>
        <v>18148</v>
      </c>
      <c r="M199" s="755">
        <v>211824</v>
      </c>
      <c r="N199" s="755">
        <v>2288</v>
      </c>
      <c r="O199" s="755">
        <f>SUM(L199:N199)</f>
        <v>232260</v>
      </c>
    </row>
    <row r="200" spans="1:16" s="1150" customFormat="1" x14ac:dyDescent="0.25">
      <c r="A200" s="756"/>
      <c r="B200" s="757" t="s">
        <v>1155</v>
      </c>
      <c r="C200" s="757">
        <v>10189</v>
      </c>
      <c r="D200" s="757"/>
      <c r="E200" s="757"/>
      <c r="F200" s="757">
        <v>7959</v>
      </c>
      <c r="G200" s="757"/>
      <c r="H200" s="757"/>
      <c r="I200" s="757"/>
      <c r="J200" s="758">
        <f>SUM(C200+E200+F200+H200)</f>
        <v>18148</v>
      </c>
      <c r="K200" s="758">
        <f>SUM(D200+G200+I200)</f>
        <v>0</v>
      </c>
      <c r="L200" s="758">
        <f>SUM(J200:K200)</f>
        <v>18148</v>
      </c>
      <c r="M200" s="758">
        <v>207358</v>
      </c>
      <c r="N200" s="758">
        <v>2288</v>
      </c>
      <c r="O200" s="758">
        <f>SUM(L200:N200)</f>
        <v>227794</v>
      </c>
    </row>
    <row r="201" spans="1:16" s="1150" customFormat="1" x14ac:dyDescent="0.25">
      <c r="A201" s="756"/>
      <c r="B201" s="757" t="s">
        <v>1156</v>
      </c>
      <c r="C201" s="757"/>
      <c r="D201" s="757"/>
      <c r="E201" s="757"/>
      <c r="F201" s="757"/>
      <c r="G201" s="757"/>
      <c r="H201" s="757"/>
      <c r="I201" s="757"/>
      <c r="J201" s="758">
        <f>SUM(C201+E201+F201+H201)</f>
        <v>0</v>
      </c>
      <c r="K201" s="758">
        <f>SUM(D201+G201+I201)</f>
        <v>0</v>
      </c>
      <c r="L201" s="758">
        <f>SUM(J201:K201)</f>
        <v>0</v>
      </c>
      <c r="M201" s="758">
        <v>4466</v>
      </c>
      <c r="N201" s="758"/>
      <c r="O201" s="758">
        <f>SUM(L201:N201)</f>
        <v>4466</v>
      </c>
    </row>
    <row r="202" spans="1:16" s="1150" customFormat="1" x14ac:dyDescent="0.25">
      <c r="A202" s="756"/>
      <c r="B202" s="757" t="s">
        <v>243</v>
      </c>
      <c r="C202" s="757"/>
      <c r="D202" s="757"/>
      <c r="E202" s="757"/>
      <c r="F202" s="757"/>
      <c r="G202" s="757"/>
      <c r="H202" s="757"/>
      <c r="I202" s="757"/>
      <c r="J202" s="758"/>
      <c r="K202" s="758"/>
      <c r="L202" s="758"/>
      <c r="M202" s="758"/>
      <c r="N202" s="758"/>
      <c r="O202" s="758"/>
    </row>
    <row r="203" spans="1:16" x14ac:dyDescent="0.25">
      <c r="A203" s="756"/>
      <c r="B203" s="954" t="s">
        <v>1407</v>
      </c>
      <c r="C203" s="757"/>
      <c r="D203" s="757"/>
      <c r="E203" s="757"/>
      <c r="F203" s="757"/>
      <c r="G203" s="757"/>
      <c r="H203" s="757"/>
      <c r="I203" s="757"/>
      <c r="J203" s="954">
        <f t="shared" ref="J203:J207" si="100">SUM(C203+E203+F203+H203)</f>
        <v>0</v>
      </c>
      <c r="K203" s="954">
        <f t="shared" ref="K203:K207" si="101">SUM(D203+G203+I203)</f>
        <v>0</v>
      </c>
      <c r="L203" s="954">
        <f t="shared" ref="L203:L207" si="102">SUM(J203:K203)</f>
        <v>0</v>
      </c>
      <c r="M203" s="954">
        <v>32</v>
      </c>
      <c r="N203" s="954"/>
      <c r="O203" s="954">
        <f t="shared" ref="O203:O207" si="103">SUM(L203:N203)</f>
        <v>32</v>
      </c>
    </row>
    <row r="204" spans="1:16" ht="31.5" x14ac:dyDescent="0.25">
      <c r="A204" s="756"/>
      <c r="B204" s="954" t="s">
        <v>1209</v>
      </c>
      <c r="C204" s="954"/>
      <c r="D204" s="757"/>
      <c r="E204" s="757"/>
      <c r="F204" s="757"/>
      <c r="G204" s="757"/>
      <c r="H204" s="757"/>
      <c r="I204" s="757"/>
      <c r="J204" s="954">
        <f t="shared" si="100"/>
        <v>0</v>
      </c>
      <c r="K204" s="954">
        <f t="shared" si="101"/>
        <v>0</v>
      </c>
      <c r="L204" s="954">
        <f t="shared" si="102"/>
        <v>0</v>
      </c>
      <c r="M204" s="954">
        <v>601</v>
      </c>
      <c r="N204" s="954"/>
      <c r="O204" s="954">
        <f t="shared" si="103"/>
        <v>601</v>
      </c>
    </row>
    <row r="205" spans="1:16" ht="31.5" x14ac:dyDescent="0.25">
      <c r="A205" s="756"/>
      <c r="B205" s="954" t="s">
        <v>1262</v>
      </c>
      <c r="C205" s="954"/>
      <c r="D205" s="757"/>
      <c r="E205" s="757"/>
      <c r="F205" s="757">
        <f>5217+755</f>
        <v>5972</v>
      </c>
      <c r="G205" s="757"/>
      <c r="H205" s="757"/>
      <c r="I205" s="757"/>
      <c r="J205" s="954">
        <f t="shared" si="100"/>
        <v>5972</v>
      </c>
      <c r="K205" s="954">
        <f t="shared" si="101"/>
        <v>0</v>
      </c>
      <c r="L205" s="954">
        <f t="shared" si="102"/>
        <v>5972</v>
      </c>
      <c r="M205" s="954">
        <v>1381</v>
      </c>
      <c r="N205" s="954"/>
      <c r="O205" s="954">
        <f t="shared" si="103"/>
        <v>7353</v>
      </c>
    </row>
    <row r="206" spans="1:16" x14ac:dyDescent="0.25">
      <c r="A206" s="756"/>
      <c r="B206" s="757" t="s">
        <v>244</v>
      </c>
      <c r="C206" s="757"/>
      <c r="D206" s="757"/>
      <c r="E206" s="757"/>
      <c r="F206" s="757"/>
      <c r="G206" s="757"/>
      <c r="H206" s="757"/>
      <c r="I206" s="757"/>
      <c r="J206" s="954"/>
      <c r="K206" s="954"/>
      <c r="L206" s="954"/>
      <c r="M206" s="954"/>
      <c r="N206" s="954"/>
      <c r="O206" s="954"/>
    </row>
    <row r="207" spans="1:16" ht="16.5" thickBot="1" x14ac:dyDescent="0.3">
      <c r="A207" s="768"/>
      <c r="B207" s="959" t="s">
        <v>1408</v>
      </c>
      <c r="C207" s="769"/>
      <c r="D207" s="769"/>
      <c r="E207" s="769"/>
      <c r="F207" s="769"/>
      <c r="G207" s="769"/>
      <c r="H207" s="769"/>
      <c r="I207" s="769"/>
      <c r="J207" s="958">
        <f t="shared" si="100"/>
        <v>0</v>
      </c>
      <c r="K207" s="958">
        <f t="shared" si="101"/>
        <v>0</v>
      </c>
      <c r="L207" s="958">
        <f t="shared" si="102"/>
        <v>0</v>
      </c>
      <c r="M207" s="958">
        <v>835</v>
      </c>
      <c r="N207" s="958"/>
      <c r="O207" s="958">
        <f t="shared" si="103"/>
        <v>835</v>
      </c>
    </row>
    <row r="208" spans="1:16" s="1150" customFormat="1" ht="17.25" thickTop="1" thickBot="1" x14ac:dyDescent="0.3">
      <c r="A208" s="751"/>
      <c r="B208" s="759" t="s">
        <v>1157</v>
      </c>
      <c r="C208" s="759">
        <f>+C199+C203+C204+C205+C207</f>
        <v>10189</v>
      </c>
      <c r="D208" s="759">
        <f t="shared" ref="D208:O208" si="104">+D199+D203+D204+D205+D207</f>
        <v>0</v>
      </c>
      <c r="E208" s="759">
        <f t="shared" si="104"/>
        <v>0</v>
      </c>
      <c r="F208" s="759">
        <f t="shared" si="104"/>
        <v>13931</v>
      </c>
      <c r="G208" s="759">
        <f t="shared" si="104"/>
        <v>0</v>
      </c>
      <c r="H208" s="759">
        <f t="shared" si="104"/>
        <v>0</v>
      </c>
      <c r="I208" s="759">
        <f t="shared" si="104"/>
        <v>0</v>
      </c>
      <c r="J208" s="759">
        <f t="shared" si="104"/>
        <v>24120</v>
      </c>
      <c r="K208" s="759">
        <f t="shared" si="104"/>
        <v>0</v>
      </c>
      <c r="L208" s="759">
        <f t="shared" si="104"/>
        <v>24120</v>
      </c>
      <c r="M208" s="759">
        <f t="shared" si="104"/>
        <v>214673</v>
      </c>
      <c r="N208" s="759">
        <f t="shared" si="104"/>
        <v>2288</v>
      </c>
      <c r="O208" s="759">
        <f t="shared" si="104"/>
        <v>241081</v>
      </c>
      <c r="P208" s="1150">
        <f>O209+O210</f>
        <v>241081</v>
      </c>
    </row>
    <row r="209" spans="1:16" s="1150" customFormat="1" ht="17.25" thickTop="1" thickBot="1" x14ac:dyDescent="0.3">
      <c r="A209" s="751"/>
      <c r="B209" s="759" t="s">
        <v>1158</v>
      </c>
      <c r="C209" s="759">
        <f>+C200+C203+C204+C205</f>
        <v>10189</v>
      </c>
      <c r="D209" s="759">
        <f t="shared" ref="D209:O209" si="105">+D200+D203+D204+D205</f>
        <v>0</v>
      </c>
      <c r="E209" s="759">
        <f t="shared" si="105"/>
        <v>0</v>
      </c>
      <c r="F209" s="759">
        <f t="shared" si="105"/>
        <v>13931</v>
      </c>
      <c r="G209" s="759">
        <f t="shared" si="105"/>
        <v>0</v>
      </c>
      <c r="H209" s="759">
        <f t="shared" si="105"/>
        <v>0</v>
      </c>
      <c r="I209" s="759">
        <f t="shared" si="105"/>
        <v>0</v>
      </c>
      <c r="J209" s="759">
        <f t="shared" si="105"/>
        <v>24120</v>
      </c>
      <c r="K209" s="759">
        <f t="shared" si="105"/>
        <v>0</v>
      </c>
      <c r="L209" s="759">
        <f t="shared" si="105"/>
        <v>24120</v>
      </c>
      <c r="M209" s="759">
        <f t="shared" si="105"/>
        <v>209372</v>
      </c>
      <c r="N209" s="759">
        <f t="shared" si="105"/>
        <v>2288</v>
      </c>
      <c r="O209" s="759">
        <f t="shared" si="105"/>
        <v>235780</v>
      </c>
    </row>
    <row r="210" spans="1:16" s="1150" customFormat="1" ht="17.25" thickTop="1" thickBot="1" x14ac:dyDescent="0.3">
      <c r="A210" s="751"/>
      <c r="B210" s="759" t="s">
        <v>1159</v>
      </c>
      <c r="C210" s="759">
        <f>+C201+C207</f>
        <v>0</v>
      </c>
      <c r="D210" s="759">
        <f t="shared" ref="D210:O210" si="106">+D201+D207</f>
        <v>0</v>
      </c>
      <c r="E210" s="759">
        <f t="shared" si="106"/>
        <v>0</v>
      </c>
      <c r="F210" s="759">
        <f t="shared" si="106"/>
        <v>0</v>
      </c>
      <c r="G210" s="759">
        <f t="shared" si="106"/>
        <v>0</v>
      </c>
      <c r="H210" s="759">
        <f t="shared" si="106"/>
        <v>0</v>
      </c>
      <c r="I210" s="759">
        <f t="shared" si="106"/>
        <v>0</v>
      </c>
      <c r="J210" s="759">
        <f t="shared" si="106"/>
        <v>0</v>
      </c>
      <c r="K210" s="759">
        <f t="shared" si="106"/>
        <v>0</v>
      </c>
      <c r="L210" s="759">
        <f t="shared" si="106"/>
        <v>0</v>
      </c>
      <c r="M210" s="759">
        <f t="shared" si="106"/>
        <v>5301</v>
      </c>
      <c r="N210" s="759">
        <f t="shared" si="106"/>
        <v>0</v>
      </c>
      <c r="O210" s="759">
        <f t="shared" si="106"/>
        <v>5301</v>
      </c>
    </row>
    <row r="211" spans="1:16" s="1150" customFormat="1" ht="16.5" thickTop="1" x14ac:dyDescent="0.25">
      <c r="A211" s="764" t="s">
        <v>15</v>
      </c>
      <c r="B211" s="754" t="s">
        <v>803</v>
      </c>
      <c r="C211" s="754"/>
      <c r="D211" s="754"/>
      <c r="E211" s="754"/>
      <c r="F211" s="754"/>
      <c r="G211" s="754"/>
      <c r="H211" s="754"/>
      <c r="I211" s="754"/>
      <c r="J211" s="765"/>
      <c r="K211" s="754"/>
      <c r="L211" s="754"/>
      <c r="M211" s="754"/>
      <c r="N211" s="754"/>
      <c r="O211" s="754"/>
    </row>
    <row r="212" spans="1:16" s="1150" customFormat="1" x14ac:dyDescent="0.25">
      <c r="A212" s="764"/>
      <c r="B212" s="754" t="s">
        <v>1125</v>
      </c>
      <c r="C212" s="754">
        <v>12122</v>
      </c>
      <c r="D212" s="754"/>
      <c r="E212" s="754"/>
      <c r="F212" s="754">
        <v>10556</v>
      </c>
      <c r="G212" s="754"/>
      <c r="H212" s="754"/>
      <c r="I212" s="754"/>
      <c r="J212" s="766">
        <f>SUM(C212+E212+F212+H212)</f>
        <v>22678</v>
      </c>
      <c r="K212" s="755">
        <f>SUM(D212+G212+I212)</f>
        <v>0</v>
      </c>
      <c r="L212" s="755">
        <f>SUM(J212:K212)</f>
        <v>22678</v>
      </c>
      <c r="M212" s="755">
        <v>209401</v>
      </c>
      <c r="N212" s="755">
        <v>1115</v>
      </c>
      <c r="O212" s="755">
        <f>SUM(L212:N212)</f>
        <v>233194</v>
      </c>
    </row>
    <row r="213" spans="1:16" s="1150" customFormat="1" x14ac:dyDescent="0.25">
      <c r="A213" s="761"/>
      <c r="B213" s="757" t="s">
        <v>1155</v>
      </c>
      <c r="C213" s="757">
        <v>12122</v>
      </c>
      <c r="D213" s="757"/>
      <c r="E213" s="757"/>
      <c r="F213" s="757">
        <v>10556</v>
      </c>
      <c r="G213" s="757"/>
      <c r="H213" s="757"/>
      <c r="I213" s="757"/>
      <c r="J213" s="767">
        <f>SUM(C213+E213+F213+H213)</f>
        <v>22678</v>
      </c>
      <c r="K213" s="758">
        <f>SUM(D213+G213+I213)</f>
        <v>0</v>
      </c>
      <c r="L213" s="758">
        <f>SUM(J213:K213)</f>
        <v>22678</v>
      </c>
      <c r="M213" s="758">
        <v>204731</v>
      </c>
      <c r="N213" s="758">
        <v>1115</v>
      </c>
      <c r="O213" s="758">
        <f>SUM(L213:N213)</f>
        <v>228524</v>
      </c>
    </row>
    <row r="214" spans="1:16" s="1150" customFormat="1" x14ac:dyDescent="0.25">
      <c r="A214" s="761"/>
      <c r="B214" s="762" t="s">
        <v>1156</v>
      </c>
      <c r="C214" s="762"/>
      <c r="D214" s="762"/>
      <c r="E214" s="762"/>
      <c r="F214" s="762"/>
      <c r="G214" s="762"/>
      <c r="H214" s="762"/>
      <c r="I214" s="762"/>
      <c r="J214" s="773">
        <f>SUM(C214+E214+F214+H214)</f>
        <v>0</v>
      </c>
      <c r="K214" s="763">
        <f>SUM(D214+G214+I214)</f>
        <v>0</v>
      </c>
      <c r="L214" s="763">
        <f>SUM(J214:K214)</f>
        <v>0</v>
      </c>
      <c r="M214" s="763">
        <v>4670</v>
      </c>
      <c r="N214" s="763"/>
      <c r="O214" s="763">
        <f>SUM(L214:N214)</f>
        <v>4670</v>
      </c>
    </row>
    <row r="215" spans="1:16" s="1150" customFormat="1" x14ac:dyDescent="0.25">
      <c r="A215" s="761"/>
      <c r="B215" s="762" t="s">
        <v>243</v>
      </c>
      <c r="C215" s="762"/>
      <c r="D215" s="762"/>
      <c r="E215" s="762"/>
      <c r="F215" s="762"/>
      <c r="G215" s="762"/>
      <c r="H215" s="762"/>
      <c r="I215" s="762"/>
      <c r="J215" s="773"/>
      <c r="K215" s="763"/>
      <c r="L215" s="763"/>
      <c r="M215" s="763"/>
      <c r="N215" s="763"/>
      <c r="O215" s="763"/>
    </row>
    <row r="216" spans="1:16" s="1150" customFormat="1" x14ac:dyDescent="0.25">
      <c r="A216" s="761"/>
      <c r="B216" s="954" t="s">
        <v>1407</v>
      </c>
      <c r="C216" s="757"/>
      <c r="D216" s="757"/>
      <c r="E216" s="757"/>
      <c r="F216" s="757"/>
      <c r="G216" s="757"/>
      <c r="H216" s="757"/>
      <c r="I216" s="757"/>
      <c r="J216" s="956">
        <f t="shared" ref="J216:J219" si="107">SUM(C216+E216+F216+H216)</f>
        <v>0</v>
      </c>
      <c r="K216" s="954">
        <f t="shared" ref="K216:K219" si="108">SUM(D216+G216+I216)</f>
        <v>0</v>
      </c>
      <c r="L216" s="954">
        <f t="shared" ref="L216:L219" si="109">SUM(J216:K216)</f>
        <v>0</v>
      </c>
      <c r="M216" s="954">
        <v>48</v>
      </c>
      <c r="N216" s="954"/>
      <c r="O216" s="954">
        <f t="shared" ref="O216:O219" si="110">SUM(L216:N216)</f>
        <v>48</v>
      </c>
    </row>
    <row r="217" spans="1:16" s="1150" customFormat="1" ht="31.5" x14ac:dyDescent="0.25">
      <c r="A217" s="761"/>
      <c r="B217" s="954" t="s">
        <v>1262</v>
      </c>
      <c r="C217" s="954"/>
      <c r="D217" s="757"/>
      <c r="E217" s="757"/>
      <c r="F217" s="757">
        <f>3534+1</f>
        <v>3535</v>
      </c>
      <c r="G217" s="757"/>
      <c r="H217" s="757"/>
      <c r="I217" s="757"/>
      <c r="J217" s="956">
        <f t="shared" si="107"/>
        <v>3535</v>
      </c>
      <c r="K217" s="954">
        <f t="shared" si="108"/>
        <v>0</v>
      </c>
      <c r="L217" s="954">
        <f t="shared" si="109"/>
        <v>3535</v>
      </c>
      <c r="M217" s="954"/>
      <c r="N217" s="954"/>
      <c r="O217" s="954">
        <f t="shared" si="110"/>
        <v>3535</v>
      </c>
    </row>
    <row r="218" spans="1:16" x14ac:dyDescent="0.25">
      <c r="A218" s="761"/>
      <c r="B218" s="757" t="s">
        <v>244</v>
      </c>
      <c r="C218" s="757"/>
      <c r="D218" s="757"/>
      <c r="E218" s="757"/>
      <c r="F218" s="757"/>
      <c r="G218" s="757"/>
      <c r="H218" s="757"/>
      <c r="I218" s="757"/>
      <c r="J218" s="956"/>
      <c r="K218" s="954"/>
      <c r="L218" s="954"/>
      <c r="M218" s="954"/>
      <c r="N218" s="954"/>
      <c r="O218" s="954"/>
    </row>
    <row r="219" spans="1:16" ht="16.5" thickBot="1" x14ac:dyDescent="0.3">
      <c r="A219" s="761"/>
      <c r="B219" s="813" t="s">
        <v>1408</v>
      </c>
      <c r="C219" s="757"/>
      <c r="D219" s="757"/>
      <c r="E219" s="757"/>
      <c r="F219" s="757"/>
      <c r="G219" s="757"/>
      <c r="H219" s="757"/>
      <c r="I219" s="757"/>
      <c r="J219" s="956">
        <f t="shared" si="107"/>
        <v>0</v>
      </c>
      <c r="K219" s="954">
        <f t="shared" si="108"/>
        <v>0</v>
      </c>
      <c r="L219" s="954">
        <f t="shared" si="109"/>
        <v>0</v>
      </c>
      <c r="M219" s="954">
        <v>841</v>
      </c>
      <c r="N219" s="954"/>
      <c r="O219" s="954">
        <f t="shared" si="110"/>
        <v>841</v>
      </c>
    </row>
    <row r="220" spans="1:16" ht="17.25" thickTop="1" thickBot="1" x14ac:dyDescent="0.3">
      <c r="A220" s="751"/>
      <c r="B220" s="759" t="s">
        <v>1157</v>
      </c>
      <c r="C220" s="759">
        <f>+C212+C216+C217+C219</f>
        <v>12122</v>
      </c>
      <c r="D220" s="759">
        <f t="shared" ref="D220:O220" si="111">+D212+D216+D217+D219</f>
        <v>0</v>
      </c>
      <c r="E220" s="759">
        <f t="shared" si="111"/>
        <v>0</v>
      </c>
      <c r="F220" s="759">
        <f t="shared" si="111"/>
        <v>14091</v>
      </c>
      <c r="G220" s="759">
        <f t="shared" si="111"/>
        <v>0</v>
      </c>
      <c r="H220" s="759">
        <f t="shared" si="111"/>
        <v>0</v>
      </c>
      <c r="I220" s="759">
        <f t="shared" si="111"/>
        <v>0</v>
      </c>
      <c r="J220" s="759">
        <f t="shared" si="111"/>
        <v>26213</v>
      </c>
      <c r="K220" s="759">
        <f t="shared" si="111"/>
        <v>0</v>
      </c>
      <c r="L220" s="759">
        <f t="shared" si="111"/>
        <v>26213</v>
      </c>
      <c r="M220" s="759">
        <f t="shared" si="111"/>
        <v>210290</v>
      </c>
      <c r="N220" s="759">
        <f t="shared" si="111"/>
        <v>1115</v>
      </c>
      <c r="O220" s="759">
        <f t="shared" si="111"/>
        <v>237618</v>
      </c>
      <c r="P220" s="1149">
        <f>O221+O222</f>
        <v>237618</v>
      </c>
    </row>
    <row r="221" spans="1:16" s="1150" customFormat="1" ht="17.25" thickTop="1" thickBot="1" x14ac:dyDescent="0.3">
      <c r="A221" s="751"/>
      <c r="B221" s="759" t="s">
        <v>1158</v>
      </c>
      <c r="C221" s="759">
        <f>+C213+C216+C217</f>
        <v>12122</v>
      </c>
      <c r="D221" s="759">
        <f t="shared" ref="D221:O221" si="112">+D213+D216+D217</f>
        <v>0</v>
      </c>
      <c r="E221" s="759">
        <f t="shared" si="112"/>
        <v>0</v>
      </c>
      <c r="F221" s="759">
        <f t="shared" si="112"/>
        <v>14091</v>
      </c>
      <c r="G221" s="759">
        <f t="shared" si="112"/>
        <v>0</v>
      </c>
      <c r="H221" s="759">
        <f t="shared" si="112"/>
        <v>0</v>
      </c>
      <c r="I221" s="759">
        <f t="shared" si="112"/>
        <v>0</v>
      </c>
      <c r="J221" s="759">
        <f t="shared" si="112"/>
        <v>26213</v>
      </c>
      <c r="K221" s="759">
        <f t="shared" si="112"/>
        <v>0</v>
      </c>
      <c r="L221" s="759">
        <f t="shared" si="112"/>
        <v>26213</v>
      </c>
      <c r="M221" s="759">
        <f t="shared" si="112"/>
        <v>204779</v>
      </c>
      <c r="N221" s="759">
        <f t="shared" si="112"/>
        <v>1115</v>
      </c>
      <c r="O221" s="759">
        <f t="shared" si="112"/>
        <v>232107</v>
      </c>
    </row>
    <row r="222" spans="1:16" s="1150" customFormat="1" ht="17.25" thickTop="1" thickBot="1" x14ac:dyDescent="0.3">
      <c r="A222" s="751"/>
      <c r="B222" s="759" t="s">
        <v>1159</v>
      </c>
      <c r="C222" s="759">
        <f>+C214+C219</f>
        <v>0</v>
      </c>
      <c r="D222" s="759">
        <f t="shared" ref="D222:O222" si="113">+D214+D219</f>
        <v>0</v>
      </c>
      <c r="E222" s="759">
        <f t="shared" si="113"/>
        <v>0</v>
      </c>
      <c r="F222" s="759">
        <f t="shared" si="113"/>
        <v>0</v>
      </c>
      <c r="G222" s="759">
        <f t="shared" si="113"/>
        <v>0</v>
      </c>
      <c r="H222" s="759">
        <f t="shared" si="113"/>
        <v>0</v>
      </c>
      <c r="I222" s="759">
        <f t="shared" si="113"/>
        <v>0</v>
      </c>
      <c r="J222" s="759">
        <f t="shared" si="113"/>
        <v>0</v>
      </c>
      <c r="K222" s="759">
        <f t="shared" si="113"/>
        <v>0</v>
      </c>
      <c r="L222" s="759">
        <f t="shared" si="113"/>
        <v>0</v>
      </c>
      <c r="M222" s="759">
        <f t="shared" si="113"/>
        <v>5511</v>
      </c>
      <c r="N222" s="759">
        <f t="shared" si="113"/>
        <v>0</v>
      </c>
      <c r="O222" s="759">
        <f t="shared" si="113"/>
        <v>5511</v>
      </c>
    </row>
    <row r="223" spans="1:16" s="1150" customFormat="1" ht="16.5" thickTop="1" x14ac:dyDescent="0.25">
      <c r="A223" s="753" t="s">
        <v>18</v>
      </c>
      <c r="B223" s="754" t="s">
        <v>558</v>
      </c>
      <c r="C223" s="754"/>
      <c r="D223" s="754"/>
      <c r="E223" s="754"/>
      <c r="F223" s="754"/>
      <c r="G223" s="754"/>
      <c r="H223" s="754"/>
      <c r="I223" s="754"/>
      <c r="J223" s="754"/>
      <c r="K223" s="754"/>
      <c r="L223" s="754"/>
      <c r="M223" s="754"/>
      <c r="N223" s="754"/>
      <c r="O223" s="754"/>
    </row>
    <row r="224" spans="1:16" s="1150" customFormat="1" x14ac:dyDescent="0.25">
      <c r="A224" s="753"/>
      <c r="B224" s="755" t="s">
        <v>1260</v>
      </c>
      <c r="C224" s="755">
        <v>4538</v>
      </c>
      <c r="D224" s="755"/>
      <c r="E224" s="755"/>
      <c r="F224" s="755">
        <v>1870</v>
      </c>
      <c r="G224" s="755"/>
      <c r="H224" s="755"/>
      <c r="I224" s="755"/>
      <c r="J224" s="755">
        <f>SUM(C224+E224+F224+H224)</f>
        <v>6408</v>
      </c>
      <c r="K224" s="755">
        <f>SUM(D224+G224+I224)</f>
        <v>0</v>
      </c>
      <c r="L224" s="755">
        <f>SUM(J224:K224)</f>
        <v>6408</v>
      </c>
      <c r="M224" s="755">
        <v>79208</v>
      </c>
      <c r="N224" s="755">
        <v>228</v>
      </c>
      <c r="O224" s="755">
        <f>SUM(L224:N224)</f>
        <v>85844</v>
      </c>
    </row>
    <row r="225" spans="1:16" s="1150" customFormat="1" x14ac:dyDescent="0.25">
      <c r="A225" s="756"/>
      <c r="B225" s="757" t="s">
        <v>1155</v>
      </c>
      <c r="C225" s="757">
        <v>4538</v>
      </c>
      <c r="D225" s="757"/>
      <c r="E225" s="757"/>
      <c r="F225" s="757">
        <v>1870</v>
      </c>
      <c r="G225" s="757"/>
      <c r="H225" s="757"/>
      <c r="I225" s="757"/>
      <c r="J225" s="758">
        <f>SUM(C225+E225+F225+H225)</f>
        <v>6408</v>
      </c>
      <c r="K225" s="758">
        <f>SUM(D225+G225+I225)</f>
        <v>0</v>
      </c>
      <c r="L225" s="758">
        <f>SUM(J225:K225)</f>
        <v>6408</v>
      </c>
      <c r="M225" s="758">
        <v>77338</v>
      </c>
      <c r="N225" s="758">
        <v>228</v>
      </c>
      <c r="O225" s="758">
        <f>SUM(L225:N225)</f>
        <v>83974</v>
      </c>
    </row>
    <row r="226" spans="1:16" s="1150" customFormat="1" x14ac:dyDescent="0.25">
      <c r="A226" s="756"/>
      <c r="B226" s="757" t="s">
        <v>1156</v>
      </c>
      <c r="C226" s="757"/>
      <c r="D226" s="757"/>
      <c r="E226" s="757"/>
      <c r="F226" s="757"/>
      <c r="G226" s="757"/>
      <c r="H226" s="757"/>
      <c r="I226" s="757"/>
      <c r="J226" s="758">
        <f>SUM(C226+E226+F226+H226)</f>
        <v>0</v>
      </c>
      <c r="K226" s="758">
        <f>SUM(D226+G226+I226)</f>
        <v>0</v>
      </c>
      <c r="L226" s="758">
        <f>SUM(J226:K226)</f>
        <v>0</v>
      </c>
      <c r="M226" s="758">
        <v>1870</v>
      </c>
      <c r="N226" s="758"/>
      <c r="O226" s="758">
        <f>SUM(L226:N226)</f>
        <v>1870</v>
      </c>
    </row>
    <row r="227" spans="1:16" s="1150" customFormat="1" x14ac:dyDescent="0.25">
      <c r="A227" s="756"/>
      <c r="B227" s="757" t="s">
        <v>243</v>
      </c>
      <c r="C227" s="757"/>
      <c r="D227" s="757"/>
      <c r="E227" s="757"/>
      <c r="F227" s="757"/>
      <c r="G227" s="757"/>
      <c r="H227" s="757"/>
      <c r="I227" s="757"/>
      <c r="J227" s="758"/>
      <c r="K227" s="758"/>
      <c r="L227" s="758"/>
      <c r="M227" s="758"/>
      <c r="N227" s="758"/>
      <c r="O227" s="758"/>
    </row>
    <row r="228" spans="1:16" s="1150" customFormat="1" x14ac:dyDescent="0.25">
      <c r="A228" s="756"/>
      <c r="B228" s="954" t="s">
        <v>1407</v>
      </c>
      <c r="C228" s="757"/>
      <c r="D228" s="757"/>
      <c r="E228" s="757"/>
      <c r="F228" s="757"/>
      <c r="G228" s="757"/>
      <c r="H228" s="757"/>
      <c r="I228" s="757"/>
      <c r="J228" s="954">
        <f t="shared" ref="J228:J232" si="114">SUM(C228+E228+F228+H228)</f>
        <v>0</v>
      </c>
      <c r="K228" s="954">
        <f t="shared" ref="K228:K232" si="115">SUM(D228+G228+I228)</f>
        <v>0</v>
      </c>
      <c r="L228" s="954">
        <f t="shared" ref="L228:L232" si="116">SUM(J228:K228)</f>
        <v>0</v>
      </c>
      <c r="M228" s="954">
        <v>20</v>
      </c>
      <c r="N228" s="954"/>
      <c r="O228" s="954">
        <f t="shared" ref="O228:O232" si="117">SUM(L228:N228)</f>
        <v>20</v>
      </c>
    </row>
    <row r="229" spans="1:16" s="1150" customFormat="1" ht="31.5" x14ac:dyDescent="0.25">
      <c r="A229" s="756"/>
      <c r="B229" s="954" t="s">
        <v>1209</v>
      </c>
      <c r="C229" s="954"/>
      <c r="D229" s="757"/>
      <c r="E229" s="757"/>
      <c r="F229" s="757"/>
      <c r="G229" s="757"/>
      <c r="H229" s="757"/>
      <c r="I229" s="757"/>
      <c r="J229" s="954">
        <f t="shared" si="114"/>
        <v>0</v>
      </c>
      <c r="K229" s="954">
        <f t="shared" si="115"/>
        <v>0</v>
      </c>
      <c r="L229" s="954">
        <f t="shared" si="116"/>
        <v>0</v>
      </c>
      <c r="M229" s="954">
        <v>417</v>
      </c>
      <c r="N229" s="954"/>
      <c r="O229" s="954">
        <f t="shared" si="117"/>
        <v>417</v>
      </c>
    </row>
    <row r="230" spans="1:16" s="1150" customFormat="1" ht="31.5" x14ac:dyDescent="0.25">
      <c r="A230" s="756"/>
      <c r="B230" s="954" t="s">
        <v>1262</v>
      </c>
      <c r="C230" s="954"/>
      <c r="D230" s="757"/>
      <c r="E230" s="757"/>
      <c r="F230" s="954">
        <f>610+321</f>
        <v>931</v>
      </c>
      <c r="G230" s="757"/>
      <c r="H230" s="757"/>
      <c r="I230" s="757"/>
      <c r="J230" s="954">
        <f t="shared" si="114"/>
        <v>931</v>
      </c>
      <c r="K230" s="954">
        <f t="shared" si="115"/>
        <v>0</v>
      </c>
      <c r="L230" s="954">
        <f t="shared" si="116"/>
        <v>931</v>
      </c>
      <c r="M230" s="954"/>
      <c r="N230" s="954"/>
      <c r="O230" s="954">
        <f t="shared" si="117"/>
        <v>931</v>
      </c>
    </row>
    <row r="231" spans="1:16" x14ac:dyDescent="0.25">
      <c r="A231" s="756"/>
      <c r="B231" s="757" t="s">
        <v>244</v>
      </c>
      <c r="C231" s="757"/>
      <c r="D231" s="757"/>
      <c r="E231" s="757"/>
      <c r="F231" s="757"/>
      <c r="G231" s="757"/>
      <c r="H231" s="757"/>
      <c r="I231" s="757"/>
      <c r="J231" s="954"/>
      <c r="K231" s="954"/>
      <c r="L231" s="954"/>
      <c r="M231" s="954"/>
      <c r="N231" s="954"/>
      <c r="O231" s="954"/>
    </row>
    <row r="232" spans="1:16" ht="16.5" thickBot="1" x14ac:dyDescent="0.3">
      <c r="A232" s="756"/>
      <c r="B232" s="813" t="s">
        <v>1408</v>
      </c>
      <c r="C232" s="757"/>
      <c r="D232" s="757"/>
      <c r="E232" s="757"/>
      <c r="F232" s="757"/>
      <c r="G232" s="757"/>
      <c r="H232" s="757"/>
      <c r="I232" s="757"/>
      <c r="J232" s="954">
        <f t="shared" si="114"/>
        <v>0</v>
      </c>
      <c r="K232" s="954">
        <f t="shared" si="115"/>
        <v>0</v>
      </c>
      <c r="L232" s="954">
        <f t="shared" si="116"/>
        <v>0</v>
      </c>
      <c r="M232" s="954">
        <v>310</v>
      </c>
      <c r="N232" s="954"/>
      <c r="O232" s="954">
        <f t="shared" si="117"/>
        <v>310</v>
      </c>
    </row>
    <row r="233" spans="1:16" ht="17.25" thickTop="1" thickBot="1" x14ac:dyDescent="0.3">
      <c r="A233" s="751"/>
      <c r="B233" s="759" t="s">
        <v>1157</v>
      </c>
      <c r="C233" s="759">
        <f>+C224+C228+C229+C232+C230</f>
        <v>4538</v>
      </c>
      <c r="D233" s="759">
        <f t="shared" ref="D233:O233" si="118">+D224+D228+D229+D232+D230</f>
        <v>0</v>
      </c>
      <c r="E233" s="759">
        <f t="shared" si="118"/>
        <v>0</v>
      </c>
      <c r="F233" s="759">
        <f t="shared" si="118"/>
        <v>2801</v>
      </c>
      <c r="G233" s="759">
        <f t="shared" si="118"/>
        <v>0</v>
      </c>
      <c r="H233" s="759">
        <f t="shared" si="118"/>
        <v>0</v>
      </c>
      <c r="I233" s="759">
        <f t="shared" si="118"/>
        <v>0</v>
      </c>
      <c r="J233" s="759">
        <f t="shared" si="118"/>
        <v>7339</v>
      </c>
      <c r="K233" s="759">
        <f t="shared" si="118"/>
        <v>0</v>
      </c>
      <c r="L233" s="759">
        <f t="shared" si="118"/>
        <v>7339</v>
      </c>
      <c r="M233" s="759">
        <f t="shared" si="118"/>
        <v>79955</v>
      </c>
      <c r="N233" s="759">
        <f t="shared" si="118"/>
        <v>228</v>
      </c>
      <c r="O233" s="759">
        <f t="shared" si="118"/>
        <v>87522</v>
      </c>
      <c r="P233" s="1149">
        <f>O234+O235</f>
        <v>87522</v>
      </c>
    </row>
    <row r="234" spans="1:16" ht="17.25" thickTop="1" thickBot="1" x14ac:dyDescent="0.3">
      <c r="A234" s="751"/>
      <c r="B234" s="759" t="s">
        <v>1158</v>
      </c>
      <c r="C234" s="759">
        <f>+C225+C228+C229+C230</f>
        <v>4538</v>
      </c>
      <c r="D234" s="759">
        <f t="shared" ref="D234:O234" si="119">+D225+D228+D229+D230</f>
        <v>0</v>
      </c>
      <c r="E234" s="759">
        <f t="shared" si="119"/>
        <v>0</v>
      </c>
      <c r="F234" s="759">
        <f t="shared" si="119"/>
        <v>2801</v>
      </c>
      <c r="G234" s="759">
        <f t="shared" si="119"/>
        <v>0</v>
      </c>
      <c r="H234" s="759">
        <f t="shared" si="119"/>
        <v>0</v>
      </c>
      <c r="I234" s="759">
        <f t="shared" si="119"/>
        <v>0</v>
      </c>
      <c r="J234" s="759">
        <f t="shared" si="119"/>
        <v>7339</v>
      </c>
      <c r="K234" s="759">
        <f t="shared" si="119"/>
        <v>0</v>
      </c>
      <c r="L234" s="759">
        <f t="shared" si="119"/>
        <v>7339</v>
      </c>
      <c r="M234" s="759">
        <f t="shared" si="119"/>
        <v>77775</v>
      </c>
      <c r="N234" s="759">
        <f t="shared" si="119"/>
        <v>228</v>
      </c>
      <c r="O234" s="759">
        <f t="shared" si="119"/>
        <v>85342</v>
      </c>
    </row>
    <row r="235" spans="1:16" s="1150" customFormat="1" ht="17.25" thickTop="1" thickBot="1" x14ac:dyDescent="0.3">
      <c r="A235" s="751"/>
      <c r="B235" s="759" t="s">
        <v>1159</v>
      </c>
      <c r="C235" s="759">
        <f>+C226+C232</f>
        <v>0</v>
      </c>
      <c r="D235" s="759">
        <f t="shared" ref="D235:O235" si="120">+D226+D232</f>
        <v>0</v>
      </c>
      <c r="E235" s="759">
        <f t="shared" si="120"/>
        <v>0</v>
      </c>
      <c r="F235" s="759">
        <f t="shared" si="120"/>
        <v>0</v>
      </c>
      <c r="G235" s="759">
        <f t="shared" si="120"/>
        <v>0</v>
      </c>
      <c r="H235" s="759">
        <f t="shared" si="120"/>
        <v>0</v>
      </c>
      <c r="I235" s="759">
        <f t="shared" si="120"/>
        <v>0</v>
      </c>
      <c r="J235" s="759">
        <f t="shared" si="120"/>
        <v>0</v>
      </c>
      <c r="K235" s="759">
        <f t="shared" si="120"/>
        <v>0</v>
      </c>
      <c r="L235" s="759">
        <f t="shared" si="120"/>
        <v>0</v>
      </c>
      <c r="M235" s="759">
        <f t="shared" si="120"/>
        <v>2180</v>
      </c>
      <c r="N235" s="759">
        <f t="shared" si="120"/>
        <v>0</v>
      </c>
      <c r="O235" s="759">
        <f t="shared" si="120"/>
        <v>2180</v>
      </c>
    </row>
    <row r="236" spans="1:16" s="1150" customFormat="1" ht="16.5" thickTop="1" x14ac:dyDescent="0.25">
      <c r="A236" s="764" t="s">
        <v>22</v>
      </c>
      <c r="B236" s="754" t="s">
        <v>804</v>
      </c>
      <c r="C236" s="754"/>
      <c r="D236" s="754"/>
      <c r="E236" s="754"/>
      <c r="F236" s="754"/>
      <c r="G236" s="754"/>
      <c r="H236" s="754"/>
      <c r="I236" s="754"/>
      <c r="J236" s="754"/>
      <c r="K236" s="754"/>
      <c r="L236" s="754"/>
      <c r="M236" s="754"/>
      <c r="N236" s="754"/>
      <c r="O236" s="754"/>
    </row>
    <row r="237" spans="1:16" s="1150" customFormat="1" x14ac:dyDescent="0.25">
      <c r="A237" s="764"/>
      <c r="B237" s="754" t="s">
        <v>1125</v>
      </c>
      <c r="C237" s="754">
        <v>14412</v>
      </c>
      <c r="D237" s="754"/>
      <c r="E237" s="754"/>
      <c r="F237" s="754">
        <v>6946</v>
      </c>
      <c r="G237" s="754"/>
      <c r="H237" s="754">
        <v>2514</v>
      </c>
      <c r="I237" s="754"/>
      <c r="J237" s="755">
        <f>SUM(C237+E237+F237+H237)</f>
        <v>23872</v>
      </c>
      <c r="K237" s="755">
        <f>SUM(D237+G237+I237)</f>
        <v>0</v>
      </c>
      <c r="L237" s="755">
        <f>SUM(J237:K237)</f>
        <v>23872</v>
      </c>
      <c r="M237" s="755">
        <v>250052</v>
      </c>
      <c r="N237" s="755">
        <v>1045</v>
      </c>
      <c r="O237" s="755">
        <f>SUM(L237:N237)</f>
        <v>274969</v>
      </c>
    </row>
    <row r="238" spans="1:16" s="1150" customFormat="1" x14ac:dyDescent="0.25">
      <c r="A238" s="756"/>
      <c r="B238" s="757" t="s">
        <v>1155</v>
      </c>
      <c r="C238" s="757">
        <v>14412</v>
      </c>
      <c r="D238" s="757"/>
      <c r="E238" s="757"/>
      <c r="F238" s="757">
        <v>6946</v>
      </c>
      <c r="G238" s="757"/>
      <c r="H238" s="757">
        <v>2514</v>
      </c>
      <c r="I238" s="757"/>
      <c r="J238" s="758">
        <f>SUM(C238+E238+F238+H238)</f>
        <v>23872</v>
      </c>
      <c r="K238" s="758">
        <f>SUM(D238+G238+I238)</f>
        <v>0</v>
      </c>
      <c r="L238" s="758">
        <f>SUM(J238:K238)</f>
        <v>23872</v>
      </c>
      <c r="M238" s="758">
        <v>244386</v>
      </c>
      <c r="N238" s="758">
        <v>1045</v>
      </c>
      <c r="O238" s="758">
        <f>SUM(L238:N238)</f>
        <v>269303</v>
      </c>
    </row>
    <row r="239" spans="1:16" s="1150" customFormat="1" x14ac:dyDescent="0.25">
      <c r="A239" s="756"/>
      <c r="B239" s="757" t="s">
        <v>1156</v>
      </c>
      <c r="C239" s="757"/>
      <c r="D239" s="757"/>
      <c r="E239" s="757"/>
      <c r="F239" s="757"/>
      <c r="G239" s="757"/>
      <c r="H239" s="757"/>
      <c r="I239" s="757"/>
      <c r="J239" s="758">
        <f>SUM(C239+E239+F239+H239)</f>
        <v>0</v>
      </c>
      <c r="K239" s="758">
        <f>SUM(D239+G239+I239)</f>
        <v>0</v>
      </c>
      <c r="L239" s="758">
        <f>SUM(J239:K239)</f>
        <v>0</v>
      </c>
      <c r="M239" s="758">
        <v>5666</v>
      </c>
      <c r="N239" s="758"/>
      <c r="O239" s="758">
        <f>SUM(L239:N239)</f>
        <v>5666</v>
      </c>
    </row>
    <row r="240" spans="1:16" s="1150" customFormat="1" x14ac:dyDescent="0.25">
      <c r="A240" s="756"/>
      <c r="B240" s="757" t="s">
        <v>243</v>
      </c>
      <c r="C240" s="757"/>
      <c r="D240" s="757"/>
      <c r="E240" s="757"/>
      <c r="F240" s="757"/>
      <c r="G240" s="757"/>
      <c r="H240" s="757"/>
      <c r="I240" s="757"/>
      <c r="J240" s="758"/>
      <c r="K240" s="758"/>
      <c r="L240" s="758"/>
      <c r="M240" s="758"/>
      <c r="N240" s="758"/>
      <c r="O240" s="758"/>
    </row>
    <row r="241" spans="1:16" s="1150" customFormat="1" x14ac:dyDescent="0.25">
      <c r="A241" s="756"/>
      <c r="B241" s="954" t="s">
        <v>1407</v>
      </c>
      <c r="C241" s="757"/>
      <c r="D241" s="757"/>
      <c r="E241" s="757"/>
      <c r="F241" s="757"/>
      <c r="G241" s="757"/>
      <c r="H241" s="757"/>
      <c r="I241" s="757"/>
      <c r="J241" s="954">
        <f t="shared" ref="J241:J244" si="121">SUM(C241+E241+F241+H241)</f>
        <v>0</v>
      </c>
      <c r="K241" s="954">
        <f t="shared" ref="K241:K244" si="122">SUM(D241+G241+I241)</f>
        <v>0</v>
      </c>
      <c r="L241" s="954">
        <f t="shared" ref="L241:L244" si="123">SUM(J241:K241)</f>
        <v>0</v>
      </c>
      <c r="M241" s="954">
        <v>12</v>
      </c>
      <c r="N241" s="954"/>
      <c r="O241" s="954">
        <f t="shared" ref="O241:O244" si="124">SUM(L241:N241)</f>
        <v>12</v>
      </c>
    </row>
    <row r="242" spans="1:16" s="1150" customFormat="1" ht="31.5" x14ac:dyDescent="0.25">
      <c r="A242" s="756"/>
      <c r="B242" s="954" t="s">
        <v>1262</v>
      </c>
      <c r="C242" s="954"/>
      <c r="D242" s="757"/>
      <c r="E242" s="757"/>
      <c r="F242" s="757">
        <f>5155+698</f>
        <v>5853</v>
      </c>
      <c r="G242" s="757"/>
      <c r="H242" s="757"/>
      <c r="I242" s="757"/>
      <c r="J242" s="954">
        <f t="shared" si="121"/>
        <v>5853</v>
      </c>
      <c r="K242" s="954">
        <f t="shared" si="122"/>
        <v>0</v>
      </c>
      <c r="L242" s="954">
        <f t="shared" si="123"/>
        <v>5853</v>
      </c>
      <c r="M242" s="954">
        <v>2307</v>
      </c>
      <c r="N242" s="954"/>
      <c r="O242" s="954">
        <f t="shared" si="124"/>
        <v>8160</v>
      </c>
    </row>
    <row r="243" spans="1:16" s="1150" customFormat="1" x14ac:dyDescent="0.25">
      <c r="A243" s="756"/>
      <c r="B243" s="757" t="s">
        <v>244</v>
      </c>
      <c r="C243" s="757"/>
      <c r="D243" s="757"/>
      <c r="E243" s="757"/>
      <c r="F243" s="757"/>
      <c r="G243" s="757"/>
      <c r="H243" s="757"/>
      <c r="I243" s="757"/>
      <c r="J243" s="954"/>
      <c r="K243" s="954"/>
      <c r="L243" s="954"/>
      <c r="M243" s="954"/>
      <c r="N243" s="954"/>
      <c r="O243" s="954"/>
    </row>
    <row r="244" spans="1:16" s="1150" customFormat="1" ht="16.5" thickBot="1" x14ac:dyDescent="0.3">
      <c r="A244" s="756"/>
      <c r="B244" s="813" t="s">
        <v>1408</v>
      </c>
      <c r="C244" s="757"/>
      <c r="D244" s="757"/>
      <c r="E244" s="757"/>
      <c r="F244" s="757"/>
      <c r="G244" s="757"/>
      <c r="H244" s="757"/>
      <c r="I244" s="757"/>
      <c r="J244" s="954">
        <f t="shared" si="121"/>
        <v>0</v>
      </c>
      <c r="K244" s="954">
        <f t="shared" si="122"/>
        <v>0</v>
      </c>
      <c r="L244" s="954">
        <f t="shared" si="123"/>
        <v>0</v>
      </c>
      <c r="M244" s="954">
        <v>1056</v>
      </c>
      <c r="N244" s="954"/>
      <c r="O244" s="954">
        <f t="shared" si="124"/>
        <v>1056</v>
      </c>
    </row>
    <row r="245" spans="1:16" ht="17.25" thickTop="1" thickBot="1" x14ac:dyDescent="0.3">
      <c r="A245" s="751"/>
      <c r="B245" s="759" t="s">
        <v>1157</v>
      </c>
      <c r="C245" s="759">
        <f>+C237+C241+C242+C244</f>
        <v>14412</v>
      </c>
      <c r="D245" s="759">
        <f t="shared" ref="D245:O245" si="125">+D237+D241+D242+D244</f>
        <v>0</v>
      </c>
      <c r="E245" s="759">
        <f t="shared" si="125"/>
        <v>0</v>
      </c>
      <c r="F245" s="759">
        <f t="shared" si="125"/>
        <v>12799</v>
      </c>
      <c r="G245" s="759">
        <f t="shared" si="125"/>
        <v>0</v>
      </c>
      <c r="H245" s="759">
        <f t="shared" si="125"/>
        <v>2514</v>
      </c>
      <c r="I245" s="759">
        <f t="shared" si="125"/>
        <v>0</v>
      </c>
      <c r="J245" s="759">
        <f t="shared" si="125"/>
        <v>29725</v>
      </c>
      <c r="K245" s="759">
        <f t="shared" si="125"/>
        <v>0</v>
      </c>
      <c r="L245" s="759">
        <f t="shared" si="125"/>
        <v>29725</v>
      </c>
      <c r="M245" s="759">
        <f t="shared" si="125"/>
        <v>253427</v>
      </c>
      <c r="N245" s="759">
        <f t="shared" si="125"/>
        <v>1045</v>
      </c>
      <c r="O245" s="759">
        <f t="shared" si="125"/>
        <v>284197</v>
      </c>
      <c r="P245" s="1149">
        <f>O246+O247</f>
        <v>284197</v>
      </c>
    </row>
    <row r="246" spans="1:16" ht="17.25" thickTop="1" thickBot="1" x14ac:dyDescent="0.3">
      <c r="A246" s="751"/>
      <c r="B246" s="759" t="s">
        <v>1158</v>
      </c>
      <c r="C246" s="759">
        <f>+C238+C241+C242</f>
        <v>14412</v>
      </c>
      <c r="D246" s="759">
        <f t="shared" ref="D246:O246" si="126">+D238+D241+D242</f>
        <v>0</v>
      </c>
      <c r="E246" s="759">
        <f t="shared" si="126"/>
        <v>0</v>
      </c>
      <c r="F246" s="759">
        <f t="shared" si="126"/>
        <v>12799</v>
      </c>
      <c r="G246" s="759">
        <f t="shared" si="126"/>
        <v>0</v>
      </c>
      <c r="H246" s="759">
        <f t="shared" si="126"/>
        <v>2514</v>
      </c>
      <c r="I246" s="759">
        <f t="shared" si="126"/>
        <v>0</v>
      </c>
      <c r="J246" s="759">
        <f t="shared" si="126"/>
        <v>29725</v>
      </c>
      <c r="K246" s="759">
        <f t="shared" si="126"/>
        <v>0</v>
      </c>
      <c r="L246" s="759">
        <f t="shared" si="126"/>
        <v>29725</v>
      </c>
      <c r="M246" s="759">
        <f t="shared" si="126"/>
        <v>246705</v>
      </c>
      <c r="N246" s="759">
        <f t="shared" si="126"/>
        <v>1045</v>
      </c>
      <c r="O246" s="759">
        <f t="shared" si="126"/>
        <v>277475</v>
      </c>
    </row>
    <row r="247" spans="1:16" ht="17.25" thickTop="1" thickBot="1" x14ac:dyDescent="0.3">
      <c r="A247" s="751"/>
      <c r="B247" s="759" t="s">
        <v>1159</v>
      </c>
      <c r="C247" s="759">
        <f>+C239+C244</f>
        <v>0</v>
      </c>
      <c r="D247" s="759">
        <f t="shared" ref="D247:O247" si="127">+D239+D244</f>
        <v>0</v>
      </c>
      <c r="E247" s="759">
        <f t="shared" si="127"/>
        <v>0</v>
      </c>
      <c r="F247" s="759">
        <f t="shared" si="127"/>
        <v>0</v>
      </c>
      <c r="G247" s="759">
        <f t="shared" si="127"/>
        <v>0</v>
      </c>
      <c r="H247" s="759">
        <f t="shared" si="127"/>
        <v>0</v>
      </c>
      <c r="I247" s="759">
        <f t="shared" si="127"/>
        <v>0</v>
      </c>
      <c r="J247" s="759">
        <f t="shared" si="127"/>
        <v>0</v>
      </c>
      <c r="K247" s="759">
        <f t="shared" si="127"/>
        <v>0</v>
      </c>
      <c r="L247" s="759">
        <f t="shared" si="127"/>
        <v>0</v>
      </c>
      <c r="M247" s="759">
        <f t="shared" si="127"/>
        <v>6722</v>
      </c>
      <c r="N247" s="759">
        <f t="shared" si="127"/>
        <v>0</v>
      </c>
      <c r="O247" s="759">
        <f t="shared" si="127"/>
        <v>6722</v>
      </c>
    </row>
    <row r="248" spans="1:16" ht="16.5" thickTop="1" x14ac:dyDescent="0.25">
      <c r="A248" s="753" t="s">
        <v>25</v>
      </c>
      <c r="B248" s="754" t="s">
        <v>560</v>
      </c>
      <c r="C248" s="754"/>
      <c r="D248" s="754"/>
      <c r="E248" s="754"/>
      <c r="F248" s="754"/>
      <c r="G248" s="754"/>
      <c r="H248" s="754"/>
      <c r="I248" s="754"/>
      <c r="J248" s="754"/>
      <c r="K248" s="754"/>
      <c r="L248" s="754"/>
      <c r="M248" s="754"/>
      <c r="N248" s="754"/>
      <c r="O248" s="754"/>
    </row>
    <row r="249" spans="1:16" s="1150" customFormat="1" x14ac:dyDescent="0.25">
      <c r="A249" s="753"/>
      <c r="B249" s="755" t="s">
        <v>1125</v>
      </c>
      <c r="C249" s="755">
        <v>9501</v>
      </c>
      <c r="D249" s="755"/>
      <c r="E249" s="755"/>
      <c r="F249" s="755">
        <v>10675</v>
      </c>
      <c r="G249" s="755"/>
      <c r="H249" s="755">
        <v>838</v>
      </c>
      <c r="I249" s="755"/>
      <c r="J249" s="755">
        <f>SUM(C249+E249+F249+H249)</f>
        <v>21014</v>
      </c>
      <c r="K249" s="755">
        <f>SUM(D249+G249+I249)</f>
        <v>0</v>
      </c>
      <c r="L249" s="755">
        <f>SUM(J249:K249)</f>
        <v>21014</v>
      </c>
      <c r="M249" s="755">
        <v>176325</v>
      </c>
      <c r="N249" s="755">
        <v>641</v>
      </c>
      <c r="O249" s="755">
        <f>SUM(L249:N249)</f>
        <v>197980</v>
      </c>
    </row>
    <row r="250" spans="1:16" s="1150" customFormat="1" x14ac:dyDescent="0.25">
      <c r="A250" s="756"/>
      <c r="B250" s="757" t="s">
        <v>1155</v>
      </c>
      <c r="C250" s="757">
        <v>9501</v>
      </c>
      <c r="D250" s="757"/>
      <c r="E250" s="757"/>
      <c r="F250" s="757">
        <v>10675</v>
      </c>
      <c r="G250" s="757"/>
      <c r="H250" s="757">
        <v>838</v>
      </c>
      <c r="I250" s="770"/>
      <c r="J250" s="767">
        <f>SUM(C250+E250+F250+H250)</f>
        <v>21014</v>
      </c>
      <c r="K250" s="767">
        <f>SUM(D250+G250+I250)</f>
        <v>0</v>
      </c>
      <c r="L250" s="758">
        <f>SUM(J250:K250)</f>
        <v>21014</v>
      </c>
      <c r="M250" s="758">
        <v>172455</v>
      </c>
      <c r="N250" s="758">
        <v>641</v>
      </c>
      <c r="O250" s="758">
        <f>SUM(L250:N250)</f>
        <v>194110</v>
      </c>
    </row>
    <row r="251" spans="1:16" s="1150" customFormat="1" x14ac:dyDescent="0.25">
      <c r="A251" s="756"/>
      <c r="B251" s="757" t="s">
        <v>1156</v>
      </c>
      <c r="C251" s="757"/>
      <c r="D251" s="757"/>
      <c r="E251" s="757"/>
      <c r="F251" s="757"/>
      <c r="G251" s="757"/>
      <c r="H251" s="757"/>
      <c r="I251" s="770"/>
      <c r="J251" s="770">
        <f>SUM(C251+E251+F251+H251)</f>
        <v>0</v>
      </c>
      <c r="K251" s="770">
        <f>SUM(D251+G251+I251)</f>
        <v>0</v>
      </c>
      <c r="L251" s="757">
        <f>SUM(J251:K251)</f>
        <v>0</v>
      </c>
      <c r="M251" s="757">
        <v>3870</v>
      </c>
      <c r="N251" s="757"/>
      <c r="O251" s="757">
        <f>SUM(L251:N251)</f>
        <v>3870</v>
      </c>
    </row>
    <row r="252" spans="1:16" s="1150" customFormat="1" x14ac:dyDescent="0.25">
      <c r="A252" s="756"/>
      <c r="B252" s="757" t="s">
        <v>243</v>
      </c>
      <c r="C252" s="757"/>
      <c r="D252" s="757"/>
      <c r="E252" s="757"/>
      <c r="F252" s="757"/>
      <c r="G252" s="757"/>
      <c r="H252" s="757"/>
      <c r="I252" s="770"/>
      <c r="J252" s="767"/>
      <c r="K252" s="767"/>
      <c r="L252" s="758"/>
      <c r="M252" s="758"/>
      <c r="N252" s="758"/>
      <c r="O252" s="758"/>
    </row>
    <row r="253" spans="1:16" s="1150" customFormat="1" x14ac:dyDescent="0.25">
      <c r="A253" s="756"/>
      <c r="B253" s="954" t="s">
        <v>1407</v>
      </c>
      <c r="C253" s="757"/>
      <c r="D253" s="757"/>
      <c r="E253" s="757"/>
      <c r="F253" s="757"/>
      <c r="G253" s="757"/>
      <c r="H253" s="757"/>
      <c r="I253" s="770"/>
      <c r="J253" s="956">
        <f t="shared" ref="J253:J256" si="128">SUM(C253+E253+F253+H253)</f>
        <v>0</v>
      </c>
      <c r="K253" s="956">
        <f t="shared" ref="K253:K256" si="129">SUM(D253+G253+I253)</f>
        <v>0</v>
      </c>
      <c r="L253" s="954">
        <f t="shared" ref="L253:L256" si="130">SUM(J253:K253)</f>
        <v>0</v>
      </c>
      <c r="M253" s="954">
        <v>20</v>
      </c>
      <c r="N253" s="954"/>
      <c r="O253" s="954">
        <f t="shared" ref="O253:O256" si="131">SUM(L253:N253)</f>
        <v>20</v>
      </c>
    </row>
    <row r="254" spans="1:16" s="1150" customFormat="1" ht="31.5" x14ac:dyDescent="0.25">
      <c r="A254" s="756"/>
      <c r="B254" s="954" t="s">
        <v>1262</v>
      </c>
      <c r="C254" s="954">
        <v>3162</v>
      </c>
      <c r="D254" s="757"/>
      <c r="E254" s="757"/>
      <c r="F254" s="757">
        <v>149</v>
      </c>
      <c r="G254" s="757"/>
      <c r="H254" s="757"/>
      <c r="I254" s="770"/>
      <c r="J254" s="956">
        <f t="shared" si="128"/>
        <v>3311</v>
      </c>
      <c r="K254" s="956">
        <f t="shared" si="129"/>
        <v>0</v>
      </c>
      <c r="L254" s="954">
        <f t="shared" si="130"/>
        <v>3311</v>
      </c>
      <c r="M254" s="954"/>
      <c r="N254" s="954"/>
      <c r="O254" s="954">
        <f t="shared" si="131"/>
        <v>3311</v>
      </c>
    </row>
    <row r="255" spans="1:16" s="1150" customFormat="1" x14ac:dyDescent="0.25">
      <c r="A255" s="756"/>
      <c r="B255" s="757" t="s">
        <v>244</v>
      </c>
      <c r="C255" s="757"/>
      <c r="D255" s="757"/>
      <c r="E255" s="757"/>
      <c r="F255" s="757"/>
      <c r="G255" s="757"/>
      <c r="H255" s="757"/>
      <c r="I255" s="770"/>
      <c r="J255" s="956"/>
      <c r="K255" s="956"/>
      <c r="L255" s="954"/>
      <c r="M255" s="954"/>
      <c r="N255" s="954"/>
      <c r="O255" s="954"/>
    </row>
    <row r="256" spans="1:16" ht="16.5" thickBot="1" x14ac:dyDescent="0.3">
      <c r="A256" s="756"/>
      <c r="B256" s="813" t="s">
        <v>1408</v>
      </c>
      <c r="C256" s="757"/>
      <c r="D256" s="757"/>
      <c r="E256" s="757"/>
      <c r="F256" s="757"/>
      <c r="G256" s="757"/>
      <c r="H256" s="757"/>
      <c r="I256" s="770"/>
      <c r="J256" s="956">
        <f t="shared" si="128"/>
        <v>0</v>
      </c>
      <c r="K256" s="956">
        <f t="shared" si="129"/>
        <v>0</v>
      </c>
      <c r="L256" s="954">
        <f t="shared" si="130"/>
        <v>0</v>
      </c>
      <c r="M256" s="954">
        <v>703</v>
      </c>
      <c r="N256" s="954"/>
      <c r="O256" s="954">
        <f t="shared" si="131"/>
        <v>703</v>
      </c>
    </row>
    <row r="257" spans="1:16" ht="17.25" thickTop="1" thickBot="1" x14ac:dyDescent="0.3">
      <c r="A257" s="751"/>
      <c r="B257" s="759" t="s">
        <v>1157</v>
      </c>
      <c r="C257" s="759">
        <f>+C249+C253+C254+C256</f>
        <v>12663</v>
      </c>
      <c r="D257" s="759">
        <f t="shared" ref="D257:O257" si="132">+D249+D253+D254+D256</f>
        <v>0</v>
      </c>
      <c r="E257" s="759">
        <f t="shared" si="132"/>
        <v>0</v>
      </c>
      <c r="F257" s="759">
        <f t="shared" si="132"/>
        <v>10824</v>
      </c>
      <c r="G257" s="759">
        <f t="shared" si="132"/>
        <v>0</v>
      </c>
      <c r="H257" s="759">
        <f t="shared" si="132"/>
        <v>838</v>
      </c>
      <c r="I257" s="759">
        <f t="shared" si="132"/>
        <v>0</v>
      </c>
      <c r="J257" s="759">
        <f t="shared" si="132"/>
        <v>24325</v>
      </c>
      <c r="K257" s="759">
        <f t="shared" si="132"/>
        <v>0</v>
      </c>
      <c r="L257" s="759">
        <f t="shared" si="132"/>
        <v>24325</v>
      </c>
      <c r="M257" s="759">
        <f t="shared" si="132"/>
        <v>177048</v>
      </c>
      <c r="N257" s="759">
        <f t="shared" si="132"/>
        <v>641</v>
      </c>
      <c r="O257" s="759">
        <f t="shared" si="132"/>
        <v>202014</v>
      </c>
      <c r="P257" s="1149">
        <f>O258+O259</f>
        <v>202014</v>
      </c>
    </row>
    <row r="258" spans="1:16" ht="17.25" thickTop="1" thickBot="1" x14ac:dyDescent="0.3">
      <c r="A258" s="751"/>
      <c r="B258" s="759" t="s">
        <v>1158</v>
      </c>
      <c r="C258" s="759">
        <f>+C250+C253+C254</f>
        <v>12663</v>
      </c>
      <c r="D258" s="759">
        <f t="shared" ref="D258:O258" si="133">+D250+D253+D254</f>
        <v>0</v>
      </c>
      <c r="E258" s="759">
        <f t="shared" si="133"/>
        <v>0</v>
      </c>
      <c r="F258" s="759">
        <f t="shared" si="133"/>
        <v>10824</v>
      </c>
      <c r="G258" s="759">
        <f t="shared" si="133"/>
        <v>0</v>
      </c>
      <c r="H258" s="759">
        <f t="shared" si="133"/>
        <v>838</v>
      </c>
      <c r="I258" s="759">
        <f t="shared" si="133"/>
        <v>0</v>
      </c>
      <c r="J258" s="759">
        <f t="shared" si="133"/>
        <v>24325</v>
      </c>
      <c r="K258" s="759">
        <f t="shared" si="133"/>
        <v>0</v>
      </c>
      <c r="L258" s="759">
        <f t="shared" si="133"/>
        <v>24325</v>
      </c>
      <c r="M258" s="759">
        <f t="shared" si="133"/>
        <v>172475</v>
      </c>
      <c r="N258" s="759">
        <f t="shared" si="133"/>
        <v>641</v>
      </c>
      <c r="O258" s="759">
        <f t="shared" si="133"/>
        <v>197441</v>
      </c>
    </row>
    <row r="259" spans="1:16" ht="17.25" thickTop="1" thickBot="1" x14ac:dyDescent="0.3">
      <c r="A259" s="751"/>
      <c r="B259" s="759" t="s">
        <v>1159</v>
      </c>
      <c r="C259" s="759">
        <f>+C251+C256</f>
        <v>0</v>
      </c>
      <c r="D259" s="759">
        <f t="shared" ref="D259:O259" si="134">+D251+D256</f>
        <v>0</v>
      </c>
      <c r="E259" s="759">
        <f t="shared" si="134"/>
        <v>0</v>
      </c>
      <c r="F259" s="759">
        <f t="shared" si="134"/>
        <v>0</v>
      </c>
      <c r="G259" s="759">
        <f t="shared" si="134"/>
        <v>0</v>
      </c>
      <c r="H259" s="759">
        <f t="shared" si="134"/>
        <v>0</v>
      </c>
      <c r="I259" s="759">
        <f t="shared" si="134"/>
        <v>0</v>
      </c>
      <c r="J259" s="759">
        <f t="shared" si="134"/>
        <v>0</v>
      </c>
      <c r="K259" s="759">
        <f t="shared" si="134"/>
        <v>0</v>
      </c>
      <c r="L259" s="759">
        <f t="shared" si="134"/>
        <v>0</v>
      </c>
      <c r="M259" s="759">
        <f t="shared" si="134"/>
        <v>4573</v>
      </c>
      <c r="N259" s="759">
        <f t="shared" si="134"/>
        <v>0</v>
      </c>
      <c r="O259" s="759">
        <f t="shared" si="134"/>
        <v>4573</v>
      </c>
    </row>
    <row r="260" spans="1:16" s="1150" customFormat="1" ht="16.5" thickTop="1" x14ac:dyDescent="0.25">
      <c r="A260" s="764" t="s">
        <v>26</v>
      </c>
      <c r="B260" s="771" t="s">
        <v>92</v>
      </c>
      <c r="C260" s="771"/>
      <c r="D260" s="771"/>
      <c r="E260" s="771"/>
      <c r="F260" s="771"/>
      <c r="G260" s="771"/>
      <c r="H260" s="771"/>
      <c r="I260" s="771"/>
      <c r="J260" s="771"/>
      <c r="K260" s="771"/>
      <c r="L260" s="771"/>
      <c r="M260" s="771"/>
      <c r="N260" s="771"/>
      <c r="O260" s="771"/>
    </row>
    <row r="261" spans="1:16" s="1150" customFormat="1" x14ac:dyDescent="0.25">
      <c r="A261" s="753"/>
      <c r="B261" s="754" t="s">
        <v>1125</v>
      </c>
      <c r="C261" s="754">
        <v>14453</v>
      </c>
      <c r="D261" s="754"/>
      <c r="E261" s="754"/>
      <c r="F261" s="754">
        <v>5856</v>
      </c>
      <c r="G261" s="754"/>
      <c r="H261" s="754"/>
      <c r="I261" s="754"/>
      <c r="J261" s="766">
        <f>SUM(C261+E261+F261+H261)</f>
        <v>20309</v>
      </c>
      <c r="K261" s="766">
        <f>SUM(D261+G261+I261)</f>
        <v>0</v>
      </c>
      <c r="L261" s="755">
        <f>SUM(J261:K261)</f>
        <v>20309</v>
      </c>
      <c r="M261" s="755">
        <v>199235</v>
      </c>
      <c r="N261" s="766">
        <v>394</v>
      </c>
      <c r="O261" s="755">
        <f>SUM(L261:N261)</f>
        <v>219938</v>
      </c>
    </row>
    <row r="262" spans="1:16" s="1150" customFormat="1" x14ac:dyDescent="0.25">
      <c r="A262" s="761"/>
      <c r="B262" s="762" t="s">
        <v>1155</v>
      </c>
      <c r="C262" s="762">
        <v>14453</v>
      </c>
      <c r="D262" s="762"/>
      <c r="E262" s="762"/>
      <c r="F262" s="762">
        <v>5856</v>
      </c>
      <c r="G262" s="762"/>
      <c r="H262" s="762"/>
      <c r="I262" s="772"/>
      <c r="J262" s="773">
        <f>SUM(C262+E262+F262+H262)</f>
        <v>20309</v>
      </c>
      <c r="K262" s="773">
        <f>SUM(D262+G262+I262)</f>
        <v>0</v>
      </c>
      <c r="L262" s="763">
        <f>SUM(J262:K262)</f>
        <v>20309</v>
      </c>
      <c r="M262" s="763">
        <v>194553</v>
      </c>
      <c r="N262" s="773">
        <v>394</v>
      </c>
      <c r="O262" s="763">
        <f>SUM(L262:N262)</f>
        <v>215256</v>
      </c>
    </row>
    <row r="263" spans="1:16" s="1150" customFormat="1" x14ac:dyDescent="0.25">
      <c r="A263" s="761"/>
      <c r="B263" s="762" t="s">
        <v>1156</v>
      </c>
      <c r="C263" s="762"/>
      <c r="D263" s="762"/>
      <c r="E263" s="762"/>
      <c r="F263" s="762"/>
      <c r="G263" s="762"/>
      <c r="H263" s="762"/>
      <c r="I263" s="772"/>
      <c r="J263" s="772">
        <f>SUM(C263+E263+F263+H263)</f>
        <v>0</v>
      </c>
      <c r="K263" s="772">
        <f>SUM(D263+G263+I263)</f>
        <v>0</v>
      </c>
      <c r="L263" s="762">
        <f>SUM(J263:K263)</f>
        <v>0</v>
      </c>
      <c r="M263" s="762">
        <v>4682</v>
      </c>
      <c r="N263" s="772"/>
      <c r="O263" s="762">
        <f>SUM(L263:N263)</f>
        <v>4682</v>
      </c>
    </row>
    <row r="264" spans="1:16" s="1150" customFormat="1" x14ac:dyDescent="0.25">
      <c r="A264" s="761"/>
      <c r="B264" s="762" t="s">
        <v>243</v>
      </c>
      <c r="C264" s="762"/>
      <c r="D264" s="762"/>
      <c r="E264" s="762"/>
      <c r="F264" s="762"/>
      <c r="G264" s="762"/>
      <c r="H264" s="762"/>
      <c r="I264" s="772"/>
      <c r="J264" s="773"/>
      <c r="K264" s="773"/>
      <c r="L264" s="763"/>
      <c r="M264" s="763"/>
      <c r="N264" s="773"/>
      <c r="O264" s="763"/>
    </row>
    <row r="265" spans="1:16" s="1150" customFormat="1" x14ac:dyDescent="0.25">
      <c r="A265" s="761"/>
      <c r="B265" s="954" t="s">
        <v>1407</v>
      </c>
      <c r="C265" s="762"/>
      <c r="D265" s="762"/>
      <c r="E265" s="762"/>
      <c r="F265" s="762"/>
      <c r="G265" s="762"/>
      <c r="H265" s="762"/>
      <c r="I265" s="772"/>
      <c r="J265" s="957">
        <f t="shared" ref="J265:J269" si="135">SUM(C265+E265+F265+H265)</f>
        <v>0</v>
      </c>
      <c r="K265" s="957">
        <f t="shared" ref="K265:K269" si="136">SUM(D265+G265+I265)</f>
        <v>0</v>
      </c>
      <c r="L265" s="955">
        <f t="shared" ref="L265:L269" si="137">SUM(J265:K265)</f>
        <v>0</v>
      </c>
      <c r="M265" s="955">
        <v>36</v>
      </c>
      <c r="N265" s="957"/>
      <c r="O265" s="955">
        <f t="shared" ref="O265:O269" si="138">SUM(L265:N265)</f>
        <v>36</v>
      </c>
    </row>
    <row r="266" spans="1:16" s="1150" customFormat="1" ht="31.5" x14ac:dyDescent="0.25">
      <c r="A266" s="761"/>
      <c r="B266" s="954" t="s">
        <v>1209</v>
      </c>
      <c r="C266" s="955"/>
      <c r="D266" s="762"/>
      <c r="E266" s="762"/>
      <c r="F266" s="762"/>
      <c r="G266" s="762"/>
      <c r="H266" s="762"/>
      <c r="I266" s="772"/>
      <c r="J266" s="957">
        <f t="shared" si="135"/>
        <v>0</v>
      </c>
      <c r="K266" s="957">
        <f t="shared" si="136"/>
        <v>0</v>
      </c>
      <c r="L266" s="955">
        <f t="shared" si="137"/>
        <v>0</v>
      </c>
      <c r="M266" s="955">
        <v>164</v>
      </c>
      <c r="N266" s="957"/>
      <c r="O266" s="955">
        <f t="shared" si="138"/>
        <v>164</v>
      </c>
    </row>
    <row r="267" spans="1:16" s="1150" customFormat="1" ht="31.5" x14ac:dyDescent="0.25">
      <c r="A267" s="761"/>
      <c r="B267" s="954" t="s">
        <v>1262</v>
      </c>
      <c r="C267" s="955"/>
      <c r="D267" s="762"/>
      <c r="E267" s="762"/>
      <c r="F267" s="762">
        <v>2384</v>
      </c>
      <c r="G267" s="762"/>
      <c r="H267" s="762"/>
      <c r="I267" s="772"/>
      <c r="J267" s="957">
        <f t="shared" si="135"/>
        <v>2384</v>
      </c>
      <c r="K267" s="957">
        <f t="shared" si="136"/>
        <v>0</v>
      </c>
      <c r="L267" s="955">
        <f t="shared" si="137"/>
        <v>2384</v>
      </c>
      <c r="M267" s="955"/>
      <c r="N267" s="957"/>
      <c r="O267" s="955">
        <f t="shared" si="138"/>
        <v>2384</v>
      </c>
    </row>
    <row r="268" spans="1:16" s="1150" customFormat="1" x14ac:dyDescent="0.25">
      <c r="A268" s="761"/>
      <c r="B268" s="762" t="s">
        <v>244</v>
      </c>
      <c r="C268" s="762"/>
      <c r="D268" s="762"/>
      <c r="E268" s="762"/>
      <c r="F268" s="762"/>
      <c r="G268" s="762"/>
      <c r="H268" s="762"/>
      <c r="I268" s="772"/>
      <c r="J268" s="957"/>
      <c r="K268" s="957"/>
      <c r="L268" s="955"/>
      <c r="M268" s="955"/>
      <c r="N268" s="957"/>
      <c r="O268" s="955"/>
    </row>
    <row r="269" spans="1:16" s="1150" customFormat="1" ht="16.5" thickBot="1" x14ac:dyDescent="0.3">
      <c r="A269" s="761"/>
      <c r="B269" s="813" t="s">
        <v>1408</v>
      </c>
      <c r="C269" s="762"/>
      <c r="D269" s="762"/>
      <c r="E269" s="762"/>
      <c r="F269" s="762"/>
      <c r="G269" s="762"/>
      <c r="H269" s="762"/>
      <c r="I269" s="772"/>
      <c r="J269" s="957">
        <f t="shared" si="135"/>
        <v>0</v>
      </c>
      <c r="K269" s="957">
        <f t="shared" si="136"/>
        <v>0</v>
      </c>
      <c r="L269" s="955">
        <f t="shared" si="137"/>
        <v>0</v>
      </c>
      <c r="M269" s="955">
        <v>876</v>
      </c>
      <c r="N269" s="957"/>
      <c r="O269" s="955">
        <f t="shared" si="138"/>
        <v>876</v>
      </c>
    </row>
    <row r="270" spans="1:16" ht="17.25" thickTop="1" thickBot="1" x14ac:dyDescent="0.3">
      <c r="A270" s="751"/>
      <c r="B270" s="759" t="s">
        <v>1157</v>
      </c>
      <c r="C270" s="759">
        <f>+C261+C265+C266+C269+C267</f>
        <v>14453</v>
      </c>
      <c r="D270" s="759">
        <f t="shared" ref="D270:O270" si="139">+D261+D265+D266+D269+D267</f>
        <v>0</v>
      </c>
      <c r="E270" s="759">
        <f t="shared" si="139"/>
        <v>0</v>
      </c>
      <c r="F270" s="759">
        <f t="shared" si="139"/>
        <v>8240</v>
      </c>
      <c r="G270" s="759">
        <f t="shared" si="139"/>
        <v>0</v>
      </c>
      <c r="H270" s="759">
        <f t="shared" si="139"/>
        <v>0</v>
      </c>
      <c r="I270" s="759">
        <f t="shared" si="139"/>
        <v>0</v>
      </c>
      <c r="J270" s="759">
        <f t="shared" si="139"/>
        <v>22693</v>
      </c>
      <c r="K270" s="759">
        <f t="shared" si="139"/>
        <v>0</v>
      </c>
      <c r="L270" s="759">
        <f t="shared" si="139"/>
        <v>22693</v>
      </c>
      <c r="M270" s="759">
        <f t="shared" si="139"/>
        <v>200311</v>
      </c>
      <c r="N270" s="759">
        <f t="shared" si="139"/>
        <v>394</v>
      </c>
      <c r="O270" s="759">
        <f t="shared" si="139"/>
        <v>223398</v>
      </c>
      <c r="P270" s="1149">
        <f>O271+O272</f>
        <v>223398</v>
      </c>
    </row>
    <row r="271" spans="1:16" ht="17.25" thickTop="1" thickBot="1" x14ac:dyDescent="0.3">
      <c r="A271" s="751"/>
      <c r="B271" s="759" t="s">
        <v>1158</v>
      </c>
      <c r="C271" s="759">
        <f>+C262+C265+C266+C267</f>
        <v>14453</v>
      </c>
      <c r="D271" s="759">
        <f t="shared" ref="D271:O271" si="140">+D262+D265+D266+D267</f>
        <v>0</v>
      </c>
      <c r="E271" s="759">
        <f t="shared" si="140"/>
        <v>0</v>
      </c>
      <c r="F271" s="759">
        <f t="shared" si="140"/>
        <v>8240</v>
      </c>
      <c r="G271" s="759">
        <f t="shared" si="140"/>
        <v>0</v>
      </c>
      <c r="H271" s="759">
        <f t="shared" si="140"/>
        <v>0</v>
      </c>
      <c r="I271" s="759">
        <f t="shared" si="140"/>
        <v>0</v>
      </c>
      <c r="J271" s="759">
        <f t="shared" si="140"/>
        <v>22693</v>
      </c>
      <c r="K271" s="759">
        <f t="shared" si="140"/>
        <v>0</v>
      </c>
      <c r="L271" s="759">
        <f t="shared" si="140"/>
        <v>22693</v>
      </c>
      <c r="M271" s="759">
        <f t="shared" si="140"/>
        <v>194753</v>
      </c>
      <c r="N271" s="759">
        <f t="shared" si="140"/>
        <v>394</v>
      </c>
      <c r="O271" s="759">
        <f t="shared" si="140"/>
        <v>217840</v>
      </c>
    </row>
    <row r="272" spans="1:16" ht="17.25" thickTop="1" thickBot="1" x14ac:dyDescent="0.3">
      <c r="A272" s="751"/>
      <c r="B272" s="759" t="s">
        <v>1159</v>
      </c>
      <c r="C272" s="759">
        <f>+C263+C269</f>
        <v>0</v>
      </c>
      <c r="D272" s="759">
        <f t="shared" ref="D272:O272" si="141">+D263+D269</f>
        <v>0</v>
      </c>
      <c r="E272" s="759">
        <f t="shared" si="141"/>
        <v>0</v>
      </c>
      <c r="F272" s="759">
        <f t="shared" si="141"/>
        <v>0</v>
      </c>
      <c r="G272" s="759">
        <f t="shared" si="141"/>
        <v>0</v>
      </c>
      <c r="H272" s="759">
        <f t="shared" si="141"/>
        <v>0</v>
      </c>
      <c r="I272" s="759">
        <f t="shared" si="141"/>
        <v>0</v>
      </c>
      <c r="J272" s="759">
        <f t="shared" si="141"/>
        <v>0</v>
      </c>
      <c r="K272" s="759">
        <f t="shared" si="141"/>
        <v>0</v>
      </c>
      <c r="L272" s="759">
        <f t="shared" si="141"/>
        <v>0</v>
      </c>
      <c r="M272" s="759">
        <f t="shared" si="141"/>
        <v>5558</v>
      </c>
      <c r="N272" s="759">
        <f t="shared" si="141"/>
        <v>0</v>
      </c>
      <c r="O272" s="759">
        <f t="shared" si="141"/>
        <v>5558</v>
      </c>
    </row>
    <row r="273" spans="1:16" ht="17.25" thickTop="1" thickBot="1" x14ac:dyDescent="0.3">
      <c r="A273" s="751"/>
      <c r="B273" s="759" t="s">
        <v>561</v>
      </c>
      <c r="C273" s="759">
        <f t="shared" ref="C273:O273" si="142">SUM(C133+C145+C158+C171+C183+C195+C208+C220+C233+C245+C257+C270)</f>
        <v>138492</v>
      </c>
      <c r="D273" s="759">
        <f t="shared" si="142"/>
        <v>0</v>
      </c>
      <c r="E273" s="759">
        <f t="shared" si="142"/>
        <v>0</v>
      </c>
      <c r="F273" s="759">
        <f t="shared" si="142"/>
        <v>135831</v>
      </c>
      <c r="G273" s="759">
        <f t="shared" si="142"/>
        <v>0</v>
      </c>
      <c r="H273" s="759">
        <f t="shared" si="142"/>
        <v>3352</v>
      </c>
      <c r="I273" s="759">
        <f t="shared" si="142"/>
        <v>0</v>
      </c>
      <c r="J273" s="759">
        <f t="shared" si="142"/>
        <v>277675</v>
      </c>
      <c r="K273" s="759">
        <f t="shared" si="142"/>
        <v>0</v>
      </c>
      <c r="L273" s="759">
        <f t="shared" si="142"/>
        <v>277675</v>
      </c>
      <c r="M273" s="759">
        <f t="shared" si="142"/>
        <v>2443290</v>
      </c>
      <c r="N273" s="759">
        <f t="shared" si="142"/>
        <v>14792</v>
      </c>
      <c r="O273" s="759">
        <f t="shared" si="142"/>
        <v>2735757</v>
      </c>
    </row>
    <row r="274" spans="1:16" ht="17.25" thickTop="1" thickBot="1" x14ac:dyDescent="0.3">
      <c r="A274" s="751"/>
      <c r="B274" s="759" t="s">
        <v>562</v>
      </c>
      <c r="C274" s="759">
        <f t="shared" ref="C274:O274" si="143">SUM(C31+C123+C273)</f>
        <v>652364</v>
      </c>
      <c r="D274" s="759">
        <f t="shared" si="143"/>
        <v>0</v>
      </c>
      <c r="E274" s="759">
        <f t="shared" si="143"/>
        <v>0</v>
      </c>
      <c r="F274" s="759">
        <f t="shared" si="143"/>
        <v>229391</v>
      </c>
      <c r="G274" s="759">
        <f t="shared" si="143"/>
        <v>0</v>
      </c>
      <c r="H274" s="759">
        <f t="shared" si="143"/>
        <v>3352</v>
      </c>
      <c r="I274" s="759">
        <f t="shared" si="143"/>
        <v>0</v>
      </c>
      <c r="J274" s="759">
        <f t="shared" si="143"/>
        <v>885107</v>
      </c>
      <c r="K274" s="759">
        <f t="shared" si="143"/>
        <v>0</v>
      </c>
      <c r="L274" s="759">
        <f t="shared" si="143"/>
        <v>885107</v>
      </c>
      <c r="M274" s="759">
        <f t="shared" si="143"/>
        <v>3197156</v>
      </c>
      <c r="N274" s="759">
        <f t="shared" si="143"/>
        <v>94409</v>
      </c>
      <c r="O274" s="759">
        <f t="shared" si="143"/>
        <v>4176672</v>
      </c>
    </row>
    <row r="275" spans="1:16" s="1150" customFormat="1" ht="16.5" thickTop="1" x14ac:dyDescent="0.25">
      <c r="A275" s="753" t="s">
        <v>28</v>
      </c>
      <c r="B275" s="754" t="s">
        <v>93</v>
      </c>
      <c r="C275" s="754"/>
      <c r="D275" s="754"/>
      <c r="E275" s="754"/>
      <c r="F275" s="754"/>
      <c r="G275" s="754"/>
      <c r="H275" s="754"/>
      <c r="I275" s="754"/>
      <c r="J275" s="754"/>
      <c r="K275" s="754"/>
      <c r="L275" s="754"/>
      <c r="M275" s="754"/>
      <c r="N275" s="754"/>
      <c r="O275" s="754"/>
    </row>
    <row r="276" spans="1:16" s="1150" customFormat="1" x14ac:dyDescent="0.25">
      <c r="A276" s="753"/>
      <c r="B276" s="755" t="s">
        <v>1125</v>
      </c>
      <c r="C276" s="755">
        <v>55675</v>
      </c>
      <c r="D276" s="755"/>
      <c r="E276" s="755"/>
      <c r="F276" s="755">
        <v>319743</v>
      </c>
      <c r="G276" s="755"/>
      <c r="H276" s="755"/>
      <c r="I276" s="755"/>
      <c r="J276" s="766">
        <f>SUM(C276+E276+F276+H276)</f>
        <v>375418</v>
      </c>
      <c r="K276" s="766">
        <f>SUM(D276+G276+I276)</f>
        <v>0</v>
      </c>
      <c r="L276" s="755">
        <f>SUM(J276:K276)</f>
        <v>375418</v>
      </c>
      <c r="M276" s="755">
        <v>679362</v>
      </c>
      <c r="N276" s="766">
        <v>7996</v>
      </c>
      <c r="O276" s="755">
        <f>SUM(L276:N276)</f>
        <v>1062776</v>
      </c>
    </row>
    <row r="277" spans="1:16" s="1150" customFormat="1" x14ac:dyDescent="0.25">
      <c r="A277" s="756"/>
      <c r="B277" s="757" t="s">
        <v>1155</v>
      </c>
      <c r="C277" s="757">
        <v>55675</v>
      </c>
      <c r="D277" s="757"/>
      <c r="E277" s="757"/>
      <c r="F277" s="757">
        <v>319743</v>
      </c>
      <c r="G277" s="757"/>
      <c r="H277" s="757"/>
      <c r="I277" s="770"/>
      <c r="J277" s="767">
        <f>SUM(C277+E277+F277+H277)</f>
        <v>375418</v>
      </c>
      <c r="K277" s="767">
        <f>SUM(D277+G277+I277)</f>
        <v>0</v>
      </c>
      <c r="L277" s="758">
        <f>SUM(J277:K277)</f>
        <v>375418</v>
      </c>
      <c r="M277" s="758">
        <v>655879</v>
      </c>
      <c r="N277" s="767">
        <v>7996</v>
      </c>
      <c r="O277" s="758">
        <f>SUM(L277:N277)</f>
        <v>1039293</v>
      </c>
    </row>
    <row r="278" spans="1:16" s="1150" customFormat="1" x14ac:dyDescent="0.25">
      <c r="A278" s="756"/>
      <c r="B278" s="757" t="s">
        <v>1156</v>
      </c>
      <c r="C278" s="757"/>
      <c r="D278" s="757"/>
      <c r="E278" s="757"/>
      <c r="F278" s="757"/>
      <c r="G278" s="757"/>
      <c r="H278" s="757"/>
      <c r="I278" s="770"/>
      <c r="J278" s="770">
        <f>SUM(C278+E278+F278+H278)</f>
        <v>0</v>
      </c>
      <c r="K278" s="770">
        <f>SUM(D278+G278+I278)</f>
        <v>0</v>
      </c>
      <c r="L278" s="757">
        <f>SUM(J278:K278)</f>
        <v>0</v>
      </c>
      <c r="M278" s="757">
        <v>23483</v>
      </c>
      <c r="N278" s="770"/>
      <c r="O278" s="757">
        <f>SUM(L278:N278)</f>
        <v>23483</v>
      </c>
    </row>
    <row r="279" spans="1:16" s="1150" customFormat="1" x14ac:dyDescent="0.25">
      <c r="A279" s="756"/>
      <c r="B279" s="757" t="s">
        <v>243</v>
      </c>
      <c r="C279" s="757"/>
      <c r="D279" s="757"/>
      <c r="E279" s="757"/>
      <c r="F279" s="757"/>
      <c r="G279" s="757"/>
      <c r="H279" s="757"/>
      <c r="I279" s="770"/>
      <c r="J279" s="770"/>
      <c r="K279" s="770"/>
      <c r="L279" s="757"/>
      <c r="M279" s="758"/>
      <c r="N279" s="767"/>
      <c r="O279" s="757"/>
    </row>
    <row r="280" spans="1:16" s="1150" customFormat="1" x14ac:dyDescent="0.25">
      <c r="A280" s="756"/>
      <c r="B280" s="954" t="s">
        <v>1407</v>
      </c>
      <c r="C280" s="757"/>
      <c r="D280" s="757"/>
      <c r="E280" s="757"/>
      <c r="F280" s="757"/>
      <c r="G280" s="757"/>
      <c r="H280" s="757"/>
      <c r="I280" s="770"/>
      <c r="J280" s="956">
        <f t="shared" ref="J280:J287" si="144">SUM(C280+E280+F280+H280)</f>
        <v>0</v>
      </c>
      <c r="K280" s="956">
        <f t="shared" ref="K280:K287" si="145">SUM(D280+G280+I280)</f>
        <v>0</v>
      </c>
      <c r="L280" s="954">
        <f t="shared" ref="L280:L287" si="146">SUM(J280:K280)</f>
        <v>0</v>
      </c>
      <c r="M280" s="954">
        <v>605</v>
      </c>
      <c r="N280" s="956"/>
      <c r="O280" s="954">
        <f t="shared" ref="O280:O287" si="147">SUM(L280:N280)</f>
        <v>605</v>
      </c>
    </row>
    <row r="281" spans="1:16" s="1150" customFormat="1" ht="31.5" x14ac:dyDescent="0.25">
      <c r="A281" s="761"/>
      <c r="B281" s="954" t="s">
        <v>1409</v>
      </c>
      <c r="C281" s="955"/>
      <c r="D281" s="762"/>
      <c r="E281" s="762"/>
      <c r="F281" s="762"/>
      <c r="G281" s="762"/>
      <c r="H281" s="762"/>
      <c r="I281" s="772"/>
      <c r="J281" s="957">
        <f t="shared" si="144"/>
        <v>0</v>
      </c>
      <c r="K281" s="957">
        <f t="shared" si="145"/>
        <v>0</v>
      </c>
      <c r="L281" s="955">
        <f t="shared" si="146"/>
        <v>0</v>
      </c>
      <c r="M281" s="955">
        <v>2409</v>
      </c>
      <c r="N281" s="957"/>
      <c r="O281" s="955">
        <f t="shared" si="147"/>
        <v>2409</v>
      </c>
    </row>
    <row r="282" spans="1:16" s="1150" customFormat="1" ht="31.5" x14ac:dyDescent="0.25">
      <c r="A282" s="761"/>
      <c r="B282" s="954" t="s">
        <v>1410</v>
      </c>
      <c r="C282" s="762"/>
      <c r="D282" s="762"/>
      <c r="E282" s="762"/>
      <c r="F282" s="762"/>
      <c r="G282" s="762"/>
      <c r="H282" s="762"/>
      <c r="I282" s="772"/>
      <c r="J282" s="957">
        <f t="shared" si="144"/>
        <v>0</v>
      </c>
      <c r="K282" s="957">
        <f t="shared" si="145"/>
        <v>0</v>
      </c>
      <c r="L282" s="955">
        <f t="shared" si="146"/>
        <v>0</v>
      </c>
      <c r="M282" s="955">
        <v>-219</v>
      </c>
      <c r="N282" s="957"/>
      <c r="O282" s="955">
        <f t="shared" si="147"/>
        <v>-219</v>
      </c>
    </row>
    <row r="283" spans="1:16" s="1150" customFormat="1" ht="31.5" x14ac:dyDescent="0.25">
      <c r="A283" s="756"/>
      <c r="B283" s="954" t="s">
        <v>1209</v>
      </c>
      <c r="C283" s="757"/>
      <c r="D283" s="757"/>
      <c r="E283" s="757"/>
      <c r="F283" s="757"/>
      <c r="G283" s="757"/>
      <c r="H283" s="757"/>
      <c r="I283" s="770"/>
      <c r="J283" s="956">
        <f t="shared" si="144"/>
        <v>0</v>
      </c>
      <c r="K283" s="956">
        <f t="shared" si="145"/>
        <v>0</v>
      </c>
      <c r="L283" s="954">
        <f t="shared" si="146"/>
        <v>0</v>
      </c>
      <c r="M283" s="954">
        <v>328</v>
      </c>
      <c r="N283" s="956"/>
      <c r="O283" s="954">
        <f t="shared" si="147"/>
        <v>328</v>
      </c>
    </row>
    <row r="284" spans="1:16" s="1150" customFormat="1" ht="31.5" x14ac:dyDescent="0.25">
      <c r="A284" s="756"/>
      <c r="B284" s="954" t="s">
        <v>1262</v>
      </c>
      <c r="C284" s="757"/>
      <c r="D284" s="757"/>
      <c r="E284" s="757"/>
      <c r="F284" s="757">
        <f>28709+1</f>
        <v>28710</v>
      </c>
      <c r="G284" s="757"/>
      <c r="H284" s="757"/>
      <c r="I284" s="770"/>
      <c r="J284" s="956">
        <f t="shared" si="144"/>
        <v>28710</v>
      </c>
      <c r="K284" s="956">
        <f t="shared" si="145"/>
        <v>0</v>
      </c>
      <c r="L284" s="954">
        <f t="shared" si="146"/>
        <v>28710</v>
      </c>
      <c r="M284" s="954"/>
      <c r="N284" s="956"/>
      <c r="O284" s="954">
        <f t="shared" si="147"/>
        <v>28710</v>
      </c>
    </row>
    <row r="285" spans="1:16" x14ac:dyDescent="0.25">
      <c r="A285" s="761"/>
      <c r="B285" s="762" t="s">
        <v>244</v>
      </c>
      <c r="C285" s="762"/>
      <c r="D285" s="762"/>
      <c r="E285" s="762"/>
      <c r="F285" s="762"/>
      <c r="G285" s="762"/>
      <c r="H285" s="762"/>
      <c r="I285" s="772"/>
      <c r="J285" s="957"/>
      <c r="K285" s="957"/>
      <c r="L285" s="955"/>
      <c r="M285" s="955"/>
      <c r="N285" s="957"/>
      <c r="O285" s="955"/>
    </row>
    <row r="286" spans="1:16" x14ac:dyDescent="0.25">
      <c r="A286" s="761"/>
      <c r="B286" s="852" t="s">
        <v>1408</v>
      </c>
      <c r="C286" s="762"/>
      <c r="D286" s="762"/>
      <c r="E286" s="762"/>
      <c r="F286" s="762"/>
      <c r="G286" s="762"/>
      <c r="H286" s="762"/>
      <c r="I286" s="772"/>
      <c r="J286" s="957">
        <f t="shared" si="144"/>
        <v>0</v>
      </c>
      <c r="K286" s="957">
        <f t="shared" si="145"/>
        <v>0</v>
      </c>
      <c r="L286" s="955">
        <f t="shared" si="146"/>
        <v>0</v>
      </c>
      <c r="M286" s="955">
        <v>4304</v>
      </c>
      <c r="N286" s="957"/>
      <c r="O286" s="955">
        <f t="shared" si="147"/>
        <v>4304</v>
      </c>
    </row>
    <row r="287" spans="1:16" ht="95.25" thickBot="1" x14ac:dyDescent="0.3">
      <c r="A287" s="756"/>
      <c r="B287" s="954" t="s">
        <v>1413</v>
      </c>
      <c r="C287" s="757"/>
      <c r="D287" s="757"/>
      <c r="E287" s="757"/>
      <c r="F287" s="757"/>
      <c r="G287" s="757"/>
      <c r="H287" s="757"/>
      <c r="I287" s="770"/>
      <c r="J287" s="956">
        <f t="shared" si="144"/>
        <v>0</v>
      </c>
      <c r="K287" s="956">
        <f t="shared" si="145"/>
        <v>0</v>
      </c>
      <c r="L287" s="954">
        <f t="shared" si="146"/>
        <v>0</v>
      </c>
      <c r="M287" s="954">
        <v>200</v>
      </c>
      <c r="N287" s="956"/>
      <c r="O287" s="954">
        <f t="shared" si="147"/>
        <v>200</v>
      </c>
    </row>
    <row r="288" spans="1:16" ht="17.25" thickTop="1" thickBot="1" x14ac:dyDescent="0.3">
      <c r="A288" s="751"/>
      <c r="B288" s="759" t="s">
        <v>1157</v>
      </c>
      <c r="C288" s="759">
        <f>+C276+C280+C281+C282+C286+C283+C284+C287</f>
        <v>55675</v>
      </c>
      <c r="D288" s="759">
        <f t="shared" ref="D288:O288" si="148">+D276+D280+D281+D282+D286+D283+D284+D287</f>
        <v>0</v>
      </c>
      <c r="E288" s="759">
        <f t="shared" si="148"/>
        <v>0</v>
      </c>
      <c r="F288" s="759">
        <f t="shared" si="148"/>
        <v>348453</v>
      </c>
      <c r="G288" s="759">
        <f t="shared" si="148"/>
        <v>0</v>
      </c>
      <c r="H288" s="759">
        <f t="shared" si="148"/>
        <v>0</v>
      </c>
      <c r="I288" s="759">
        <f t="shared" si="148"/>
        <v>0</v>
      </c>
      <c r="J288" s="759">
        <f t="shared" si="148"/>
        <v>404128</v>
      </c>
      <c r="K288" s="759">
        <f t="shared" si="148"/>
        <v>0</v>
      </c>
      <c r="L288" s="759">
        <f t="shared" si="148"/>
        <v>404128</v>
      </c>
      <c r="M288" s="759">
        <f t="shared" si="148"/>
        <v>686989</v>
      </c>
      <c r="N288" s="759">
        <f t="shared" si="148"/>
        <v>7996</v>
      </c>
      <c r="O288" s="759">
        <f t="shared" si="148"/>
        <v>1099113</v>
      </c>
      <c r="P288" s="1149">
        <f>O289+O290</f>
        <v>1099113</v>
      </c>
    </row>
    <row r="289" spans="1:16" ht="17.25" thickTop="1" thickBot="1" x14ac:dyDescent="0.3">
      <c r="A289" s="751"/>
      <c r="B289" s="759" t="s">
        <v>1158</v>
      </c>
      <c r="C289" s="759">
        <f t="shared" ref="C289:O289" si="149">+C277+C280+C281+C282+C283+C284</f>
        <v>55675</v>
      </c>
      <c r="D289" s="759">
        <f t="shared" si="149"/>
        <v>0</v>
      </c>
      <c r="E289" s="759">
        <f t="shared" si="149"/>
        <v>0</v>
      </c>
      <c r="F289" s="759">
        <f t="shared" si="149"/>
        <v>348453</v>
      </c>
      <c r="G289" s="759">
        <f t="shared" si="149"/>
        <v>0</v>
      </c>
      <c r="H289" s="759">
        <f t="shared" si="149"/>
        <v>0</v>
      </c>
      <c r="I289" s="759">
        <f t="shared" si="149"/>
        <v>0</v>
      </c>
      <c r="J289" s="759">
        <f t="shared" si="149"/>
        <v>404128</v>
      </c>
      <c r="K289" s="759">
        <f t="shared" si="149"/>
        <v>0</v>
      </c>
      <c r="L289" s="759">
        <f t="shared" si="149"/>
        <v>404128</v>
      </c>
      <c r="M289" s="759">
        <f t="shared" si="149"/>
        <v>659002</v>
      </c>
      <c r="N289" s="759">
        <f t="shared" si="149"/>
        <v>7996</v>
      </c>
      <c r="O289" s="759">
        <f t="shared" si="149"/>
        <v>1071126</v>
      </c>
    </row>
    <row r="290" spans="1:16" ht="17.25" thickTop="1" thickBot="1" x14ac:dyDescent="0.3">
      <c r="A290" s="751"/>
      <c r="B290" s="759" t="s">
        <v>1159</v>
      </c>
      <c r="C290" s="759">
        <f>+C278+C286+C287</f>
        <v>0</v>
      </c>
      <c r="D290" s="759">
        <f t="shared" ref="D290:O290" si="150">+D278+D286+D287</f>
        <v>0</v>
      </c>
      <c r="E290" s="759">
        <f t="shared" si="150"/>
        <v>0</v>
      </c>
      <c r="F290" s="759">
        <f t="shared" si="150"/>
        <v>0</v>
      </c>
      <c r="G290" s="759">
        <f t="shared" si="150"/>
        <v>0</v>
      </c>
      <c r="H290" s="759">
        <f t="shared" si="150"/>
        <v>0</v>
      </c>
      <c r="I290" s="759">
        <f t="shared" si="150"/>
        <v>0</v>
      </c>
      <c r="J290" s="759">
        <f t="shared" si="150"/>
        <v>0</v>
      </c>
      <c r="K290" s="759">
        <f t="shared" si="150"/>
        <v>0</v>
      </c>
      <c r="L290" s="759">
        <f t="shared" si="150"/>
        <v>0</v>
      </c>
      <c r="M290" s="759">
        <f t="shared" si="150"/>
        <v>27987</v>
      </c>
      <c r="N290" s="759">
        <f t="shared" si="150"/>
        <v>0</v>
      </c>
      <c r="O290" s="759">
        <f t="shared" si="150"/>
        <v>27987</v>
      </c>
    </row>
    <row r="291" spans="1:16" s="1150" customFormat="1" ht="32.25" thickTop="1" x14ac:dyDescent="0.25">
      <c r="A291" s="753" t="s">
        <v>32</v>
      </c>
      <c r="B291" s="754" t="s">
        <v>949</v>
      </c>
      <c r="C291" s="754"/>
      <c r="D291" s="754"/>
      <c r="E291" s="754"/>
      <c r="F291" s="754"/>
      <c r="G291" s="754"/>
      <c r="H291" s="754"/>
      <c r="I291" s="754"/>
      <c r="J291" s="754"/>
      <c r="K291" s="754"/>
      <c r="L291" s="754"/>
      <c r="M291" s="754"/>
      <c r="N291" s="754"/>
      <c r="O291" s="754"/>
    </row>
    <row r="292" spans="1:16" s="1150" customFormat="1" x14ac:dyDescent="0.25">
      <c r="A292" s="753"/>
      <c r="B292" s="755" t="s">
        <v>1125</v>
      </c>
      <c r="C292" s="755"/>
      <c r="D292" s="755"/>
      <c r="E292" s="755"/>
      <c r="F292" s="755">
        <v>0</v>
      </c>
      <c r="G292" s="755"/>
      <c r="H292" s="755"/>
      <c r="I292" s="755"/>
      <c r="J292" s="766">
        <f>SUM(C292+E292+F292+H292)</f>
        <v>0</v>
      </c>
      <c r="K292" s="766">
        <f>SUM(D292+G292+I292)</f>
        <v>0</v>
      </c>
      <c r="L292" s="755">
        <f>SUM(J292:K292)</f>
        <v>0</v>
      </c>
      <c r="M292" s="755">
        <v>198828</v>
      </c>
      <c r="N292" s="766">
        <v>1674</v>
      </c>
      <c r="O292" s="755">
        <f>SUM(L292:N292)</f>
        <v>200502</v>
      </c>
    </row>
    <row r="293" spans="1:16" s="1150" customFormat="1" x14ac:dyDescent="0.25">
      <c r="A293" s="756"/>
      <c r="B293" s="757" t="s">
        <v>1155</v>
      </c>
      <c r="C293" s="757"/>
      <c r="D293" s="757"/>
      <c r="E293" s="757"/>
      <c r="F293" s="757">
        <v>0</v>
      </c>
      <c r="G293" s="757"/>
      <c r="H293" s="757"/>
      <c r="I293" s="770"/>
      <c r="J293" s="767">
        <f>SUM(C293+E293+F293+H293)</f>
        <v>0</v>
      </c>
      <c r="K293" s="767">
        <f>SUM(D293+G293+I293)</f>
        <v>0</v>
      </c>
      <c r="L293" s="758">
        <f>SUM(J293:K293)</f>
        <v>0</v>
      </c>
      <c r="M293" s="758">
        <v>193459</v>
      </c>
      <c r="N293" s="767">
        <v>1674</v>
      </c>
      <c r="O293" s="758">
        <f>SUM(L293:N293)</f>
        <v>195133</v>
      </c>
    </row>
    <row r="294" spans="1:16" s="1150" customFormat="1" x14ac:dyDescent="0.25">
      <c r="A294" s="756"/>
      <c r="B294" s="757" t="s">
        <v>1156</v>
      </c>
      <c r="C294" s="757"/>
      <c r="D294" s="757"/>
      <c r="E294" s="757"/>
      <c r="F294" s="757"/>
      <c r="G294" s="757"/>
      <c r="H294" s="757"/>
      <c r="I294" s="770"/>
      <c r="J294" s="770">
        <f>SUM(C294+E294+F294+H294)</f>
        <v>0</v>
      </c>
      <c r="K294" s="770">
        <f>SUM(D294+G294+I294)</f>
        <v>0</v>
      </c>
      <c r="L294" s="757">
        <f>SUM(J294:K294)</f>
        <v>0</v>
      </c>
      <c r="M294" s="757">
        <v>5369</v>
      </c>
      <c r="N294" s="770"/>
      <c r="O294" s="757">
        <f>SUM(L294:N294)</f>
        <v>5369</v>
      </c>
    </row>
    <row r="295" spans="1:16" s="1150" customFormat="1" x14ac:dyDescent="0.25">
      <c r="A295" s="756"/>
      <c r="B295" s="757" t="s">
        <v>243</v>
      </c>
      <c r="C295" s="757"/>
      <c r="D295" s="757"/>
      <c r="E295" s="757"/>
      <c r="F295" s="757"/>
      <c r="G295" s="757"/>
      <c r="H295" s="757"/>
      <c r="I295" s="770"/>
      <c r="J295" s="767"/>
      <c r="K295" s="767"/>
      <c r="L295" s="758"/>
      <c r="M295" s="758"/>
      <c r="N295" s="767"/>
      <c r="O295" s="758"/>
    </row>
    <row r="296" spans="1:16" s="1150" customFormat="1" x14ac:dyDescent="0.25">
      <c r="A296" s="756"/>
      <c r="B296" s="954" t="s">
        <v>1407</v>
      </c>
      <c r="C296" s="757"/>
      <c r="D296" s="757"/>
      <c r="E296" s="757"/>
      <c r="F296" s="757"/>
      <c r="G296" s="757"/>
      <c r="H296" s="757"/>
      <c r="I296" s="770"/>
      <c r="J296" s="956">
        <f t="shared" ref="J296:J302" si="151">SUM(C296+E296+F296+H296)</f>
        <v>0</v>
      </c>
      <c r="K296" s="956">
        <f t="shared" ref="K296:K302" si="152">SUM(D296+G296+I296)</f>
        <v>0</v>
      </c>
      <c r="L296" s="954">
        <f t="shared" ref="L296:L302" si="153">SUM(J296:K296)</f>
        <v>0</v>
      </c>
      <c r="M296" s="954">
        <v>160</v>
      </c>
      <c r="N296" s="956"/>
      <c r="O296" s="954">
        <f t="shared" ref="O296:O302" si="154">SUM(L296:N296)</f>
        <v>160</v>
      </c>
    </row>
    <row r="297" spans="1:16" s="1150" customFormat="1" ht="31.5" x14ac:dyDescent="0.25">
      <c r="A297" s="756"/>
      <c r="B297" s="954" t="s">
        <v>1409</v>
      </c>
      <c r="C297" s="757"/>
      <c r="D297" s="757"/>
      <c r="E297" s="757"/>
      <c r="F297" s="757"/>
      <c r="G297" s="757"/>
      <c r="H297" s="757"/>
      <c r="I297" s="770"/>
      <c r="J297" s="956">
        <f t="shared" si="151"/>
        <v>0</v>
      </c>
      <c r="K297" s="956">
        <f t="shared" si="152"/>
        <v>0</v>
      </c>
      <c r="L297" s="954">
        <f t="shared" si="153"/>
        <v>0</v>
      </c>
      <c r="M297" s="954">
        <v>1717</v>
      </c>
      <c r="N297" s="956"/>
      <c r="O297" s="954">
        <f t="shared" si="154"/>
        <v>1717</v>
      </c>
    </row>
    <row r="298" spans="1:16" s="1150" customFormat="1" ht="31.5" x14ac:dyDescent="0.25">
      <c r="A298" s="756"/>
      <c r="B298" s="954" t="s">
        <v>1410</v>
      </c>
      <c r="C298" s="757"/>
      <c r="D298" s="757"/>
      <c r="E298" s="757"/>
      <c r="F298" s="757"/>
      <c r="G298" s="757"/>
      <c r="H298" s="757"/>
      <c r="I298" s="770"/>
      <c r="J298" s="956">
        <f t="shared" si="151"/>
        <v>0</v>
      </c>
      <c r="K298" s="956">
        <f t="shared" si="152"/>
        <v>0</v>
      </c>
      <c r="L298" s="954">
        <f t="shared" si="153"/>
        <v>0</v>
      </c>
      <c r="M298" s="954">
        <v>22</v>
      </c>
      <c r="N298" s="956"/>
      <c r="O298" s="954">
        <f t="shared" si="154"/>
        <v>22</v>
      </c>
    </row>
    <row r="299" spans="1:16" s="1150" customFormat="1" ht="31.5" x14ac:dyDescent="0.25">
      <c r="A299" s="756"/>
      <c r="B299" s="954" t="s">
        <v>1209</v>
      </c>
      <c r="C299" s="757"/>
      <c r="D299" s="757"/>
      <c r="E299" s="757"/>
      <c r="F299" s="757"/>
      <c r="G299" s="757"/>
      <c r="H299" s="757"/>
      <c r="I299" s="770"/>
      <c r="J299" s="956">
        <f t="shared" si="151"/>
        <v>0</v>
      </c>
      <c r="K299" s="956">
        <f t="shared" si="152"/>
        <v>0</v>
      </c>
      <c r="L299" s="954">
        <f t="shared" si="153"/>
        <v>0</v>
      </c>
      <c r="M299" s="954">
        <v>18</v>
      </c>
      <c r="N299" s="956"/>
      <c r="O299" s="954">
        <f t="shared" si="154"/>
        <v>18</v>
      </c>
    </row>
    <row r="300" spans="1:16" s="1150" customFormat="1" ht="31.5" x14ac:dyDescent="0.25">
      <c r="A300" s="756"/>
      <c r="B300" s="954" t="s">
        <v>1262</v>
      </c>
      <c r="C300" s="757">
        <v>190000</v>
      </c>
      <c r="D300" s="757"/>
      <c r="E300" s="757"/>
      <c r="F300" s="757">
        <v>267</v>
      </c>
      <c r="G300" s="757"/>
      <c r="H300" s="757">
        <v>429</v>
      </c>
      <c r="I300" s="770"/>
      <c r="J300" s="956">
        <f t="shared" si="151"/>
        <v>190696</v>
      </c>
      <c r="K300" s="956">
        <f t="shared" si="152"/>
        <v>0</v>
      </c>
      <c r="L300" s="954">
        <f t="shared" si="153"/>
        <v>190696</v>
      </c>
      <c r="M300" s="954"/>
      <c r="N300" s="956"/>
      <c r="O300" s="954">
        <f t="shared" si="154"/>
        <v>190696</v>
      </c>
    </row>
    <row r="301" spans="1:16" x14ac:dyDescent="0.25">
      <c r="A301" s="756"/>
      <c r="B301" s="757" t="s">
        <v>244</v>
      </c>
      <c r="C301" s="757"/>
      <c r="D301" s="757"/>
      <c r="E301" s="757"/>
      <c r="F301" s="757"/>
      <c r="G301" s="757"/>
      <c r="H301" s="757"/>
      <c r="I301" s="770"/>
      <c r="J301" s="956"/>
      <c r="K301" s="956"/>
      <c r="L301" s="954"/>
      <c r="M301" s="954"/>
      <c r="N301" s="956"/>
      <c r="O301" s="954"/>
    </row>
    <row r="302" spans="1:16" ht="16.5" thickBot="1" x14ac:dyDescent="0.3">
      <c r="A302" s="756"/>
      <c r="B302" s="813" t="s">
        <v>1408</v>
      </c>
      <c r="C302" s="757"/>
      <c r="D302" s="757"/>
      <c r="E302" s="757"/>
      <c r="F302" s="757"/>
      <c r="G302" s="757"/>
      <c r="H302" s="757"/>
      <c r="I302" s="770"/>
      <c r="J302" s="956">
        <f t="shared" si="151"/>
        <v>0</v>
      </c>
      <c r="K302" s="956">
        <f t="shared" si="152"/>
        <v>0</v>
      </c>
      <c r="L302" s="954">
        <f t="shared" si="153"/>
        <v>0</v>
      </c>
      <c r="M302" s="954">
        <v>1090</v>
      </c>
      <c r="N302" s="956"/>
      <c r="O302" s="954">
        <f t="shared" si="154"/>
        <v>1090</v>
      </c>
    </row>
    <row r="303" spans="1:16" ht="17.25" thickTop="1" thickBot="1" x14ac:dyDescent="0.3">
      <c r="A303" s="751"/>
      <c r="B303" s="759" t="s">
        <v>1157</v>
      </c>
      <c r="C303" s="759">
        <f>+C292+C296+C297+C298+C302+C299+C300</f>
        <v>190000</v>
      </c>
      <c r="D303" s="759">
        <f t="shared" ref="D303:O303" si="155">+D292+D296+D297+D298+D302+D299+D300</f>
        <v>0</v>
      </c>
      <c r="E303" s="759">
        <f t="shared" si="155"/>
        <v>0</v>
      </c>
      <c r="F303" s="759">
        <f t="shared" si="155"/>
        <v>267</v>
      </c>
      <c r="G303" s="759">
        <f t="shared" si="155"/>
        <v>0</v>
      </c>
      <c r="H303" s="759">
        <f t="shared" si="155"/>
        <v>429</v>
      </c>
      <c r="I303" s="759">
        <f t="shared" si="155"/>
        <v>0</v>
      </c>
      <c r="J303" s="759">
        <f t="shared" si="155"/>
        <v>190696</v>
      </c>
      <c r="K303" s="759">
        <f t="shared" si="155"/>
        <v>0</v>
      </c>
      <c r="L303" s="759">
        <f t="shared" si="155"/>
        <v>190696</v>
      </c>
      <c r="M303" s="759">
        <f t="shared" si="155"/>
        <v>201835</v>
      </c>
      <c r="N303" s="759">
        <f t="shared" si="155"/>
        <v>1674</v>
      </c>
      <c r="O303" s="759">
        <f t="shared" si="155"/>
        <v>394205</v>
      </c>
      <c r="P303" s="1149">
        <f>O304+O305</f>
        <v>394205</v>
      </c>
    </row>
    <row r="304" spans="1:16" ht="17.25" thickTop="1" thickBot="1" x14ac:dyDescent="0.3">
      <c r="A304" s="751"/>
      <c r="B304" s="759" t="s">
        <v>1158</v>
      </c>
      <c r="C304" s="759">
        <f>+C293+C296+C297+C298+C299+C300</f>
        <v>190000</v>
      </c>
      <c r="D304" s="759">
        <f t="shared" ref="D304:O304" si="156">+D293+D296+D297+D298+D299+D300</f>
        <v>0</v>
      </c>
      <c r="E304" s="759">
        <f t="shared" si="156"/>
        <v>0</v>
      </c>
      <c r="F304" s="759">
        <f t="shared" si="156"/>
        <v>267</v>
      </c>
      <c r="G304" s="759">
        <f t="shared" si="156"/>
        <v>0</v>
      </c>
      <c r="H304" s="759">
        <f t="shared" si="156"/>
        <v>429</v>
      </c>
      <c r="I304" s="759">
        <f t="shared" si="156"/>
        <v>0</v>
      </c>
      <c r="J304" s="759">
        <f t="shared" si="156"/>
        <v>190696</v>
      </c>
      <c r="K304" s="759">
        <f t="shared" si="156"/>
        <v>0</v>
      </c>
      <c r="L304" s="759">
        <f t="shared" si="156"/>
        <v>190696</v>
      </c>
      <c r="M304" s="759">
        <f t="shared" si="156"/>
        <v>195376</v>
      </c>
      <c r="N304" s="759">
        <f t="shared" si="156"/>
        <v>1674</v>
      </c>
      <c r="O304" s="759">
        <f t="shared" si="156"/>
        <v>387746</v>
      </c>
    </row>
    <row r="305" spans="1:16" ht="17.25" thickTop="1" thickBot="1" x14ac:dyDescent="0.3">
      <c r="A305" s="751"/>
      <c r="B305" s="759" t="s">
        <v>1159</v>
      </c>
      <c r="C305" s="759">
        <f>+C294+C302</f>
        <v>0</v>
      </c>
      <c r="D305" s="759">
        <f t="shared" ref="D305:O305" si="157">+D294+D302</f>
        <v>0</v>
      </c>
      <c r="E305" s="759">
        <f t="shared" si="157"/>
        <v>0</v>
      </c>
      <c r="F305" s="759">
        <f t="shared" si="157"/>
        <v>0</v>
      </c>
      <c r="G305" s="759">
        <f t="shared" si="157"/>
        <v>0</v>
      </c>
      <c r="H305" s="759">
        <f t="shared" si="157"/>
        <v>0</v>
      </c>
      <c r="I305" s="759">
        <f t="shared" si="157"/>
        <v>0</v>
      </c>
      <c r="J305" s="759">
        <f t="shared" si="157"/>
        <v>0</v>
      </c>
      <c r="K305" s="759">
        <f t="shared" si="157"/>
        <v>0</v>
      </c>
      <c r="L305" s="759">
        <f t="shared" si="157"/>
        <v>0</v>
      </c>
      <c r="M305" s="759">
        <f t="shared" si="157"/>
        <v>6459</v>
      </c>
      <c r="N305" s="759">
        <f t="shared" si="157"/>
        <v>0</v>
      </c>
      <c r="O305" s="759">
        <f t="shared" si="157"/>
        <v>6459</v>
      </c>
    </row>
    <row r="306" spans="1:16" ht="16.5" thickTop="1" x14ac:dyDescent="0.25">
      <c r="A306" s="753" t="s">
        <v>33</v>
      </c>
      <c r="B306" s="754" t="s">
        <v>563</v>
      </c>
      <c r="C306" s="754"/>
      <c r="D306" s="754"/>
      <c r="E306" s="754"/>
      <c r="F306" s="754"/>
      <c r="G306" s="754"/>
      <c r="H306" s="754"/>
      <c r="I306" s="754"/>
      <c r="J306" s="754"/>
      <c r="K306" s="754"/>
      <c r="L306" s="754"/>
      <c r="M306" s="754"/>
      <c r="N306" s="754"/>
      <c r="O306" s="754"/>
    </row>
    <row r="307" spans="1:16" s="1150" customFormat="1" x14ac:dyDescent="0.25">
      <c r="A307" s="753"/>
      <c r="B307" s="755" t="s">
        <v>1261</v>
      </c>
      <c r="C307" s="755">
        <v>31140</v>
      </c>
      <c r="D307" s="755"/>
      <c r="E307" s="755"/>
      <c r="F307" s="755">
        <v>10822</v>
      </c>
      <c r="G307" s="755"/>
      <c r="H307" s="755">
        <v>386</v>
      </c>
      <c r="I307" s="755"/>
      <c r="J307" s="755">
        <f>SUM(C307+E307+F307+H307)</f>
        <v>42348</v>
      </c>
      <c r="K307" s="755">
        <f>SUM(D307+G307+I307)</f>
        <v>0</v>
      </c>
      <c r="L307" s="755">
        <f>SUM(J307:K307)</f>
        <v>42348</v>
      </c>
      <c r="M307" s="755">
        <v>247646</v>
      </c>
      <c r="N307" s="755">
        <v>21870</v>
      </c>
      <c r="O307" s="755">
        <f>SUM(L307:N307)</f>
        <v>311864</v>
      </c>
    </row>
    <row r="308" spans="1:16" s="1150" customFormat="1" x14ac:dyDescent="0.25">
      <c r="A308" s="756"/>
      <c r="B308" s="757" t="s">
        <v>1155</v>
      </c>
      <c r="C308" s="757">
        <v>31140</v>
      </c>
      <c r="D308" s="757"/>
      <c r="E308" s="757"/>
      <c r="F308" s="757">
        <v>10822</v>
      </c>
      <c r="G308" s="757"/>
      <c r="H308" s="757">
        <v>386</v>
      </c>
      <c r="I308" s="757"/>
      <c r="J308" s="758">
        <f>SUM(C308+E308+F308+H308)</f>
        <v>42348</v>
      </c>
      <c r="K308" s="758">
        <f>SUM(D308+G308+I308)</f>
        <v>0</v>
      </c>
      <c r="L308" s="758">
        <f>SUM(J308:K308)</f>
        <v>42348</v>
      </c>
      <c r="M308" s="758">
        <v>242294</v>
      </c>
      <c r="N308" s="758">
        <v>21870</v>
      </c>
      <c r="O308" s="758">
        <f>SUM(L308:N308)</f>
        <v>306512</v>
      </c>
    </row>
    <row r="309" spans="1:16" s="1150" customFormat="1" x14ac:dyDescent="0.25">
      <c r="A309" s="756"/>
      <c r="B309" s="757" t="s">
        <v>1156</v>
      </c>
      <c r="C309" s="757"/>
      <c r="D309" s="757"/>
      <c r="E309" s="757"/>
      <c r="F309" s="757"/>
      <c r="G309" s="757"/>
      <c r="H309" s="757"/>
      <c r="I309" s="757"/>
      <c r="J309" s="757">
        <f>SUM(C309+E309+F309+H309)</f>
        <v>0</v>
      </c>
      <c r="K309" s="757">
        <f>SUM(D309+G309+I309)</f>
        <v>0</v>
      </c>
      <c r="L309" s="757">
        <f>SUM(J309:K309)</f>
        <v>0</v>
      </c>
      <c r="M309" s="757">
        <v>5352</v>
      </c>
      <c r="N309" s="757"/>
      <c r="O309" s="757">
        <f>SUM(L309:N309)</f>
        <v>5352</v>
      </c>
    </row>
    <row r="310" spans="1:16" s="1150" customFormat="1" x14ac:dyDescent="0.25">
      <c r="A310" s="756"/>
      <c r="B310" s="757" t="s">
        <v>243</v>
      </c>
      <c r="C310" s="757"/>
      <c r="D310" s="757"/>
      <c r="E310" s="757"/>
      <c r="F310" s="757"/>
      <c r="G310" s="757"/>
      <c r="H310" s="757"/>
      <c r="I310" s="757"/>
      <c r="J310" s="758"/>
      <c r="K310" s="758"/>
      <c r="L310" s="758"/>
      <c r="M310" s="758"/>
      <c r="N310" s="758"/>
      <c r="O310" s="758"/>
    </row>
    <row r="311" spans="1:16" s="1150" customFormat="1" x14ac:dyDescent="0.25">
      <c r="A311" s="756"/>
      <c r="B311" s="954" t="s">
        <v>1407</v>
      </c>
      <c r="C311" s="757"/>
      <c r="D311" s="757"/>
      <c r="E311" s="757"/>
      <c r="F311" s="757"/>
      <c r="G311" s="757"/>
      <c r="H311" s="757"/>
      <c r="I311" s="757"/>
      <c r="J311" s="954">
        <f t="shared" ref="J311:J317" si="158">SUM(C311+E311+F311+H311)</f>
        <v>0</v>
      </c>
      <c r="K311" s="954">
        <f t="shared" ref="K311:K317" si="159">SUM(D311+G311+I311)</f>
        <v>0</v>
      </c>
      <c r="L311" s="954">
        <f t="shared" ref="L311:L317" si="160">SUM(J311:K311)</f>
        <v>0</v>
      </c>
      <c r="M311" s="954">
        <v>290</v>
      </c>
      <c r="N311" s="954"/>
      <c r="O311" s="954">
        <f t="shared" ref="O311:O317" si="161">SUM(L311:N311)</f>
        <v>290</v>
      </c>
    </row>
    <row r="312" spans="1:16" s="1150" customFormat="1" ht="31.5" x14ac:dyDescent="0.25">
      <c r="A312" s="756"/>
      <c r="B312" s="954" t="s">
        <v>1409</v>
      </c>
      <c r="C312" s="954"/>
      <c r="D312" s="757"/>
      <c r="E312" s="757"/>
      <c r="F312" s="757"/>
      <c r="G312" s="757"/>
      <c r="H312" s="757"/>
      <c r="I312" s="757"/>
      <c r="J312" s="954">
        <f t="shared" si="158"/>
        <v>0</v>
      </c>
      <c r="K312" s="954">
        <f t="shared" si="159"/>
        <v>0</v>
      </c>
      <c r="L312" s="954">
        <f t="shared" si="160"/>
        <v>0</v>
      </c>
      <c r="M312" s="954">
        <v>1256</v>
      </c>
      <c r="N312" s="954"/>
      <c r="O312" s="954">
        <f t="shared" si="161"/>
        <v>1256</v>
      </c>
    </row>
    <row r="313" spans="1:16" s="1150" customFormat="1" ht="31.5" x14ac:dyDescent="0.25">
      <c r="A313" s="756"/>
      <c r="B313" s="954" t="s">
        <v>1410</v>
      </c>
      <c r="C313" s="954"/>
      <c r="D313" s="757"/>
      <c r="E313" s="757"/>
      <c r="F313" s="757"/>
      <c r="G313" s="757"/>
      <c r="H313" s="757"/>
      <c r="I313" s="757"/>
      <c r="J313" s="954">
        <f t="shared" si="158"/>
        <v>0</v>
      </c>
      <c r="K313" s="954">
        <f t="shared" si="159"/>
        <v>0</v>
      </c>
      <c r="L313" s="954">
        <f t="shared" si="160"/>
        <v>0</v>
      </c>
      <c r="M313" s="954">
        <v>20</v>
      </c>
      <c r="N313" s="954"/>
      <c r="O313" s="954">
        <f t="shared" si="161"/>
        <v>20</v>
      </c>
    </row>
    <row r="314" spans="1:16" s="1150" customFormat="1" ht="31.5" x14ac:dyDescent="0.25">
      <c r="A314" s="761"/>
      <c r="B314" s="954" t="s">
        <v>1262</v>
      </c>
      <c r="C314" s="955">
        <v>3296</v>
      </c>
      <c r="D314" s="762"/>
      <c r="E314" s="762"/>
      <c r="F314" s="762">
        <f>1941+1</f>
        <v>1942</v>
      </c>
      <c r="G314" s="762"/>
      <c r="H314" s="762">
        <v>6073</v>
      </c>
      <c r="I314" s="762">
        <v>2235</v>
      </c>
      <c r="J314" s="955">
        <f t="shared" si="158"/>
        <v>11311</v>
      </c>
      <c r="K314" s="955">
        <f t="shared" si="159"/>
        <v>2235</v>
      </c>
      <c r="L314" s="955">
        <f t="shared" si="160"/>
        <v>13546</v>
      </c>
      <c r="M314" s="955"/>
      <c r="N314" s="955"/>
      <c r="O314" s="955">
        <f t="shared" si="161"/>
        <v>13546</v>
      </c>
    </row>
    <row r="315" spans="1:16" s="1150" customFormat="1" x14ac:dyDescent="0.25">
      <c r="A315" s="756"/>
      <c r="B315" s="757" t="s">
        <v>244</v>
      </c>
      <c r="C315" s="757"/>
      <c r="D315" s="757"/>
      <c r="E315" s="757"/>
      <c r="F315" s="757"/>
      <c r="G315" s="757"/>
      <c r="H315" s="757"/>
      <c r="I315" s="757"/>
      <c r="J315" s="954"/>
      <c r="K315" s="954"/>
      <c r="L315" s="954"/>
      <c r="M315" s="954"/>
      <c r="N315" s="954"/>
      <c r="O315" s="954"/>
    </row>
    <row r="316" spans="1:16" s="1150" customFormat="1" x14ac:dyDescent="0.25">
      <c r="A316" s="761"/>
      <c r="B316" s="852" t="s">
        <v>1408</v>
      </c>
      <c r="C316" s="762"/>
      <c r="D316" s="762"/>
      <c r="E316" s="762"/>
      <c r="F316" s="762"/>
      <c r="G316" s="762"/>
      <c r="H316" s="762"/>
      <c r="I316" s="762"/>
      <c r="J316" s="955">
        <f t="shared" si="158"/>
        <v>0</v>
      </c>
      <c r="K316" s="955">
        <f t="shared" si="159"/>
        <v>0</v>
      </c>
      <c r="L316" s="955">
        <f t="shared" si="160"/>
        <v>0</v>
      </c>
      <c r="M316" s="955">
        <v>1060</v>
      </c>
      <c r="N316" s="955"/>
      <c r="O316" s="955">
        <f t="shared" si="161"/>
        <v>1060</v>
      </c>
    </row>
    <row r="317" spans="1:16" ht="79.5" thickBot="1" x14ac:dyDescent="0.3">
      <c r="A317" s="768"/>
      <c r="B317" s="958" t="s">
        <v>1414</v>
      </c>
      <c r="C317" s="769"/>
      <c r="D317" s="769"/>
      <c r="E317" s="769"/>
      <c r="F317" s="769"/>
      <c r="G317" s="769"/>
      <c r="H317" s="769"/>
      <c r="I317" s="769"/>
      <c r="J317" s="958">
        <f t="shared" si="158"/>
        <v>0</v>
      </c>
      <c r="K317" s="958">
        <f t="shared" si="159"/>
        <v>0</v>
      </c>
      <c r="L317" s="958">
        <f t="shared" si="160"/>
        <v>0</v>
      </c>
      <c r="M317" s="958">
        <v>500</v>
      </c>
      <c r="N317" s="958"/>
      <c r="O317" s="958">
        <f t="shared" si="161"/>
        <v>500</v>
      </c>
    </row>
    <row r="318" spans="1:16" ht="17.25" thickTop="1" thickBot="1" x14ac:dyDescent="0.3">
      <c r="A318" s="751"/>
      <c r="B318" s="759" t="s">
        <v>1157</v>
      </c>
      <c r="C318" s="759">
        <f>+C307+C311+C312+C313+C316+C314+C317</f>
        <v>34436</v>
      </c>
      <c r="D318" s="759">
        <f t="shared" ref="D318:O318" si="162">+D307+D311+D312+D313+D316+D314+D317</f>
        <v>0</v>
      </c>
      <c r="E318" s="759">
        <f t="shared" si="162"/>
        <v>0</v>
      </c>
      <c r="F318" s="759">
        <f t="shared" si="162"/>
        <v>12764</v>
      </c>
      <c r="G318" s="759">
        <f t="shared" si="162"/>
        <v>0</v>
      </c>
      <c r="H318" s="759">
        <f t="shared" si="162"/>
        <v>6459</v>
      </c>
      <c r="I318" s="759">
        <f t="shared" si="162"/>
        <v>2235</v>
      </c>
      <c r="J318" s="759">
        <f t="shared" si="162"/>
        <v>53659</v>
      </c>
      <c r="K318" s="759">
        <f t="shared" si="162"/>
        <v>2235</v>
      </c>
      <c r="L318" s="759">
        <f t="shared" si="162"/>
        <v>55894</v>
      </c>
      <c r="M318" s="759">
        <f t="shared" si="162"/>
        <v>250772</v>
      </c>
      <c r="N318" s="759">
        <f t="shared" si="162"/>
        <v>21870</v>
      </c>
      <c r="O318" s="759">
        <f t="shared" si="162"/>
        <v>328536</v>
      </c>
      <c r="P318" s="1149">
        <f>O319+O320</f>
        <v>328536</v>
      </c>
    </row>
    <row r="319" spans="1:16" ht="17.25" thickTop="1" thickBot="1" x14ac:dyDescent="0.3">
      <c r="A319" s="751"/>
      <c r="B319" s="759" t="s">
        <v>1158</v>
      </c>
      <c r="C319" s="759">
        <f>+C308+C311+C312+C313+C314</f>
        <v>34436</v>
      </c>
      <c r="D319" s="759">
        <f t="shared" ref="D319:O319" si="163">+D308+D311+D312+D313+D314</f>
        <v>0</v>
      </c>
      <c r="E319" s="759">
        <f t="shared" si="163"/>
        <v>0</v>
      </c>
      <c r="F319" s="759">
        <f t="shared" si="163"/>
        <v>12764</v>
      </c>
      <c r="G319" s="759">
        <f t="shared" si="163"/>
        <v>0</v>
      </c>
      <c r="H319" s="759">
        <f t="shared" si="163"/>
        <v>6459</v>
      </c>
      <c r="I319" s="759">
        <f t="shared" si="163"/>
        <v>2235</v>
      </c>
      <c r="J319" s="759">
        <f t="shared" si="163"/>
        <v>53659</v>
      </c>
      <c r="K319" s="759">
        <f t="shared" si="163"/>
        <v>2235</v>
      </c>
      <c r="L319" s="759">
        <f t="shared" si="163"/>
        <v>55894</v>
      </c>
      <c r="M319" s="759">
        <f t="shared" si="163"/>
        <v>243860</v>
      </c>
      <c r="N319" s="759">
        <f t="shared" si="163"/>
        <v>21870</v>
      </c>
      <c r="O319" s="759">
        <f t="shared" si="163"/>
        <v>321624</v>
      </c>
    </row>
    <row r="320" spans="1:16" ht="17.25" thickTop="1" thickBot="1" x14ac:dyDescent="0.3">
      <c r="A320" s="751"/>
      <c r="B320" s="759" t="s">
        <v>1159</v>
      </c>
      <c r="C320" s="759">
        <f>+C309+C316+C317</f>
        <v>0</v>
      </c>
      <c r="D320" s="759">
        <f t="shared" ref="D320:O320" si="164">+D309+D316+D317</f>
        <v>0</v>
      </c>
      <c r="E320" s="759">
        <f t="shared" si="164"/>
        <v>0</v>
      </c>
      <c r="F320" s="759">
        <f t="shared" si="164"/>
        <v>0</v>
      </c>
      <c r="G320" s="759">
        <f t="shared" si="164"/>
        <v>0</v>
      </c>
      <c r="H320" s="759">
        <f t="shared" si="164"/>
        <v>0</v>
      </c>
      <c r="I320" s="759">
        <f t="shared" si="164"/>
        <v>0</v>
      </c>
      <c r="J320" s="759">
        <f t="shared" si="164"/>
        <v>0</v>
      </c>
      <c r="K320" s="759">
        <f t="shared" si="164"/>
        <v>0</v>
      </c>
      <c r="L320" s="759">
        <f t="shared" si="164"/>
        <v>0</v>
      </c>
      <c r="M320" s="759">
        <f t="shared" si="164"/>
        <v>6912</v>
      </c>
      <c r="N320" s="759">
        <f t="shared" si="164"/>
        <v>0</v>
      </c>
      <c r="O320" s="759">
        <f t="shared" si="164"/>
        <v>6912</v>
      </c>
    </row>
    <row r="321" spans="1:16" s="1150" customFormat="1" ht="17.25" thickTop="1" thickBot="1" x14ac:dyDescent="0.3">
      <c r="A321" s="751"/>
      <c r="B321" s="759" t="s">
        <v>564</v>
      </c>
      <c r="C321" s="759">
        <f t="shared" ref="C321:O321" si="165">SUM(C288+C303+C318)</f>
        <v>280111</v>
      </c>
      <c r="D321" s="759">
        <f t="shared" si="165"/>
        <v>0</v>
      </c>
      <c r="E321" s="759">
        <f t="shared" si="165"/>
        <v>0</v>
      </c>
      <c r="F321" s="759">
        <f t="shared" si="165"/>
        <v>361484</v>
      </c>
      <c r="G321" s="759">
        <f t="shared" si="165"/>
        <v>0</v>
      </c>
      <c r="H321" s="759">
        <f t="shared" si="165"/>
        <v>6888</v>
      </c>
      <c r="I321" s="759">
        <f t="shared" si="165"/>
        <v>2235</v>
      </c>
      <c r="J321" s="759">
        <f t="shared" si="165"/>
        <v>648483</v>
      </c>
      <c r="K321" s="759">
        <f t="shared" si="165"/>
        <v>2235</v>
      </c>
      <c r="L321" s="759">
        <f t="shared" si="165"/>
        <v>650718</v>
      </c>
      <c r="M321" s="759">
        <f t="shared" si="165"/>
        <v>1139596</v>
      </c>
      <c r="N321" s="759">
        <f t="shared" si="165"/>
        <v>31540</v>
      </c>
      <c r="O321" s="759">
        <f t="shared" si="165"/>
        <v>1821854</v>
      </c>
    </row>
    <row r="322" spans="1:16" s="1150" customFormat="1" ht="16.5" thickTop="1" x14ac:dyDescent="0.25">
      <c r="A322" s="774" t="s">
        <v>36</v>
      </c>
      <c r="B322" s="775" t="s">
        <v>565</v>
      </c>
      <c r="C322" s="775"/>
      <c r="D322" s="775"/>
      <c r="E322" s="775"/>
      <c r="F322" s="775"/>
      <c r="G322" s="775"/>
      <c r="H322" s="775"/>
      <c r="I322" s="775"/>
      <c r="J322" s="775"/>
      <c r="K322" s="775"/>
      <c r="L322" s="775"/>
      <c r="M322" s="775"/>
      <c r="N322" s="775"/>
      <c r="O322" s="775"/>
    </row>
    <row r="323" spans="1:16" s="1150" customFormat="1" x14ac:dyDescent="0.25">
      <c r="A323" s="753"/>
      <c r="B323" s="776" t="s">
        <v>1125</v>
      </c>
      <c r="C323" s="776">
        <v>52076</v>
      </c>
      <c r="D323" s="776"/>
      <c r="E323" s="776"/>
      <c r="F323" s="776">
        <v>661986</v>
      </c>
      <c r="G323" s="776"/>
      <c r="H323" s="776"/>
      <c r="I323" s="776"/>
      <c r="J323" s="755">
        <f>SUM(C323+E323+F323+H323)</f>
        <v>714062</v>
      </c>
      <c r="K323" s="755">
        <f>SUM(D323+G323+I323)</f>
        <v>0</v>
      </c>
      <c r="L323" s="755">
        <f>SUM(J323:K323)</f>
        <v>714062</v>
      </c>
      <c r="M323" s="755">
        <v>1645819</v>
      </c>
      <c r="N323" s="755">
        <v>5191</v>
      </c>
      <c r="O323" s="755">
        <f>SUM(L323:N323)</f>
        <v>2365072</v>
      </c>
    </row>
    <row r="324" spans="1:16" s="1150" customFormat="1" x14ac:dyDescent="0.25">
      <c r="A324" s="756"/>
      <c r="B324" s="757" t="s">
        <v>1155</v>
      </c>
      <c r="C324" s="757">
        <v>52076</v>
      </c>
      <c r="D324" s="757"/>
      <c r="E324" s="757"/>
      <c r="F324" s="757">
        <v>661986</v>
      </c>
      <c r="G324" s="757"/>
      <c r="H324" s="757"/>
      <c r="I324" s="757"/>
      <c r="J324" s="758">
        <f>SUM(C324+E324+F324+H324)</f>
        <v>714062</v>
      </c>
      <c r="K324" s="758">
        <f>SUM(D324+G324+I324)</f>
        <v>0</v>
      </c>
      <c r="L324" s="758">
        <f>SUM(J324:K324)</f>
        <v>714062</v>
      </c>
      <c r="M324" s="758">
        <v>1613594</v>
      </c>
      <c r="N324" s="758">
        <v>5191</v>
      </c>
      <c r="O324" s="758">
        <f>SUM(L324:N324)</f>
        <v>2332847</v>
      </c>
    </row>
    <row r="325" spans="1:16" s="1150" customFormat="1" x14ac:dyDescent="0.25">
      <c r="A325" s="756"/>
      <c r="B325" s="757" t="s">
        <v>1156</v>
      </c>
      <c r="C325" s="757"/>
      <c r="D325" s="757"/>
      <c r="E325" s="757"/>
      <c r="F325" s="757"/>
      <c r="G325" s="757"/>
      <c r="H325" s="757"/>
      <c r="I325" s="757"/>
      <c r="J325" s="757">
        <f>SUM(C325+E325+F325+H325)</f>
        <v>0</v>
      </c>
      <c r="K325" s="757">
        <f>SUM(D325+G325+I325)</f>
        <v>0</v>
      </c>
      <c r="L325" s="757">
        <f>SUM(J325:K325)</f>
        <v>0</v>
      </c>
      <c r="M325" s="757">
        <v>32225</v>
      </c>
      <c r="N325" s="757"/>
      <c r="O325" s="757">
        <f>SUM(L325:N325)</f>
        <v>32225</v>
      </c>
    </row>
    <row r="326" spans="1:16" s="1150" customFormat="1" x14ac:dyDescent="0.25">
      <c r="A326" s="753"/>
      <c r="B326" s="757" t="s">
        <v>243</v>
      </c>
      <c r="C326" s="757"/>
      <c r="D326" s="757"/>
      <c r="E326" s="757"/>
      <c r="F326" s="757"/>
      <c r="G326" s="757"/>
      <c r="H326" s="757"/>
      <c r="I326" s="757"/>
      <c r="J326" s="755"/>
      <c r="K326" s="755"/>
      <c r="L326" s="755"/>
      <c r="M326" s="755"/>
      <c r="N326" s="755"/>
      <c r="O326" s="755"/>
    </row>
    <row r="327" spans="1:16" s="1150" customFormat="1" x14ac:dyDescent="0.25">
      <c r="A327" s="753"/>
      <c r="B327" s="954" t="s">
        <v>1407</v>
      </c>
      <c r="C327" s="755"/>
      <c r="D327" s="755"/>
      <c r="E327" s="755"/>
      <c r="F327" s="755"/>
      <c r="G327" s="755"/>
      <c r="H327" s="755"/>
      <c r="I327" s="755"/>
      <c r="J327" s="755">
        <f t="shared" ref="J327:J331" si="166">SUM(C327+E327+F327+H327)</f>
        <v>0</v>
      </c>
      <c r="K327" s="755">
        <f t="shared" ref="K327:K331" si="167">SUM(D327+G327+I327)</f>
        <v>0</v>
      </c>
      <c r="L327" s="755">
        <f t="shared" ref="L327:L331" si="168">SUM(J327:K327)</f>
        <v>0</v>
      </c>
      <c r="M327" s="755">
        <v>1489</v>
      </c>
      <c r="N327" s="755"/>
      <c r="O327" s="755">
        <f t="shared" ref="O327:O331" si="169">SUM(L327:N327)</f>
        <v>1489</v>
      </c>
    </row>
    <row r="328" spans="1:16" s="1150" customFormat="1" ht="31.5" x14ac:dyDescent="0.25">
      <c r="A328" s="753"/>
      <c r="B328" s="954" t="s">
        <v>1209</v>
      </c>
      <c r="C328" s="755"/>
      <c r="D328" s="755"/>
      <c r="E328" s="755"/>
      <c r="F328" s="755"/>
      <c r="G328" s="755"/>
      <c r="H328" s="755"/>
      <c r="I328" s="755"/>
      <c r="J328" s="755">
        <f t="shared" si="166"/>
        <v>0</v>
      </c>
      <c r="K328" s="755">
        <f t="shared" si="167"/>
        <v>0</v>
      </c>
      <c r="L328" s="755">
        <f t="shared" si="168"/>
        <v>0</v>
      </c>
      <c r="M328" s="755">
        <v>246</v>
      </c>
      <c r="N328" s="755"/>
      <c r="O328" s="755">
        <f t="shared" si="169"/>
        <v>246</v>
      </c>
    </row>
    <row r="329" spans="1:16" s="1150" customFormat="1" ht="31.5" x14ac:dyDescent="0.25">
      <c r="A329" s="753"/>
      <c r="B329" s="954" t="s">
        <v>1262</v>
      </c>
      <c r="C329" s="755"/>
      <c r="D329" s="755"/>
      <c r="E329" s="755"/>
      <c r="F329" s="755"/>
      <c r="G329" s="755"/>
      <c r="H329" s="755"/>
      <c r="I329" s="755"/>
      <c r="J329" s="755">
        <f t="shared" si="166"/>
        <v>0</v>
      </c>
      <c r="K329" s="755">
        <f t="shared" si="167"/>
        <v>0</v>
      </c>
      <c r="L329" s="755">
        <f t="shared" si="168"/>
        <v>0</v>
      </c>
      <c r="M329" s="755">
        <v>40833</v>
      </c>
      <c r="N329" s="755"/>
      <c r="O329" s="755">
        <f t="shared" si="169"/>
        <v>40833</v>
      </c>
    </row>
    <row r="330" spans="1:16" x14ac:dyDescent="0.25">
      <c r="A330" s="753"/>
      <c r="B330" s="757" t="s">
        <v>244</v>
      </c>
      <c r="C330" s="755"/>
      <c r="D330" s="755"/>
      <c r="E330" s="755"/>
      <c r="F330" s="755"/>
      <c r="G330" s="755"/>
      <c r="H330" s="755"/>
      <c r="I330" s="755"/>
      <c r="J330" s="755"/>
      <c r="K330" s="755"/>
      <c r="L330" s="755"/>
      <c r="M330" s="755"/>
      <c r="N330" s="755"/>
      <c r="O330" s="755"/>
    </row>
    <row r="331" spans="1:16" ht="16.5" thickBot="1" x14ac:dyDescent="0.3">
      <c r="A331" s="753"/>
      <c r="B331" s="813" t="s">
        <v>1408</v>
      </c>
      <c r="C331" s="755"/>
      <c r="D331" s="755"/>
      <c r="E331" s="755"/>
      <c r="F331" s="755"/>
      <c r="G331" s="755"/>
      <c r="H331" s="755"/>
      <c r="I331" s="755"/>
      <c r="J331" s="755">
        <f t="shared" si="166"/>
        <v>0</v>
      </c>
      <c r="K331" s="755">
        <f t="shared" si="167"/>
        <v>0</v>
      </c>
      <c r="L331" s="755">
        <f t="shared" si="168"/>
        <v>0</v>
      </c>
      <c r="M331" s="755">
        <v>5687</v>
      </c>
      <c r="N331" s="755"/>
      <c r="O331" s="755">
        <f t="shared" si="169"/>
        <v>5687</v>
      </c>
    </row>
    <row r="332" spans="1:16" ht="17.25" thickTop="1" thickBot="1" x14ac:dyDescent="0.3">
      <c r="A332" s="751"/>
      <c r="B332" s="759" t="s">
        <v>1157</v>
      </c>
      <c r="C332" s="759">
        <f>+C323+C327+C328+C331+C329</f>
        <v>52076</v>
      </c>
      <c r="D332" s="759">
        <f t="shared" ref="D332:O332" si="170">+D323+D327+D328+D331+D329</f>
        <v>0</v>
      </c>
      <c r="E332" s="759">
        <f t="shared" si="170"/>
        <v>0</v>
      </c>
      <c r="F332" s="759">
        <f t="shared" si="170"/>
        <v>661986</v>
      </c>
      <c r="G332" s="759">
        <f t="shared" si="170"/>
        <v>0</v>
      </c>
      <c r="H332" s="759">
        <f t="shared" si="170"/>
        <v>0</v>
      </c>
      <c r="I332" s="759">
        <f t="shared" si="170"/>
        <v>0</v>
      </c>
      <c r="J332" s="759">
        <f t="shared" si="170"/>
        <v>714062</v>
      </c>
      <c r="K332" s="759">
        <f t="shared" si="170"/>
        <v>0</v>
      </c>
      <c r="L332" s="759">
        <f t="shared" si="170"/>
        <v>714062</v>
      </c>
      <c r="M332" s="759">
        <f t="shared" si="170"/>
        <v>1694074</v>
      </c>
      <c r="N332" s="759">
        <f t="shared" si="170"/>
        <v>5191</v>
      </c>
      <c r="O332" s="759">
        <f t="shared" si="170"/>
        <v>2413327</v>
      </c>
      <c r="P332" s="1149">
        <f>O333+O334</f>
        <v>2413327</v>
      </c>
    </row>
    <row r="333" spans="1:16" ht="17.25" thickTop="1" thickBot="1" x14ac:dyDescent="0.3">
      <c r="A333" s="751"/>
      <c r="B333" s="759" t="s">
        <v>1158</v>
      </c>
      <c r="C333" s="759">
        <f>+C324+C327+C328+C329</f>
        <v>52076</v>
      </c>
      <c r="D333" s="759">
        <f t="shared" ref="D333:O333" si="171">+D324+D327+D328+D329</f>
        <v>0</v>
      </c>
      <c r="E333" s="759">
        <f t="shared" si="171"/>
        <v>0</v>
      </c>
      <c r="F333" s="759">
        <f t="shared" si="171"/>
        <v>661986</v>
      </c>
      <c r="G333" s="759">
        <f t="shared" si="171"/>
        <v>0</v>
      </c>
      <c r="H333" s="759">
        <f t="shared" si="171"/>
        <v>0</v>
      </c>
      <c r="I333" s="759">
        <f t="shared" si="171"/>
        <v>0</v>
      </c>
      <c r="J333" s="759">
        <f t="shared" si="171"/>
        <v>714062</v>
      </c>
      <c r="K333" s="759">
        <f t="shared" si="171"/>
        <v>0</v>
      </c>
      <c r="L333" s="759">
        <f t="shared" si="171"/>
        <v>714062</v>
      </c>
      <c r="M333" s="759">
        <f t="shared" si="171"/>
        <v>1656162</v>
      </c>
      <c r="N333" s="759">
        <f t="shared" si="171"/>
        <v>5191</v>
      </c>
      <c r="O333" s="759">
        <f t="shared" si="171"/>
        <v>2375415</v>
      </c>
    </row>
    <row r="334" spans="1:16" ht="17.25" thickTop="1" thickBot="1" x14ac:dyDescent="0.3">
      <c r="A334" s="751"/>
      <c r="B334" s="759" t="s">
        <v>1159</v>
      </c>
      <c r="C334" s="759">
        <f>+C325+C331</f>
        <v>0</v>
      </c>
      <c r="D334" s="759">
        <f t="shared" ref="D334:O334" si="172">+D325+D331</f>
        <v>0</v>
      </c>
      <c r="E334" s="759">
        <f t="shared" si="172"/>
        <v>0</v>
      </c>
      <c r="F334" s="759">
        <f t="shared" si="172"/>
        <v>0</v>
      </c>
      <c r="G334" s="759">
        <f t="shared" si="172"/>
        <v>0</v>
      </c>
      <c r="H334" s="759">
        <f t="shared" si="172"/>
        <v>0</v>
      </c>
      <c r="I334" s="759">
        <f t="shared" si="172"/>
        <v>0</v>
      </c>
      <c r="J334" s="759">
        <f t="shared" si="172"/>
        <v>0</v>
      </c>
      <c r="K334" s="759">
        <f t="shared" si="172"/>
        <v>0</v>
      </c>
      <c r="L334" s="759">
        <f t="shared" si="172"/>
        <v>0</v>
      </c>
      <c r="M334" s="759">
        <f t="shared" si="172"/>
        <v>37912</v>
      </c>
      <c r="N334" s="759">
        <f t="shared" si="172"/>
        <v>0</v>
      </c>
      <c r="O334" s="759">
        <f t="shared" si="172"/>
        <v>37912</v>
      </c>
    </row>
    <row r="335" spans="1:16" s="1150" customFormat="1" ht="16.5" thickTop="1" x14ac:dyDescent="0.25">
      <c r="A335" s="753" t="s">
        <v>37</v>
      </c>
      <c r="B335" s="760" t="s">
        <v>566</v>
      </c>
      <c r="C335" s="760"/>
      <c r="D335" s="760"/>
      <c r="E335" s="760"/>
      <c r="F335" s="760"/>
      <c r="G335" s="760"/>
      <c r="H335" s="760"/>
      <c r="I335" s="760"/>
      <c r="J335" s="760"/>
      <c r="K335" s="760"/>
      <c r="L335" s="760"/>
      <c r="M335" s="760"/>
      <c r="N335" s="760"/>
      <c r="O335" s="760"/>
    </row>
    <row r="336" spans="1:16" s="1150" customFormat="1" x14ac:dyDescent="0.25">
      <c r="A336" s="753"/>
      <c r="B336" s="755" t="s">
        <v>1125</v>
      </c>
      <c r="C336" s="755">
        <v>5399</v>
      </c>
      <c r="D336" s="755"/>
      <c r="E336" s="755"/>
      <c r="F336" s="755">
        <v>350</v>
      </c>
      <c r="G336" s="755"/>
      <c r="H336" s="755"/>
      <c r="I336" s="755"/>
      <c r="J336" s="755">
        <f>SUM(C336+E336+F336+H336)</f>
        <v>5749</v>
      </c>
      <c r="K336" s="755">
        <f>SUM(D336+G336+I336)</f>
        <v>0</v>
      </c>
      <c r="L336" s="755">
        <f>SUM(J336:K336)</f>
        <v>5749</v>
      </c>
      <c r="M336" s="755">
        <v>69194</v>
      </c>
      <c r="N336" s="755">
        <v>1200</v>
      </c>
      <c r="O336" s="755">
        <f>SUM(L336:N336)</f>
        <v>76143</v>
      </c>
    </row>
    <row r="337" spans="1:16" s="1150" customFormat="1" x14ac:dyDescent="0.25">
      <c r="A337" s="756"/>
      <c r="B337" s="757" t="s">
        <v>1160</v>
      </c>
      <c r="C337" s="757">
        <v>5399</v>
      </c>
      <c r="D337" s="757"/>
      <c r="E337" s="757"/>
      <c r="F337" s="757">
        <v>350</v>
      </c>
      <c r="G337" s="757"/>
      <c r="H337" s="757"/>
      <c r="I337" s="757"/>
      <c r="J337" s="758">
        <f>SUM(C337+E337+F337+H337)</f>
        <v>5749</v>
      </c>
      <c r="K337" s="758">
        <f>SUM(D337+G337+I337)</f>
        <v>0</v>
      </c>
      <c r="L337" s="758">
        <f>SUM(J337:K337)</f>
        <v>5749</v>
      </c>
      <c r="M337" s="758">
        <v>69194</v>
      </c>
      <c r="N337" s="758">
        <v>1200</v>
      </c>
      <c r="O337" s="758">
        <f>SUM(L337:N337)</f>
        <v>76143</v>
      </c>
    </row>
    <row r="338" spans="1:16" s="1150" customFormat="1" x14ac:dyDescent="0.25">
      <c r="A338" s="753"/>
      <c r="B338" s="757" t="s">
        <v>244</v>
      </c>
      <c r="C338" s="755"/>
      <c r="D338" s="755"/>
      <c r="E338" s="755"/>
      <c r="F338" s="755"/>
      <c r="G338" s="755"/>
      <c r="H338" s="755"/>
      <c r="I338" s="755"/>
      <c r="J338" s="758"/>
      <c r="K338" s="758"/>
      <c r="L338" s="758"/>
      <c r="M338" s="755"/>
      <c r="N338" s="755"/>
      <c r="O338" s="758"/>
    </row>
    <row r="339" spans="1:16" s="1150" customFormat="1" x14ac:dyDescent="0.25">
      <c r="A339" s="756"/>
      <c r="B339" s="954" t="s">
        <v>1407</v>
      </c>
      <c r="C339" s="757"/>
      <c r="D339" s="757"/>
      <c r="E339" s="757"/>
      <c r="F339" s="757"/>
      <c r="G339" s="757"/>
      <c r="H339" s="757"/>
      <c r="I339" s="757"/>
      <c r="J339" s="954">
        <f t="shared" ref="J339:J342" si="173">SUM(C339+E339+F339+H339)</f>
        <v>0</v>
      </c>
      <c r="K339" s="954">
        <f t="shared" ref="K339:K342" si="174">SUM(D339+G339+I339)</f>
        <v>0</v>
      </c>
      <c r="L339" s="954">
        <f t="shared" ref="L339:L342" si="175">SUM(J339:K339)</f>
        <v>0</v>
      </c>
      <c r="M339" s="954">
        <v>27</v>
      </c>
      <c r="N339" s="954"/>
      <c r="O339" s="954">
        <f>SUM(L339:N339)</f>
        <v>27</v>
      </c>
    </row>
    <row r="340" spans="1:16" s="1150" customFormat="1" x14ac:dyDescent="0.25">
      <c r="A340" s="753"/>
      <c r="B340" s="813" t="s">
        <v>1408</v>
      </c>
      <c r="C340" s="755"/>
      <c r="D340" s="755"/>
      <c r="E340" s="755"/>
      <c r="F340" s="755"/>
      <c r="G340" s="755"/>
      <c r="H340" s="755"/>
      <c r="I340" s="755"/>
      <c r="J340" s="954">
        <f t="shared" si="173"/>
        <v>0</v>
      </c>
      <c r="K340" s="954">
        <f t="shared" si="174"/>
        <v>0</v>
      </c>
      <c r="L340" s="954">
        <f t="shared" si="175"/>
        <v>0</v>
      </c>
      <c r="M340" s="954">
        <v>242</v>
      </c>
      <c r="N340" s="954"/>
      <c r="O340" s="954">
        <f t="shared" ref="O340:O342" si="176">SUM(L340:N340)</f>
        <v>242</v>
      </c>
    </row>
    <row r="341" spans="1:16" s="1150" customFormat="1" ht="63" x14ac:dyDescent="0.25">
      <c r="A341" s="756"/>
      <c r="B341" s="954" t="s">
        <v>1415</v>
      </c>
      <c r="C341" s="757"/>
      <c r="D341" s="757"/>
      <c r="E341" s="757"/>
      <c r="F341" s="757"/>
      <c r="G341" s="757"/>
      <c r="H341" s="757"/>
      <c r="I341" s="757"/>
      <c r="J341" s="954">
        <f t="shared" si="173"/>
        <v>0</v>
      </c>
      <c r="K341" s="954">
        <f t="shared" si="174"/>
        <v>0</v>
      </c>
      <c r="L341" s="954">
        <f t="shared" si="175"/>
        <v>0</v>
      </c>
      <c r="M341" s="954">
        <v>899</v>
      </c>
      <c r="N341" s="954"/>
      <c r="O341" s="954">
        <f t="shared" si="176"/>
        <v>899</v>
      </c>
    </row>
    <row r="342" spans="1:16" s="1150" customFormat="1" ht="32.25" thickBot="1" x14ac:dyDescent="0.3">
      <c r="A342" s="753"/>
      <c r="B342" s="954" t="s">
        <v>1262</v>
      </c>
      <c r="C342" s="755">
        <v>1000</v>
      </c>
      <c r="D342" s="755"/>
      <c r="E342" s="755"/>
      <c r="F342" s="755">
        <v>487</v>
      </c>
      <c r="G342" s="755"/>
      <c r="H342" s="755"/>
      <c r="I342" s="755"/>
      <c r="J342" s="954">
        <f t="shared" si="173"/>
        <v>1487</v>
      </c>
      <c r="K342" s="954">
        <f t="shared" si="174"/>
        <v>0</v>
      </c>
      <c r="L342" s="954">
        <f t="shared" si="175"/>
        <v>1487</v>
      </c>
      <c r="M342" s="954"/>
      <c r="N342" s="954"/>
      <c r="O342" s="954">
        <f t="shared" si="176"/>
        <v>1487</v>
      </c>
    </row>
    <row r="343" spans="1:16" s="1150" customFormat="1" ht="17.25" thickTop="1" thickBot="1" x14ac:dyDescent="0.3">
      <c r="A343" s="751"/>
      <c r="B343" s="759" t="s">
        <v>1157</v>
      </c>
      <c r="C343" s="759">
        <f>+C336+C339+C340+C341+C342</f>
        <v>6399</v>
      </c>
      <c r="D343" s="759">
        <f t="shared" ref="D343:O343" si="177">+D336+D339+D340+D341+D342</f>
        <v>0</v>
      </c>
      <c r="E343" s="759">
        <f t="shared" si="177"/>
        <v>0</v>
      </c>
      <c r="F343" s="759">
        <f t="shared" si="177"/>
        <v>837</v>
      </c>
      <c r="G343" s="759">
        <f t="shared" si="177"/>
        <v>0</v>
      </c>
      <c r="H343" s="759">
        <f t="shared" si="177"/>
        <v>0</v>
      </c>
      <c r="I343" s="759">
        <f t="shared" si="177"/>
        <v>0</v>
      </c>
      <c r="J343" s="759">
        <f t="shared" si="177"/>
        <v>7236</v>
      </c>
      <c r="K343" s="759">
        <f t="shared" si="177"/>
        <v>0</v>
      </c>
      <c r="L343" s="759">
        <f t="shared" si="177"/>
        <v>7236</v>
      </c>
      <c r="M343" s="759">
        <f t="shared" si="177"/>
        <v>70362</v>
      </c>
      <c r="N343" s="759">
        <f t="shared" si="177"/>
        <v>1200</v>
      </c>
      <c r="O343" s="759">
        <f t="shared" si="177"/>
        <v>78798</v>
      </c>
      <c r="P343" s="1150">
        <f>O344</f>
        <v>78798</v>
      </c>
    </row>
    <row r="344" spans="1:16" ht="17.25" thickTop="1" thickBot="1" x14ac:dyDescent="0.3">
      <c r="A344" s="751"/>
      <c r="B344" s="759" t="s">
        <v>1161</v>
      </c>
      <c r="C344" s="759">
        <f>+C337+C339+C340+C341+C342</f>
        <v>6399</v>
      </c>
      <c r="D344" s="759">
        <f t="shared" ref="D344:O344" si="178">+D337+D339+D340+D341+D342</f>
        <v>0</v>
      </c>
      <c r="E344" s="759">
        <f t="shared" si="178"/>
        <v>0</v>
      </c>
      <c r="F344" s="759">
        <f t="shared" si="178"/>
        <v>837</v>
      </c>
      <c r="G344" s="759">
        <f t="shared" si="178"/>
        <v>0</v>
      </c>
      <c r="H344" s="759">
        <f t="shared" si="178"/>
        <v>0</v>
      </c>
      <c r="I344" s="759">
        <f t="shared" si="178"/>
        <v>0</v>
      </c>
      <c r="J344" s="759">
        <f t="shared" si="178"/>
        <v>7236</v>
      </c>
      <c r="K344" s="759">
        <f t="shared" si="178"/>
        <v>0</v>
      </c>
      <c r="L344" s="759">
        <f t="shared" si="178"/>
        <v>7236</v>
      </c>
      <c r="M344" s="759">
        <f t="shared" si="178"/>
        <v>70362</v>
      </c>
      <c r="N344" s="759">
        <f t="shared" si="178"/>
        <v>1200</v>
      </c>
      <c r="O344" s="759">
        <f t="shared" si="178"/>
        <v>78798</v>
      </c>
    </row>
    <row r="345" spans="1:16" ht="16.5" thickTop="1" x14ac:dyDescent="0.25">
      <c r="A345" s="764" t="s">
        <v>38</v>
      </c>
      <c r="B345" s="760" t="s">
        <v>567</v>
      </c>
      <c r="C345" s="760"/>
      <c r="D345" s="760"/>
      <c r="E345" s="760"/>
      <c r="F345" s="760"/>
      <c r="G345" s="760"/>
      <c r="H345" s="760"/>
      <c r="I345" s="760"/>
      <c r="J345" s="760"/>
      <c r="K345" s="760"/>
      <c r="L345" s="760"/>
      <c r="M345" s="760"/>
      <c r="N345" s="760"/>
      <c r="O345" s="760"/>
    </row>
    <row r="346" spans="1:16" x14ac:dyDescent="0.25">
      <c r="A346" s="764"/>
      <c r="B346" s="754" t="s">
        <v>1125</v>
      </c>
      <c r="C346" s="754">
        <v>2450</v>
      </c>
      <c r="D346" s="754"/>
      <c r="E346" s="754"/>
      <c r="F346" s="754">
        <v>1122</v>
      </c>
      <c r="G346" s="754"/>
      <c r="H346" s="754"/>
      <c r="I346" s="754"/>
      <c r="J346" s="755">
        <f>SUM(C346+E346+F346+H346)</f>
        <v>3572</v>
      </c>
      <c r="K346" s="755">
        <f>SUM(D346+G346+I346)</f>
        <v>0</v>
      </c>
      <c r="L346" s="755">
        <f>SUM(J346:K346)</f>
        <v>3572</v>
      </c>
      <c r="M346" s="755">
        <v>15223</v>
      </c>
      <c r="N346" s="755">
        <v>3700</v>
      </c>
      <c r="O346" s="755">
        <f>SUM(L346:N346)</f>
        <v>22495</v>
      </c>
    </row>
    <row r="347" spans="1:16" x14ac:dyDescent="0.25">
      <c r="A347" s="761"/>
      <c r="B347" s="757" t="s">
        <v>1160</v>
      </c>
      <c r="C347" s="757">
        <v>2450</v>
      </c>
      <c r="D347" s="757"/>
      <c r="E347" s="757"/>
      <c r="F347" s="757">
        <v>1122</v>
      </c>
      <c r="G347" s="757"/>
      <c r="H347" s="757"/>
      <c r="I347" s="757"/>
      <c r="J347" s="758">
        <f>SUM(C347+E347+F347+H347)</f>
        <v>3572</v>
      </c>
      <c r="K347" s="758">
        <f>SUM(D347+G347+I347)</f>
        <v>0</v>
      </c>
      <c r="L347" s="758">
        <f>SUM(J347:K347)</f>
        <v>3572</v>
      </c>
      <c r="M347" s="758">
        <v>15223</v>
      </c>
      <c r="N347" s="758">
        <v>3700</v>
      </c>
      <c r="O347" s="758">
        <f>SUM(L347:N347)</f>
        <v>22495</v>
      </c>
    </row>
    <row r="348" spans="1:16" ht="16.5" thickBot="1" x14ac:dyDescent="0.3">
      <c r="A348" s="764"/>
      <c r="B348" s="762" t="s">
        <v>244</v>
      </c>
      <c r="C348" s="754"/>
      <c r="D348" s="754"/>
      <c r="E348" s="754"/>
      <c r="F348" s="754"/>
      <c r="G348" s="754"/>
      <c r="H348" s="754"/>
      <c r="I348" s="754"/>
      <c r="J348" s="755"/>
      <c r="K348" s="755"/>
      <c r="L348" s="755"/>
      <c r="M348" s="755"/>
      <c r="N348" s="755"/>
      <c r="O348" s="755"/>
    </row>
    <row r="349" spans="1:16" ht="17.25" thickTop="1" thickBot="1" x14ac:dyDescent="0.3">
      <c r="A349" s="751"/>
      <c r="B349" s="759" t="s">
        <v>1157</v>
      </c>
      <c r="C349" s="759">
        <f>+C346</f>
        <v>2450</v>
      </c>
      <c r="D349" s="759">
        <f t="shared" ref="D349:O350" si="179">+D346</f>
        <v>0</v>
      </c>
      <c r="E349" s="759">
        <f t="shared" si="179"/>
        <v>0</v>
      </c>
      <c r="F349" s="759">
        <f t="shared" si="179"/>
        <v>1122</v>
      </c>
      <c r="G349" s="759">
        <f t="shared" si="179"/>
        <v>0</v>
      </c>
      <c r="H349" s="759">
        <f t="shared" si="179"/>
        <v>0</v>
      </c>
      <c r="I349" s="759">
        <f t="shared" si="179"/>
        <v>0</v>
      </c>
      <c r="J349" s="759">
        <f t="shared" si="179"/>
        <v>3572</v>
      </c>
      <c r="K349" s="759">
        <f t="shared" si="179"/>
        <v>0</v>
      </c>
      <c r="L349" s="759">
        <f t="shared" si="179"/>
        <v>3572</v>
      </c>
      <c r="M349" s="759">
        <f t="shared" si="179"/>
        <v>15223</v>
      </c>
      <c r="N349" s="759">
        <f t="shared" si="179"/>
        <v>3700</v>
      </c>
      <c r="O349" s="759">
        <f t="shared" si="179"/>
        <v>22495</v>
      </c>
      <c r="P349" s="1149">
        <f>O350</f>
        <v>22495</v>
      </c>
    </row>
    <row r="350" spans="1:16" s="1150" customFormat="1" ht="17.25" thickTop="1" thickBot="1" x14ac:dyDescent="0.3">
      <c r="A350" s="751"/>
      <c r="B350" s="759" t="s">
        <v>1161</v>
      </c>
      <c r="C350" s="759">
        <f>+C347</f>
        <v>2450</v>
      </c>
      <c r="D350" s="759">
        <f t="shared" si="179"/>
        <v>0</v>
      </c>
      <c r="E350" s="759">
        <f t="shared" si="179"/>
        <v>0</v>
      </c>
      <c r="F350" s="759">
        <f t="shared" si="179"/>
        <v>1122</v>
      </c>
      <c r="G350" s="759">
        <f t="shared" si="179"/>
        <v>0</v>
      </c>
      <c r="H350" s="759">
        <f t="shared" si="179"/>
        <v>0</v>
      </c>
      <c r="I350" s="759">
        <f t="shared" si="179"/>
        <v>0</v>
      </c>
      <c r="J350" s="759">
        <f t="shared" si="179"/>
        <v>3572</v>
      </c>
      <c r="K350" s="759">
        <f t="shared" si="179"/>
        <v>0</v>
      </c>
      <c r="L350" s="759">
        <f t="shared" si="179"/>
        <v>3572</v>
      </c>
      <c r="M350" s="759">
        <f t="shared" si="179"/>
        <v>15223</v>
      </c>
      <c r="N350" s="759">
        <f t="shared" si="179"/>
        <v>3700</v>
      </c>
      <c r="O350" s="759">
        <f t="shared" si="179"/>
        <v>22495</v>
      </c>
    </row>
    <row r="351" spans="1:16" s="1150" customFormat="1" ht="16.5" thickTop="1" x14ac:dyDescent="0.25">
      <c r="A351" s="753" t="s">
        <v>41</v>
      </c>
      <c r="B351" s="760" t="s">
        <v>381</v>
      </c>
      <c r="C351" s="760"/>
      <c r="D351" s="760"/>
      <c r="E351" s="760"/>
      <c r="F351" s="760"/>
      <c r="G351" s="760"/>
      <c r="H351" s="760"/>
      <c r="I351" s="760"/>
      <c r="J351" s="760"/>
      <c r="K351" s="760"/>
      <c r="L351" s="760"/>
      <c r="M351" s="760"/>
      <c r="N351" s="760"/>
      <c r="O351" s="760"/>
    </row>
    <row r="352" spans="1:16" x14ac:dyDescent="0.25">
      <c r="A352" s="753"/>
      <c r="B352" s="755" t="s">
        <v>1125</v>
      </c>
      <c r="C352" s="755">
        <v>19944</v>
      </c>
      <c r="D352" s="755"/>
      <c r="E352" s="755"/>
      <c r="F352" s="755">
        <v>15082</v>
      </c>
      <c r="G352" s="755"/>
      <c r="H352" s="755">
        <v>92</v>
      </c>
      <c r="I352" s="755"/>
      <c r="J352" s="755">
        <f>SUM(C352+E352+F352+H352)</f>
        <v>35118</v>
      </c>
      <c r="K352" s="755">
        <f>SUM(D352+G352+I352)</f>
        <v>0</v>
      </c>
      <c r="L352" s="755">
        <f>SUM(J352:K352)</f>
        <v>35118</v>
      </c>
      <c r="M352" s="755">
        <v>336403</v>
      </c>
      <c r="N352" s="755">
        <v>3079</v>
      </c>
      <c r="O352" s="755">
        <f>SUM(L352:N352)</f>
        <v>374600</v>
      </c>
    </row>
    <row r="353" spans="1:16" x14ac:dyDescent="0.25">
      <c r="A353" s="756"/>
      <c r="B353" s="757" t="s">
        <v>1155</v>
      </c>
      <c r="C353" s="757">
        <v>17066</v>
      </c>
      <c r="D353" s="757"/>
      <c r="E353" s="757"/>
      <c r="F353" s="757">
        <v>15082</v>
      </c>
      <c r="G353" s="757"/>
      <c r="H353" s="757"/>
      <c r="I353" s="757"/>
      <c r="J353" s="758">
        <f>SUM(C353+E353+F353+H353)</f>
        <v>32148</v>
      </c>
      <c r="K353" s="758">
        <f>SUM(D353+G353+I353)</f>
        <v>0</v>
      </c>
      <c r="L353" s="758">
        <f>SUM(J353:K353)</f>
        <v>32148</v>
      </c>
      <c r="M353" s="758">
        <v>327292</v>
      </c>
      <c r="N353" s="758">
        <v>3079</v>
      </c>
      <c r="O353" s="758">
        <f>SUM(L353:N353)</f>
        <v>362519</v>
      </c>
    </row>
    <row r="354" spans="1:16" x14ac:dyDescent="0.25">
      <c r="A354" s="756"/>
      <c r="B354" s="757" t="s">
        <v>1156</v>
      </c>
      <c r="C354" s="757">
        <v>2878</v>
      </c>
      <c r="D354" s="757"/>
      <c r="E354" s="757"/>
      <c r="F354" s="757"/>
      <c r="G354" s="757"/>
      <c r="H354" s="757">
        <v>92</v>
      </c>
      <c r="I354" s="757"/>
      <c r="J354" s="757">
        <f>SUM(C354+E354+F354+H354)</f>
        <v>2970</v>
      </c>
      <c r="K354" s="757">
        <f>SUM(D354+G354+I354)</f>
        <v>0</v>
      </c>
      <c r="L354" s="757">
        <f>SUM(J354:K354)</f>
        <v>2970</v>
      </c>
      <c r="M354" s="757">
        <v>9111</v>
      </c>
      <c r="N354" s="757"/>
      <c r="O354" s="757">
        <f>SUM(L354:N354)</f>
        <v>12081</v>
      </c>
    </row>
    <row r="355" spans="1:16" x14ac:dyDescent="0.25">
      <c r="A355" s="756"/>
      <c r="B355" s="757" t="s">
        <v>243</v>
      </c>
      <c r="C355" s="757"/>
      <c r="D355" s="757"/>
      <c r="E355" s="757"/>
      <c r="F355" s="757"/>
      <c r="G355" s="757"/>
      <c r="H355" s="757"/>
      <c r="I355" s="757"/>
      <c r="J355" s="758"/>
      <c r="K355" s="758"/>
      <c r="L355" s="758"/>
      <c r="M355" s="758"/>
      <c r="N355" s="758"/>
      <c r="O355" s="758"/>
    </row>
    <row r="356" spans="1:16" x14ac:dyDescent="0.25">
      <c r="A356" s="756"/>
      <c r="B356" s="954" t="s">
        <v>1407</v>
      </c>
      <c r="C356" s="757"/>
      <c r="D356" s="757"/>
      <c r="E356" s="757"/>
      <c r="F356" s="757"/>
      <c r="G356" s="757"/>
      <c r="H356" s="757"/>
      <c r="I356" s="757"/>
      <c r="J356" s="954">
        <f t="shared" ref="J356:J362" si="180">SUM(C356+E356+F356+H356)</f>
        <v>0</v>
      </c>
      <c r="K356" s="954">
        <f t="shared" ref="K356:K362" si="181">SUM(D356+G356+I356)</f>
        <v>0</v>
      </c>
      <c r="L356" s="954">
        <f t="shared" ref="L356:L362" si="182">SUM(J356:K356)</f>
        <v>0</v>
      </c>
      <c r="M356" s="954">
        <v>548</v>
      </c>
      <c r="N356" s="954"/>
      <c r="O356" s="954">
        <f t="shared" ref="O356:O362" si="183">SUM(L356:N356)</f>
        <v>548</v>
      </c>
    </row>
    <row r="357" spans="1:16" ht="31.5" x14ac:dyDescent="0.25">
      <c r="A357" s="756"/>
      <c r="B357" s="954" t="s">
        <v>1416</v>
      </c>
      <c r="C357" s="954"/>
      <c r="D357" s="757"/>
      <c r="E357" s="757"/>
      <c r="F357" s="757"/>
      <c r="G357" s="757"/>
      <c r="H357" s="757"/>
      <c r="I357" s="757"/>
      <c r="J357" s="954">
        <f t="shared" si="180"/>
        <v>0</v>
      </c>
      <c r="K357" s="954">
        <f t="shared" si="181"/>
        <v>0</v>
      </c>
      <c r="L357" s="954">
        <f t="shared" si="182"/>
        <v>0</v>
      </c>
      <c r="M357" s="954">
        <v>22286</v>
      </c>
      <c r="N357" s="954"/>
      <c r="O357" s="954">
        <f t="shared" si="183"/>
        <v>22286</v>
      </c>
    </row>
    <row r="358" spans="1:16" ht="31.5" x14ac:dyDescent="0.25">
      <c r="A358" s="756"/>
      <c r="B358" s="954" t="s">
        <v>1417</v>
      </c>
      <c r="C358" s="954"/>
      <c r="D358" s="757"/>
      <c r="E358" s="757"/>
      <c r="F358" s="757"/>
      <c r="G358" s="757"/>
      <c r="H358" s="757"/>
      <c r="I358" s="757"/>
      <c r="J358" s="954">
        <f t="shared" si="180"/>
        <v>0</v>
      </c>
      <c r="K358" s="954">
        <f t="shared" si="181"/>
        <v>0</v>
      </c>
      <c r="L358" s="954">
        <f t="shared" si="182"/>
        <v>0</v>
      </c>
      <c r="M358" s="954">
        <v>2730</v>
      </c>
      <c r="N358" s="954"/>
      <c r="O358" s="954">
        <f t="shared" si="183"/>
        <v>2730</v>
      </c>
    </row>
    <row r="359" spans="1:16" ht="31.5" x14ac:dyDescent="0.25">
      <c r="A359" s="756"/>
      <c r="B359" s="954" t="s">
        <v>1262</v>
      </c>
      <c r="C359" s="954">
        <v>700</v>
      </c>
      <c r="D359" s="757"/>
      <c r="E359" s="757"/>
      <c r="F359" s="954">
        <v>1249</v>
      </c>
      <c r="G359" s="757"/>
      <c r="H359" s="757">
        <v>89</v>
      </c>
      <c r="I359" s="757"/>
      <c r="J359" s="954">
        <f t="shared" si="180"/>
        <v>2038</v>
      </c>
      <c r="K359" s="954">
        <f t="shared" si="181"/>
        <v>0</v>
      </c>
      <c r="L359" s="954">
        <f t="shared" si="182"/>
        <v>2038</v>
      </c>
      <c r="M359" s="954"/>
      <c r="N359" s="954"/>
      <c r="O359" s="954">
        <f t="shared" si="183"/>
        <v>2038</v>
      </c>
    </row>
    <row r="360" spans="1:16" x14ac:dyDescent="0.25">
      <c r="A360" s="756"/>
      <c r="B360" s="757" t="s">
        <v>244</v>
      </c>
      <c r="C360" s="757"/>
      <c r="D360" s="757"/>
      <c r="E360" s="757"/>
      <c r="F360" s="757"/>
      <c r="G360" s="757"/>
      <c r="H360" s="757"/>
      <c r="I360" s="757"/>
      <c r="J360" s="954"/>
      <c r="K360" s="954"/>
      <c r="L360" s="954"/>
      <c r="M360" s="954"/>
      <c r="N360" s="954"/>
      <c r="O360" s="954"/>
    </row>
    <row r="361" spans="1:16" x14ac:dyDescent="0.25">
      <c r="A361" s="756"/>
      <c r="B361" s="813" t="s">
        <v>1408</v>
      </c>
      <c r="C361" s="757"/>
      <c r="D361" s="757"/>
      <c r="E361" s="757"/>
      <c r="F361" s="757"/>
      <c r="G361" s="757"/>
      <c r="H361" s="757"/>
      <c r="I361" s="757"/>
      <c r="J361" s="954">
        <f t="shared" si="180"/>
        <v>0</v>
      </c>
      <c r="K361" s="954">
        <f t="shared" si="181"/>
        <v>0</v>
      </c>
      <c r="L361" s="954">
        <f t="shared" si="182"/>
        <v>0</v>
      </c>
      <c r="M361" s="954">
        <v>1638</v>
      </c>
      <c r="N361" s="954"/>
      <c r="O361" s="954">
        <f t="shared" si="183"/>
        <v>1638</v>
      </c>
    </row>
    <row r="362" spans="1:16" ht="79.5" thickBot="1" x14ac:dyDescent="0.3">
      <c r="A362" s="756"/>
      <c r="B362" s="954" t="s">
        <v>1418</v>
      </c>
      <c r="C362" s="757"/>
      <c r="D362" s="757"/>
      <c r="E362" s="757"/>
      <c r="F362" s="757"/>
      <c r="G362" s="757"/>
      <c r="H362" s="757"/>
      <c r="I362" s="757"/>
      <c r="J362" s="954">
        <f t="shared" si="180"/>
        <v>0</v>
      </c>
      <c r="K362" s="954">
        <f t="shared" si="181"/>
        <v>0</v>
      </c>
      <c r="L362" s="954">
        <f t="shared" si="182"/>
        <v>0</v>
      </c>
      <c r="M362" s="954">
        <v>1000</v>
      </c>
      <c r="N362" s="954"/>
      <c r="O362" s="954">
        <f t="shared" si="183"/>
        <v>1000</v>
      </c>
    </row>
    <row r="363" spans="1:16" ht="17.25" thickTop="1" thickBot="1" x14ac:dyDescent="0.3">
      <c r="A363" s="751"/>
      <c r="B363" s="759" t="s">
        <v>1157</v>
      </c>
      <c r="C363" s="759">
        <f>+C352+C356+C357+C358+C361+C362+C359</f>
        <v>20644</v>
      </c>
      <c r="D363" s="759">
        <f t="shared" ref="D363:O363" si="184">+D352+D356+D357+D358+D361+D362+D359</f>
        <v>0</v>
      </c>
      <c r="E363" s="759">
        <f t="shared" si="184"/>
        <v>0</v>
      </c>
      <c r="F363" s="759">
        <f t="shared" si="184"/>
        <v>16331</v>
      </c>
      <c r="G363" s="759">
        <f t="shared" si="184"/>
        <v>0</v>
      </c>
      <c r="H363" s="759">
        <f t="shared" si="184"/>
        <v>181</v>
      </c>
      <c r="I363" s="759">
        <f t="shared" si="184"/>
        <v>0</v>
      </c>
      <c r="J363" s="759">
        <f t="shared" si="184"/>
        <v>37156</v>
      </c>
      <c r="K363" s="759">
        <f t="shared" si="184"/>
        <v>0</v>
      </c>
      <c r="L363" s="759">
        <f t="shared" si="184"/>
        <v>37156</v>
      </c>
      <c r="M363" s="759">
        <f t="shared" si="184"/>
        <v>364605</v>
      </c>
      <c r="N363" s="759">
        <f t="shared" si="184"/>
        <v>3079</v>
      </c>
      <c r="O363" s="759">
        <f t="shared" si="184"/>
        <v>404840</v>
      </c>
      <c r="P363" s="1149">
        <f>O364+O365</f>
        <v>404840</v>
      </c>
    </row>
    <row r="364" spans="1:16" ht="17.25" thickTop="1" thickBot="1" x14ac:dyDescent="0.3">
      <c r="A364" s="751"/>
      <c r="B364" s="759" t="s">
        <v>1158</v>
      </c>
      <c r="C364" s="759">
        <f t="shared" ref="C364:O364" si="185">+C353+C356+C357+C358+C359</f>
        <v>17766</v>
      </c>
      <c r="D364" s="759">
        <f t="shared" si="185"/>
        <v>0</v>
      </c>
      <c r="E364" s="759">
        <f t="shared" si="185"/>
        <v>0</v>
      </c>
      <c r="F364" s="759">
        <f t="shared" si="185"/>
        <v>16331</v>
      </c>
      <c r="G364" s="759">
        <f t="shared" si="185"/>
        <v>0</v>
      </c>
      <c r="H364" s="759">
        <f t="shared" si="185"/>
        <v>89</v>
      </c>
      <c r="I364" s="759">
        <f t="shared" si="185"/>
        <v>0</v>
      </c>
      <c r="J364" s="759">
        <f t="shared" si="185"/>
        <v>34186</v>
      </c>
      <c r="K364" s="759">
        <f t="shared" si="185"/>
        <v>0</v>
      </c>
      <c r="L364" s="759">
        <f t="shared" si="185"/>
        <v>34186</v>
      </c>
      <c r="M364" s="759">
        <f t="shared" si="185"/>
        <v>352856</v>
      </c>
      <c r="N364" s="759">
        <f t="shared" si="185"/>
        <v>3079</v>
      </c>
      <c r="O364" s="759">
        <f t="shared" si="185"/>
        <v>390121</v>
      </c>
    </row>
    <row r="365" spans="1:16" ht="17.25" thickTop="1" thickBot="1" x14ac:dyDescent="0.3">
      <c r="A365" s="751"/>
      <c r="B365" s="759" t="s">
        <v>1159</v>
      </c>
      <c r="C365" s="759">
        <f>+C354+C361+C362</f>
        <v>2878</v>
      </c>
      <c r="D365" s="759">
        <f t="shared" ref="D365:O365" si="186">+D354+D361+D362</f>
        <v>0</v>
      </c>
      <c r="E365" s="759">
        <f t="shared" si="186"/>
        <v>0</v>
      </c>
      <c r="F365" s="759">
        <f t="shared" si="186"/>
        <v>0</v>
      </c>
      <c r="G365" s="759">
        <f t="shared" si="186"/>
        <v>0</v>
      </c>
      <c r="H365" s="759">
        <f t="shared" si="186"/>
        <v>92</v>
      </c>
      <c r="I365" s="759">
        <f t="shared" si="186"/>
        <v>0</v>
      </c>
      <c r="J365" s="759">
        <f t="shared" si="186"/>
        <v>2970</v>
      </c>
      <c r="K365" s="759">
        <f t="shared" si="186"/>
        <v>0</v>
      </c>
      <c r="L365" s="759">
        <f t="shared" si="186"/>
        <v>2970</v>
      </c>
      <c r="M365" s="759">
        <f t="shared" si="186"/>
        <v>11749</v>
      </c>
      <c r="N365" s="759">
        <f t="shared" si="186"/>
        <v>0</v>
      </c>
      <c r="O365" s="759">
        <f t="shared" si="186"/>
        <v>14719</v>
      </c>
    </row>
    <row r="366" spans="1:16" s="1150" customFormat="1" ht="16.5" thickTop="1" x14ac:dyDescent="0.25">
      <c r="A366" s="753" t="s">
        <v>44</v>
      </c>
      <c r="B366" s="760" t="s">
        <v>568</v>
      </c>
      <c r="C366" s="760"/>
      <c r="D366" s="760"/>
      <c r="E366" s="760"/>
      <c r="F366" s="760"/>
      <c r="G366" s="760"/>
      <c r="H366" s="760"/>
      <c r="I366" s="760"/>
      <c r="J366" s="760"/>
      <c r="K366" s="760"/>
      <c r="L366" s="760"/>
      <c r="M366" s="760"/>
      <c r="N366" s="760"/>
      <c r="O366" s="760"/>
    </row>
    <row r="367" spans="1:16" x14ac:dyDescent="0.25">
      <c r="A367" s="753"/>
      <c r="B367" s="755" t="s">
        <v>1125</v>
      </c>
      <c r="C367" s="755">
        <v>35594</v>
      </c>
      <c r="D367" s="755"/>
      <c r="E367" s="755"/>
      <c r="F367" s="755">
        <v>94253</v>
      </c>
      <c r="G367" s="755"/>
      <c r="H367" s="755">
        <v>3303</v>
      </c>
      <c r="I367" s="755"/>
      <c r="J367" s="755">
        <f>SUM(C367+E367+F367+H367)</f>
        <v>133150</v>
      </c>
      <c r="K367" s="755">
        <f>SUM(D367+G367+I367)</f>
        <v>0</v>
      </c>
      <c r="L367" s="755">
        <f>SUM(J367:K367)</f>
        <v>133150</v>
      </c>
      <c r="M367" s="755">
        <v>484881</v>
      </c>
      <c r="N367" s="755">
        <v>81019</v>
      </c>
      <c r="O367" s="755">
        <f>SUM(L367:N367)</f>
        <v>699050</v>
      </c>
    </row>
    <row r="368" spans="1:16" s="1150" customFormat="1" x14ac:dyDescent="0.25">
      <c r="A368" s="756"/>
      <c r="B368" s="757" t="s">
        <v>1155</v>
      </c>
      <c r="C368" s="757">
        <v>19174</v>
      </c>
      <c r="D368" s="757"/>
      <c r="E368" s="757"/>
      <c r="F368" s="757">
        <v>89675</v>
      </c>
      <c r="G368" s="757"/>
      <c r="H368" s="757"/>
      <c r="I368" s="757"/>
      <c r="J368" s="758">
        <f>SUM(C368+E368+F368+H368)</f>
        <v>108849</v>
      </c>
      <c r="K368" s="758">
        <f>SUM(D368+G368+I368)</f>
        <v>0</v>
      </c>
      <c r="L368" s="758">
        <f>SUM(J368:K368)</f>
        <v>108849</v>
      </c>
      <c r="M368" s="758">
        <v>416430</v>
      </c>
      <c r="N368" s="758">
        <v>81019</v>
      </c>
      <c r="O368" s="758">
        <f>SUM(L368:N368)</f>
        <v>606298</v>
      </c>
    </row>
    <row r="369" spans="1:16" x14ac:dyDescent="0.25">
      <c r="A369" s="756"/>
      <c r="B369" s="757" t="s">
        <v>1156</v>
      </c>
      <c r="C369" s="757">
        <v>16420</v>
      </c>
      <c r="D369" s="757"/>
      <c r="E369" s="757"/>
      <c r="F369" s="757">
        <v>4578</v>
      </c>
      <c r="G369" s="757"/>
      <c r="H369" s="757">
        <v>3303</v>
      </c>
      <c r="I369" s="757"/>
      <c r="J369" s="757">
        <f>SUM(C369+E369+F369+H369)</f>
        <v>24301</v>
      </c>
      <c r="K369" s="757">
        <f>SUM(D369+G369+I369)</f>
        <v>0</v>
      </c>
      <c r="L369" s="757">
        <f>SUM(J369:K369)</f>
        <v>24301</v>
      </c>
      <c r="M369" s="757">
        <v>68451</v>
      </c>
      <c r="N369" s="757"/>
      <c r="O369" s="757">
        <f>SUM(L369:N369)</f>
        <v>92752</v>
      </c>
    </row>
    <row r="370" spans="1:16" s="1150" customFormat="1" x14ac:dyDescent="0.25">
      <c r="A370" s="753"/>
      <c r="B370" s="757" t="s">
        <v>243</v>
      </c>
      <c r="C370" s="757"/>
      <c r="D370" s="757"/>
      <c r="E370" s="757"/>
      <c r="F370" s="757"/>
      <c r="G370" s="757"/>
      <c r="H370" s="757"/>
      <c r="I370" s="757"/>
      <c r="J370" s="755"/>
      <c r="K370" s="755"/>
      <c r="L370" s="755"/>
      <c r="M370" s="755"/>
      <c r="N370" s="755"/>
      <c r="O370" s="755"/>
    </row>
    <row r="371" spans="1:16" x14ac:dyDescent="0.25">
      <c r="A371" s="753"/>
      <c r="B371" s="954" t="s">
        <v>1407</v>
      </c>
      <c r="C371" s="755"/>
      <c r="D371" s="755"/>
      <c r="E371" s="755"/>
      <c r="F371" s="755"/>
      <c r="G371" s="755"/>
      <c r="H371" s="755"/>
      <c r="I371" s="755"/>
      <c r="J371" s="755">
        <f t="shared" ref="J371" si="187">SUM(C371+E371+F371+H371)</f>
        <v>0</v>
      </c>
      <c r="K371" s="755">
        <f t="shared" ref="K371:K372" si="188">SUM(D371+G371+I371)</f>
        <v>0</v>
      </c>
      <c r="L371" s="755">
        <f t="shared" ref="L371:L372" si="189">SUM(J371:K371)</f>
        <v>0</v>
      </c>
      <c r="M371" s="755">
        <v>415</v>
      </c>
      <c r="N371" s="755"/>
      <c r="O371" s="755">
        <f t="shared" ref="O371:O372" si="190">SUM(L371:N371)</f>
        <v>415</v>
      </c>
    </row>
    <row r="372" spans="1:16" ht="31.5" x14ac:dyDescent="0.25">
      <c r="A372" s="753"/>
      <c r="B372" s="954" t="s">
        <v>1262</v>
      </c>
      <c r="C372" s="755">
        <v>1</v>
      </c>
      <c r="D372" s="755"/>
      <c r="E372" s="755"/>
      <c r="F372" s="755">
        <v>11376</v>
      </c>
      <c r="G372" s="755"/>
      <c r="H372" s="755"/>
      <c r="I372" s="755"/>
      <c r="J372" s="755">
        <f>SUM(C372+E372+F372+H372)</f>
        <v>11377</v>
      </c>
      <c r="K372" s="755">
        <f t="shared" si="188"/>
        <v>0</v>
      </c>
      <c r="L372" s="755">
        <f t="shared" si="189"/>
        <v>11377</v>
      </c>
      <c r="M372" s="755">
        <v>4312</v>
      </c>
      <c r="N372" s="755"/>
      <c r="O372" s="755">
        <f t="shared" si="190"/>
        <v>15689</v>
      </c>
    </row>
    <row r="373" spans="1:16" x14ac:dyDescent="0.25">
      <c r="A373" s="753"/>
      <c r="B373" s="757" t="s">
        <v>244</v>
      </c>
      <c r="C373" s="757"/>
      <c r="D373" s="757"/>
      <c r="E373" s="757"/>
      <c r="F373" s="757"/>
      <c r="G373" s="757"/>
      <c r="H373" s="757"/>
      <c r="I373" s="757"/>
      <c r="J373" s="755"/>
      <c r="K373" s="755"/>
      <c r="L373" s="755"/>
      <c r="M373" s="755"/>
      <c r="N373" s="755"/>
      <c r="O373" s="755"/>
    </row>
    <row r="374" spans="1:16" x14ac:dyDescent="0.25">
      <c r="A374" s="753"/>
      <c r="B374" s="813" t="s">
        <v>1408</v>
      </c>
      <c r="C374" s="755"/>
      <c r="D374" s="755"/>
      <c r="E374" s="755"/>
      <c r="F374" s="755"/>
      <c r="G374" s="755"/>
      <c r="H374" s="755"/>
      <c r="I374" s="755"/>
      <c r="J374" s="755">
        <f>SUM(C374+E374+F374+H374)</f>
        <v>0</v>
      </c>
      <c r="K374" s="755">
        <f>SUM(D374+G374+I374)</f>
        <v>0</v>
      </c>
      <c r="L374" s="755">
        <f>SUM(J374:K374)</f>
        <v>0</v>
      </c>
      <c r="M374" s="755">
        <v>1767</v>
      </c>
      <c r="N374" s="755"/>
      <c r="O374" s="755">
        <f>SUM(L374:N374)</f>
        <v>1767</v>
      </c>
    </row>
    <row r="375" spans="1:16" ht="32.25" thickBot="1" x14ac:dyDescent="0.3">
      <c r="A375" s="753"/>
      <c r="B375" s="954" t="s">
        <v>1262</v>
      </c>
      <c r="C375" s="755">
        <v>14141</v>
      </c>
      <c r="D375" s="755"/>
      <c r="E375" s="755"/>
      <c r="F375" s="755"/>
      <c r="G375" s="755"/>
      <c r="H375" s="755">
        <v>1141</v>
      </c>
      <c r="I375" s="755"/>
      <c r="J375" s="755">
        <f>SUM(C375+E375+F375+H375)</f>
        <v>15282</v>
      </c>
      <c r="K375" s="755">
        <f>SUM(D375+G375+I375)</f>
        <v>0</v>
      </c>
      <c r="L375" s="755">
        <f>SUM(J375:K375)</f>
        <v>15282</v>
      </c>
      <c r="M375" s="755"/>
      <c r="N375" s="755"/>
      <c r="O375" s="755">
        <f>SUM(L375:N375)</f>
        <v>15282</v>
      </c>
    </row>
    <row r="376" spans="1:16" ht="17.25" thickTop="1" thickBot="1" x14ac:dyDescent="0.3">
      <c r="A376" s="751"/>
      <c r="B376" s="759" t="s">
        <v>1157</v>
      </c>
      <c r="C376" s="759">
        <f>+C367+C371+C372+C374+C375</f>
        <v>49736</v>
      </c>
      <c r="D376" s="759">
        <f t="shared" ref="D376:O376" si="191">+D367+D371+D372+D374+D375</f>
        <v>0</v>
      </c>
      <c r="E376" s="759">
        <f t="shared" si="191"/>
        <v>0</v>
      </c>
      <c r="F376" s="759">
        <f t="shared" si="191"/>
        <v>105629</v>
      </c>
      <c r="G376" s="759">
        <f t="shared" si="191"/>
        <v>0</v>
      </c>
      <c r="H376" s="759">
        <f t="shared" si="191"/>
        <v>4444</v>
      </c>
      <c r="I376" s="759">
        <f t="shared" si="191"/>
        <v>0</v>
      </c>
      <c r="J376" s="759">
        <f t="shared" si="191"/>
        <v>159809</v>
      </c>
      <c r="K376" s="759">
        <f t="shared" si="191"/>
        <v>0</v>
      </c>
      <c r="L376" s="759">
        <f t="shared" si="191"/>
        <v>159809</v>
      </c>
      <c r="M376" s="759">
        <f t="shared" si="191"/>
        <v>491375</v>
      </c>
      <c r="N376" s="759">
        <f t="shared" si="191"/>
        <v>81019</v>
      </c>
      <c r="O376" s="759">
        <f t="shared" si="191"/>
        <v>732203</v>
      </c>
      <c r="P376" s="1149">
        <f>O377+O378</f>
        <v>732203</v>
      </c>
    </row>
    <row r="377" spans="1:16" s="1150" customFormat="1" ht="17.25" thickTop="1" thickBot="1" x14ac:dyDescent="0.3">
      <c r="A377" s="751"/>
      <c r="B377" s="759" t="s">
        <v>1158</v>
      </c>
      <c r="C377" s="759">
        <f>+C368+C371+C372</f>
        <v>19175</v>
      </c>
      <c r="D377" s="759">
        <f t="shared" ref="D377:O377" si="192">+D368+D371+D372</f>
        <v>0</v>
      </c>
      <c r="E377" s="759">
        <f t="shared" si="192"/>
        <v>0</v>
      </c>
      <c r="F377" s="759">
        <f t="shared" si="192"/>
        <v>101051</v>
      </c>
      <c r="G377" s="759">
        <f t="shared" si="192"/>
        <v>0</v>
      </c>
      <c r="H377" s="759">
        <f t="shared" si="192"/>
        <v>0</v>
      </c>
      <c r="I377" s="759">
        <f t="shared" si="192"/>
        <v>0</v>
      </c>
      <c r="J377" s="759">
        <f t="shared" si="192"/>
        <v>120226</v>
      </c>
      <c r="K377" s="759">
        <f t="shared" si="192"/>
        <v>0</v>
      </c>
      <c r="L377" s="759">
        <f t="shared" si="192"/>
        <v>120226</v>
      </c>
      <c r="M377" s="759">
        <f t="shared" si="192"/>
        <v>421157</v>
      </c>
      <c r="N377" s="759">
        <f t="shared" si="192"/>
        <v>81019</v>
      </c>
      <c r="O377" s="759">
        <f t="shared" si="192"/>
        <v>622402</v>
      </c>
    </row>
    <row r="378" spans="1:16" ht="17.25" thickTop="1" thickBot="1" x14ac:dyDescent="0.3">
      <c r="A378" s="753"/>
      <c r="B378" s="759" t="s">
        <v>1159</v>
      </c>
      <c r="C378" s="759">
        <f>+C369+C374+C375</f>
        <v>30561</v>
      </c>
      <c r="D378" s="759">
        <f t="shared" ref="D378:O378" si="193">+D369+D374+D375</f>
        <v>0</v>
      </c>
      <c r="E378" s="759">
        <f t="shared" si="193"/>
        <v>0</v>
      </c>
      <c r="F378" s="759">
        <f t="shared" si="193"/>
        <v>4578</v>
      </c>
      <c r="G378" s="759">
        <f t="shared" si="193"/>
        <v>0</v>
      </c>
      <c r="H378" s="759">
        <f t="shared" si="193"/>
        <v>4444</v>
      </c>
      <c r="I378" s="759">
        <f t="shared" si="193"/>
        <v>0</v>
      </c>
      <c r="J378" s="759">
        <f t="shared" si="193"/>
        <v>39583</v>
      </c>
      <c r="K378" s="759">
        <f t="shared" si="193"/>
        <v>0</v>
      </c>
      <c r="L378" s="759">
        <f t="shared" si="193"/>
        <v>39583</v>
      </c>
      <c r="M378" s="759">
        <f t="shared" si="193"/>
        <v>70218</v>
      </c>
      <c r="N378" s="759">
        <f t="shared" si="193"/>
        <v>0</v>
      </c>
      <c r="O378" s="759">
        <f t="shared" si="193"/>
        <v>109801</v>
      </c>
    </row>
    <row r="379" spans="1:16" s="1150" customFormat="1" ht="16.5" thickTop="1" x14ac:dyDescent="0.25">
      <c r="A379" s="764" t="s">
        <v>48</v>
      </c>
      <c r="B379" s="760" t="s">
        <v>805</v>
      </c>
      <c r="C379" s="760"/>
      <c r="D379" s="760"/>
      <c r="E379" s="760"/>
      <c r="F379" s="760"/>
      <c r="G379" s="760"/>
      <c r="H379" s="760"/>
      <c r="I379" s="760"/>
      <c r="J379" s="760"/>
      <c r="K379" s="760"/>
      <c r="L379" s="760"/>
      <c r="M379" s="760"/>
      <c r="N379" s="760"/>
      <c r="O379" s="760"/>
    </row>
    <row r="380" spans="1:16" x14ac:dyDescent="0.25">
      <c r="A380" s="764"/>
      <c r="B380" s="754" t="s">
        <v>1125</v>
      </c>
      <c r="C380" s="754">
        <v>11377</v>
      </c>
      <c r="D380" s="754"/>
      <c r="E380" s="754"/>
      <c r="F380" s="754">
        <v>35000</v>
      </c>
      <c r="G380" s="754"/>
      <c r="H380" s="754">
        <v>6774</v>
      </c>
      <c r="I380" s="754"/>
      <c r="J380" s="755">
        <f>SUM(C380+E380+F380+H380)</f>
        <v>53151</v>
      </c>
      <c r="K380" s="755">
        <f>SUM(D380+G380+I380)</f>
        <v>0</v>
      </c>
      <c r="L380" s="755">
        <f>SUM(J380:K380)</f>
        <v>53151</v>
      </c>
      <c r="M380" s="755">
        <v>136375</v>
      </c>
      <c r="N380" s="755">
        <v>2234</v>
      </c>
      <c r="O380" s="755">
        <f>SUM(L380:N380)</f>
        <v>191760</v>
      </c>
    </row>
    <row r="381" spans="1:16" s="1150" customFormat="1" x14ac:dyDescent="0.25">
      <c r="A381" s="761"/>
      <c r="B381" s="757" t="s">
        <v>1160</v>
      </c>
      <c r="C381" s="757">
        <v>11377</v>
      </c>
      <c r="D381" s="757"/>
      <c r="E381" s="757"/>
      <c r="F381" s="757">
        <v>35000</v>
      </c>
      <c r="G381" s="757"/>
      <c r="H381" s="757">
        <v>6774</v>
      </c>
      <c r="I381" s="757"/>
      <c r="J381" s="758">
        <f>SUM(C381+E381+F381+H381)</f>
        <v>53151</v>
      </c>
      <c r="K381" s="758">
        <f>SUM(D381+G381+I381)</f>
        <v>0</v>
      </c>
      <c r="L381" s="758">
        <f>SUM(J381:K381)</f>
        <v>53151</v>
      </c>
      <c r="M381" s="758">
        <v>136375</v>
      </c>
      <c r="N381" s="758">
        <v>2234</v>
      </c>
      <c r="O381" s="758">
        <f>SUM(L381:N381)</f>
        <v>191760</v>
      </c>
    </row>
    <row r="382" spans="1:16" x14ac:dyDescent="0.25">
      <c r="A382" s="764"/>
      <c r="B382" s="762" t="s">
        <v>244</v>
      </c>
      <c r="C382" s="754"/>
      <c r="D382" s="754"/>
      <c r="E382" s="754"/>
      <c r="F382" s="754"/>
      <c r="G382" s="754"/>
      <c r="H382" s="754"/>
      <c r="I382" s="754"/>
      <c r="J382" s="755"/>
      <c r="K382" s="755"/>
      <c r="L382" s="755"/>
      <c r="M382" s="755"/>
      <c r="N382" s="755"/>
      <c r="O382" s="755"/>
    </row>
    <row r="383" spans="1:16" x14ac:dyDescent="0.25">
      <c r="A383" s="761"/>
      <c r="B383" s="813" t="s">
        <v>1408</v>
      </c>
      <c r="C383" s="954"/>
      <c r="D383" s="757"/>
      <c r="E383" s="757"/>
      <c r="F383" s="757"/>
      <c r="G383" s="757"/>
      <c r="H383" s="757"/>
      <c r="I383" s="757"/>
      <c r="J383" s="954">
        <f t="shared" ref="J383:J384" si="194">SUM(C383+E383+F383+H383)</f>
        <v>0</v>
      </c>
      <c r="K383" s="954">
        <f t="shared" ref="K383:K384" si="195">SUM(D383+G383+I383)</f>
        <v>0</v>
      </c>
      <c r="L383" s="954">
        <f t="shared" ref="L383:L384" si="196">SUM(J383:K383)</f>
        <v>0</v>
      </c>
      <c r="M383" s="954">
        <v>428</v>
      </c>
      <c r="N383" s="954"/>
      <c r="O383" s="954">
        <f t="shared" ref="O383:O384" si="197">SUM(L383:N383)</f>
        <v>428</v>
      </c>
    </row>
    <row r="384" spans="1:16" ht="32.25" thickBot="1" x14ac:dyDescent="0.3">
      <c r="A384" s="764"/>
      <c r="B384" s="954" t="s">
        <v>1262</v>
      </c>
      <c r="C384" s="754"/>
      <c r="D384" s="754"/>
      <c r="E384" s="754"/>
      <c r="F384" s="754"/>
      <c r="G384" s="754"/>
      <c r="H384" s="754">
        <v>20</v>
      </c>
      <c r="I384" s="754"/>
      <c r="J384" s="954">
        <f t="shared" si="194"/>
        <v>20</v>
      </c>
      <c r="K384" s="954">
        <f t="shared" si="195"/>
        <v>0</v>
      </c>
      <c r="L384" s="954">
        <f t="shared" si="196"/>
        <v>20</v>
      </c>
      <c r="M384" s="954">
        <v>384</v>
      </c>
      <c r="N384" s="954"/>
      <c r="O384" s="954">
        <f t="shared" si="197"/>
        <v>404</v>
      </c>
    </row>
    <row r="385" spans="1:16" s="1150" customFormat="1" ht="17.25" thickTop="1" thickBot="1" x14ac:dyDescent="0.3">
      <c r="A385" s="751"/>
      <c r="B385" s="759" t="s">
        <v>1157</v>
      </c>
      <c r="C385" s="759">
        <f>+C380+C383+C384</f>
        <v>11377</v>
      </c>
      <c r="D385" s="759">
        <f t="shared" ref="D385:O385" si="198">+D380+D383+D384</f>
        <v>0</v>
      </c>
      <c r="E385" s="759">
        <f t="shared" si="198"/>
        <v>0</v>
      </c>
      <c r="F385" s="759">
        <f t="shared" si="198"/>
        <v>35000</v>
      </c>
      <c r="G385" s="759">
        <f t="shared" si="198"/>
        <v>0</v>
      </c>
      <c r="H385" s="759">
        <f t="shared" si="198"/>
        <v>6794</v>
      </c>
      <c r="I385" s="759">
        <f t="shared" si="198"/>
        <v>0</v>
      </c>
      <c r="J385" s="759">
        <f t="shared" si="198"/>
        <v>53171</v>
      </c>
      <c r="K385" s="759">
        <f t="shared" si="198"/>
        <v>0</v>
      </c>
      <c r="L385" s="759">
        <f t="shared" si="198"/>
        <v>53171</v>
      </c>
      <c r="M385" s="759">
        <f t="shared" si="198"/>
        <v>137187</v>
      </c>
      <c r="N385" s="759">
        <f t="shared" si="198"/>
        <v>2234</v>
      </c>
      <c r="O385" s="759">
        <f t="shared" si="198"/>
        <v>192592</v>
      </c>
      <c r="P385" s="1150">
        <f>O386</f>
        <v>192592</v>
      </c>
    </row>
    <row r="386" spans="1:16" s="1150" customFormat="1" ht="17.25" thickTop="1" thickBot="1" x14ac:dyDescent="0.3">
      <c r="A386" s="751"/>
      <c r="B386" s="759" t="s">
        <v>1161</v>
      </c>
      <c r="C386" s="759">
        <f>+C381+C383+C384</f>
        <v>11377</v>
      </c>
      <c r="D386" s="759">
        <f t="shared" ref="D386:O386" si="199">+D381+D383+D384</f>
        <v>0</v>
      </c>
      <c r="E386" s="759">
        <f t="shared" si="199"/>
        <v>0</v>
      </c>
      <c r="F386" s="759">
        <f t="shared" si="199"/>
        <v>35000</v>
      </c>
      <c r="G386" s="759">
        <f t="shared" si="199"/>
        <v>0</v>
      </c>
      <c r="H386" s="759">
        <f t="shared" si="199"/>
        <v>6794</v>
      </c>
      <c r="I386" s="759">
        <f t="shared" si="199"/>
        <v>0</v>
      </c>
      <c r="J386" s="759">
        <f t="shared" si="199"/>
        <v>53171</v>
      </c>
      <c r="K386" s="759">
        <f t="shared" si="199"/>
        <v>0</v>
      </c>
      <c r="L386" s="759">
        <f t="shared" si="199"/>
        <v>53171</v>
      </c>
      <c r="M386" s="759">
        <f t="shared" si="199"/>
        <v>137187</v>
      </c>
      <c r="N386" s="759">
        <f t="shared" si="199"/>
        <v>2234</v>
      </c>
      <c r="O386" s="759">
        <f t="shared" si="199"/>
        <v>192592</v>
      </c>
    </row>
    <row r="387" spans="1:16" s="1150" customFormat="1" ht="16.5" thickTop="1" x14ac:dyDescent="0.25">
      <c r="A387" s="753" t="s">
        <v>50</v>
      </c>
      <c r="B387" s="760" t="s">
        <v>569</v>
      </c>
      <c r="C387" s="760"/>
      <c r="D387" s="760"/>
      <c r="E387" s="760"/>
      <c r="F387" s="760"/>
      <c r="G387" s="760"/>
      <c r="H387" s="760"/>
      <c r="I387" s="760"/>
      <c r="J387" s="760"/>
      <c r="K387" s="760"/>
      <c r="L387" s="760"/>
      <c r="M387" s="760"/>
      <c r="N387" s="760"/>
      <c r="O387" s="760"/>
    </row>
    <row r="388" spans="1:16" s="1150" customFormat="1" x14ac:dyDescent="0.25">
      <c r="A388" s="764"/>
      <c r="B388" s="754" t="s">
        <v>1125</v>
      </c>
      <c r="C388" s="754">
        <v>59995</v>
      </c>
      <c r="D388" s="754"/>
      <c r="E388" s="754"/>
      <c r="F388" s="754">
        <v>304820</v>
      </c>
      <c r="G388" s="754"/>
      <c r="H388" s="754">
        <v>166295</v>
      </c>
      <c r="I388" s="754"/>
      <c r="J388" s="755">
        <f>SUM(C388+E388+F388+H388)</f>
        <v>531110</v>
      </c>
      <c r="K388" s="755">
        <f>SUM(D388+G388+I388)</f>
        <v>0</v>
      </c>
      <c r="L388" s="755">
        <f>SUM(J388:K388)</f>
        <v>531110</v>
      </c>
      <c r="M388" s="755">
        <v>661424</v>
      </c>
      <c r="N388" s="755">
        <v>9307</v>
      </c>
      <c r="O388" s="755">
        <f>SUM(L388:N388)</f>
        <v>1201841</v>
      </c>
    </row>
    <row r="389" spans="1:16" s="1150" customFormat="1" x14ac:dyDescent="0.25">
      <c r="A389" s="761"/>
      <c r="B389" s="757" t="s">
        <v>1160</v>
      </c>
      <c r="C389" s="757">
        <v>59995</v>
      </c>
      <c r="D389" s="757"/>
      <c r="E389" s="757"/>
      <c r="F389" s="757">
        <v>304820</v>
      </c>
      <c r="G389" s="757"/>
      <c r="H389" s="757">
        <v>166295</v>
      </c>
      <c r="I389" s="757"/>
      <c r="J389" s="758">
        <f>SUM(C389+E389+F389+H389)</f>
        <v>531110</v>
      </c>
      <c r="K389" s="758">
        <f>SUM(D389+G389+I389)</f>
        <v>0</v>
      </c>
      <c r="L389" s="758">
        <f>SUM(J389:K389)</f>
        <v>531110</v>
      </c>
      <c r="M389" s="758">
        <v>661424</v>
      </c>
      <c r="N389" s="758">
        <v>9307</v>
      </c>
      <c r="O389" s="758">
        <f>SUM(L389:N389)</f>
        <v>1201841</v>
      </c>
    </row>
    <row r="390" spans="1:16" s="1150" customFormat="1" x14ac:dyDescent="0.25">
      <c r="A390" s="764"/>
      <c r="B390" s="762" t="s">
        <v>244</v>
      </c>
      <c r="C390" s="754"/>
      <c r="D390" s="754"/>
      <c r="E390" s="754"/>
      <c r="F390" s="754"/>
      <c r="G390" s="754"/>
      <c r="H390" s="754"/>
      <c r="I390" s="754"/>
      <c r="J390" s="755"/>
      <c r="K390" s="755"/>
      <c r="L390" s="755"/>
      <c r="M390" s="755"/>
      <c r="N390" s="755"/>
      <c r="O390" s="755"/>
    </row>
    <row r="391" spans="1:16" s="1150" customFormat="1" x14ac:dyDescent="0.25">
      <c r="A391" s="761"/>
      <c r="B391" s="954" t="s">
        <v>1407</v>
      </c>
      <c r="C391" s="757"/>
      <c r="D391" s="757"/>
      <c r="E391" s="757"/>
      <c r="F391" s="757"/>
      <c r="G391" s="757"/>
      <c r="H391" s="757"/>
      <c r="I391" s="757"/>
      <c r="J391" s="954">
        <f t="shared" ref="J391:J393" si="200">SUM(C391+E391+F391+H391)</f>
        <v>0</v>
      </c>
      <c r="K391" s="954">
        <f t="shared" ref="K391:K393" si="201">SUM(D391+G391+I391)</f>
        <v>0</v>
      </c>
      <c r="L391" s="954">
        <f t="shared" ref="L391:L393" si="202">SUM(J391:K391)</f>
        <v>0</v>
      </c>
      <c r="M391" s="954">
        <v>754</v>
      </c>
      <c r="N391" s="954"/>
      <c r="O391" s="954">
        <f t="shared" ref="O391:O393" si="203">SUM(L391:N391)</f>
        <v>754</v>
      </c>
    </row>
    <row r="392" spans="1:16" s="1150" customFormat="1" x14ac:dyDescent="0.25">
      <c r="A392" s="764"/>
      <c r="B392" s="813" t="s">
        <v>1408</v>
      </c>
      <c r="C392" s="754"/>
      <c r="D392" s="754"/>
      <c r="E392" s="754"/>
      <c r="F392" s="754"/>
      <c r="G392" s="754"/>
      <c r="H392" s="754"/>
      <c r="I392" s="754"/>
      <c r="J392" s="954">
        <f t="shared" si="200"/>
        <v>0</v>
      </c>
      <c r="K392" s="954">
        <f t="shared" si="201"/>
        <v>0</v>
      </c>
      <c r="L392" s="954">
        <f t="shared" si="202"/>
        <v>0</v>
      </c>
      <c r="M392" s="954">
        <v>2180</v>
      </c>
      <c r="N392" s="954"/>
      <c r="O392" s="954">
        <f t="shared" si="203"/>
        <v>2180</v>
      </c>
    </row>
    <row r="393" spans="1:16" s="1150" customFormat="1" ht="32.25" thickBot="1" x14ac:dyDescent="0.3">
      <c r="A393" s="764"/>
      <c r="B393" s="954" t="s">
        <v>1262</v>
      </c>
      <c r="C393" s="755">
        <v>3600</v>
      </c>
      <c r="D393" s="755"/>
      <c r="E393" s="755"/>
      <c r="F393" s="755">
        <f>15958+1</f>
        <v>15959</v>
      </c>
      <c r="G393" s="755"/>
      <c r="H393" s="755">
        <v>18841</v>
      </c>
      <c r="I393" s="755"/>
      <c r="J393" s="954">
        <f t="shared" si="200"/>
        <v>38400</v>
      </c>
      <c r="K393" s="954">
        <f t="shared" si="201"/>
        <v>0</v>
      </c>
      <c r="L393" s="954">
        <f t="shared" si="202"/>
        <v>38400</v>
      </c>
      <c r="M393" s="954">
        <v>28000</v>
      </c>
      <c r="N393" s="954"/>
      <c r="O393" s="954">
        <f t="shared" si="203"/>
        <v>66400</v>
      </c>
    </row>
    <row r="394" spans="1:16" s="1150" customFormat="1" ht="17.25" thickTop="1" thickBot="1" x14ac:dyDescent="0.3">
      <c r="A394" s="751"/>
      <c r="B394" s="759" t="s">
        <v>1157</v>
      </c>
      <c r="C394" s="759">
        <f>+C388+C391+C392+C393</f>
        <v>63595</v>
      </c>
      <c r="D394" s="759">
        <f t="shared" ref="D394:O394" si="204">+D388+D391+D392+D393</f>
        <v>0</v>
      </c>
      <c r="E394" s="759">
        <f t="shared" si="204"/>
        <v>0</v>
      </c>
      <c r="F394" s="759">
        <f t="shared" si="204"/>
        <v>320779</v>
      </c>
      <c r="G394" s="759">
        <f t="shared" si="204"/>
        <v>0</v>
      </c>
      <c r="H394" s="759">
        <f t="shared" si="204"/>
        <v>185136</v>
      </c>
      <c r="I394" s="759">
        <f t="shared" si="204"/>
        <v>0</v>
      </c>
      <c r="J394" s="759">
        <f t="shared" si="204"/>
        <v>569510</v>
      </c>
      <c r="K394" s="759">
        <f t="shared" si="204"/>
        <v>0</v>
      </c>
      <c r="L394" s="759">
        <f t="shared" si="204"/>
        <v>569510</v>
      </c>
      <c r="M394" s="759">
        <f t="shared" si="204"/>
        <v>692358</v>
      </c>
      <c r="N394" s="759">
        <f t="shared" si="204"/>
        <v>9307</v>
      </c>
      <c r="O394" s="759">
        <f t="shared" si="204"/>
        <v>1271175</v>
      </c>
      <c r="P394" s="1150">
        <f>O395</f>
        <v>1271175</v>
      </c>
    </row>
    <row r="395" spans="1:16" s="1150" customFormat="1" ht="17.25" thickTop="1" thickBot="1" x14ac:dyDescent="0.3">
      <c r="A395" s="751"/>
      <c r="B395" s="759" t="s">
        <v>1161</v>
      </c>
      <c r="C395" s="759">
        <f>+C389+C391+C392+C393</f>
        <v>63595</v>
      </c>
      <c r="D395" s="759">
        <f t="shared" ref="D395:O395" si="205">+D389+D391+D392+D393</f>
        <v>0</v>
      </c>
      <c r="E395" s="759">
        <f t="shared" si="205"/>
        <v>0</v>
      </c>
      <c r="F395" s="759">
        <f t="shared" si="205"/>
        <v>320779</v>
      </c>
      <c r="G395" s="759">
        <f t="shared" si="205"/>
        <v>0</v>
      </c>
      <c r="H395" s="759">
        <f t="shared" si="205"/>
        <v>185136</v>
      </c>
      <c r="I395" s="759">
        <f t="shared" si="205"/>
        <v>0</v>
      </c>
      <c r="J395" s="759">
        <f t="shared" si="205"/>
        <v>569510</v>
      </c>
      <c r="K395" s="759">
        <f t="shared" si="205"/>
        <v>0</v>
      </c>
      <c r="L395" s="759">
        <f t="shared" si="205"/>
        <v>569510</v>
      </c>
      <c r="M395" s="759">
        <f t="shared" si="205"/>
        <v>692358</v>
      </c>
      <c r="N395" s="759">
        <f t="shared" si="205"/>
        <v>9307</v>
      </c>
      <c r="O395" s="759">
        <f t="shared" si="205"/>
        <v>1271175</v>
      </c>
    </row>
    <row r="396" spans="1:16" s="1150" customFormat="1" ht="16.5" thickTop="1" x14ac:dyDescent="0.25">
      <c r="A396" s="753" t="s">
        <v>52</v>
      </c>
      <c r="B396" s="760" t="s">
        <v>570</v>
      </c>
      <c r="C396" s="760"/>
      <c r="D396" s="760"/>
      <c r="E396" s="760"/>
      <c r="F396" s="760"/>
      <c r="G396" s="760"/>
      <c r="H396" s="760"/>
      <c r="I396" s="760"/>
      <c r="J396" s="760"/>
      <c r="K396" s="760"/>
      <c r="L396" s="760"/>
      <c r="M396" s="760"/>
      <c r="N396" s="760"/>
      <c r="O396" s="760"/>
    </row>
    <row r="397" spans="1:16" x14ac:dyDescent="0.25">
      <c r="A397" s="753"/>
      <c r="B397" s="755" t="s">
        <v>1125</v>
      </c>
      <c r="C397" s="755">
        <v>8415</v>
      </c>
      <c r="D397" s="755"/>
      <c r="E397" s="755"/>
      <c r="F397" s="755">
        <v>15606</v>
      </c>
      <c r="G397" s="755"/>
      <c r="H397" s="755"/>
      <c r="I397" s="755"/>
      <c r="J397" s="755">
        <f t="shared" ref="J397:J404" si="206">SUM(C397+E397+F397+H397)</f>
        <v>24021</v>
      </c>
      <c r="K397" s="755">
        <f t="shared" ref="K397:K404" si="207">SUM(D397+G397+I397)</f>
        <v>0</v>
      </c>
      <c r="L397" s="755">
        <f t="shared" ref="L397:L404" si="208">SUM(J397:K397)</f>
        <v>24021</v>
      </c>
      <c r="M397" s="755">
        <v>108127</v>
      </c>
      <c r="N397" s="755">
        <v>147</v>
      </c>
      <c r="O397" s="755">
        <f t="shared" ref="O397:O404" si="209">SUM(L397:N397)</f>
        <v>132295</v>
      </c>
    </row>
    <row r="398" spans="1:16" x14ac:dyDescent="0.25">
      <c r="A398" s="756"/>
      <c r="B398" s="757" t="s">
        <v>1155</v>
      </c>
      <c r="C398" s="757">
        <v>6705</v>
      </c>
      <c r="D398" s="757"/>
      <c r="E398" s="757"/>
      <c r="F398" s="757">
        <v>15606</v>
      </c>
      <c r="G398" s="757"/>
      <c r="H398" s="757"/>
      <c r="I398" s="757"/>
      <c r="J398" s="758">
        <f t="shared" si="206"/>
        <v>22311</v>
      </c>
      <c r="K398" s="758">
        <f t="shared" si="207"/>
        <v>0</v>
      </c>
      <c r="L398" s="758">
        <f t="shared" si="208"/>
        <v>22311</v>
      </c>
      <c r="M398" s="758">
        <v>99887</v>
      </c>
      <c r="N398" s="758">
        <v>147</v>
      </c>
      <c r="O398" s="758">
        <f t="shared" si="209"/>
        <v>122345</v>
      </c>
    </row>
    <row r="399" spans="1:16" x14ac:dyDescent="0.25">
      <c r="A399" s="756"/>
      <c r="B399" s="757" t="s">
        <v>1156</v>
      </c>
      <c r="C399" s="757">
        <v>1710</v>
      </c>
      <c r="D399" s="757"/>
      <c r="E399" s="757"/>
      <c r="F399" s="757"/>
      <c r="G399" s="757"/>
      <c r="H399" s="757"/>
      <c r="I399" s="757"/>
      <c r="J399" s="757">
        <f t="shared" si="206"/>
        <v>1710</v>
      </c>
      <c r="K399" s="757">
        <f t="shared" si="207"/>
        <v>0</v>
      </c>
      <c r="L399" s="757">
        <f t="shared" si="208"/>
        <v>1710</v>
      </c>
      <c r="M399" s="757">
        <v>8240</v>
      </c>
      <c r="N399" s="757"/>
      <c r="O399" s="757">
        <f t="shared" si="209"/>
        <v>9950</v>
      </c>
    </row>
    <row r="400" spans="1:16" x14ac:dyDescent="0.25">
      <c r="A400" s="756"/>
      <c r="B400" s="757" t="s">
        <v>243</v>
      </c>
      <c r="C400" s="757"/>
      <c r="D400" s="757"/>
      <c r="E400" s="757"/>
      <c r="F400" s="757"/>
      <c r="G400" s="757"/>
      <c r="H400" s="757"/>
      <c r="I400" s="757"/>
      <c r="J400" s="758"/>
      <c r="K400" s="758"/>
      <c r="L400" s="758"/>
      <c r="M400" s="758"/>
      <c r="N400" s="758"/>
      <c r="O400" s="758"/>
    </row>
    <row r="401" spans="1:16" x14ac:dyDescent="0.25">
      <c r="A401" s="756"/>
      <c r="B401" s="954" t="s">
        <v>1407</v>
      </c>
      <c r="C401" s="757"/>
      <c r="D401" s="757"/>
      <c r="E401" s="757"/>
      <c r="F401" s="757"/>
      <c r="G401" s="757"/>
      <c r="H401" s="757"/>
      <c r="I401" s="757"/>
      <c r="J401" s="954">
        <f t="shared" si="206"/>
        <v>0</v>
      </c>
      <c r="K401" s="954">
        <f t="shared" si="207"/>
        <v>0</v>
      </c>
      <c r="L401" s="954">
        <f t="shared" si="208"/>
        <v>0</v>
      </c>
      <c r="M401" s="954">
        <v>51</v>
      </c>
      <c r="N401" s="954"/>
      <c r="O401" s="954">
        <f t="shared" si="209"/>
        <v>51</v>
      </c>
    </row>
    <row r="402" spans="1:16" s="1150" customFormat="1" x14ac:dyDescent="0.25">
      <c r="A402" s="756"/>
      <c r="B402" s="757" t="s">
        <v>244</v>
      </c>
      <c r="C402" s="757"/>
      <c r="D402" s="757"/>
      <c r="E402" s="757"/>
      <c r="F402" s="757"/>
      <c r="G402" s="757"/>
      <c r="H402" s="757"/>
      <c r="I402" s="757"/>
      <c r="J402" s="954"/>
      <c r="K402" s="954"/>
      <c r="L402" s="954"/>
      <c r="M402" s="954"/>
      <c r="N402" s="954"/>
      <c r="O402" s="954"/>
    </row>
    <row r="403" spans="1:16" x14ac:dyDescent="0.25">
      <c r="A403" s="756"/>
      <c r="B403" s="813" t="s">
        <v>1408</v>
      </c>
      <c r="C403" s="757"/>
      <c r="D403" s="757"/>
      <c r="E403" s="757"/>
      <c r="F403" s="757"/>
      <c r="G403" s="757"/>
      <c r="H403" s="757"/>
      <c r="I403" s="757"/>
      <c r="J403" s="954">
        <f t="shared" si="206"/>
        <v>0</v>
      </c>
      <c r="K403" s="954">
        <f t="shared" si="207"/>
        <v>0</v>
      </c>
      <c r="L403" s="954">
        <f t="shared" si="208"/>
        <v>0</v>
      </c>
      <c r="M403" s="954">
        <v>514</v>
      </c>
      <c r="N403" s="954"/>
      <c r="O403" s="954">
        <f t="shared" si="209"/>
        <v>514</v>
      </c>
    </row>
    <row r="404" spans="1:16" ht="79.5" thickBot="1" x14ac:dyDescent="0.3">
      <c r="A404" s="756"/>
      <c r="B404" s="954" t="s">
        <v>1419</v>
      </c>
      <c r="C404" s="757"/>
      <c r="D404" s="757"/>
      <c r="E404" s="757"/>
      <c r="F404" s="757"/>
      <c r="G404" s="757"/>
      <c r="H404" s="757"/>
      <c r="I404" s="757"/>
      <c r="J404" s="954">
        <f t="shared" si="206"/>
        <v>0</v>
      </c>
      <c r="K404" s="954">
        <f t="shared" si="207"/>
        <v>0</v>
      </c>
      <c r="L404" s="954">
        <f t="shared" si="208"/>
        <v>0</v>
      </c>
      <c r="M404" s="954">
        <v>400</v>
      </c>
      <c r="N404" s="954"/>
      <c r="O404" s="954">
        <f t="shared" si="209"/>
        <v>400</v>
      </c>
    </row>
    <row r="405" spans="1:16" ht="17.25" thickTop="1" thickBot="1" x14ac:dyDescent="0.3">
      <c r="A405" s="751"/>
      <c r="B405" s="759" t="s">
        <v>1157</v>
      </c>
      <c r="C405" s="759">
        <f>+C397+C401+C403+C404</f>
        <v>8415</v>
      </c>
      <c r="D405" s="759">
        <f t="shared" ref="D405:O405" si="210">+D397+D401+D403+D404</f>
        <v>0</v>
      </c>
      <c r="E405" s="759">
        <f t="shared" si="210"/>
        <v>0</v>
      </c>
      <c r="F405" s="759">
        <f t="shared" si="210"/>
        <v>15606</v>
      </c>
      <c r="G405" s="759">
        <f t="shared" si="210"/>
        <v>0</v>
      </c>
      <c r="H405" s="759">
        <f t="shared" si="210"/>
        <v>0</v>
      </c>
      <c r="I405" s="759">
        <f t="shared" si="210"/>
        <v>0</v>
      </c>
      <c r="J405" s="759">
        <f t="shared" si="210"/>
        <v>24021</v>
      </c>
      <c r="K405" s="759">
        <f t="shared" si="210"/>
        <v>0</v>
      </c>
      <c r="L405" s="759">
        <f t="shared" si="210"/>
        <v>24021</v>
      </c>
      <c r="M405" s="759">
        <f t="shared" si="210"/>
        <v>109092</v>
      </c>
      <c r="N405" s="759">
        <f t="shared" si="210"/>
        <v>147</v>
      </c>
      <c r="O405" s="759">
        <f t="shared" si="210"/>
        <v>133260</v>
      </c>
      <c r="P405" s="1149">
        <f>O406+O407</f>
        <v>133260</v>
      </c>
    </row>
    <row r="406" spans="1:16" ht="17.25" thickTop="1" thickBot="1" x14ac:dyDescent="0.3">
      <c r="A406" s="751"/>
      <c r="B406" s="759" t="s">
        <v>1158</v>
      </c>
      <c r="C406" s="759">
        <f>+C398+C401</f>
        <v>6705</v>
      </c>
      <c r="D406" s="759">
        <f t="shared" ref="D406:O406" si="211">+D398+D401</f>
        <v>0</v>
      </c>
      <c r="E406" s="759">
        <f t="shared" si="211"/>
        <v>0</v>
      </c>
      <c r="F406" s="759">
        <f t="shared" si="211"/>
        <v>15606</v>
      </c>
      <c r="G406" s="759">
        <f t="shared" si="211"/>
        <v>0</v>
      </c>
      <c r="H406" s="759">
        <f t="shared" si="211"/>
        <v>0</v>
      </c>
      <c r="I406" s="759">
        <f t="shared" si="211"/>
        <v>0</v>
      </c>
      <c r="J406" s="759">
        <f t="shared" si="211"/>
        <v>22311</v>
      </c>
      <c r="K406" s="759">
        <f t="shared" si="211"/>
        <v>0</v>
      </c>
      <c r="L406" s="759">
        <f t="shared" si="211"/>
        <v>22311</v>
      </c>
      <c r="M406" s="759">
        <f t="shared" si="211"/>
        <v>99938</v>
      </c>
      <c r="N406" s="759">
        <f t="shared" si="211"/>
        <v>147</v>
      </c>
      <c r="O406" s="759">
        <f t="shared" si="211"/>
        <v>122396</v>
      </c>
    </row>
    <row r="407" spans="1:16" ht="17.25" thickTop="1" thickBot="1" x14ac:dyDescent="0.3">
      <c r="A407" s="751"/>
      <c r="B407" s="759" t="s">
        <v>1159</v>
      </c>
      <c r="C407" s="759">
        <f>+C399+C403+C404</f>
        <v>1710</v>
      </c>
      <c r="D407" s="759">
        <f t="shared" ref="D407:O407" si="212">+D399+D403+D404</f>
        <v>0</v>
      </c>
      <c r="E407" s="759">
        <f t="shared" si="212"/>
        <v>0</v>
      </c>
      <c r="F407" s="759">
        <f t="shared" si="212"/>
        <v>0</v>
      </c>
      <c r="G407" s="759">
        <f t="shared" si="212"/>
        <v>0</v>
      </c>
      <c r="H407" s="759">
        <f t="shared" si="212"/>
        <v>0</v>
      </c>
      <c r="I407" s="759">
        <f t="shared" si="212"/>
        <v>0</v>
      </c>
      <c r="J407" s="759">
        <f t="shared" si="212"/>
        <v>1710</v>
      </c>
      <c r="K407" s="759">
        <f t="shared" si="212"/>
        <v>0</v>
      </c>
      <c r="L407" s="759">
        <f t="shared" si="212"/>
        <v>1710</v>
      </c>
      <c r="M407" s="759">
        <f t="shared" si="212"/>
        <v>9154</v>
      </c>
      <c r="N407" s="759">
        <f t="shared" si="212"/>
        <v>0</v>
      </c>
      <c r="O407" s="759">
        <f t="shared" si="212"/>
        <v>10864</v>
      </c>
    </row>
    <row r="408" spans="1:16" ht="17.25" thickTop="1" thickBot="1" x14ac:dyDescent="0.3">
      <c r="A408" s="751"/>
      <c r="B408" s="759" t="s">
        <v>1162</v>
      </c>
      <c r="C408" s="759">
        <f t="shared" ref="C408:O408" si="213">SUM(C343+C349+C363+C376+C385+C394+C405)</f>
        <v>162616</v>
      </c>
      <c r="D408" s="759">
        <f t="shared" si="213"/>
        <v>0</v>
      </c>
      <c r="E408" s="759">
        <f t="shared" si="213"/>
        <v>0</v>
      </c>
      <c r="F408" s="759">
        <f t="shared" si="213"/>
        <v>495304</v>
      </c>
      <c r="G408" s="759">
        <f t="shared" si="213"/>
        <v>0</v>
      </c>
      <c r="H408" s="759">
        <f t="shared" si="213"/>
        <v>196555</v>
      </c>
      <c r="I408" s="759">
        <f t="shared" si="213"/>
        <v>0</v>
      </c>
      <c r="J408" s="759">
        <f t="shared" si="213"/>
        <v>854475</v>
      </c>
      <c r="K408" s="759">
        <f t="shared" si="213"/>
        <v>0</v>
      </c>
      <c r="L408" s="759">
        <f t="shared" si="213"/>
        <v>854475</v>
      </c>
      <c r="M408" s="759">
        <f t="shared" si="213"/>
        <v>1880202</v>
      </c>
      <c r="N408" s="759">
        <f t="shared" si="213"/>
        <v>100686</v>
      </c>
      <c r="O408" s="759">
        <f t="shared" si="213"/>
        <v>2835363</v>
      </c>
    </row>
    <row r="409" spans="1:16" ht="17.25" thickTop="1" thickBot="1" x14ac:dyDescent="0.3">
      <c r="A409" s="751"/>
      <c r="B409" s="759" t="s">
        <v>572</v>
      </c>
      <c r="C409" s="759">
        <f t="shared" ref="C409:O409" si="214">SUM(C274+C321+C332+C408)</f>
        <v>1147167</v>
      </c>
      <c r="D409" s="759">
        <f t="shared" si="214"/>
        <v>0</v>
      </c>
      <c r="E409" s="759">
        <f t="shared" si="214"/>
        <v>0</v>
      </c>
      <c r="F409" s="759">
        <f t="shared" si="214"/>
        <v>1748165</v>
      </c>
      <c r="G409" s="759">
        <f t="shared" si="214"/>
        <v>0</v>
      </c>
      <c r="H409" s="759">
        <f t="shared" si="214"/>
        <v>206795</v>
      </c>
      <c r="I409" s="759">
        <f t="shared" si="214"/>
        <v>2235</v>
      </c>
      <c r="J409" s="759">
        <f t="shared" si="214"/>
        <v>3102127</v>
      </c>
      <c r="K409" s="759">
        <f t="shared" si="214"/>
        <v>2235</v>
      </c>
      <c r="L409" s="759">
        <f t="shared" si="214"/>
        <v>3104362</v>
      </c>
      <c r="M409" s="759">
        <f t="shared" si="214"/>
        <v>7911028</v>
      </c>
      <c r="N409" s="759">
        <f t="shared" si="214"/>
        <v>231826</v>
      </c>
      <c r="O409" s="759">
        <f t="shared" si="214"/>
        <v>11247216</v>
      </c>
    </row>
    <row r="410" spans="1:16" s="1150" customFormat="1" ht="16.5" thickTop="1" x14ac:dyDescent="0.25">
      <c r="A410" s="753" t="s">
        <v>777</v>
      </c>
      <c r="B410" s="760" t="s">
        <v>94</v>
      </c>
      <c r="C410" s="760"/>
      <c r="D410" s="760"/>
      <c r="E410" s="760"/>
      <c r="F410" s="760"/>
      <c r="G410" s="760"/>
      <c r="H410" s="760"/>
      <c r="I410" s="760"/>
      <c r="J410" s="760"/>
      <c r="K410" s="760"/>
      <c r="L410" s="760"/>
      <c r="M410" s="760"/>
      <c r="N410" s="760"/>
      <c r="O410" s="760"/>
    </row>
    <row r="411" spans="1:16" x14ac:dyDescent="0.25">
      <c r="A411" s="753"/>
      <c r="B411" s="755" t="s">
        <v>1125</v>
      </c>
      <c r="C411" s="755">
        <v>281686</v>
      </c>
      <c r="D411" s="755"/>
      <c r="E411" s="755">
        <v>989</v>
      </c>
      <c r="F411" s="755">
        <v>11357</v>
      </c>
      <c r="G411" s="755"/>
      <c r="H411" s="755"/>
      <c r="I411" s="755"/>
      <c r="J411" s="755">
        <f>SUM(C411+E411+F411+H411)</f>
        <v>294032</v>
      </c>
      <c r="K411" s="755">
        <f>SUM(D411+G411+I411)</f>
        <v>0</v>
      </c>
      <c r="L411" s="755">
        <f>SUM(J411:K411)</f>
        <v>294032</v>
      </c>
      <c r="M411" s="755">
        <v>2219249</v>
      </c>
      <c r="N411" s="755">
        <v>52892</v>
      </c>
      <c r="O411" s="755">
        <f>SUM(L411:N411)</f>
        <v>2566173</v>
      </c>
    </row>
    <row r="412" spans="1:16" s="1150" customFormat="1" x14ac:dyDescent="0.25">
      <c r="A412" s="756"/>
      <c r="B412" s="757" t="s">
        <v>1155</v>
      </c>
      <c r="C412" s="757">
        <v>73665</v>
      </c>
      <c r="D412" s="757"/>
      <c r="E412" s="757"/>
      <c r="F412" s="757">
        <v>237</v>
      </c>
      <c r="G412" s="757"/>
      <c r="H412" s="757"/>
      <c r="I412" s="757"/>
      <c r="J412" s="758">
        <f>SUM(C412+E412+F412+H412)</f>
        <v>73902</v>
      </c>
      <c r="K412" s="758">
        <f>SUM(D412+G412+I412)</f>
        <v>0</v>
      </c>
      <c r="L412" s="758">
        <f>SUM(J412:K412)</f>
        <v>73902</v>
      </c>
      <c r="M412" s="758">
        <v>1122928</v>
      </c>
      <c r="N412" s="758">
        <v>52892</v>
      </c>
      <c r="O412" s="758">
        <f>SUM(L412:N412)</f>
        <v>1249722</v>
      </c>
    </row>
    <row r="413" spans="1:16" x14ac:dyDescent="0.25">
      <c r="A413" s="756"/>
      <c r="B413" s="757" t="s">
        <v>1156</v>
      </c>
      <c r="C413" s="757">
        <v>138247</v>
      </c>
      <c r="D413" s="757"/>
      <c r="E413" s="757"/>
      <c r="F413" s="757">
        <v>11120</v>
      </c>
      <c r="G413" s="757"/>
      <c r="H413" s="757"/>
      <c r="I413" s="757"/>
      <c r="J413" s="758">
        <f>SUM(C413+E413+F413+H413)</f>
        <v>149367</v>
      </c>
      <c r="K413" s="954">
        <f>SUM(D413+G413+I413)</f>
        <v>0</v>
      </c>
      <c r="L413" s="758">
        <f>SUM(J413:K413)</f>
        <v>149367</v>
      </c>
      <c r="M413" s="758">
        <v>340483</v>
      </c>
      <c r="N413" s="758"/>
      <c r="O413" s="758">
        <f>SUM(L413:N413)</f>
        <v>489850</v>
      </c>
    </row>
    <row r="414" spans="1:16" s="1150" customFormat="1" x14ac:dyDescent="0.25">
      <c r="A414" s="761"/>
      <c r="B414" s="758" t="s">
        <v>1163</v>
      </c>
      <c r="C414" s="758">
        <v>69774</v>
      </c>
      <c r="D414" s="758"/>
      <c r="E414" s="758">
        <v>989</v>
      </c>
      <c r="F414" s="758"/>
      <c r="G414" s="758"/>
      <c r="H414" s="758"/>
      <c r="I414" s="758"/>
      <c r="J414" s="758">
        <f>SUM(C414+E414+F414+H414)</f>
        <v>70763</v>
      </c>
      <c r="K414" s="954">
        <f>SUM(D414+G414+I414)</f>
        <v>0</v>
      </c>
      <c r="L414" s="758">
        <f>SUM(J414:K414)</f>
        <v>70763</v>
      </c>
      <c r="M414" s="758">
        <v>755838</v>
      </c>
      <c r="N414" s="758"/>
      <c r="O414" s="758">
        <f>SUM(L414:N414)</f>
        <v>826601</v>
      </c>
    </row>
    <row r="415" spans="1:16" x14ac:dyDescent="0.25">
      <c r="A415" s="756"/>
      <c r="B415" s="757" t="s">
        <v>243</v>
      </c>
      <c r="C415" s="757"/>
      <c r="D415" s="757"/>
      <c r="E415" s="757"/>
      <c r="F415" s="757"/>
      <c r="G415" s="757"/>
      <c r="H415" s="757"/>
      <c r="I415" s="757"/>
      <c r="J415" s="758"/>
      <c r="K415" s="954"/>
      <c r="L415" s="758"/>
      <c r="M415" s="758"/>
      <c r="N415" s="758"/>
      <c r="O415" s="758"/>
    </row>
    <row r="416" spans="1:16" x14ac:dyDescent="0.25">
      <c r="A416" s="761"/>
      <c r="B416" s="954" t="s">
        <v>1407</v>
      </c>
      <c r="C416" s="758"/>
      <c r="D416" s="758"/>
      <c r="E416" s="758"/>
      <c r="F416" s="758"/>
      <c r="G416" s="758"/>
      <c r="H416" s="758"/>
      <c r="I416" s="758"/>
      <c r="J416" s="758">
        <f t="shared" ref="J416:J422" si="215">SUM(C416+E416+F416+H416)</f>
        <v>0</v>
      </c>
      <c r="K416" s="954">
        <f t="shared" ref="K416:K422" si="216">SUM(D416+G416+I416)</f>
        <v>0</v>
      </c>
      <c r="L416" s="954">
        <f t="shared" ref="L416:L422" si="217">SUM(J416:K416)</f>
        <v>0</v>
      </c>
      <c r="M416" s="954">
        <v>568</v>
      </c>
      <c r="N416" s="954"/>
      <c r="O416" s="954">
        <f t="shared" ref="O416:O422" si="218">SUM(L416:N416)</f>
        <v>568</v>
      </c>
    </row>
    <row r="417" spans="1:16" ht="31.5" x14ac:dyDescent="0.25">
      <c r="A417" s="756"/>
      <c r="B417" s="1102" t="s">
        <v>1262</v>
      </c>
      <c r="C417" s="954"/>
      <c r="D417" s="758"/>
      <c r="E417" s="758"/>
      <c r="F417" s="954">
        <v>373</v>
      </c>
      <c r="G417" s="954"/>
      <c r="H417" s="954"/>
      <c r="I417" s="758"/>
      <c r="J417" s="758">
        <f t="shared" si="215"/>
        <v>373</v>
      </c>
      <c r="K417" s="954">
        <f t="shared" si="216"/>
        <v>0</v>
      </c>
      <c r="L417" s="954">
        <f t="shared" si="217"/>
        <v>373</v>
      </c>
      <c r="M417" s="954"/>
      <c r="N417" s="954"/>
      <c r="O417" s="954">
        <f t="shared" si="218"/>
        <v>373</v>
      </c>
    </row>
    <row r="418" spans="1:16" ht="31.5" x14ac:dyDescent="0.25">
      <c r="A418" s="756"/>
      <c r="B418" s="955" t="s">
        <v>1315</v>
      </c>
      <c r="C418" s="954">
        <v>16663</v>
      </c>
      <c r="D418" s="758"/>
      <c r="E418" s="758">
        <v>1251</v>
      </c>
      <c r="F418" s="758">
        <v>993</v>
      </c>
      <c r="G418" s="758">
        <v>22</v>
      </c>
      <c r="H418" s="758">
        <v>110</v>
      </c>
      <c r="I418" s="758"/>
      <c r="J418" s="758">
        <f t="shared" si="215"/>
        <v>19017</v>
      </c>
      <c r="K418" s="954">
        <f t="shared" si="216"/>
        <v>22</v>
      </c>
      <c r="L418" s="954">
        <f t="shared" si="217"/>
        <v>19039</v>
      </c>
      <c r="M418" s="954">
        <v>-19664</v>
      </c>
      <c r="N418" s="954"/>
      <c r="O418" s="954">
        <f t="shared" si="218"/>
        <v>-625</v>
      </c>
    </row>
    <row r="419" spans="1:16" x14ac:dyDescent="0.25">
      <c r="A419" s="756"/>
      <c r="B419" s="757" t="s">
        <v>244</v>
      </c>
      <c r="C419" s="757"/>
      <c r="D419" s="757"/>
      <c r="E419" s="757"/>
      <c r="F419" s="757"/>
      <c r="G419" s="757"/>
      <c r="H419" s="757"/>
      <c r="I419" s="757"/>
      <c r="J419" s="758">
        <f t="shared" si="215"/>
        <v>0</v>
      </c>
      <c r="K419" s="954">
        <f t="shared" si="216"/>
        <v>0</v>
      </c>
      <c r="L419" s="954">
        <f t="shared" si="217"/>
        <v>0</v>
      </c>
      <c r="M419" s="758"/>
      <c r="N419" s="758"/>
      <c r="O419" s="956">
        <f t="shared" si="218"/>
        <v>0</v>
      </c>
    </row>
    <row r="420" spans="1:16" ht="31.5" x14ac:dyDescent="0.25">
      <c r="A420" s="756"/>
      <c r="B420" s="954" t="s">
        <v>1315</v>
      </c>
      <c r="C420" s="757"/>
      <c r="D420" s="757"/>
      <c r="E420" s="757"/>
      <c r="F420" s="757"/>
      <c r="G420" s="757"/>
      <c r="H420" s="757"/>
      <c r="I420" s="757"/>
      <c r="J420" s="758">
        <f t="shared" si="215"/>
        <v>0</v>
      </c>
      <c r="K420" s="954">
        <f t="shared" si="216"/>
        <v>0</v>
      </c>
      <c r="L420" s="954">
        <f t="shared" si="217"/>
        <v>0</v>
      </c>
      <c r="M420" s="954">
        <v>1075</v>
      </c>
      <c r="N420" s="758"/>
      <c r="O420" s="956">
        <f t="shared" si="218"/>
        <v>1075</v>
      </c>
    </row>
    <row r="421" spans="1:16" x14ac:dyDescent="0.25">
      <c r="A421" s="761"/>
      <c r="B421" s="762" t="s">
        <v>962</v>
      </c>
      <c r="C421" s="762"/>
      <c r="D421" s="762"/>
      <c r="E421" s="762"/>
      <c r="F421" s="762"/>
      <c r="G421" s="762"/>
      <c r="H421" s="762"/>
      <c r="I421" s="762"/>
      <c r="J421" s="763">
        <f t="shared" si="215"/>
        <v>0</v>
      </c>
      <c r="K421" s="955">
        <f t="shared" si="216"/>
        <v>0</v>
      </c>
      <c r="L421" s="955">
        <f t="shared" si="217"/>
        <v>0</v>
      </c>
      <c r="M421" s="763"/>
      <c r="N421" s="763"/>
      <c r="O421" s="957">
        <f t="shared" si="218"/>
        <v>0</v>
      </c>
    </row>
    <row r="422" spans="1:16" ht="32.25" thickBot="1" x14ac:dyDescent="0.3">
      <c r="A422" s="768"/>
      <c r="B422" s="958" t="s">
        <v>1315</v>
      </c>
      <c r="C422" s="769"/>
      <c r="D422" s="769"/>
      <c r="E422" s="769">
        <v>-959</v>
      </c>
      <c r="F422" s="769"/>
      <c r="G422" s="769"/>
      <c r="H422" s="769"/>
      <c r="I422" s="769"/>
      <c r="J422" s="1151">
        <f t="shared" si="215"/>
        <v>-959</v>
      </c>
      <c r="K422" s="958">
        <f t="shared" si="216"/>
        <v>0</v>
      </c>
      <c r="L422" s="958">
        <f t="shared" si="217"/>
        <v>-959</v>
      </c>
      <c r="M422" s="958">
        <v>509</v>
      </c>
      <c r="N422" s="958"/>
      <c r="O422" s="1115">
        <f t="shared" si="218"/>
        <v>-450</v>
      </c>
    </row>
    <row r="423" spans="1:16" ht="17.25" thickTop="1" thickBot="1" x14ac:dyDescent="0.3">
      <c r="A423" s="751"/>
      <c r="B423" s="759" t="s">
        <v>1157</v>
      </c>
      <c r="C423" s="759">
        <f>+C411+C416+C422+C418+C420+C417</f>
        <v>298349</v>
      </c>
      <c r="D423" s="759">
        <f t="shared" ref="D423:O423" si="219">+D411+D416+D422+D418+D420+D417</f>
        <v>0</v>
      </c>
      <c r="E423" s="759">
        <f t="shared" si="219"/>
        <v>1281</v>
      </c>
      <c r="F423" s="759">
        <f t="shared" si="219"/>
        <v>12723</v>
      </c>
      <c r="G423" s="759">
        <f t="shared" si="219"/>
        <v>22</v>
      </c>
      <c r="H423" s="759">
        <f t="shared" si="219"/>
        <v>110</v>
      </c>
      <c r="I423" s="759">
        <f t="shared" si="219"/>
        <v>0</v>
      </c>
      <c r="J423" s="759">
        <f t="shared" si="219"/>
        <v>312463</v>
      </c>
      <c r="K423" s="759">
        <f t="shared" si="219"/>
        <v>22</v>
      </c>
      <c r="L423" s="759">
        <f t="shared" si="219"/>
        <v>312485</v>
      </c>
      <c r="M423" s="759">
        <f t="shared" si="219"/>
        <v>2201737</v>
      </c>
      <c r="N423" s="759">
        <f t="shared" si="219"/>
        <v>52892</v>
      </c>
      <c r="O423" s="759">
        <f t="shared" si="219"/>
        <v>2567114</v>
      </c>
      <c r="P423" s="1149">
        <f>O424+O425+O426</f>
        <v>2567114</v>
      </c>
    </row>
    <row r="424" spans="1:16" ht="17.25" thickTop="1" thickBot="1" x14ac:dyDescent="0.3">
      <c r="A424" s="751"/>
      <c r="B424" s="759" t="s">
        <v>1158</v>
      </c>
      <c r="C424" s="759">
        <f>+C412+C416+C418+C417</f>
        <v>90328</v>
      </c>
      <c r="D424" s="759">
        <f t="shared" ref="D424:O424" si="220">+D412+D416+D418+D417</f>
        <v>0</v>
      </c>
      <c r="E424" s="759">
        <f t="shared" si="220"/>
        <v>1251</v>
      </c>
      <c r="F424" s="759">
        <f t="shared" si="220"/>
        <v>1603</v>
      </c>
      <c r="G424" s="759">
        <f t="shared" si="220"/>
        <v>22</v>
      </c>
      <c r="H424" s="759">
        <f t="shared" si="220"/>
        <v>110</v>
      </c>
      <c r="I424" s="759">
        <f t="shared" si="220"/>
        <v>0</v>
      </c>
      <c r="J424" s="759">
        <f t="shared" si="220"/>
        <v>93292</v>
      </c>
      <c r="K424" s="759">
        <f t="shared" si="220"/>
        <v>22</v>
      </c>
      <c r="L424" s="759">
        <f t="shared" si="220"/>
        <v>93314</v>
      </c>
      <c r="M424" s="759">
        <f t="shared" si="220"/>
        <v>1103832</v>
      </c>
      <c r="N424" s="759">
        <f t="shared" si="220"/>
        <v>52892</v>
      </c>
      <c r="O424" s="759">
        <f t="shared" si="220"/>
        <v>1250038</v>
      </c>
    </row>
    <row r="425" spans="1:16" ht="17.25" thickTop="1" thickBot="1" x14ac:dyDescent="0.3">
      <c r="A425" s="751"/>
      <c r="B425" s="759" t="s">
        <v>1159</v>
      </c>
      <c r="C425" s="759">
        <f t="shared" ref="C425:O425" si="221">+C413+C420</f>
        <v>138247</v>
      </c>
      <c r="D425" s="759">
        <f t="shared" si="221"/>
        <v>0</v>
      </c>
      <c r="E425" s="759">
        <f t="shared" si="221"/>
        <v>0</v>
      </c>
      <c r="F425" s="759">
        <f t="shared" si="221"/>
        <v>11120</v>
      </c>
      <c r="G425" s="759">
        <f t="shared" si="221"/>
        <v>0</v>
      </c>
      <c r="H425" s="759">
        <f t="shared" si="221"/>
        <v>0</v>
      </c>
      <c r="I425" s="759">
        <f t="shared" si="221"/>
        <v>0</v>
      </c>
      <c r="J425" s="759">
        <f t="shared" si="221"/>
        <v>149367</v>
      </c>
      <c r="K425" s="759">
        <f t="shared" si="221"/>
        <v>0</v>
      </c>
      <c r="L425" s="759">
        <f t="shared" si="221"/>
        <v>149367</v>
      </c>
      <c r="M425" s="759">
        <f t="shared" si="221"/>
        <v>341558</v>
      </c>
      <c r="N425" s="759">
        <f t="shared" si="221"/>
        <v>0</v>
      </c>
      <c r="O425" s="759">
        <f t="shared" si="221"/>
        <v>490925</v>
      </c>
    </row>
    <row r="426" spans="1:16" ht="33" thickTop="1" thickBot="1" x14ac:dyDescent="0.3">
      <c r="A426" s="751"/>
      <c r="B426" s="759" t="s">
        <v>1164</v>
      </c>
      <c r="C426" s="759">
        <f t="shared" ref="C426:O426" si="222">SUM(C414+C422)</f>
        <v>69774</v>
      </c>
      <c r="D426" s="759">
        <f t="shared" si="222"/>
        <v>0</v>
      </c>
      <c r="E426" s="759">
        <f t="shared" si="222"/>
        <v>30</v>
      </c>
      <c r="F426" s="759">
        <f t="shared" si="222"/>
        <v>0</v>
      </c>
      <c r="G426" s="759">
        <f t="shared" si="222"/>
        <v>0</v>
      </c>
      <c r="H426" s="759">
        <f t="shared" si="222"/>
        <v>0</v>
      </c>
      <c r="I426" s="759">
        <f t="shared" si="222"/>
        <v>0</v>
      </c>
      <c r="J426" s="759">
        <f t="shared" si="222"/>
        <v>69804</v>
      </c>
      <c r="K426" s="759">
        <f t="shared" si="222"/>
        <v>0</v>
      </c>
      <c r="L426" s="759">
        <f t="shared" si="222"/>
        <v>69804</v>
      </c>
      <c r="M426" s="759">
        <f t="shared" si="222"/>
        <v>756347</v>
      </c>
      <c r="N426" s="759">
        <f t="shared" si="222"/>
        <v>0</v>
      </c>
      <c r="O426" s="759">
        <f t="shared" si="222"/>
        <v>826151</v>
      </c>
    </row>
    <row r="427" spans="1:16" ht="17.25" thickTop="1" thickBot="1" x14ac:dyDescent="0.3">
      <c r="A427" s="751"/>
      <c r="B427" s="759" t="s">
        <v>265</v>
      </c>
      <c r="C427" s="759">
        <f t="shared" ref="C427:O427" si="223">SUM(C409+C423)</f>
        <v>1445516</v>
      </c>
      <c r="D427" s="759">
        <f t="shared" si="223"/>
        <v>0</v>
      </c>
      <c r="E427" s="759">
        <f t="shared" si="223"/>
        <v>1281</v>
      </c>
      <c r="F427" s="759">
        <f t="shared" si="223"/>
        <v>1760888</v>
      </c>
      <c r="G427" s="759">
        <f t="shared" si="223"/>
        <v>22</v>
      </c>
      <c r="H427" s="759">
        <f t="shared" si="223"/>
        <v>206905</v>
      </c>
      <c r="I427" s="759">
        <f t="shared" si="223"/>
        <v>2235</v>
      </c>
      <c r="J427" s="759">
        <f t="shared" si="223"/>
        <v>3414590</v>
      </c>
      <c r="K427" s="759">
        <f t="shared" si="223"/>
        <v>2257</v>
      </c>
      <c r="L427" s="759">
        <f t="shared" si="223"/>
        <v>3416847</v>
      </c>
      <c r="M427" s="759">
        <f t="shared" si="223"/>
        <v>10112765</v>
      </c>
      <c r="N427" s="759">
        <f t="shared" si="223"/>
        <v>284718</v>
      </c>
      <c r="O427" s="759">
        <f t="shared" si="223"/>
        <v>13814330</v>
      </c>
    </row>
    <row r="428" spans="1:16" ht="17.25" thickTop="1" thickBot="1" x14ac:dyDescent="0.3">
      <c r="A428" s="751"/>
      <c r="B428" s="759" t="s">
        <v>1125</v>
      </c>
      <c r="C428" s="759">
        <f t="shared" ref="C428:O428" si="224">SUM(C6+C18+C33+C49+C64+C78+C93+C108+C125+C137+C149+C162+C175+C187+C199+C212+C224+C237+C249+C261+C276+C292+C307+C323+C336+C346+C352+C367+C380+C388+C397+C411)</f>
        <v>1130961</v>
      </c>
      <c r="D428" s="759">
        <f t="shared" si="224"/>
        <v>0</v>
      </c>
      <c r="E428" s="759">
        <f t="shared" si="224"/>
        <v>989</v>
      </c>
      <c r="F428" s="759">
        <f t="shared" si="224"/>
        <v>1642684</v>
      </c>
      <c r="G428" s="759">
        <f t="shared" si="224"/>
        <v>0</v>
      </c>
      <c r="H428" s="759">
        <f t="shared" si="224"/>
        <v>180202</v>
      </c>
      <c r="I428" s="759">
        <f t="shared" si="224"/>
        <v>0</v>
      </c>
      <c r="J428" s="759">
        <f t="shared" si="224"/>
        <v>2954836</v>
      </c>
      <c r="K428" s="759">
        <f t="shared" si="224"/>
        <v>0</v>
      </c>
      <c r="L428" s="759">
        <f t="shared" si="224"/>
        <v>2954836</v>
      </c>
      <c r="M428" s="759">
        <f t="shared" si="224"/>
        <v>9960737</v>
      </c>
      <c r="N428" s="759">
        <f t="shared" si="224"/>
        <v>284718</v>
      </c>
      <c r="O428" s="759">
        <f t="shared" si="224"/>
        <v>13200291</v>
      </c>
    </row>
    <row r="429" spans="1:16" ht="16.5" thickTop="1" x14ac:dyDescent="0.25">
      <c r="A429" s="756"/>
      <c r="B429" s="779" t="s">
        <v>243</v>
      </c>
      <c r="C429" s="757"/>
      <c r="D429" s="757"/>
      <c r="E429" s="757"/>
      <c r="F429" s="757"/>
      <c r="G429" s="757"/>
      <c r="H429" s="757"/>
      <c r="I429" s="757"/>
      <c r="J429" s="758"/>
      <c r="K429" s="758"/>
      <c r="L429" s="758"/>
      <c r="M429" s="758"/>
      <c r="N429" s="758"/>
      <c r="O429" s="758"/>
    </row>
    <row r="430" spans="1:16" x14ac:dyDescent="0.25">
      <c r="A430" s="761"/>
      <c r="B430" s="778" t="s">
        <v>1407</v>
      </c>
      <c r="C430" s="778">
        <f t="shared" ref="C430:O430" si="225">C10+C22+C37+C53+C68+C82+C97+C112+C129+C141+C153+C166+C179+C191+C203+C216+C228+C241+C253+C265+C280+C296+C311+C327+C356+C371+C401+C416</f>
        <v>0</v>
      </c>
      <c r="D430" s="778">
        <f t="shared" si="225"/>
        <v>0</v>
      </c>
      <c r="E430" s="778">
        <f t="shared" si="225"/>
        <v>0</v>
      </c>
      <c r="F430" s="778">
        <f t="shared" si="225"/>
        <v>0</v>
      </c>
      <c r="G430" s="778">
        <f t="shared" si="225"/>
        <v>0</v>
      </c>
      <c r="H430" s="778">
        <f t="shared" si="225"/>
        <v>0</v>
      </c>
      <c r="I430" s="778">
        <f t="shared" si="225"/>
        <v>0</v>
      </c>
      <c r="J430" s="778">
        <f t="shared" si="225"/>
        <v>0</v>
      </c>
      <c r="K430" s="778">
        <f t="shared" si="225"/>
        <v>0</v>
      </c>
      <c r="L430" s="778">
        <f t="shared" si="225"/>
        <v>0</v>
      </c>
      <c r="M430" s="778">
        <f t="shared" si="225"/>
        <v>6397</v>
      </c>
      <c r="N430" s="778">
        <f t="shared" si="225"/>
        <v>0</v>
      </c>
      <c r="O430" s="778">
        <f t="shared" si="225"/>
        <v>6397</v>
      </c>
    </row>
    <row r="431" spans="1:16" ht="31.5" x14ac:dyDescent="0.25">
      <c r="A431" s="761"/>
      <c r="B431" s="778" t="s">
        <v>1409</v>
      </c>
      <c r="C431" s="778">
        <f t="shared" ref="C431:O431" si="226">C23+C38+C54+C69+C83+C98+C113+C281+C297+C312</f>
        <v>0</v>
      </c>
      <c r="D431" s="778">
        <f t="shared" si="226"/>
        <v>0</v>
      </c>
      <c r="E431" s="778">
        <f t="shared" si="226"/>
        <v>0</v>
      </c>
      <c r="F431" s="778">
        <f t="shared" si="226"/>
        <v>0</v>
      </c>
      <c r="G431" s="778">
        <f t="shared" si="226"/>
        <v>0</v>
      </c>
      <c r="H431" s="778">
        <f t="shared" si="226"/>
        <v>0</v>
      </c>
      <c r="I431" s="778">
        <f t="shared" si="226"/>
        <v>0</v>
      </c>
      <c r="J431" s="778">
        <f t="shared" si="226"/>
        <v>0</v>
      </c>
      <c r="K431" s="778">
        <f t="shared" si="226"/>
        <v>0</v>
      </c>
      <c r="L431" s="778">
        <f t="shared" si="226"/>
        <v>0</v>
      </c>
      <c r="M431" s="778">
        <f t="shared" si="226"/>
        <v>7694</v>
      </c>
      <c r="N431" s="778">
        <f t="shared" si="226"/>
        <v>0</v>
      </c>
      <c r="O431" s="778">
        <f t="shared" si="226"/>
        <v>7694</v>
      </c>
    </row>
    <row r="432" spans="1:16" ht="31.5" x14ac:dyDescent="0.25">
      <c r="A432" s="761"/>
      <c r="B432" s="778" t="s">
        <v>1410</v>
      </c>
      <c r="C432" s="778">
        <f t="shared" ref="C432:O432" si="227">C39+C55+C70+C84+C99+C114+C24+C282+C313+C298</f>
        <v>0</v>
      </c>
      <c r="D432" s="778">
        <f t="shared" si="227"/>
        <v>0</v>
      </c>
      <c r="E432" s="778">
        <f t="shared" si="227"/>
        <v>0</v>
      </c>
      <c r="F432" s="778">
        <f t="shared" si="227"/>
        <v>0</v>
      </c>
      <c r="G432" s="778">
        <f t="shared" si="227"/>
        <v>0</v>
      </c>
      <c r="H432" s="778">
        <f t="shared" si="227"/>
        <v>0</v>
      </c>
      <c r="I432" s="778">
        <f t="shared" si="227"/>
        <v>0</v>
      </c>
      <c r="J432" s="778">
        <f t="shared" si="227"/>
        <v>0</v>
      </c>
      <c r="K432" s="778">
        <f t="shared" si="227"/>
        <v>0</v>
      </c>
      <c r="L432" s="778">
        <f t="shared" si="227"/>
        <v>0</v>
      </c>
      <c r="M432" s="778">
        <f t="shared" si="227"/>
        <v>-100</v>
      </c>
      <c r="N432" s="778">
        <f t="shared" si="227"/>
        <v>0</v>
      </c>
      <c r="O432" s="778">
        <f t="shared" si="227"/>
        <v>-100</v>
      </c>
    </row>
    <row r="433" spans="1:15" ht="47.25" x14ac:dyDescent="0.25">
      <c r="A433" s="761"/>
      <c r="B433" s="778" t="s">
        <v>1416</v>
      </c>
      <c r="C433" s="778">
        <f t="shared" ref="C433:O433" si="228">C357</f>
        <v>0</v>
      </c>
      <c r="D433" s="778">
        <f t="shared" si="228"/>
        <v>0</v>
      </c>
      <c r="E433" s="778">
        <f t="shared" si="228"/>
        <v>0</v>
      </c>
      <c r="F433" s="778">
        <f t="shared" si="228"/>
        <v>0</v>
      </c>
      <c r="G433" s="778">
        <f t="shared" si="228"/>
        <v>0</v>
      </c>
      <c r="H433" s="778">
        <f t="shared" si="228"/>
        <v>0</v>
      </c>
      <c r="I433" s="778">
        <f t="shared" si="228"/>
        <v>0</v>
      </c>
      <c r="J433" s="778">
        <f t="shared" si="228"/>
        <v>0</v>
      </c>
      <c r="K433" s="778">
        <f t="shared" si="228"/>
        <v>0</v>
      </c>
      <c r="L433" s="778">
        <f t="shared" si="228"/>
        <v>0</v>
      </c>
      <c r="M433" s="778">
        <f t="shared" si="228"/>
        <v>22286</v>
      </c>
      <c r="N433" s="778">
        <f t="shared" si="228"/>
        <v>0</v>
      </c>
      <c r="O433" s="778">
        <f t="shared" si="228"/>
        <v>22286</v>
      </c>
    </row>
    <row r="434" spans="1:15" ht="78.75" x14ac:dyDescent="0.25">
      <c r="A434" s="761"/>
      <c r="B434" s="778" t="s">
        <v>1411</v>
      </c>
      <c r="C434" s="778">
        <f t="shared" ref="C434:O434" si="229">C40+C56+C71+C100+C85+C115</f>
        <v>0</v>
      </c>
      <c r="D434" s="778">
        <f t="shared" si="229"/>
        <v>0</v>
      </c>
      <c r="E434" s="778">
        <f t="shared" si="229"/>
        <v>0</v>
      </c>
      <c r="F434" s="778">
        <f t="shared" si="229"/>
        <v>0</v>
      </c>
      <c r="G434" s="778">
        <f t="shared" si="229"/>
        <v>0</v>
      </c>
      <c r="H434" s="778">
        <f t="shared" si="229"/>
        <v>0</v>
      </c>
      <c r="I434" s="778">
        <f t="shared" si="229"/>
        <v>0</v>
      </c>
      <c r="J434" s="778">
        <f t="shared" si="229"/>
        <v>0</v>
      </c>
      <c r="K434" s="778">
        <f t="shared" si="229"/>
        <v>0</v>
      </c>
      <c r="L434" s="778">
        <f t="shared" si="229"/>
        <v>0</v>
      </c>
      <c r="M434" s="778">
        <f t="shared" si="229"/>
        <v>12092</v>
      </c>
      <c r="N434" s="778">
        <f t="shared" si="229"/>
        <v>0</v>
      </c>
      <c r="O434" s="778">
        <f t="shared" si="229"/>
        <v>12092</v>
      </c>
    </row>
    <row r="435" spans="1:15" ht="31.5" x14ac:dyDescent="0.25">
      <c r="A435" s="761"/>
      <c r="B435" s="778" t="s">
        <v>1209</v>
      </c>
      <c r="C435" s="778">
        <f t="shared" ref="C435:O435" si="230">C41+C154+C167+C204+C229+C266+C283+C299+C328</f>
        <v>0</v>
      </c>
      <c r="D435" s="778">
        <f t="shared" si="230"/>
        <v>0</v>
      </c>
      <c r="E435" s="778">
        <f t="shared" si="230"/>
        <v>0</v>
      </c>
      <c r="F435" s="778">
        <f t="shared" si="230"/>
        <v>0</v>
      </c>
      <c r="G435" s="778">
        <f t="shared" si="230"/>
        <v>0</v>
      </c>
      <c r="H435" s="778">
        <f t="shared" si="230"/>
        <v>0</v>
      </c>
      <c r="I435" s="778">
        <f t="shared" si="230"/>
        <v>0</v>
      </c>
      <c r="J435" s="778">
        <f t="shared" si="230"/>
        <v>0</v>
      </c>
      <c r="K435" s="778">
        <f t="shared" si="230"/>
        <v>0</v>
      </c>
      <c r="L435" s="778">
        <f t="shared" si="230"/>
        <v>0</v>
      </c>
      <c r="M435" s="778">
        <f t="shared" si="230"/>
        <v>3207</v>
      </c>
      <c r="N435" s="778">
        <f t="shared" si="230"/>
        <v>0</v>
      </c>
      <c r="O435" s="778">
        <f t="shared" si="230"/>
        <v>3207</v>
      </c>
    </row>
    <row r="436" spans="1:15" ht="31.5" x14ac:dyDescent="0.25">
      <c r="A436" s="761"/>
      <c r="B436" s="778" t="s">
        <v>1417</v>
      </c>
      <c r="C436" s="778">
        <f t="shared" ref="C436:O436" si="231">C358</f>
        <v>0</v>
      </c>
      <c r="D436" s="778">
        <f t="shared" si="231"/>
        <v>0</v>
      </c>
      <c r="E436" s="778">
        <f t="shared" si="231"/>
        <v>0</v>
      </c>
      <c r="F436" s="778">
        <f t="shared" si="231"/>
        <v>0</v>
      </c>
      <c r="G436" s="778">
        <f t="shared" si="231"/>
        <v>0</v>
      </c>
      <c r="H436" s="778">
        <f t="shared" si="231"/>
        <v>0</v>
      </c>
      <c r="I436" s="778">
        <f t="shared" si="231"/>
        <v>0</v>
      </c>
      <c r="J436" s="778">
        <f t="shared" si="231"/>
        <v>0</v>
      </c>
      <c r="K436" s="778">
        <f t="shared" si="231"/>
        <v>0</v>
      </c>
      <c r="L436" s="778">
        <f t="shared" si="231"/>
        <v>0</v>
      </c>
      <c r="M436" s="778">
        <f t="shared" si="231"/>
        <v>2730</v>
      </c>
      <c r="N436" s="778">
        <f t="shared" si="231"/>
        <v>0</v>
      </c>
      <c r="O436" s="778">
        <f t="shared" si="231"/>
        <v>2730</v>
      </c>
    </row>
    <row r="437" spans="1:15" ht="63" x14ac:dyDescent="0.25">
      <c r="A437" s="761"/>
      <c r="B437" s="778" t="s">
        <v>1412</v>
      </c>
      <c r="C437" s="778">
        <f t="shared" ref="C437:O437" si="232">C116</f>
        <v>0</v>
      </c>
      <c r="D437" s="778">
        <f t="shared" si="232"/>
        <v>0</v>
      </c>
      <c r="E437" s="778">
        <f t="shared" si="232"/>
        <v>0</v>
      </c>
      <c r="F437" s="778">
        <f t="shared" si="232"/>
        <v>0</v>
      </c>
      <c r="G437" s="778">
        <f t="shared" si="232"/>
        <v>0</v>
      </c>
      <c r="H437" s="778">
        <f t="shared" si="232"/>
        <v>0</v>
      </c>
      <c r="I437" s="778">
        <f t="shared" si="232"/>
        <v>0</v>
      </c>
      <c r="J437" s="778">
        <f t="shared" si="232"/>
        <v>0</v>
      </c>
      <c r="K437" s="778">
        <f t="shared" si="232"/>
        <v>0</v>
      </c>
      <c r="L437" s="778">
        <f t="shared" si="232"/>
        <v>0</v>
      </c>
      <c r="M437" s="778">
        <f t="shared" si="232"/>
        <v>291</v>
      </c>
      <c r="N437" s="778">
        <f t="shared" si="232"/>
        <v>0</v>
      </c>
      <c r="O437" s="778">
        <f t="shared" si="232"/>
        <v>291</v>
      </c>
    </row>
    <row r="438" spans="1:15" ht="31.5" x14ac:dyDescent="0.25">
      <c r="A438" s="761"/>
      <c r="B438" s="778" t="s">
        <v>1262</v>
      </c>
      <c r="C438" s="778">
        <f t="shared" ref="C438:O438" si="233">C11+C25+C42+C57+C86+C101+C117+C130+C142+C155+C168+C180+C192+C205+C217+C230+C242+C254+C267+C284+C300+C314+C329+C359+C372+C417</f>
        <v>279151</v>
      </c>
      <c r="D438" s="778">
        <f t="shared" si="233"/>
        <v>0</v>
      </c>
      <c r="E438" s="778">
        <f t="shared" si="233"/>
        <v>0</v>
      </c>
      <c r="F438" s="778">
        <f t="shared" si="233"/>
        <v>100765</v>
      </c>
      <c r="G438" s="778">
        <f t="shared" si="233"/>
        <v>0</v>
      </c>
      <c r="H438" s="778">
        <f t="shared" si="233"/>
        <v>6591</v>
      </c>
      <c r="I438" s="778">
        <f t="shared" si="233"/>
        <v>2235</v>
      </c>
      <c r="J438" s="778">
        <f t="shared" si="233"/>
        <v>386507</v>
      </c>
      <c r="K438" s="778">
        <f t="shared" si="233"/>
        <v>2235</v>
      </c>
      <c r="L438" s="778">
        <f t="shared" si="233"/>
        <v>388742</v>
      </c>
      <c r="M438" s="778">
        <f t="shared" si="233"/>
        <v>48833</v>
      </c>
      <c r="N438" s="778">
        <f t="shared" si="233"/>
        <v>0</v>
      </c>
      <c r="O438" s="778">
        <f t="shared" si="233"/>
        <v>437575</v>
      </c>
    </row>
    <row r="439" spans="1:15" ht="31.5" x14ac:dyDescent="0.25">
      <c r="A439" s="761"/>
      <c r="B439" s="778" t="s">
        <v>1315</v>
      </c>
      <c r="C439" s="778">
        <f>SUM(C418)</f>
        <v>16663</v>
      </c>
      <c r="D439" s="778">
        <f t="shared" ref="D439:O439" si="234">SUM(D418)</f>
        <v>0</v>
      </c>
      <c r="E439" s="778">
        <f t="shared" si="234"/>
        <v>1251</v>
      </c>
      <c r="F439" s="778">
        <f t="shared" si="234"/>
        <v>993</v>
      </c>
      <c r="G439" s="778">
        <f t="shared" si="234"/>
        <v>22</v>
      </c>
      <c r="H439" s="778">
        <f t="shared" si="234"/>
        <v>110</v>
      </c>
      <c r="I439" s="778">
        <f t="shared" si="234"/>
        <v>0</v>
      </c>
      <c r="J439" s="778">
        <f t="shared" si="234"/>
        <v>19017</v>
      </c>
      <c r="K439" s="778">
        <f t="shared" si="234"/>
        <v>22</v>
      </c>
      <c r="L439" s="778">
        <f t="shared" si="234"/>
        <v>19039</v>
      </c>
      <c r="M439" s="778">
        <f t="shared" si="234"/>
        <v>-19664</v>
      </c>
      <c r="N439" s="778">
        <f t="shared" si="234"/>
        <v>0</v>
      </c>
      <c r="O439" s="778">
        <f t="shared" si="234"/>
        <v>-625</v>
      </c>
    </row>
    <row r="440" spans="1:15" x14ac:dyDescent="0.25">
      <c r="A440" s="756"/>
      <c r="B440" s="779" t="s">
        <v>244</v>
      </c>
      <c r="C440" s="777"/>
      <c r="D440" s="777"/>
      <c r="E440" s="777"/>
      <c r="F440" s="777"/>
      <c r="G440" s="777"/>
      <c r="H440" s="777"/>
      <c r="I440" s="777"/>
      <c r="J440" s="777"/>
      <c r="K440" s="777"/>
      <c r="L440" s="777"/>
      <c r="M440" s="777"/>
      <c r="N440" s="777"/>
      <c r="O440" s="777"/>
    </row>
    <row r="441" spans="1:15" x14ac:dyDescent="0.25">
      <c r="A441" s="761"/>
      <c r="B441" s="778" t="s">
        <v>1407</v>
      </c>
      <c r="C441" s="778">
        <f t="shared" ref="C441:O441" si="235">C339+C391</f>
        <v>0</v>
      </c>
      <c r="D441" s="778">
        <f t="shared" si="235"/>
        <v>0</v>
      </c>
      <c r="E441" s="778">
        <f t="shared" si="235"/>
        <v>0</v>
      </c>
      <c r="F441" s="778">
        <f t="shared" si="235"/>
        <v>0</v>
      </c>
      <c r="G441" s="778">
        <f t="shared" si="235"/>
        <v>0</v>
      </c>
      <c r="H441" s="778">
        <f t="shared" si="235"/>
        <v>0</v>
      </c>
      <c r="I441" s="778">
        <f t="shared" si="235"/>
        <v>0</v>
      </c>
      <c r="J441" s="778">
        <f t="shared" si="235"/>
        <v>0</v>
      </c>
      <c r="K441" s="778">
        <f t="shared" si="235"/>
        <v>0</v>
      </c>
      <c r="L441" s="778">
        <f t="shared" si="235"/>
        <v>0</v>
      </c>
      <c r="M441" s="778">
        <f t="shared" si="235"/>
        <v>781</v>
      </c>
      <c r="N441" s="778">
        <f t="shared" si="235"/>
        <v>0</v>
      </c>
      <c r="O441" s="778">
        <f t="shared" si="235"/>
        <v>781</v>
      </c>
    </row>
    <row r="442" spans="1:15" x14ac:dyDescent="0.25">
      <c r="A442" s="761"/>
      <c r="B442" s="778" t="s">
        <v>1408</v>
      </c>
      <c r="C442" s="778">
        <f t="shared" ref="C442:O442" si="236">C13+C27+C44+C59+C73+C88+C103+C119+C132+C144+C157+C170+C182+C194+C207+C219+C232+C244+C256+C269+C286+C302+C316+C331+C340+C361+C374+C383+C392+C403</f>
        <v>0</v>
      </c>
      <c r="D442" s="778">
        <f t="shared" si="236"/>
        <v>0</v>
      </c>
      <c r="E442" s="778">
        <f t="shared" si="236"/>
        <v>0</v>
      </c>
      <c r="F442" s="778">
        <f t="shared" si="236"/>
        <v>0</v>
      </c>
      <c r="G442" s="778">
        <f t="shared" si="236"/>
        <v>0</v>
      </c>
      <c r="H442" s="778">
        <f t="shared" si="236"/>
        <v>0</v>
      </c>
      <c r="I442" s="778">
        <f t="shared" si="236"/>
        <v>0</v>
      </c>
      <c r="J442" s="778">
        <f t="shared" si="236"/>
        <v>0</v>
      </c>
      <c r="K442" s="778">
        <f t="shared" si="236"/>
        <v>0</v>
      </c>
      <c r="L442" s="778">
        <f t="shared" si="236"/>
        <v>0</v>
      </c>
      <c r="M442" s="778">
        <f t="shared" si="236"/>
        <v>34514</v>
      </c>
      <c r="N442" s="778">
        <f t="shared" si="236"/>
        <v>0</v>
      </c>
      <c r="O442" s="778">
        <f t="shared" si="236"/>
        <v>34514</v>
      </c>
    </row>
    <row r="443" spans="1:15" x14ac:dyDescent="0.25">
      <c r="A443" s="761"/>
      <c r="B443" s="778" t="s">
        <v>1420</v>
      </c>
      <c r="C443" s="777">
        <f t="shared" ref="C443:O443" si="237">C287</f>
        <v>0</v>
      </c>
      <c r="D443" s="777">
        <f t="shared" si="237"/>
        <v>0</v>
      </c>
      <c r="E443" s="777">
        <f t="shared" si="237"/>
        <v>0</v>
      </c>
      <c r="F443" s="777">
        <f t="shared" si="237"/>
        <v>0</v>
      </c>
      <c r="G443" s="777">
        <f t="shared" si="237"/>
        <v>0</v>
      </c>
      <c r="H443" s="777">
        <f t="shared" si="237"/>
        <v>0</v>
      </c>
      <c r="I443" s="777">
        <f t="shared" si="237"/>
        <v>0</v>
      </c>
      <c r="J443" s="777">
        <f t="shared" si="237"/>
        <v>0</v>
      </c>
      <c r="K443" s="777">
        <f t="shared" si="237"/>
        <v>0</v>
      </c>
      <c r="L443" s="777">
        <f t="shared" si="237"/>
        <v>0</v>
      </c>
      <c r="M443" s="777">
        <f t="shared" si="237"/>
        <v>200</v>
      </c>
      <c r="N443" s="777">
        <f t="shared" si="237"/>
        <v>0</v>
      </c>
      <c r="O443" s="777">
        <f t="shared" si="237"/>
        <v>200</v>
      </c>
    </row>
    <row r="444" spans="1:15" x14ac:dyDescent="0.25">
      <c r="A444" s="761"/>
      <c r="B444" s="778" t="s">
        <v>1421</v>
      </c>
      <c r="C444" s="777">
        <f t="shared" ref="C444:O444" si="238">C317</f>
        <v>0</v>
      </c>
      <c r="D444" s="777">
        <f t="shared" si="238"/>
        <v>0</v>
      </c>
      <c r="E444" s="777">
        <f t="shared" si="238"/>
        <v>0</v>
      </c>
      <c r="F444" s="777">
        <f t="shared" si="238"/>
        <v>0</v>
      </c>
      <c r="G444" s="777">
        <f t="shared" si="238"/>
        <v>0</v>
      </c>
      <c r="H444" s="777">
        <f t="shared" si="238"/>
        <v>0</v>
      </c>
      <c r="I444" s="777">
        <f t="shared" si="238"/>
        <v>0</v>
      </c>
      <c r="J444" s="777">
        <f t="shared" si="238"/>
        <v>0</v>
      </c>
      <c r="K444" s="777">
        <f t="shared" si="238"/>
        <v>0</v>
      </c>
      <c r="L444" s="777">
        <f t="shared" si="238"/>
        <v>0</v>
      </c>
      <c r="M444" s="777">
        <f t="shared" si="238"/>
        <v>500</v>
      </c>
      <c r="N444" s="777">
        <f t="shared" si="238"/>
        <v>0</v>
      </c>
      <c r="O444" s="777">
        <f t="shared" si="238"/>
        <v>500</v>
      </c>
    </row>
    <row r="445" spans="1:15" ht="31.5" x14ac:dyDescent="0.25">
      <c r="A445" s="761"/>
      <c r="B445" s="778" t="s">
        <v>1422</v>
      </c>
      <c r="C445" s="777">
        <f t="shared" ref="C445:O445" si="239">C362+C341</f>
        <v>0</v>
      </c>
      <c r="D445" s="777">
        <f t="shared" si="239"/>
        <v>0</v>
      </c>
      <c r="E445" s="777">
        <f t="shared" si="239"/>
        <v>0</v>
      </c>
      <c r="F445" s="777">
        <f t="shared" si="239"/>
        <v>0</v>
      </c>
      <c r="G445" s="777">
        <f t="shared" si="239"/>
        <v>0</v>
      </c>
      <c r="H445" s="777">
        <f t="shared" si="239"/>
        <v>0</v>
      </c>
      <c r="I445" s="777">
        <f t="shared" si="239"/>
        <v>0</v>
      </c>
      <c r="J445" s="777">
        <f t="shared" si="239"/>
        <v>0</v>
      </c>
      <c r="K445" s="777">
        <f t="shared" si="239"/>
        <v>0</v>
      </c>
      <c r="L445" s="777">
        <f t="shared" si="239"/>
        <v>0</v>
      </c>
      <c r="M445" s="777">
        <f t="shared" si="239"/>
        <v>1899</v>
      </c>
      <c r="N445" s="777">
        <f t="shared" si="239"/>
        <v>0</v>
      </c>
      <c r="O445" s="777">
        <f t="shared" si="239"/>
        <v>1899</v>
      </c>
    </row>
    <row r="446" spans="1:15" x14ac:dyDescent="0.25">
      <c r="A446" s="756"/>
      <c r="B446" s="778" t="s">
        <v>1353</v>
      </c>
      <c r="C446" s="777">
        <f t="shared" ref="C446:O446" si="240">C404</f>
        <v>0</v>
      </c>
      <c r="D446" s="777">
        <f t="shared" si="240"/>
        <v>0</v>
      </c>
      <c r="E446" s="777">
        <f t="shared" si="240"/>
        <v>0</v>
      </c>
      <c r="F446" s="777">
        <f t="shared" si="240"/>
        <v>0</v>
      </c>
      <c r="G446" s="777">
        <f t="shared" si="240"/>
        <v>0</v>
      </c>
      <c r="H446" s="777">
        <f t="shared" si="240"/>
        <v>0</v>
      </c>
      <c r="I446" s="777">
        <f t="shared" si="240"/>
        <v>0</v>
      </c>
      <c r="J446" s="777">
        <f t="shared" si="240"/>
        <v>0</v>
      </c>
      <c r="K446" s="777">
        <f t="shared" si="240"/>
        <v>0</v>
      </c>
      <c r="L446" s="777">
        <f t="shared" si="240"/>
        <v>0</v>
      </c>
      <c r="M446" s="777">
        <f t="shared" si="240"/>
        <v>400</v>
      </c>
      <c r="N446" s="777">
        <f t="shared" si="240"/>
        <v>0</v>
      </c>
      <c r="O446" s="777">
        <f t="shared" si="240"/>
        <v>400</v>
      </c>
    </row>
    <row r="447" spans="1:15" ht="31.5" x14ac:dyDescent="0.25">
      <c r="A447" s="761"/>
      <c r="B447" s="778" t="s">
        <v>1262</v>
      </c>
      <c r="C447" s="778">
        <f t="shared" ref="C447:O447" si="241">C342+C375+C384+C393</f>
        <v>18741</v>
      </c>
      <c r="D447" s="778">
        <f t="shared" si="241"/>
        <v>0</v>
      </c>
      <c r="E447" s="778">
        <f t="shared" si="241"/>
        <v>0</v>
      </c>
      <c r="F447" s="778">
        <f t="shared" si="241"/>
        <v>16446</v>
      </c>
      <c r="G447" s="778">
        <f t="shared" si="241"/>
        <v>0</v>
      </c>
      <c r="H447" s="778">
        <f t="shared" si="241"/>
        <v>20002</v>
      </c>
      <c r="I447" s="778">
        <f t="shared" si="241"/>
        <v>0</v>
      </c>
      <c r="J447" s="778">
        <f t="shared" si="241"/>
        <v>55189</v>
      </c>
      <c r="K447" s="778">
        <f t="shared" si="241"/>
        <v>0</v>
      </c>
      <c r="L447" s="778">
        <f t="shared" si="241"/>
        <v>55189</v>
      </c>
      <c r="M447" s="778">
        <f t="shared" si="241"/>
        <v>28384</v>
      </c>
      <c r="N447" s="778">
        <f t="shared" si="241"/>
        <v>0</v>
      </c>
      <c r="O447" s="778">
        <f t="shared" si="241"/>
        <v>83573</v>
      </c>
    </row>
    <row r="448" spans="1:15" ht="31.5" x14ac:dyDescent="0.25">
      <c r="A448" s="761"/>
      <c r="B448" s="778" t="s">
        <v>1315</v>
      </c>
      <c r="C448" s="778">
        <f>SUM(C420)</f>
        <v>0</v>
      </c>
      <c r="D448" s="778">
        <f t="shared" ref="D448:O448" si="242">SUM(D420)</f>
        <v>0</v>
      </c>
      <c r="E448" s="778">
        <f t="shared" si="242"/>
        <v>0</v>
      </c>
      <c r="F448" s="778">
        <f t="shared" si="242"/>
        <v>0</v>
      </c>
      <c r="G448" s="778">
        <f t="shared" si="242"/>
        <v>0</v>
      </c>
      <c r="H448" s="778">
        <f t="shared" si="242"/>
        <v>0</v>
      </c>
      <c r="I448" s="778">
        <f t="shared" si="242"/>
        <v>0</v>
      </c>
      <c r="J448" s="778">
        <f t="shared" si="242"/>
        <v>0</v>
      </c>
      <c r="K448" s="778">
        <f t="shared" si="242"/>
        <v>0</v>
      </c>
      <c r="L448" s="778">
        <f t="shared" si="242"/>
        <v>0</v>
      </c>
      <c r="M448" s="778">
        <f t="shared" si="242"/>
        <v>1075</v>
      </c>
      <c r="N448" s="778">
        <f t="shared" si="242"/>
        <v>0</v>
      </c>
      <c r="O448" s="778">
        <f t="shared" si="242"/>
        <v>1075</v>
      </c>
    </row>
    <row r="449" spans="1:16" x14ac:dyDescent="0.25">
      <c r="A449" s="756"/>
      <c r="B449" s="779" t="s">
        <v>962</v>
      </c>
      <c r="C449" s="777"/>
      <c r="D449" s="777"/>
      <c r="E449" s="777"/>
      <c r="F449" s="777"/>
      <c r="G449" s="777"/>
      <c r="H449" s="777"/>
      <c r="I449" s="777"/>
      <c r="J449" s="777"/>
      <c r="K449" s="777"/>
      <c r="L449" s="777"/>
      <c r="M449" s="777"/>
      <c r="N449" s="777"/>
      <c r="O449" s="777"/>
    </row>
    <row r="450" spans="1:16" ht="32.25" thickBot="1" x14ac:dyDescent="0.3">
      <c r="A450" s="756"/>
      <c r="B450" s="777" t="s">
        <v>1315</v>
      </c>
      <c r="C450" s="777">
        <f>SUM(C422)</f>
        <v>0</v>
      </c>
      <c r="D450" s="777">
        <f t="shared" ref="D450:O450" si="243">SUM(D422)</f>
        <v>0</v>
      </c>
      <c r="E450" s="777">
        <f t="shared" si="243"/>
        <v>-959</v>
      </c>
      <c r="F450" s="777">
        <f t="shared" si="243"/>
        <v>0</v>
      </c>
      <c r="G450" s="777">
        <f t="shared" si="243"/>
        <v>0</v>
      </c>
      <c r="H450" s="777">
        <f t="shared" si="243"/>
        <v>0</v>
      </c>
      <c r="I450" s="777">
        <f t="shared" si="243"/>
        <v>0</v>
      </c>
      <c r="J450" s="777">
        <f t="shared" si="243"/>
        <v>-959</v>
      </c>
      <c r="K450" s="777">
        <f t="shared" si="243"/>
        <v>0</v>
      </c>
      <c r="L450" s="777">
        <f t="shared" si="243"/>
        <v>-959</v>
      </c>
      <c r="M450" s="777">
        <f t="shared" si="243"/>
        <v>509</v>
      </c>
      <c r="N450" s="777">
        <f t="shared" si="243"/>
        <v>0</v>
      </c>
      <c r="O450" s="777">
        <f t="shared" si="243"/>
        <v>-450</v>
      </c>
    </row>
    <row r="451" spans="1:16" ht="17.25" thickTop="1" thickBot="1" x14ac:dyDescent="0.3">
      <c r="A451" s="751"/>
      <c r="B451" s="759" t="s">
        <v>265</v>
      </c>
      <c r="C451" s="759">
        <f t="shared" ref="C451:O451" si="244">SUM(C428:C450)</f>
        <v>1445516</v>
      </c>
      <c r="D451" s="759">
        <f t="shared" si="244"/>
        <v>0</v>
      </c>
      <c r="E451" s="759">
        <f t="shared" si="244"/>
        <v>1281</v>
      </c>
      <c r="F451" s="759">
        <f t="shared" si="244"/>
        <v>1760888</v>
      </c>
      <c r="G451" s="759">
        <f t="shared" si="244"/>
        <v>22</v>
      </c>
      <c r="H451" s="759">
        <f t="shared" si="244"/>
        <v>206905</v>
      </c>
      <c r="I451" s="759">
        <f t="shared" si="244"/>
        <v>2235</v>
      </c>
      <c r="J451" s="759">
        <f t="shared" si="244"/>
        <v>3414590</v>
      </c>
      <c r="K451" s="759">
        <f t="shared" si="244"/>
        <v>2257</v>
      </c>
      <c r="L451" s="759">
        <f t="shared" si="244"/>
        <v>3416847</v>
      </c>
      <c r="M451" s="759">
        <f t="shared" si="244"/>
        <v>10112765</v>
      </c>
      <c r="N451" s="759">
        <f t="shared" si="244"/>
        <v>284718</v>
      </c>
      <c r="O451" s="759">
        <f t="shared" si="244"/>
        <v>13814330</v>
      </c>
      <c r="P451" s="1149">
        <f>O452+O453+O454</f>
        <v>13814330</v>
      </c>
    </row>
    <row r="452" spans="1:16" ht="17.25" thickTop="1" thickBot="1" x14ac:dyDescent="0.3">
      <c r="A452" s="751"/>
      <c r="B452" s="759" t="s">
        <v>1158</v>
      </c>
      <c r="C452" s="759">
        <f t="shared" ref="C452:O452" si="245">SUM(C15+C29+C46+C61+C75+C90+C105+C121+C134+C146+C159+C172+C184+C196+C209+C221+C234+C246+C258+C271+C289+C304+C319+C333+C364+C377+C406+C424)</f>
        <v>1026794</v>
      </c>
      <c r="D452" s="759">
        <f t="shared" si="245"/>
        <v>0</v>
      </c>
      <c r="E452" s="759">
        <f t="shared" si="245"/>
        <v>1251</v>
      </c>
      <c r="F452" s="759">
        <f t="shared" si="245"/>
        <v>1378714</v>
      </c>
      <c r="G452" s="759">
        <f t="shared" si="245"/>
        <v>22</v>
      </c>
      <c r="H452" s="759">
        <f t="shared" si="245"/>
        <v>10439</v>
      </c>
      <c r="I452" s="759">
        <f t="shared" si="245"/>
        <v>2235</v>
      </c>
      <c r="J452" s="759">
        <f t="shared" si="245"/>
        <v>2417198</v>
      </c>
      <c r="K452" s="759">
        <f t="shared" si="245"/>
        <v>2257</v>
      </c>
      <c r="L452" s="759">
        <f t="shared" si="245"/>
        <v>2419455</v>
      </c>
      <c r="M452" s="759">
        <f t="shared" si="245"/>
        <v>7736823</v>
      </c>
      <c r="N452" s="759">
        <f t="shared" si="245"/>
        <v>268277</v>
      </c>
      <c r="O452" s="759">
        <f t="shared" si="245"/>
        <v>10424555</v>
      </c>
    </row>
    <row r="453" spans="1:16" ht="17.25" thickTop="1" thickBot="1" x14ac:dyDescent="0.3">
      <c r="A453" s="751"/>
      <c r="B453" s="759" t="s">
        <v>1159</v>
      </c>
      <c r="C453" s="759">
        <f t="shared" ref="C453:O453" si="246">SUM(C16+C30+C47+C62+C76+C91+C106+C122+C135+C147+C160+C173+C185+C197+C210+C222+C235+C247+C259+C272+C290+C305+C320+C334+C344+C350+C365+C378+C386+C395+C407+C425)</f>
        <v>348948</v>
      </c>
      <c r="D453" s="759">
        <f t="shared" si="246"/>
        <v>0</v>
      </c>
      <c r="E453" s="759">
        <f t="shared" si="246"/>
        <v>0</v>
      </c>
      <c r="F453" s="759">
        <f t="shared" si="246"/>
        <v>382174</v>
      </c>
      <c r="G453" s="759">
        <f t="shared" si="246"/>
        <v>0</v>
      </c>
      <c r="H453" s="759">
        <f t="shared" si="246"/>
        <v>196466</v>
      </c>
      <c r="I453" s="759">
        <f t="shared" si="246"/>
        <v>0</v>
      </c>
      <c r="J453" s="759">
        <f t="shared" si="246"/>
        <v>927588</v>
      </c>
      <c r="K453" s="759">
        <f t="shared" si="246"/>
        <v>0</v>
      </c>
      <c r="L453" s="759">
        <f t="shared" si="246"/>
        <v>927588</v>
      </c>
      <c r="M453" s="759">
        <f t="shared" si="246"/>
        <v>1619595</v>
      </c>
      <c r="N453" s="759">
        <f t="shared" si="246"/>
        <v>16441</v>
      </c>
      <c r="O453" s="759">
        <f t="shared" si="246"/>
        <v>2563624</v>
      </c>
    </row>
    <row r="454" spans="1:16" ht="33" thickTop="1" thickBot="1" x14ac:dyDescent="0.3">
      <c r="A454" s="751"/>
      <c r="B454" s="759" t="s">
        <v>1164</v>
      </c>
      <c r="C454" s="759">
        <f t="shared" ref="C454:O454" si="247">SUM(C426)</f>
        <v>69774</v>
      </c>
      <c r="D454" s="759">
        <f t="shared" si="247"/>
        <v>0</v>
      </c>
      <c r="E454" s="759">
        <f t="shared" si="247"/>
        <v>30</v>
      </c>
      <c r="F454" s="759">
        <f t="shared" si="247"/>
        <v>0</v>
      </c>
      <c r="G454" s="759">
        <f t="shared" si="247"/>
        <v>0</v>
      </c>
      <c r="H454" s="759">
        <f t="shared" si="247"/>
        <v>0</v>
      </c>
      <c r="I454" s="759">
        <f t="shared" si="247"/>
        <v>0</v>
      </c>
      <c r="J454" s="759">
        <f t="shared" si="247"/>
        <v>69804</v>
      </c>
      <c r="K454" s="759">
        <f t="shared" si="247"/>
        <v>0</v>
      </c>
      <c r="L454" s="759">
        <f t="shared" si="247"/>
        <v>69804</v>
      </c>
      <c r="M454" s="759">
        <f t="shared" si="247"/>
        <v>756347</v>
      </c>
      <c r="N454" s="759">
        <f t="shared" si="247"/>
        <v>0</v>
      </c>
      <c r="O454" s="759">
        <f t="shared" si="247"/>
        <v>826151</v>
      </c>
    </row>
    <row r="455" spans="1:16" thickTop="1" x14ac:dyDescent="0.25">
      <c r="A455" s="1149"/>
      <c r="B455" s="1149"/>
    </row>
    <row r="456" spans="1:16" ht="15" x14ac:dyDescent="0.25">
      <c r="A456" s="1149"/>
      <c r="B456" s="1149"/>
    </row>
    <row r="457" spans="1:16" ht="15" x14ac:dyDescent="0.25">
      <c r="A457" s="1149"/>
      <c r="B457" s="1149"/>
      <c r="C457" s="1149">
        <f t="shared" ref="C457:O457" si="248">SUM(C451-C428)</f>
        <v>314555</v>
      </c>
      <c r="D457" s="1149">
        <f t="shared" si="248"/>
        <v>0</v>
      </c>
      <c r="E457" s="1149">
        <f t="shared" si="248"/>
        <v>292</v>
      </c>
      <c r="F457" s="1149">
        <f t="shared" si="248"/>
        <v>118204</v>
      </c>
      <c r="G457" s="1149">
        <f t="shared" si="248"/>
        <v>22</v>
      </c>
      <c r="H457" s="1149">
        <f t="shared" si="248"/>
        <v>26703</v>
      </c>
      <c r="I457" s="1149">
        <f t="shared" si="248"/>
        <v>2235</v>
      </c>
      <c r="J457" s="1149">
        <f t="shared" si="248"/>
        <v>459754</v>
      </c>
      <c r="K457" s="1149">
        <f t="shared" si="248"/>
        <v>2257</v>
      </c>
      <c r="L457" s="1149">
        <f t="shared" si="248"/>
        <v>462011</v>
      </c>
      <c r="M457" s="1149">
        <f t="shared" si="248"/>
        <v>152028</v>
      </c>
      <c r="N457" s="1149">
        <f t="shared" si="248"/>
        <v>0</v>
      </c>
      <c r="O457" s="1149">
        <f t="shared" si="248"/>
        <v>614039</v>
      </c>
    </row>
    <row r="458" spans="1:16" ht="15" x14ac:dyDescent="0.25">
      <c r="A458" s="1149"/>
      <c r="B458" s="1149" t="s">
        <v>1423</v>
      </c>
      <c r="C458" s="1149">
        <f>SUM(C430:C439)</f>
        <v>295814</v>
      </c>
      <c r="D458" s="1149">
        <f t="shared" ref="D458:O458" si="249">SUM(D430:D439)</f>
        <v>0</v>
      </c>
      <c r="E458" s="1149">
        <f t="shared" si="249"/>
        <v>1251</v>
      </c>
      <c r="F458" s="1149">
        <f t="shared" si="249"/>
        <v>101758</v>
      </c>
      <c r="G458" s="1149">
        <f t="shared" si="249"/>
        <v>22</v>
      </c>
      <c r="H458" s="1149">
        <f t="shared" si="249"/>
        <v>6701</v>
      </c>
      <c r="I458" s="1149">
        <f t="shared" si="249"/>
        <v>2235</v>
      </c>
      <c r="J458" s="1149">
        <f t="shared" si="249"/>
        <v>405524</v>
      </c>
      <c r="K458" s="1149">
        <f t="shared" si="249"/>
        <v>2257</v>
      </c>
      <c r="L458" s="1149">
        <f t="shared" si="249"/>
        <v>407781</v>
      </c>
      <c r="M458" s="1149">
        <f t="shared" si="249"/>
        <v>83766</v>
      </c>
      <c r="N458" s="1149">
        <f t="shared" si="249"/>
        <v>0</v>
      </c>
      <c r="O458" s="1149">
        <f t="shared" si="249"/>
        <v>491547</v>
      </c>
    </row>
    <row r="459" spans="1:16" ht="15" x14ac:dyDescent="0.25">
      <c r="A459" s="1149"/>
      <c r="B459" s="1149" t="s">
        <v>1424</v>
      </c>
      <c r="C459" s="1149">
        <f>SUM(C441:C448)</f>
        <v>18741</v>
      </c>
      <c r="D459" s="1149">
        <f t="shared" ref="D459:O459" si="250">SUM(D441:D448)</f>
        <v>0</v>
      </c>
      <c r="E459" s="1149">
        <f t="shared" si="250"/>
        <v>0</v>
      </c>
      <c r="F459" s="1149">
        <f t="shared" si="250"/>
        <v>16446</v>
      </c>
      <c r="G459" s="1149">
        <f t="shared" si="250"/>
        <v>0</v>
      </c>
      <c r="H459" s="1149">
        <f t="shared" si="250"/>
        <v>20002</v>
      </c>
      <c r="I459" s="1149">
        <f t="shared" si="250"/>
        <v>0</v>
      </c>
      <c r="J459" s="1149">
        <f t="shared" si="250"/>
        <v>55189</v>
      </c>
      <c r="K459" s="1149">
        <f t="shared" si="250"/>
        <v>0</v>
      </c>
      <c r="L459" s="1149">
        <f t="shared" si="250"/>
        <v>55189</v>
      </c>
      <c r="M459" s="1149">
        <f t="shared" si="250"/>
        <v>67753</v>
      </c>
      <c r="N459" s="1149">
        <f t="shared" si="250"/>
        <v>0</v>
      </c>
      <c r="O459" s="1149">
        <f t="shared" si="250"/>
        <v>122942</v>
      </c>
    </row>
    <row r="460" spans="1:16" ht="15" x14ac:dyDescent="0.25">
      <c r="A460" s="1149"/>
      <c r="B460" s="1149" t="s">
        <v>1425</v>
      </c>
      <c r="C460" s="1149">
        <f>SUM(C450)</f>
        <v>0</v>
      </c>
      <c r="D460" s="1149">
        <f t="shared" ref="D460:O460" si="251">SUM(D450)</f>
        <v>0</v>
      </c>
      <c r="E460" s="1149">
        <f t="shared" si="251"/>
        <v>-959</v>
      </c>
      <c r="F460" s="1149">
        <f t="shared" si="251"/>
        <v>0</v>
      </c>
      <c r="G460" s="1149">
        <f t="shared" si="251"/>
        <v>0</v>
      </c>
      <c r="H460" s="1149">
        <f t="shared" si="251"/>
        <v>0</v>
      </c>
      <c r="I460" s="1149">
        <f t="shared" si="251"/>
        <v>0</v>
      </c>
      <c r="J460" s="1149">
        <f t="shared" si="251"/>
        <v>-959</v>
      </c>
      <c r="K460" s="1149">
        <f t="shared" si="251"/>
        <v>0</v>
      </c>
      <c r="L460" s="1149">
        <f t="shared" si="251"/>
        <v>-959</v>
      </c>
      <c r="M460" s="1149">
        <f t="shared" si="251"/>
        <v>509</v>
      </c>
      <c r="N460" s="1149">
        <f t="shared" si="251"/>
        <v>0</v>
      </c>
      <c r="O460" s="1149">
        <f t="shared" si="251"/>
        <v>-450</v>
      </c>
    </row>
    <row r="461" spans="1:16" ht="15" x14ac:dyDescent="0.25">
      <c r="A461" s="1149"/>
      <c r="B461" s="1149"/>
    </row>
    <row r="462" spans="1:16" ht="15" x14ac:dyDescent="0.25">
      <c r="A462" s="1149"/>
      <c r="B462" s="1149"/>
    </row>
    <row r="463" spans="1:16" ht="15" x14ac:dyDescent="0.25">
      <c r="A463" s="1149"/>
      <c r="B463" s="1149"/>
    </row>
    <row r="464" spans="1:16" ht="15" x14ac:dyDescent="0.25">
      <c r="A464" s="1149"/>
      <c r="B464" s="1149"/>
    </row>
    <row r="465" spans="1:2" ht="15" x14ac:dyDescent="0.25">
      <c r="A465" s="1149"/>
      <c r="B465" s="1149"/>
    </row>
    <row r="466" spans="1:2" ht="15" x14ac:dyDescent="0.25">
      <c r="A466" s="1149"/>
      <c r="B466" s="1149"/>
    </row>
    <row r="467" spans="1:2" ht="15" x14ac:dyDescent="0.25">
      <c r="A467" s="1149"/>
      <c r="B467" s="1149"/>
    </row>
    <row r="468" spans="1:2" ht="15" x14ac:dyDescent="0.25">
      <c r="A468" s="1149"/>
      <c r="B468" s="1149"/>
    </row>
    <row r="469" spans="1:2" ht="15" x14ac:dyDescent="0.25">
      <c r="A469" s="1149"/>
      <c r="B469" s="1149"/>
    </row>
    <row r="470" spans="1:2" ht="15" x14ac:dyDescent="0.25">
      <c r="A470" s="1149"/>
      <c r="B470" s="1149"/>
    </row>
    <row r="471" spans="1:2" ht="15" x14ac:dyDescent="0.25">
      <c r="A471" s="1149"/>
      <c r="B471" s="1149"/>
    </row>
    <row r="472" spans="1:2" ht="15" x14ac:dyDescent="0.25">
      <c r="A472" s="1149"/>
      <c r="B472" s="1149"/>
    </row>
    <row r="473" spans="1:2" ht="15" x14ac:dyDescent="0.25">
      <c r="A473" s="1149"/>
      <c r="B473" s="1149"/>
    </row>
    <row r="474" spans="1:2" ht="15" x14ac:dyDescent="0.25">
      <c r="A474" s="1149"/>
      <c r="B474" s="1149"/>
    </row>
    <row r="475" spans="1:2" ht="15" x14ac:dyDescent="0.25">
      <c r="A475" s="1149"/>
      <c r="B475" s="1149"/>
    </row>
    <row r="476" spans="1:2" ht="15" x14ac:dyDescent="0.25">
      <c r="A476" s="1149"/>
      <c r="B476" s="1149"/>
    </row>
    <row r="477" spans="1:2" ht="15" x14ac:dyDescent="0.25">
      <c r="A477" s="1149"/>
      <c r="B477" s="1149"/>
    </row>
    <row r="478" spans="1:2" ht="15" x14ac:dyDescent="0.25">
      <c r="A478" s="1149"/>
      <c r="B478" s="1149"/>
    </row>
    <row r="479" spans="1:2" ht="15" x14ac:dyDescent="0.25">
      <c r="A479" s="1149"/>
      <c r="B479" s="1149"/>
    </row>
    <row r="480" spans="1:2" ht="15" x14ac:dyDescent="0.25">
      <c r="A480" s="1149"/>
      <c r="B480" s="1149"/>
    </row>
    <row r="481" spans="1:2" ht="15" x14ac:dyDescent="0.25">
      <c r="A481" s="1149"/>
      <c r="B481" s="1149"/>
    </row>
    <row r="482" spans="1:2" ht="15" x14ac:dyDescent="0.25">
      <c r="A482" s="1149"/>
      <c r="B482" s="1149"/>
    </row>
    <row r="483" spans="1:2" ht="15" x14ac:dyDescent="0.25">
      <c r="A483" s="1149"/>
      <c r="B483" s="1149"/>
    </row>
    <row r="484" spans="1:2" ht="15" x14ac:dyDescent="0.25">
      <c r="A484" s="1149"/>
      <c r="B484" s="1149"/>
    </row>
    <row r="485" spans="1:2" ht="15" x14ac:dyDescent="0.25">
      <c r="A485" s="1149"/>
      <c r="B485" s="1149"/>
    </row>
    <row r="486" spans="1:2" ht="15" x14ac:dyDescent="0.25">
      <c r="A486" s="1149"/>
      <c r="B486" s="1149"/>
    </row>
    <row r="487" spans="1:2" ht="15" x14ac:dyDescent="0.25">
      <c r="A487" s="1149"/>
      <c r="B487" s="1149"/>
    </row>
    <row r="488" spans="1:2" ht="15" x14ac:dyDescent="0.25">
      <c r="A488" s="1149"/>
      <c r="B488" s="1149"/>
    </row>
    <row r="489" spans="1:2" ht="15" x14ac:dyDescent="0.25">
      <c r="A489" s="1149"/>
      <c r="B489" s="1149"/>
    </row>
    <row r="490" spans="1:2" ht="15" x14ac:dyDescent="0.25">
      <c r="A490" s="1149"/>
      <c r="B490" s="1149"/>
    </row>
    <row r="491" spans="1:2" ht="15" x14ac:dyDescent="0.25">
      <c r="A491" s="1149"/>
      <c r="B491" s="1149"/>
    </row>
    <row r="492" spans="1:2" ht="15" x14ac:dyDescent="0.25">
      <c r="A492" s="1149"/>
      <c r="B492" s="1149"/>
    </row>
    <row r="493" spans="1:2" ht="15" x14ac:dyDescent="0.25">
      <c r="A493" s="1149"/>
      <c r="B493" s="1149"/>
    </row>
    <row r="494" spans="1:2" ht="15" x14ac:dyDescent="0.25">
      <c r="A494" s="1149"/>
      <c r="B494" s="1149"/>
    </row>
    <row r="495" spans="1:2" ht="15" x14ac:dyDescent="0.25">
      <c r="A495" s="1149"/>
      <c r="B495" s="1149"/>
    </row>
    <row r="496" spans="1:2" ht="15" x14ac:dyDescent="0.25">
      <c r="A496" s="1149"/>
      <c r="B496" s="1149"/>
    </row>
    <row r="497" spans="1:2" ht="15" x14ac:dyDescent="0.25">
      <c r="A497" s="1149"/>
      <c r="B497" s="1149"/>
    </row>
    <row r="498" spans="1:2" ht="15" x14ac:dyDescent="0.25">
      <c r="A498" s="1149"/>
      <c r="B498" s="1149"/>
    </row>
    <row r="499" spans="1:2" ht="15" x14ac:dyDescent="0.25">
      <c r="A499" s="1149"/>
      <c r="B499" s="1149"/>
    </row>
    <row r="500" spans="1:2" ht="15" x14ac:dyDescent="0.25">
      <c r="A500" s="1149"/>
      <c r="B500" s="1149"/>
    </row>
    <row r="501" spans="1:2" ht="15" x14ac:dyDescent="0.25">
      <c r="A501" s="1149"/>
      <c r="B501" s="1149"/>
    </row>
    <row r="502" spans="1:2" ht="15" x14ac:dyDescent="0.25">
      <c r="A502" s="1149"/>
      <c r="B502" s="1149"/>
    </row>
    <row r="503" spans="1:2" ht="15" x14ac:dyDescent="0.25">
      <c r="A503" s="1149"/>
      <c r="B503" s="1149"/>
    </row>
    <row r="504" spans="1:2" ht="15" x14ac:dyDescent="0.25">
      <c r="A504" s="1149"/>
      <c r="B504" s="1149"/>
    </row>
    <row r="505" spans="1:2" ht="15" x14ac:dyDescent="0.25">
      <c r="A505" s="1149"/>
      <c r="B505" s="1149"/>
    </row>
    <row r="506" spans="1:2" ht="15" x14ac:dyDescent="0.25">
      <c r="A506" s="1149"/>
      <c r="B506" s="1149"/>
    </row>
    <row r="507" spans="1:2" ht="15" x14ac:dyDescent="0.25">
      <c r="A507" s="1149"/>
      <c r="B507" s="1149"/>
    </row>
    <row r="508" spans="1:2" ht="15" x14ac:dyDescent="0.25">
      <c r="A508" s="1149"/>
      <c r="B508" s="1149"/>
    </row>
    <row r="509" spans="1:2" ht="15" x14ac:dyDescent="0.25">
      <c r="A509" s="1149"/>
      <c r="B509" s="1149"/>
    </row>
    <row r="510" spans="1:2" ht="15" x14ac:dyDescent="0.25">
      <c r="A510" s="1149"/>
      <c r="B510" s="1149"/>
    </row>
    <row r="511" spans="1:2" ht="15" x14ac:dyDescent="0.25">
      <c r="A511" s="1149"/>
      <c r="B511" s="1149"/>
    </row>
    <row r="512" spans="1:2" ht="15" x14ac:dyDescent="0.25">
      <c r="A512" s="1149"/>
      <c r="B512" s="1149"/>
    </row>
    <row r="513" spans="1:2" ht="15" x14ac:dyDescent="0.25">
      <c r="A513" s="1149"/>
      <c r="B513" s="1149"/>
    </row>
    <row r="514" spans="1:2" ht="15" x14ac:dyDescent="0.25">
      <c r="A514" s="1149"/>
      <c r="B514" s="1149"/>
    </row>
    <row r="515" spans="1:2" ht="15" x14ac:dyDescent="0.25">
      <c r="A515" s="1149"/>
      <c r="B515" s="1149"/>
    </row>
    <row r="516" spans="1:2" ht="15" x14ac:dyDescent="0.25">
      <c r="A516" s="1149"/>
      <c r="B516" s="1149"/>
    </row>
    <row r="517" spans="1:2" ht="15" x14ac:dyDescent="0.25">
      <c r="A517" s="1149"/>
      <c r="B517" s="1149"/>
    </row>
    <row r="518" spans="1:2" ht="15" x14ac:dyDescent="0.25">
      <c r="A518" s="1149"/>
      <c r="B518" s="1149"/>
    </row>
    <row r="520" spans="1:2" ht="15" x14ac:dyDescent="0.25">
      <c r="A520" s="1149"/>
      <c r="B520" s="1149"/>
    </row>
  </sheetData>
  <mergeCells count="16">
    <mergeCell ref="M1:N1"/>
    <mergeCell ref="O1:O2"/>
    <mergeCell ref="M3:N3"/>
    <mergeCell ref="M4:N4"/>
    <mergeCell ref="G1:G2"/>
    <mergeCell ref="H1:H2"/>
    <mergeCell ref="I1:I2"/>
    <mergeCell ref="J1:J2"/>
    <mergeCell ref="K1:K2"/>
    <mergeCell ref="L1:L2"/>
    <mergeCell ref="F1:F2"/>
    <mergeCell ref="A1:A3"/>
    <mergeCell ref="B1:B2"/>
    <mergeCell ref="C1:C2"/>
    <mergeCell ref="D1:D2"/>
    <mergeCell ref="E1:E2"/>
  </mergeCells>
  <pageMargins left="0.11811023622047245" right="0.11811023622047245" top="0.74803149606299213" bottom="0.74803149606299213" header="0.31496062992125984" footer="0.31496062992125984"/>
  <pageSetup paperSize="9" scale="62" orientation="landscape" r:id="rId1"/>
  <headerFooter>
    <oddHeader>&amp;C&amp;"-,Félkövér"Költségvetési szervek 2016.évi bevételi előirányzata (eFt-ban)&amp;R&amp;"-,Normál"
&amp;"-,Dőlt"&amp;10 7.  melléklet
 a 3/2016.(II.12.) önkormányzati rendelethez&amp;X6</oddHeader>
    <oddFooter>&amp;L&amp;X6&amp;XMódosította a 6/2017.(II.24.) önkormányzati rendelet 4.§ (6) bekezdése, hatályos 2017. február 24. 12 órától&amp;C&amp;P.oldal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9"/>
  <sheetViews>
    <sheetView topLeftCell="C1" zoomScaleNormal="100" workbookViewId="0">
      <pane ySplit="6" topLeftCell="A437" activePane="bottomLeft" state="frozen"/>
      <selection activeCell="AH33" sqref="AH33"/>
      <selection pane="bottomLeft" activeCell="AH33" sqref="AH33"/>
    </sheetView>
  </sheetViews>
  <sheetFormatPr defaultRowHeight="15.75" x14ac:dyDescent="0.25"/>
  <cols>
    <col min="1" max="1" width="3.625" style="781" customWidth="1"/>
    <col min="2" max="2" width="36.75" style="781" customWidth="1"/>
    <col min="3" max="3" width="10.875" style="781" customWidth="1"/>
    <col min="4" max="4" width="15.625" style="781" customWidth="1"/>
    <col min="5" max="5" width="9.875" style="781" customWidth="1"/>
    <col min="6" max="6" width="11" style="781" customWidth="1"/>
    <col min="7" max="7" width="10.875" style="781" customWidth="1"/>
    <col min="8" max="8" width="13.375" style="781" customWidth="1"/>
    <col min="9" max="9" width="11.625" style="781" customWidth="1"/>
    <col min="10" max="10" width="11.5" style="781" customWidth="1"/>
    <col min="11" max="11" width="13.25" style="781" customWidth="1"/>
    <col min="12" max="12" width="13.125" style="781" customWidth="1"/>
    <col min="13" max="13" width="12.625" style="781" customWidth="1"/>
    <col min="14" max="14" width="12.875" style="781" customWidth="1"/>
    <col min="15" max="15" width="12.25" style="781" customWidth="1"/>
    <col min="16" max="16" width="10.5" style="781" customWidth="1"/>
    <col min="17" max="16384" width="9" style="781"/>
  </cols>
  <sheetData>
    <row r="1" spans="1:15" x14ac:dyDescent="0.25">
      <c r="A1" s="1265" t="s">
        <v>1165</v>
      </c>
      <c r="B1" s="1265"/>
      <c r="C1" s="1265"/>
      <c r="D1" s="1265"/>
      <c r="E1" s="1265"/>
      <c r="F1" s="1265"/>
      <c r="G1" s="1265"/>
      <c r="H1" s="1265"/>
      <c r="I1" s="1265"/>
      <c r="J1" s="1265"/>
      <c r="K1" s="1265"/>
      <c r="L1" s="1265"/>
      <c r="M1" s="1265"/>
      <c r="N1" s="1265"/>
      <c r="O1" s="1265"/>
    </row>
    <row r="3" spans="1:15" ht="16.5" thickBot="1" x14ac:dyDescent="0.3"/>
    <row r="4" spans="1:15" ht="58.5" thickTop="1" thickBot="1" x14ac:dyDescent="0.3">
      <c r="A4" s="782" t="s">
        <v>531</v>
      </c>
      <c r="B4" s="435" t="s">
        <v>1166</v>
      </c>
      <c r="C4" s="688" t="s">
        <v>95</v>
      </c>
      <c r="D4" s="436" t="s">
        <v>96</v>
      </c>
      <c r="E4" s="436" t="s">
        <v>147</v>
      </c>
      <c r="F4" s="687" t="s">
        <v>1167</v>
      </c>
      <c r="G4" s="436" t="s">
        <v>1168</v>
      </c>
      <c r="H4" s="436" t="s">
        <v>1075</v>
      </c>
      <c r="I4" s="783" t="s">
        <v>142</v>
      </c>
      <c r="J4" s="437" t="s">
        <v>151</v>
      </c>
      <c r="K4" s="687" t="s">
        <v>532</v>
      </c>
      <c r="L4" s="436" t="s">
        <v>1169</v>
      </c>
      <c r="M4" s="436" t="s">
        <v>533</v>
      </c>
      <c r="N4" s="436" t="s">
        <v>534</v>
      </c>
      <c r="O4" s="436" t="s">
        <v>535</v>
      </c>
    </row>
    <row r="5" spans="1:15" ht="17.25" thickTop="1" thickBot="1" x14ac:dyDescent="0.3">
      <c r="A5" s="782"/>
      <c r="B5" s="435"/>
      <c r="C5" s="688" t="s">
        <v>346</v>
      </c>
      <c r="D5" s="436" t="s">
        <v>347</v>
      </c>
      <c r="E5" s="436" t="s">
        <v>348</v>
      </c>
      <c r="F5" s="687" t="s">
        <v>349</v>
      </c>
      <c r="G5" s="436" t="s">
        <v>536</v>
      </c>
      <c r="H5" s="436" t="s">
        <v>1170</v>
      </c>
      <c r="I5" s="783" t="s">
        <v>350</v>
      </c>
      <c r="J5" s="437" t="s">
        <v>351</v>
      </c>
      <c r="K5" s="687" t="s">
        <v>352</v>
      </c>
      <c r="L5" s="436" t="s">
        <v>1171</v>
      </c>
      <c r="M5" s="436" t="s">
        <v>611</v>
      </c>
      <c r="N5" s="436" t="s">
        <v>448</v>
      </c>
      <c r="O5" s="436" t="s">
        <v>1172</v>
      </c>
    </row>
    <row r="6" spans="1:15" s="790" customFormat="1" ht="14.25" thickTop="1" thickBot="1" x14ac:dyDescent="0.25">
      <c r="A6" s="784" t="s">
        <v>253</v>
      </c>
      <c r="B6" s="785" t="s">
        <v>254</v>
      </c>
      <c r="C6" s="786" t="s">
        <v>255</v>
      </c>
      <c r="D6" s="786" t="s">
        <v>256</v>
      </c>
      <c r="E6" s="786" t="s">
        <v>257</v>
      </c>
      <c r="F6" s="787" t="s">
        <v>258</v>
      </c>
      <c r="G6" s="786" t="s">
        <v>537</v>
      </c>
      <c r="H6" s="788" t="s">
        <v>1173</v>
      </c>
      <c r="I6" s="789" t="s">
        <v>101</v>
      </c>
      <c r="J6" s="786" t="s">
        <v>102</v>
      </c>
      <c r="K6" s="787" t="s">
        <v>538</v>
      </c>
      <c r="L6" s="786" t="s">
        <v>539</v>
      </c>
      <c r="M6" s="786" t="s">
        <v>540</v>
      </c>
      <c r="N6" s="786" t="s">
        <v>106</v>
      </c>
      <c r="O6" s="786" t="s">
        <v>541</v>
      </c>
    </row>
    <row r="7" spans="1:15" ht="16.5" thickTop="1" x14ac:dyDescent="0.25">
      <c r="A7" s="791" t="s">
        <v>318</v>
      </c>
      <c r="B7" s="438" t="s">
        <v>542</v>
      </c>
      <c r="C7" s="439"/>
      <c r="D7" s="440"/>
      <c r="E7" s="440"/>
      <c r="F7" s="441"/>
      <c r="G7" s="440"/>
      <c r="H7" s="792"/>
      <c r="I7" s="793"/>
      <c r="J7" s="441"/>
      <c r="K7" s="441"/>
      <c r="L7" s="792"/>
      <c r="M7" s="794"/>
      <c r="N7" s="794"/>
      <c r="O7" s="794"/>
    </row>
    <row r="8" spans="1:15" x14ac:dyDescent="0.25">
      <c r="A8" s="791"/>
      <c r="B8" s="442" t="s">
        <v>1125</v>
      </c>
      <c r="C8" s="439">
        <v>391774</v>
      </c>
      <c r="D8" s="440">
        <v>111241</v>
      </c>
      <c r="E8" s="440">
        <v>194241</v>
      </c>
      <c r="F8" s="441"/>
      <c r="G8" s="440"/>
      <c r="H8" s="792">
        <f>SUM(C8:G8)</f>
        <v>697256</v>
      </c>
      <c r="I8" s="793">
        <v>13235</v>
      </c>
      <c r="J8" s="441"/>
      <c r="K8" s="441"/>
      <c r="L8" s="792">
        <f>SUM(I8:K8)</f>
        <v>13235</v>
      </c>
      <c r="M8" s="794">
        <f>SUM(H8+L8)</f>
        <v>710491</v>
      </c>
      <c r="N8" s="794"/>
      <c r="O8" s="794">
        <f>SUM(M8+N8)</f>
        <v>710491</v>
      </c>
    </row>
    <row r="9" spans="1:15" s="804" customFormat="1" x14ac:dyDescent="0.25">
      <c r="A9" s="795"/>
      <c r="B9" s="796" t="s">
        <v>1263</v>
      </c>
      <c r="C9" s="797">
        <v>301208</v>
      </c>
      <c r="D9" s="798">
        <v>85070</v>
      </c>
      <c r="E9" s="798">
        <v>161049</v>
      </c>
      <c r="F9" s="799"/>
      <c r="G9" s="798"/>
      <c r="H9" s="800">
        <f>SUM(C9:G9)</f>
        <v>547327</v>
      </c>
      <c r="I9" s="801">
        <v>13235</v>
      </c>
      <c r="J9" s="802"/>
      <c r="K9" s="802"/>
      <c r="L9" s="800">
        <f>SUM(I9:K9)</f>
        <v>13235</v>
      </c>
      <c r="M9" s="803">
        <f>SUM(H9+L9)</f>
        <v>560562</v>
      </c>
      <c r="N9" s="803"/>
      <c r="O9" s="803">
        <f>SUM(M9+N9)</f>
        <v>560562</v>
      </c>
    </row>
    <row r="10" spans="1:15" s="804" customFormat="1" x14ac:dyDescent="0.25">
      <c r="A10" s="795"/>
      <c r="B10" s="796" t="s">
        <v>1156</v>
      </c>
      <c r="C10" s="805">
        <v>90566</v>
      </c>
      <c r="D10" s="806">
        <v>26171</v>
      </c>
      <c r="E10" s="798">
        <v>33192</v>
      </c>
      <c r="F10" s="802"/>
      <c r="G10" s="806"/>
      <c r="H10" s="800">
        <f>SUM(C10:G10)</f>
        <v>149929</v>
      </c>
      <c r="I10" s="801"/>
      <c r="J10" s="802"/>
      <c r="K10" s="802"/>
      <c r="L10" s="800">
        <f>SUM(I10:K10)</f>
        <v>0</v>
      </c>
      <c r="M10" s="803">
        <f>SUM(H10+L10)</f>
        <v>149929</v>
      </c>
      <c r="N10" s="803"/>
      <c r="O10" s="803">
        <f>SUM(M10+N10)</f>
        <v>149929</v>
      </c>
    </row>
    <row r="11" spans="1:15" s="804" customFormat="1" x14ac:dyDescent="0.25">
      <c r="A11" s="795"/>
      <c r="B11" s="796" t="s">
        <v>243</v>
      </c>
      <c r="C11" s="797"/>
      <c r="D11" s="798"/>
      <c r="E11" s="798"/>
      <c r="F11" s="799"/>
      <c r="G11" s="798"/>
      <c r="H11" s="800"/>
      <c r="I11" s="801"/>
      <c r="J11" s="802"/>
      <c r="K11" s="802"/>
      <c r="L11" s="800"/>
      <c r="M11" s="803"/>
      <c r="N11" s="803"/>
      <c r="O11" s="803"/>
    </row>
    <row r="12" spans="1:15" s="821" customFormat="1" x14ac:dyDescent="0.25">
      <c r="A12" s="812"/>
      <c r="B12" s="813" t="s">
        <v>1426</v>
      </c>
      <c r="C12" s="814">
        <v>744</v>
      </c>
      <c r="D12" s="815">
        <v>201</v>
      </c>
      <c r="E12" s="815"/>
      <c r="F12" s="816"/>
      <c r="G12" s="815"/>
      <c r="H12" s="817">
        <f t="shared" ref="H12:H16" si="0">SUM(C12:G12)</f>
        <v>945</v>
      </c>
      <c r="I12" s="818"/>
      <c r="J12" s="819"/>
      <c r="K12" s="819"/>
      <c r="L12" s="817">
        <f t="shared" ref="L12:L16" si="1">SUM(I12:K12)</f>
        <v>0</v>
      </c>
      <c r="M12" s="820">
        <f t="shared" ref="M12:M16" si="2">SUM(H12+L12)</f>
        <v>945</v>
      </c>
      <c r="N12" s="820"/>
      <c r="O12" s="820">
        <f t="shared" ref="O12:O16" si="3">SUM(M12+N12)</f>
        <v>945</v>
      </c>
    </row>
    <row r="13" spans="1:15" s="804" customFormat="1" ht="31.5" x14ac:dyDescent="0.25">
      <c r="A13" s="795"/>
      <c r="B13" s="813" t="s">
        <v>1315</v>
      </c>
      <c r="C13" s="960">
        <v>5564</v>
      </c>
      <c r="D13" s="961">
        <v>3965</v>
      </c>
      <c r="E13" s="815">
        <v>-12251</v>
      </c>
      <c r="F13" s="802"/>
      <c r="G13" s="806"/>
      <c r="H13" s="817">
        <f t="shared" si="0"/>
        <v>-2722</v>
      </c>
      <c r="I13" s="818">
        <v>2722</v>
      </c>
      <c r="J13" s="819"/>
      <c r="K13" s="819"/>
      <c r="L13" s="817">
        <f t="shared" si="1"/>
        <v>2722</v>
      </c>
      <c r="M13" s="820">
        <f t="shared" si="2"/>
        <v>0</v>
      </c>
      <c r="N13" s="820"/>
      <c r="O13" s="820">
        <f t="shared" si="3"/>
        <v>0</v>
      </c>
    </row>
    <row r="14" spans="1:15" s="804" customFormat="1" ht="31.5" x14ac:dyDescent="0.25">
      <c r="A14" s="795"/>
      <c r="B14" s="813" t="s">
        <v>1262</v>
      </c>
      <c r="C14" s="960">
        <v>64188</v>
      </c>
      <c r="D14" s="961">
        <v>17332</v>
      </c>
      <c r="E14" s="815">
        <f>7892+1</f>
        <v>7893</v>
      </c>
      <c r="F14" s="802"/>
      <c r="G14" s="806"/>
      <c r="H14" s="817">
        <f t="shared" si="0"/>
        <v>89413</v>
      </c>
      <c r="I14" s="818"/>
      <c r="J14" s="819"/>
      <c r="K14" s="819"/>
      <c r="L14" s="817">
        <f t="shared" si="1"/>
        <v>0</v>
      </c>
      <c r="M14" s="820">
        <f t="shared" si="2"/>
        <v>89413</v>
      </c>
      <c r="N14" s="820"/>
      <c r="O14" s="820">
        <f t="shared" si="3"/>
        <v>89413</v>
      </c>
    </row>
    <row r="15" spans="1:15" s="804" customFormat="1" ht="30.75" customHeight="1" thickBot="1" x14ac:dyDescent="0.3">
      <c r="A15" s="795"/>
      <c r="B15" s="796" t="s">
        <v>244</v>
      </c>
      <c r="C15" s="797"/>
      <c r="D15" s="798"/>
      <c r="E15" s="798"/>
      <c r="F15" s="799"/>
      <c r="G15" s="798"/>
      <c r="H15" s="817"/>
      <c r="I15" s="818"/>
      <c r="J15" s="819"/>
      <c r="K15" s="819"/>
      <c r="L15" s="817"/>
      <c r="M15" s="820"/>
      <c r="N15" s="820"/>
      <c r="O15" s="820"/>
    </row>
    <row r="16" spans="1:15" s="804" customFormat="1" ht="16.5" hidden="1" thickBot="1" x14ac:dyDescent="0.3">
      <c r="A16" s="795"/>
      <c r="B16" s="813" t="s">
        <v>1427</v>
      </c>
      <c r="C16" s="960">
        <v>1779</v>
      </c>
      <c r="D16" s="961">
        <v>614</v>
      </c>
      <c r="E16" s="815"/>
      <c r="F16" s="802"/>
      <c r="G16" s="806"/>
      <c r="H16" s="817">
        <f t="shared" si="0"/>
        <v>2393</v>
      </c>
      <c r="I16" s="818"/>
      <c r="J16" s="819"/>
      <c r="K16" s="819"/>
      <c r="L16" s="817">
        <f t="shared" si="1"/>
        <v>0</v>
      </c>
      <c r="M16" s="820">
        <f t="shared" si="2"/>
        <v>2393</v>
      </c>
      <c r="N16" s="820"/>
      <c r="O16" s="820">
        <f t="shared" si="3"/>
        <v>2393</v>
      </c>
    </row>
    <row r="17" spans="1:16" s="804" customFormat="1" ht="17.25" thickTop="1" thickBot="1" x14ac:dyDescent="0.3">
      <c r="A17" s="807"/>
      <c r="B17" s="444" t="s">
        <v>1157</v>
      </c>
      <c r="C17" s="445">
        <f>+C8+C12+C13+C14+C16</f>
        <v>464049</v>
      </c>
      <c r="D17" s="445">
        <f t="shared" ref="D17:O17" si="4">+D8+D12+D13+D14+D16</f>
        <v>133353</v>
      </c>
      <c r="E17" s="445">
        <f t="shared" si="4"/>
        <v>189883</v>
      </c>
      <c r="F17" s="445">
        <f t="shared" si="4"/>
        <v>0</v>
      </c>
      <c r="G17" s="445">
        <f t="shared" si="4"/>
        <v>0</v>
      </c>
      <c r="H17" s="445">
        <f t="shared" si="4"/>
        <v>787285</v>
      </c>
      <c r="I17" s="445">
        <f t="shared" si="4"/>
        <v>15957</v>
      </c>
      <c r="J17" s="445">
        <f t="shared" si="4"/>
        <v>0</v>
      </c>
      <c r="K17" s="445">
        <f t="shared" si="4"/>
        <v>0</v>
      </c>
      <c r="L17" s="445">
        <f t="shared" si="4"/>
        <v>15957</v>
      </c>
      <c r="M17" s="445">
        <f t="shared" si="4"/>
        <v>803242</v>
      </c>
      <c r="N17" s="445">
        <f t="shared" si="4"/>
        <v>0</v>
      </c>
      <c r="O17" s="445">
        <f t="shared" si="4"/>
        <v>803242</v>
      </c>
    </row>
    <row r="18" spans="1:16" ht="17.25" thickTop="1" thickBot="1" x14ac:dyDescent="0.3">
      <c r="A18" s="807"/>
      <c r="B18" s="444" t="s">
        <v>1158</v>
      </c>
      <c r="C18" s="445">
        <f t="shared" ref="C18:O18" si="5">+C9+C12+C13+C14</f>
        <v>371704</v>
      </c>
      <c r="D18" s="445">
        <f t="shared" si="5"/>
        <v>106568</v>
      </c>
      <c r="E18" s="445">
        <f t="shared" si="5"/>
        <v>156691</v>
      </c>
      <c r="F18" s="445">
        <f t="shared" si="5"/>
        <v>0</v>
      </c>
      <c r="G18" s="445">
        <f t="shared" si="5"/>
        <v>0</v>
      </c>
      <c r="H18" s="445">
        <f t="shared" si="5"/>
        <v>634963</v>
      </c>
      <c r="I18" s="445">
        <f t="shared" si="5"/>
        <v>15957</v>
      </c>
      <c r="J18" s="445">
        <f t="shared" si="5"/>
        <v>0</v>
      </c>
      <c r="K18" s="445">
        <f t="shared" si="5"/>
        <v>0</v>
      </c>
      <c r="L18" s="445">
        <f t="shared" si="5"/>
        <v>15957</v>
      </c>
      <c r="M18" s="445">
        <f t="shared" si="5"/>
        <v>650920</v>
      </c>
      <c r="N18" s="445">
        <f t="shared" si="5"/>
        <v>0</v>
      </c>
      <c r="O18" s="445">
        <f t="shared" si="5"/>
        <v>650920</v>
      </c>
    </row>
    <row r="19" spans="1:16" ht="17.25" thickTop="1" thickBot="1" x14ac:dyDescent="0.3">
      <c r="A19" s="807"/>
      <c r="B19" s="444" t="s">
        <v>1159</v>
      </c>
      <c r="C19" s="445">
        <f>+C10+C16</f>
        <v>92345</v>
      </c>
      <c r="D19" s="445">
        <f t="shared" ref="D19:O19" si="6">+D10+D16</f>
        <v>26785</v>
      </c>
      <c r="E19" s="445">
        <f t="shared" si="6"/>
        <v>33192</v>
      </c>
      <c r="F19" s="445">
        <f t="shared" si="6"/>
        <v>0</v>
      </c>
      <c r="G19" s="445">
        <f t="shared" si="6"/>
        <v>0</v>
      </c>
      <c r="H19" s="445">
        <f t="shared" si="6"/>
        <v>152322</v>
      </c>
      <c r="I19" s="445">
        <f t="shared" si="6"/>
        <v>0</v>
      </c>
      <c r="J19" s="445">
        <f t="shared" si="6"/>
        <v>0</v>
      </c>
      <c r="K19" s="445">
        <f t="shared" si="6"/>
        <v>0</v>
      </c>
      <c r="L19" s="445">
        <f t="shared" si="6"/>
        <v>0</v>
      </c>
      <c r="M19" s="445">
        <f t="shared" si="6"/>
        <v>152322</v>
      </c>
      <c r="N19" s="445">
        <f t="shared" si="6"/>
        <v>0</v>
      </c>
      <c r="O19" s="445">
        <f t="shared" si="6"/>
        <v>152322</v>
      </c>
    </row>
    <row r="20" spans="1:16" ht="32.25" thickTop="1" x14ac:dyDescent="0.25">
      <c r="A20" s="791" t="s">
        <v>319</v>
      </c>
      <c r="B20" s="438" t="s">
        <v>543</v>
      </c>
      <c r="C20" s="439"/>
      <c r="D20" s="440"/>
      <c r="E20" s="440"/>
      <c r="F20" s="441"/>
      <c r="G20" s="440"/>
      <c r="H20" s="792"/>
      <c r="I20" s="793"/>
      <c r="J20" s="441"/>
      <c r="K20" s="441"/>
      <c r="L20" s="792"/>
      <c r="M20" s="794"/>
      <c r="N20" s="794"/>
      <c r="O20" s="794"/>
      <c r="P20" s="780"/>
    </row>
    <row r="21" spans="1:16" x14ac:dyDescent="0.25">
      <c r="A21" s="791"/>
      <c r="B21" s="442" t="s">
        <v>1125</v>
      </c>
      <c r="C21" s="439">
        <v>69810</v>
      </c>
      <c r="D21" s="440">
        <v>18514</v>
      </c>
      <c r="E21" s="440">
        <v>22378</v>
      </c>
      <c r="F21" s="441"/>
      <c r="G21" s="440"/>
      <c r="H21" s="792">
        <f>SUM(C21:G21)</f>
        <v>110702</v>
      </c>
      <c r="I21" s="793">
        <v>339</v>
      </c>
      <c r="J21" s="441"/>
      <c r="K21" s="441"/>
      <c r="L21" s="792">
        <f>SUM(I21:K21)</f>
        <v>339</v>
      </c>
      <c r="M21" s="794">
        <f>SUM(H21+L21)</f>
        <v>111041</v>
      </c>
      <c r="N21" s="794"/>
      <c r="O21" s="794">
        <f>SUM(M21+N21)</f>
        <v>111041</v>
      </c>
    </row>
    <row r="22" spans="1:16" x14ac:dyDescent="0.25">
      <c r="A22" s="795"/>
      <c r="B22" s="796" t="s">
        <v>1263</v>
      </c>
      <c r="C22" s="797">
        <v>34890</v>
      </c>
      <c r="D22" s="798">
        <v>9242</v>
      </c>
      <c r="E22" s="798">
        <v>8708</v>
      </c>
      <c r="F22" s="799"/>
      <c r="G22" s="798"/>
      <c r="H22" s="800">
        <f>SUM(C22:G22)</f>
        <v>52840</v>
      </c>
      <c r="I22" s="808">
        <v>339</v>
      </c>
      <c r="J22" s="799"/>
      <c r="K22" s="799"/>
      <c r="L22" s="800">
        <f>SUM(I22:K22)</f>
        <v>339</v>
      </c>
      <c r="M22" s="803">
        <f>SUM(H22+L22)</f>
        <v>53179</v>
      </c>
      <c r="N22" s="803"/>
      <c r="O22" s="803">
        <f>SUM(M22+N22)</f>
        <v>53179</v>
      </c>
    </row>
    <row r="23" spans="1:16" s="804" customFormat="1" x14ac:dyDescent="0.25">
      <c r="A23" s="795"/>
      <c r="B23" s="796" t="s">
        <v>1156</v>
      </c>
      <c r="C23" s="797">
        <v>34920</v>
      </c>
      <c r="D23" s="798">
        <v>9272</v>
      </c>
      <c r="E23" s="798">
        <v>13670</v>
      </c>
      <c r="F23" s="799"/>
      <c r="G23" s="798"/>
      <c r="H23" s="800">
        <f>SUM(C23:G23)</f>
        <v>57862</v>
      </c>
      <c r="I23" s="808"/>
      <c r="J23" s="799"/>
      <c r="K23" s="799"/>
      <c r="L23" s="800">
        <f>SUM(I23:K23)</f>
        <v>0</v>
      </c>
      <c r="M23" s="803">
        <f>SUM(H23+L23)</f>
        <v>57862</v>
      </c>
      <c r="N23" s="803"/>
      <c r="O23" s="803">
        <f>SUM(M23+N23)</f>
        <v>57862</v>
      </c>
    </row>
    <row r="24" spans="1:16" s="804" customFormat="1" x14ac:dyDescent="0.25">
      <c r="A24" s="795"/>
      <c r="B24" s="796" t="s">
        <v>243</v>
      </c>
      <c r="C24" s="797"/>
      <c r="D24" s="798"/>
      <c r="E24" s="798"/>
      <c r="F24" s="799"/>
      <c r="G24" s="798"/>
      <c r="H24" s="800"/>
      <c r="I24" s="808"/>
      <c r="J24" s="799"/>
      <c r="K24" s="799"/>
      <c r="L24" s="800"/>
      <c r="M24" s="803"/>
      <c r="N24" s="803"/>
      <c r="O24" s="803"/>
    </row>
    <row r="25" spans="1:16" s="804" customFormat="1" x14ac:dyDescent="0.25">
      <c r="A25" s="812"/>
      <c r="B25" s="813" t="s">
        <v>1426</v>
      </c>
      <c r="C25" s="814">
        <v>124</v>
      </c>
      <c r="D25" s="815">
        <v>33</v>
      </c>
      <c r="E25" s="815"/>
      <c r="F25" s="816"/>
      <c r="G25" s="815"/>
      <c r="H25" s="817">
        <f t="shared" ref="H25:H31" si="7">SUM(C25:G25)</f>
        <v>157</v>
      </c>
      <c r="I25" s="853"/>
      <c r="J25" s="816"/>
      <c r="K25" s="816"/>
      <c r="L25" s="817">
        <f t="shared" ref="L25:L31" si="8">SUM(I25:K25)</f>
        <v>0</v>
      </c>
      <c r="M25" s="820">
        <f t="shared" ref="M25:M31" si="9">SUM(H25+L25)</f>
        <v>157</v>
      </c>
      <c r="N25" s="820"/>
      <c r="O25" s="820">
        <f t="shared" ref="O25:O31" si="10">SUM(M25+N25)</f>
        <v>157</v>
      </c>
    </row>
    <row r="26" spans="1:16" s="821" customFormat="1" ht="31.5" x14ac:dyDescent="0.25">
      <c r="A26" s="795"/>
      <c r="B26" s="813" t="s">
        <v>1428</v>
      </c>
      <c r="C26" s="814">
        <v>383</v>
      </c>
      <c r="D26" s="815">
        <v>104</v>
      </c>
      <c r="E26" s="798"/>
      <c r="F26" s="799"/>
      <c r="G26" s="798"/>
      <c r="H26" s="817">
        <f t="shared" si="7"/>
        <v>487</v>
      </c>
      <c r="I26" s="853"/>
      <c r="J26" s="816"/>
      <c r="K26" s="816"/>
      <c r="L26" s="817">
        <f t="shared" si="8"/>
        <v>0</v>
      </c>
      <c r="M26" s="820">
        <f t="shared" si="9"/>
        <v>487</v>
      </c>
      <c r="N26" s="820"/>
      <c r="O26" s="820">
        <f t="shared" si="10"/>
        <v>487</v>
      </c>
    </row>
    <row r="27" spans="1:16" s="804" customFormat="1" ht="31.5" x14ac:dyDescent="0.25">
      <c r="A27" s="795"/>
      <c r="B27" s="813" t="s">
        <v>1429</v>
      </c>
      <c r="C27" s="814">
        <v>-29</v>
      </c>
      <c r="D27" s="815">
        <v>-8</v>
      </c>
      <c r="E27" s="798"/>
      <c r="F27" s="799"/>
      <c r="G27" s="798"/>
      <c r="H27" s="817">
        <f t="shared" si="7"/>
        <v>-37</v>
      </c>
      <c r="I27" s="853"/>
      <c r="J27" s="816"/>
      <c r="K27" s="816"/>
      <c r="L27" s="817">
        <f t="shared" si="8"/>
        <v>0</v>
      </c>
      <c r="M27" s="820">
        <f t="shared" si="9"/>
        <v>-37</v>
      </c>
      <c r="N27" s="820"/>
      <c r="O27" s="820">
        <f t="shared" si="10"/>
        <v>-37</v>
      </c>
    </row>
    <row r="28" spans="1:16" s="804" customFormat="1" ht="31.5" x14ac:dyDescent="0.25">
      <c r="A28" s="795"/>
      <c r="B28" s="813" t="s">
        <v>1315</v>
      </c>
      <c r="C28" s="814"/>
      <c r="D28" s="815"/>
      <c r="E28" s="815">
        <v>-212</v>
      </c>
      <c r="F28" s="799"/>
      <c r="G28" s="798"/>
      <c r="H28" s="817">
        <f t="shared" si="7"/>
        <v>-212</v>
      </c>
      <c r="I28" s="853">
        <v>212</v>
      </c>
      <c r="J28" s="816"/>
      <c r="K28" s="816"/>
      <c r="L28" s="817">
        <f t="shared" si="8"/>
        <v>212</v>
      </c>
      <c r="M28" s="820">
        <f t="shared" si="9"/>
        <v>0</v>
      </c>
      <c r="N28" s="820"/>
      <c r="O28" s="820">
        <f t="shared" si="10"/>
        <v>0</v>
      </c>
    </row>
    <row r="29" spans="1:16" s="804" customFormat="1" ht="31.5" x14ac:dyDescent="0.25">
      <c r="A29" s="795"/>
      <c r="B29" s="813" t="s">
        <v>1262</v>
      </c>
      <c r="C29" s="814"/>
      <c r="D29" s="815"/>
      <c r="E29" s="815">
        <f>115+3035</f>
        <v>3150</v>
      </c>
      <c r="F29" s="799"/>
      <c r="G29" s="798"/>
      <c r="H29" s="817">
        <f t="shared" si="7"/>
        <v>3150</v>
      </c>
      <c r="I29" s="853"/>
      <c r="J29" s="816"/>
      <c r="K29" s="816"/>
      <c r="L29" s="817">
        <f t="shared" si="8"/>
        <v>0</v>
      </c>
      <c r="M29" s="820">
        <f t="shared" si="9"/>
        <v>3150</v>
      </c>
      <c r="N29" s="820"/>
      <c r="O29" s="820">
        <f t="shared" si="10"/>
        <v>3150</v>
      </c>
    </row>
    <row r="30" spans="1:16" s="804" customFormat="1" x14ac:dyDescent="0.25">
      <c r="A30" s="795"/>
      <c r="B30" s="796" t="s">
        <v>244</v>
      </c>
      <c r="C30" s="797"/>
      <c r="D30" s="798"/>
      <c r="E30" s="798"/>
      <c r="F30" s="799"/>
      <c r="G30" s="798"/>
      <c r="H30" s="817"/>
      <c r="I30" s="853"/>
      <c r="J30" s="816"/>
      <c r="K30" s="816"/>
      <c r="L30" s="817"/>
      <c r="M30" s="820"/>
      <c r="N30" s="820"/>
      <c r="O30" s="820"/>
    </row>
    <row r="31" spans="1:16" s="804" customFormat="1" ht="16.5" thickBot="1" x14ac:dyDescent="0.3">
      <c r="A31" s="795"/>
      <c r="B31" s="813" t="s">
        <v>1427</v>
      </c>
      <c r="C31" s="814">
        <v>369</v>
      </c>
      <c r="D31" s="815">
        <v>127</v>
      </c>
      <c r="E31" s="815"/>
      <c r="F31" s="799"/>
      <c r="G31" s="798"/>
      <c r="H31" s="817">
        <f t="shared" si="7"/>
        <v>496</v>
      </c>
      <c r="I31" s="853"/>
      <c r="J31" s="816"/>
      <c r="K31" s="816"/>
      <c r="L31" s="817">
        <f t="shared" si="8"/>
        <v>0</v>
      </c>
      <c r="M31" s="820">
        <f t="shared" si="9"/>
        <v>496</v>
      </c>
      <c r="N31" s="820"/>
      <c r="O31" s="820">
        <f t="shared" si="10"/>
        <v>496</v>
      </c>
    </row>
    <row r="32" spans="1:16" s="804" customFormat="1" ht="17.25" thickTop="1" thickBot="1" x14ac:dyDescent="0.3">
      <c r="A32" s="807"/>
      <c r="B32" s="444" t="s">
        <v>1157</v>
      </c>
      <c r="C32" s="445">
        <f>+C21+C25+C26+C27+C31+C28+C29</f>
        <v>70657</v>
      </c>
      <c r="D32" s="445">
        <f t="shared" ref="D32:O32" si="11">+D21+D25+D26+D27+D31+D28+D29</f>
        <v>18770</v>
      </c>
      <c r="E32" s="445">
        <f t="shared" si="11"/>
        <v>25316</v>
      </c>
      <c r="F32" s="445">
        <f t="shared" si="11"/>
        <v>0</v>
      </c>
      <c r="G32" s="445">
        <f t="shared" si="11"/>
        <v>0</v>
      </c>
      <c r="H32" s="445">
        <f t="shared" si="11"/>
        <v>114743</v>
      </c>
      <c r="I32" s="445">
        <f t="shared" si="11"/>
        <v>551</v>
      </c>
      <c r="J32" s="445">
        <f t="shared" si="11"/>
        <v>0</v>
      </c>
      <c r="K32" s="445">
        <f t="shared" si="11"/>
        <v>0</v>
      </c>
      <c r="L32" s="445">
        <f t="shared" si="11"/>
        <v>551</v>
      </c>
      <c r="M32" s="445">
        <f t="shared" si="11"/>
        <v>115294</v>
      </c>
      <c r="N32" s="445">
        <f t="shared" si="11"/>
        <v>0</v>
      </c>
      <c r="O32" s="445">
        <f t="shared" si="11"/>
        <v>115294</v>
      </c>
    </row>
    <row r="33" spans="1:16" ht="17.25" thickTop="1" thickBot="1" x14ac:dyDescent="0.3">
      <c r="A33" s="807"/>
      <c r="B33" s="444" t="s">
        <v>1158</v>
      </c>
      <c r="C33" s="445">
        <f t="shared" ref="C33:O33" si="12">+C22+C25+C26+C27+C28+C29</f>
        <v>35368</v>
      </c>
      <c r="D33" s="445">
        <f t="shared" si="12"/>
        <v>9371</v>
      </c>
      <c r="E33" s="445">
        <f t="shared" si="12"/>
        <v>11646</v>
      </c>
      <c r="F33" s="445">
        <f t="shared" si="12"/>
        <v>0</v>
      </c>
      <c r="G33" s="445">
        <f t="shared" si="12"/>
        <v>0</v>
      </c>
      <c r="H33" s="445">
        <f t="shared" si="12"/>
        <v>56385</v>
      </c>
      <c r="I33" s="445">
        <f t="shared" si="12"/>
        <v>551</v>
      </c>
      <c r="J33" s="445">
        <f t="shared" si="12"/>
        <v>0</v>
      </c>
      <c r="K33" s="445">
        <f t="shared" si="12"/>
        <v>0</v>
      </c>
      <c r="L33" s="445">
        <f t="shared" si="12"/>
        <v>551</v>
      </c>
      <c r="M33" s="445">
        <f t="shared" si="12"/>
        <v>56936</v>
      </c>
      <c r="N33" s="445">
        <f t="shared" si="12"/>
        <v>0</v>
      </c>
      <c r="O33" s="445">
        <f t="shared" si="12"/>
        <v>56936</v>
      </c>
    </row>
    <row r="34" spans="1:16" ht="17.25" thickTop="1" thickBot="1" x14ac:dyDescent="0.3">
      <c r="A34" s="807"/>
      <c r="B34" s="444" t="s">
        <v>1159</v>
      </c>
      <c r="C34" s="445">
        <f>+C23+C31</f>
        <v>35289</v>
      </c>
      <c r="D34" s="445">
        <f t="shared" ref="D34:O34" si="13">+D23+D31</f>
        <v>9399</v>
      </c>
      <c r="E34" s="445">
        <f t="shared" si="13"/>
        <v>13670</v>
      </c>
      <c r="F34" s="445">
        <f t="shared" si="13"/>
        <v>0</v>
      </c>
      <c r="G34" s="445">
        <f t="shared" si="13"/>
        <v>0</v>
      </c>
      <c r="H34" s="445">
        <f t="shared" si="13"/>
        <v>58358</v>
      </c>
      <c r="I34" s="445">
        <f t="shared" si="13"/>
        <v>0</v>
      </c>
      <c r="J34" s="445">
        <f t="shared" si="13"/>
        <v>0</v>
      </c>
      <c r="K34" s="445">
        <f t="shared" si="13"/>
        <v>0</v>
      </c>
      <c r="L34" s="445">
        <f t="shared" si="13"/>
        <v>0</v>
      </c>
      <c r="M34" s="445">
        <f t="shared" si="13"/>
        <v>58358</v>
      </c>
      <c r="N34" s="445">
        <f t="shared" si="13"/>
        <v>0</v>
      </c>
      <c r="O34" s="445">
        <f t="shared" si="13"/>
        <v>58358</v>
      </c>
    </row>
    <row r="35" spans="1:16" ht="17.25" thickTop="1" thickBot="1" x14ac:dyDescent="0.3">
      <c r="A35" s="807"/>
      <c r="B35" s="444" t="s">
        <v>544</v>
      </c>
      <c r="C35" s="445">
        <f t="shared" ref="C35:O35" si="14">SUM(C17+C32)</f>
        <v>534706</v>
      </c>
      <c r="D35" s="445">
        <f t="shared" si="14"/>
        <v>152123</v>
      </c>
      <c r="E35" s="445">
        <f t="shared" si="14"/>
        <v>215199</v>
      </c>
      <c r="F35" s="445">
        <f t="shared" si="14"/>
        <v>0</v>
      </c>
      <c r="G35" s="445">
        <f t="shared" si="14"/>
        <v>0</v>
      </c>
      <c r="H35" s="445">
        <f t="shared" si="14"/>
        <v>902028</v>
      </c>
      <c r="I35" s="445">
        <f t="shared" si="14"/>
        <v>16508</v>
      </c>
      <c r="J35" s="445">
        <f t="shared" si="14"/>
        <v>0</v>
      </c>
      <c r="K35" s="445">
        <f t="shared" si="14"/>
        <v>0</v>
      </c>
      <c r="L35" s="445">
        <f t="shared" si="14"/>
        <v>16508</v>
      </c>
      <c r="M35" s="445">
        <f t="shared" si="14"/>
        <v>918536</v>
      </c>
      <c r="N35" s="445">
        <f t="shared" si="14"/>
        <v>0</v>
      </c>
      <c r="O35" s="445">
        <f t="shared" si="14"/>
        <v>918536</v>
      </c>
      <c r="P35" s="780"/>
    </row>
    <row r="36" spans="1:16" ht="16.5" thickTop="1" x14ac:dyDescent="0.25">
      <c r="A36" s="791" t="s">
        <v>323</v>
      </c>
      <c r="B36" s="446" t="s">
        <v>545</v>
      </c>
      <c r="C36" s="447"/>
      <c r="D36" s="448"/>
      <c r="E36" s="440"/>
      <c r="F36" s="440"/>
      <c r="G36" s="448"/>
      <c r="H36" s="792"/>
      <c r="I36" s="809"/>
      <c r="J36" s="449"/>
      <c r="K36" s="449"/>
      <c r="L36" s="792"/>
      <c r="M36" s="810"/>
      <c r="N36" s="810"/>
      <c r="O36" s="810"/>
    </row>
    <row r="37" spans="1:16" x14ac:dyDescent="0.25">
      <c r="A37" s="791"/>
      <c r="B37" s="442" t="s">
        <v>1125</v>
      </c>
      <c r="C37" s="447">
        <v>49081</v>
      </c>
      <c r="D37" s="448">
        <v>13245</v>
      </c>
      <c r="E37" s="440">
        <v>16472</v>
      </c>
      <c r="F37" s="448"/>
      <c r="G37" s="440"/>
      <c r="H37" s="792">
        <f>SUM(C37:G37)</f>
        <v>78798</v>
      </c>
      <c r="I37" s="793">
        <v>418</v>
      </c>
      <c r="J37" s="441"/>
      <c r="K37" s="441"/>
      <c r="L37" s="792">
        <f>SUM(I37:K37)</f>
        <v>418</v>
      </c>
      <c r="M37" s="794">
        <f>SUM(H37+L37)</f>
        <v>79216</v>
      </c>
      <c r="N37" s="794"/>
      <c r="O37" s="810">
        <f>SUM(M37+N37)</f>
        <v>79216</v>
      </c>
    </row>
    <row r="38" spans="1:16" x14ac:dyDescent="0.25">
      <c r="A38" s="830"/>
      <c r="B38" s="831" t="s">
        <v>1263</v>
      </c>
      <c r="C38" s="797">
        <v>47217</v>
      </c>
      <c r="D38" s="798">
        <v>12577</v>
      </c>
      <c r="E38" s="798">
        <v>16292</v>
      </c>
      <c r="F38" s="799"/>
      <c r="G38" s="798"/>
      <c r="H38" s="792">
        <f>SUM(C38:G38)</f>
        <v>76086</v>
      </c>
      <c r="I38" s="793">
        <v>418</v>
      </c>
      <c r="J38" s="441"/>
      <c r="K38" s="441"/>
      <c r="L38" s="792">
        <f>SUM(I38:K38)</f>
        <v>418</v>
      </c>
      <c r="M38" s="792">
        <f>SUM(H38+L38)</f>
        <v>76504</v>
      </c>
      <c r="N38" s="792"/>
      <c r="O38" s="792">
        <f>SUM(M38+N38)</f>
        <v>76504</v>
      </c>
    </row>
    <row r="39" spans="1:16" s="804" customFormat="1" x14ac:dyDescent="0.25">
      <c r="A39" s="829"/>
      <c r="B39" s="831" t="s">
        <v>1156</v>
      </c>
      <c r="C39" s="439">
        <v>1864</v>
      </c>
      <c r="D39" s="440">
        <v>668</v>
      </c>
      <c r="E39" s="440">
        <v>180</v>
      </c>
      <c r="F39" s="441"/>
      <c r="G39" s="440"/>
      <c r="H39" s="792">
        <f>SUM(C39:G39)</f>
        <v>2712</v>
      </c>
      <c r="I39" s="793"/>
      <c r="J39" s="441"/>
      <c r="K39" s="441"/>
      <c r="L39" s="792">
        <f>SUM(I39:K39)</f>
        <v>0</v>
      </c>
      <c r="M39" s="792">
        <f>SUM(H39+L39)</f>
        <v>2712</v>
      </c>
      <c r="N39" s="792"/>
      <c r="O39" s="792">
        <f>SUM(M39+N39)</f>
        <v>2712</v>
      </c>
      <c r="P39" s="781"/>
    </row>
    <row r="40" spans="1:16" x14ac:dyDescent="0.25">
      <c r="A40" s="795"/>
      <c r="B40" s="796" t="s">
        <v>243</v>
      </c>
      <c r="C40" s="797"/>
      <c r="D40" s="798"/>
      <c r="E40" s="798"/>
      <c r="F40" s="799"/>
      <c r="G40" s="798"/>
      <c r="H40" s="792"/>
      <c r="I40" s="793"/>
      <c r="J40" s="441"/>
      <c r="K40" s="441"/>
      <c r="L40" s="792"/>
      <c r="M40" s="794"/>
      <c r="N40" s="794"/>
      <c r="O40" s="810"/>
      <c r="P40" s="804"/>
    </row>
    <row r="41" spans="1:16" s="804" customFormat="1" x14ac:dyDescent="0.25">
      <c r="A41" s="791"/>
      <c r="B41" s="813" t="s">
        <v>1426</v>
      </c>
      <c r="C41" s="439">
        <v>48</v>
      </c>
      <c r="D41" s="440">
        <v>13</v>
      </c>
      <c r="E41" s="440"/>
      <c r="F41" s="441"/>
      <c r="G41" s="440"/>
      <c r="H41" s="792">
        <f t="shared" ref="H41:H49" si="15">SUM(C41:G41)</f>
        <v>61</v>
      </c>
      <c r="I41" s="793"/>
      <c r="J41" s="441"/>
      <c r="K41" s="441"/>
      <c r="L41" s="792">
        <f t="shared" ref="L41:L49" si="16">SUM(I41:K41)</f>
        <v>0</v>
      </c>
      <c r="M41" s="794">
        <f t="shared" ref="M41:M49" si="17">SUM(H41+L41)</f>
        <v>61</v>
      </c>
      <c r="N41" s="794"/>
      <c r="O41" s="810">
        <f t="shared" ref="O41:O49" si="18">SUM(M41+N41)</f>
        <v>61</v>
      </c>
      <c r="P41" s="781"/>
    </row>
    <row r="42" spans="1:16" ht="31.5" x14ac:dyDescent="0.25">
      <c r="A42" s="795"/>
      <c r="B42" s="813" t="s">
        <v>1428</v>
      </c>
      <c r="C42" s="814">
        <v>182</v>
      </c>
      <c r="D42" s="815">
        <v>49</v>
      </c>
      <c r="E42" s="815"/>
      <c r="F42" s="799"/>
      <c r="G42" s="798"/>
      <c r="H42" s="792">
        <f t="shared" si="15"/>
        <v>231</v>
      </c>
      <c r="I42" s="793"/>
      <c r="J42" s="441"/>
      <c r="K42" s="441"/>
      <c r="L42" s="792">
        <f t="shared" si="16"/>
        <v>0</v>
      </c>
      <c r="M42" s="794">
        <f t="shared" si="17"/>
        <v>231</v>
      </c>
      <c r="N42" s="794"/>
      <c r="O42" s="810">
        <f t="shared" si="18"/>
        <v>231</v>
      </c>
      <c r="P42" s="804"/>
    </row>
    <row r="43" spans="1:16" s="804" customFormat="1" ht="31.5" x14ac:dyDescent="0.25">
      <c r="A43" s="795"/>
      <c r="B43" s="813" t="s">
        <v>1429</v>
      </c>
      <c r="C43" s="814">
        <v>21</v>
      </c>
      <c r="D43" s="815">
        <v>5</v>
      </c>
      <c r="E43" s="815"/>
      <c r="F43" s="799"/>
      <c r="G43" s="798"/>
      <c r="H43" s="792">
        <f t="shared" si="15"/>
        <v>26</v>
      </c>
      <c r="I43" s="793"/>
      <c r="J43" s="441"/>
      <c r="K43" s="441"/>
      <c r="L43" s="792">
        <f t="shared" si="16"/>
        <v>0</v>
      </c>
      <c r="M43" s="794">
        <f t="shared" si="17"/>
        <v>26</v>
      </c>
      <c r="N43" s="794"/>
      <c r="O43" s="810">
        <f t="shared" si="18"/>
        <v>26</v>
      </c>
      <c r="P43" s="781"/>
    </row>
    <row r="44" spans="1:16" s="804" customFormat="1" ht="78.75" x14ac:dyDescent="0.25">
      <c r="A44" s="795"/>
      <c r="B44" s="813" t="s">
        <v>1430</v>
      </c>
      <c r="C44" s="814">
        <v>1505</v>
      </c>
      <c r="D44" s="815">
        <v>407</v>
      </c>
      <c r="E44" s="815"/>
      <c r="F44" s="799"/>
      <c r="G44" s="798"/>
      <c r="H44" s="792">
        <f t="shared" si="15"/>
        <v>1912</v>
      </c>
      <c r="I44" s="793"/>
      <c r="J44" s="441"/>
      <c r="K44" s="441"/>
      <c r="L44" s="792">
        <f t="shared" si="16"/>
        <v>0</v>
      </c>
      <c r="M44" s="794">
        <f t="shared" si="17"/>
        <v>1912</v>
      </c>
      <c r="N44" s="794"/>
      <c r="O44" s="810">
        <f t="shared" si="18"/>
        <v>1912</v>
      </c>
    </row>
    <row r="45" spans="1:16" s="804" customFormat="1" ht="31.5" x14ac:dyDescent="0.25">
      <c r="A45" s="795"/>
      <c r="B45" s="813" t="s">
        <v>1209</v>
      </c>
      <c r="C45" s="814">
        <v>531</v>
      </c>
      <c r="D45" s="815">
        <v>144</v>
      </c>
      <c r="E45" s="815"/>
      <c r="F45" s="799"/>
      <c r="G45" s="798"/>
      <c r="H45" s="792">
        <f t="shared" si="15"/>
        <v>675</v>
      </c>
      <c r="I45" s="793"/>
      <c r="J45" s="441"/>
      <c r="K45" s="441"/>
      <c r="L45" s="792">
        <f t="shared" si="16"/>
        <v>0</v>
      </c>
      <c r="M45" s="794">
        <f t="shared" si="17"/>
        <v>675</v>
      </c>
      <c r="N45" s="794"/>
      <c r="O45" s="810">
        <f t="shared" si="18"/>
        <v>675</v>
      </c>
    </row>
    <row r="46" spans="1:16" s="804" customFormat="1" ht="31.5" x14ac:dyDescent="0.25">
      <c r="A46" s="795"/>
      <c r="B46" s="813" t="s">
        <v>1315</v>
      </c>
      <c r="C46" s="814"/>
      <c r="D46" s="815"/>
      <c r="E46" s="815">
        <v>-226</v>
      </c>
      <c r="F46" s="799"/>
      <c r="G46" s="798"/>
      <c r="H46" s="792">
        <f t="shared" si="15"/>
        <v>-226</v>
      </c>
      <c r="I46" s="793">
        <v>226</v>
      </c>
      <c r="J46" s="441"/>
      <c r="K46" s="441"/>
      <c r="L46" s="792">
        <f t="shared" si="16"/>
        <v>226</v>
      </c>
      <c r="M46" s="794">
        <f t="shared" si="17"/>
        <v>0</v>
      </c>
      <c r="N46" s="794"/>
      <c r="O46" s="810">
        <f t="shared" si="18"/>
        <v>0</v>
      </c>
    </row>
    <row r="47" spans="1:16" s="804" customFormat="1" ht="31.5" x14ac:dyDescent="0.25">
      <c r="A47" s="795"/>
      <c r="B47" s="813" t="s">
        <v>1262</v>
      </c>
      <c r="C47" s="814"/>
      <c r="D47" s="815"/>
      <c r="E47" s="815">
        <f>2+174</f>
        <v>176</v>
      </c>
      <c r="F47" s="799"/>
      <c r="G47" s="798"/>
      <c r="H47" s="792">
        <f t="shared" si="15"/>
        <v>176</v>
      </c>
      <c r="I47" s="793"/>
      <c r="J47" s="441"/>
      <c r="K47" s="441"/>
      <c r="L47" s="792">
        <f t="shared" si="16"/>
        <v>0</v>
      </c>
      <c r="M47" s="794">
        <f t="shared" si="17"/>
        <v>176</v>
      </c>
      <c r="N47" s="794"/>
      <c r="O47" s="810">
        <f t="shared" si="18"/>
        <v>176</v>
      </c>
    </row>
    <row r="48" spans="1:16" x14ac:dyDescent="0.25">
      <c r="A48" s="795"/>
      <c r="B48" s="796" t="s">
        <v>244</v>
      </c>
      <c r="C48" s="797"/>
      <c r="D48" s="798"/>
      <c r="E48" s="798"/>
      <c r="F48" s="799"/>
      <c r="G48" s="798"/>
      <c r="H48" s="792"/>
      <c r="I48" s="793"/>
      <c r="J48" s="441"/>
      <c r="K48" s="441"/>
      <c r="L48" s="792"/>
      <c r="M48" s="794"/>
      <c r="N48" s="794"/>
      <c r="O48" s="810"/>
      <c r="P48" s="804"/>
    </row>
    <row r="49" spans="1:16" s="804" customFormat="1" ht="16.5" thickBot="1" x14ac:dyDescent="0.3">
      <c r="A49" s="791"/>
      <c r="B49" s="813" t="s">
        <v>1427</v>
      </c>
      <c r="C49" s="439">
        <v>347</v>
      </c>
      <c r="D49" s="440">
        <v>119</v>
      </c>
      <c r="E49" s="440"/>
      <c r="F49" s="441"/>
      <c r="G49" s="440"/>
      <c r="H49" s="792">
        <f t="shared" si="15"/>
        <v>466</v>
      </c>
      <c r="I49" s="793"/>
      <c r="J49" s="441"/>
      <c r="K49" s="441"/>
      <c r="L49" s="792">
        <f t="shared" si="16"/>
        <v>0</v>
      </c>
      <c r="M49" s="794">
        <f t="shared" si="17"/>
        <v>466</v>
      </c>
      <c r="N49" s="794"/>
      <c r="O49" s="810">
        <f t="shared" si="18"/>
        <v>466</v>
      </c>
      <c r="P49" s="781"/>
    </row>
    <row r="50" spans="1:16" s="804" customFormat="1" ht="17.25" thickTop="1" thickBot="1" x14ac:dyDescent="0.3">
      <c r="A50" s="807"/>
      <c r="B50" s="444" t="s">
        <v>1157</v>
      </c>
      <c r="C50" s="445">
        <f>+C37+C41+C42+C43+C49+C44+C45+C46+C47</f>
        <v>51715</v>
      </c>
      <c r="D50" s="445">
        <f t="shared" ref="D50:O50" si="19">+D37+D41+D42+D43+D49+D44+D45+D46+D47</f>
        <v>13982</v>
      </c>
      <c r="E50" s="445">
        <f t="shared" si="19"/>
        <v>16422</v>
      </c>
      <c r="F50" s="445">
        <f t="shared" si="19"/>
        <v>0</v>
      </c>
      <c r="G50" s="445">
        <f t="shared" si="19"/>
        <v>0</v>
      </c>
      <c r="H50" s="445">
        <f t="shared" si="19"/>
        <v>82119</v>
      </c>
      <c r="I50" s="445">
        <f t="shared" si="19"/>
        <v>644</v>
      </c>
      <c r="J50" s="445">
        <f t="shared" si="19"/>
        <v>0</v>
      </c>
      <c r="K50" s="445">
        <f t="shared" si="19"/>
        <v>0</v>
      </c>
      <c r="L50" s="445">
        <f t="shared" si="19"/>
        <v>644</v>
      </c>
      <c r="M50" s="445">
        <f t="shared" si="19"/>
        <v>82763</v>
      </c>
      <c r="N50" s="445">
        <f t="shared" si="19"/>
        <v>0</v>
      </c>
      <c r="O50" s="445">
        <f t="shared" si="19"/>
        <v>82763</v>
      </c>
    </row>
    <row r="51" spans="1:16" ht="17.25" thickTop="1" thickBot="1" x14ac:dyDescent="0.3">
      <c r="A51" s="807"/>
      <c r="B51" s="444" t="s">
        <v>1158</v>
      </c>
      <c r="C51" s="445">
        <f t="shared" ref="C51:O51" si="20">+C38+C41+C42+C43+C44+C45+C46+C47</f>
        <v>49504</v>
      </c>
      <c r="D51" s="445">
        <f t="shared" si="20"/>
        <v>13195</v>
      </c>
      <c r="E51" s="445">
        <f t="shared" si="20"/>
        <v>16242</v>
      </c>
      <c r="F51" s="445">
        <f t="shared" si="20"/>
        <v>0</v>
      </c>
      <c r="G51" s="445">
        <f t="shared" si="20"/>
        <v>0</v>
      </c>
      <c r="H51" s="445">
        <f t="shared" si="20"/>
        <v>78941</v>
      </c>
      <c r="I51" s="445">
        <f t="shared" si="20"/>
        <v>644</v>
      </c>
      <c r="J51" s="445">
        <f t="shared" si="20"/>
        <v>0</v>
      </c>
      <c r="K51" s="445">
        <f t="shared" si="20"/>
        <v>0</v>
      </c>
      <c r="L51" s="445">
        <f t="shared" si="20"/>
        <v>644</v>
      </c>
      <c r="M51" s="445">
        <f t="shared" si="20"/>
        <v>79585</v>
      </c>
      <c r="N51" s="445">
        <f t="shared" si="20"/>
        <v>0</v>
      </c>
      <c r="O51" s="445">
        <f t="shared" si="20"/>
        <v>79585</v>
      </c>
      <c r="P51" s="804"/>
    </row>
    <row r="52" spans="1:16" ht="17.25" thickTop="1" thickBot="1" x14ac:dyDescent="0.3">
      <c r="A52" s="807"/>
      <c r="B52" s="444" t="s">
        <v>1159</v>
      </c>
      <c r="C52" s="445">
        <f>+C39+C49</f>
        <v>2211</v>
      </c>
      <c r="D52" s="445">
        <f t="shared" ref="D52:O52" si="21">+D39+D49</f>
        <v>787</v>
      </c>
      <c r="E52" s="445">
        <f t="shared" si="21"/>
        <v>180</v>
      </c>
      <c r="F52" s="445">
        <f t="shared" si="21"/>
        <v>0</v>
      </c>
      <c r="G52" s="445">
        <f t="shared" si="21"/>
        <v>0</v>
      </c>
      <c r="H52" s="445">
        <f t="shared" si="21"/>
        <v>3178</v>
      </c>
      <c r="I52" s="445">
        <f t="shared" si="21"/>
        <v>0</v>
      </c>
      <c r="J52" s="445">
        <f t="shared" si="21"/>
        <v>0</v>
      </c>
      <c r="K52" s="445">
        <f t="shared" si="21"/>
        <v>0</v>
      </c>
      <c r="L52" s="445">
        <f t="shared" si="21"/>
        <v>0</v>
      </c>
      <c r="M52" s="445">
        <f t="shared" si="21"/>
        <v>3178</v>
      </c>
      <c r="N52" s="445">
        <f t="shared" si="21"/>
        <v>0</v>
      </c>
      <c r="O52" s="445">
        <f t="shared" si="21"/>
        <v>3178</v>
      </c>
      <c r="P52" s="780"/>
    </row>
    <row r="53" spans="1:16" ht="16.5" thickTop="1" x14ac:dyDescent="0.25">
      <c r="A53" s="791" t="s">
        <v>326</v>
      </c>
      <c r="B53" s="438" t="s">
        <v>546</v>
      </c>
      <c r="C53" s="439"/>
      <c r="D53" s="440"/>
      <c r="E53" s="440"/>
      <c r="F53" s="443"/>
      <c r="G53" s="440"/>
      <c r="H53" s="792"/>
      <c r="I53" s="793"/>
      <c r="J53" s="441"/>
      <c r="K53" s="441"/>
      <c r="L53" s="792"/>
      <c r="M53" s="792"/>
      <c r="N53" s="792"/>
      <c r="O53" s="792"/>
    </row>
    <row r="54" spans="1:16" x14ac:dyDescent="0.25">
      <c r="A54" s="791"/>
      <c r="B54" s="442" t="s">
        <v>1125</v>
      </c>
      <c r="C54" s="439">
        <v>55974</v>
      </c>
      <c r="D54" s="440">
        <v>14940</v>
      </c>
      <c r="E54" s="440">
        <v>15237</v>
      </c>
      <c r="F54" s="441"/>
      <c r="G54" s="440"/>
      <c r="H54" s="792">
        <f>SUM(C54:G54)</f>
        <v>86151</v>
      </c>
      <c r="I54" s="811">
        <v>95</v>
      </c>
      <c r="J54" s="443"/>
      <c r="K54" s="443"/>
      <c r="L54" s="792">
        <f>SUM(I54:K54)</f>
        <v>95</v>
      </c>
      <c r="M54" s="794">
        <f>SUM(H54+L54)</f>
        <v>86246</v>
      </c>
      <c r="N54" s="794"/>
      <c r="O54" s="794">
        <f>SUM(M54+N54)</f>
        <v>86246</v>
      </c>
    </row>
    <row r="55" spans="1:16" x14ac:dyDescent="0.25">
      <c r="A55" s="812"/>
      <c r="B55" s="796" t="s">
        <v>1263</v>
      </c>
      <c r="C55" s="814">
        <v>54199</v>
      </c>
      <c r="D55" s="815">
        <v>14317</v>
      </c>
      <c r="E55" s="815">
        <v>15107</v>
      </c>
      <c r="F55" s="816"/>
      <c r="G55" s="815"/>
      <c r="H55" s="817">
        <f>SUM(C55:G55)</f>
        <v>83623</v>
      </c>
      <c r="I55" s="818">
        <v>95</v>
      </c>
      <c r="J55" s="819"/>
      <c r="K55" s="819"/>
      <c r="L55" s="817">
        <f>SUM(I55:K55)</f>
        <v>95</v>
      </c>
      <c r="M55" s="820">
        <f>SUM(H55+L55)</f>
        <v>83718</v>
      </c>
      <c r="N55" s="820"/>
      <c r="O55" s="820">
        <f>SUM(M55+N55)</f>
        <v>83718</v>
      </c>
    </row>
    <row r="56" spans="1:16" s="821" customFormat="1" x14ac:dyDescent="0.25">
      <c r="A56" s="812"/>
      <c r="B56" s="796" t="s">
        <v>1156</v>
      </c>
      <c r="C56" s="814">
        <v>1775</v>
      </c>
      <c r="D56" s="815">
        <v>623</v>
      </c>
      <c r="E56" s="815">
        <v>130</v>
      </c>
      <c r="F56" s="816"/>
      <c r="G56" s="815"/>
      <c r="H56" s="817">
        <f>SUM(C56:G56)</f>
        <v>2528</v>
      </c>
      <c r="I56" s="818"/>
      <c r="J56" s="819"/>
      <c r="K56" s="819"/>
      <c r="L56" s="817">
        <f>SUM(I56:K56)</f>
        <v>0</v>
      </c>
      <c r="M56" s="820">
        <f>SUM(H56+L56)</f>
        <v>2528</v>
      </c>
      <c r="N56" s="820"/>
      <c r="O56" s="820">
        <f>SUM(M56+N56)</f>
        <v>2528</v>
      </c>
      <c r="P56" s="781"/>
    </row>
    <row r="57" spans="1:16" s="821" customFormat="1" x14ac:dyDescent="0.25">
      <c r="A57" s="812"/>
      <c r="B57" s="796" t="s">
        <v>243</v>
      </c>
      <c r="C57" s="814"/>
      <c r="D57" s="815"/>
      <c r="E57" s="815"/>
      <c r="F57" s="816"/>
      <c r="G57" s="815"/>
      <c r="H57" s="817"/>
      <c r="I57" s="818"/>
      <c r="J57" s="819"/>
      <c r="K57" s="819"/>
      <c r="L57" s="817"/>
      <c r="M57" s="820"/>
      <c r="N57" s="820"/>
      <c r="O57" s="820"/>
    </row>
    <row r="58" spans="1:16" s="821" customFormat="1" x14ac:dyDescent="0.25">
      <c r="A58" s="812"/>
      <c r="B58" s="813" t="s">
        <v>1426</v>
      </c>
      <c r="C58" s="814">
        <v>123</v>
      </c>
      <c r="D58" s="815">
        <v>33</v>
      </c>
      <c r="E58" s="815"/>
      <c r="F58" s="816"/>
      <c r="G58" s="815"/>
      <c r="H58" s="817">
        <f t="shared" ref="H58:H65" si="22">SUM(C58:G58)</f>
        <v>156</v>
      </c>
      <c r="I58" s="818"/>
      <c r="J58" s="819"/>
      <c r="K58" s="819"/>
      <c r="L58" s="817">
        <f t="shared" ref="L58:L65" si="23">SUM(I58:K58)</f>
        <v>0</v>
      </c>
      <c r="M58" s="820">
        <f t="shared" ref="M58:M65" si="24">SUM(H58+L58)</f>
        <v>156</v>
      </c>
      <c r="N58" s="820"/>
      <c r="O58" s="820">
        <f t="shared" ref="O58:O65" si="25">SUM(M58+N58)</f>
        <v>156</v>
      </c>
    </row>
    <row r="59" spans="1:16" s="821" customFormat="1" ht="31.5" x14ac:dyDescent="0.25">
      <c r="A59" s="791"/>
      <c r="B59" s="813" t="s">
        <v>1428</v>
      </c>
      <c r="C59" s="439">
        <v>241</v>
      </c>
      <c r="D59" s="440">
        <v>65</v>
      </c>
      <c r="E59" s="440"/>
      <c r="F59" s="441"/>
      <c r="G59" s="440"/>
      <c r="H59" s="792">
        <f t="shared" si="22"/>
        <v>306</v>
      </c>
      <c r="I59" s="811"/>
      <c r="J59" s="443"/>
      <c r="K59" s="443"/>
      <c r="L59" s="792">
        <f t="shared" si="23"/>
        <v>0</v>
      </c>
      <c r="M59" s="794">
        <f t="shared" si="24"/>
        <v>306</v>
      </c>
      <c r="N59" s="794"/>
      <c r="O59" s="794">
        <f t="shared" si="25"/>
        <v>306</v>
      </c>
    </row>
    <row r="60" spans="1:16" ht="31.5" x14ac:dyDescent="0.25">
      <c r="A60" s="812"/>
      <c r="B60" s="813" t="s">
        <v>1429</v>
      </c>
      <c r="C60" s="814">
        <v>-14</v>
      </c>
      <c r="D60" s="815">
        <v>-4</v>
      </c>
      <c r="E60" s="815"/>
      <c r="F60" s="816"/>
      <c r="G60" s="815"/>
      <c r="H60" s="817">
        <f t="shared" si="22"/>
        <v>-18</v>
      </c>
      <c r="I60" s="818"/>
      <c r="J60" s="819"/>
      <c r="K60" s="819"/>
      <c r="L60" s="817">
        <f t="shared" si="23"/>
        <v>0</v>
      </c>
      <c r="M60" s="820">
        <f t="shared" si="24"/>
        <v>-18</v>
      </c>
      <c r="N60" s="820"/>
      <c r="O60" s="820">
        <f t="shared" si="25"/>
        <v>-18</v>
      </c>
      <c r="P60" s="821"/>
    </row>
    <row r="61" spans="1:16" s="821" customFormat="1" ht="78.75" x14ac:dyDescent="0.25">
      <c r="A61" s="829"/>
      <c r="B61" s="852" t="s">
        <v>1430</v>
      </c>
      <c r="C61" s="439">
        <v>1787</v>
      </c>
      <c r="D61" s="440">
        <v>483</v>
      </c>
      <c r="E61" s="440"/>
      <c r="F61" s="441"/>
      <c r="G61" s="440"/>
      <c r="H61" s="792">
        <f t="shared" si="22"/>
        <v>2270</v>
      </c>
      <c r="I61" s="793"/>
      <c r="J61" s="441"/>
      <c r="K61" s="441"/>
      <c r="L61" s="792">
        <f t="shared" si="23"/>
        <v>0</v>
      </c>
      <c r="M61" s="792">
        <f t="shared" si="24"/>
        <v>2270</v>
      </c>
      <c r="N61" s="792"/>
      <c r="O61" s="792">
        <f t="shared" si="25"/>
        <v>2270</v>
      </c>
      <c r="P61" s="781"/>
    </row>
    <row r="62" spans="1:16" ht="31.5" x14ac:dyDescent="0.25">
      <c r="A62" s="829"/>
      <c r="B62" s="852" t="s">
        <v>1315</v>
      </c>
      <c r="C62" s="439"/>
      <c r="D62" s="440"/>
      <c r="E62" s="440">
        <v>-142</v>
      </c>
      <c r="F62" s="441"/>
      <c r="G62" s="440"/>
      <c r="H62" s="792">
        <f t="shared" si="22"/>
        <v>-142</v>
      </c>
      <c r="I62" s="793">
        <v>142</v>
      </c>
      <c r="J62" s="441"/>
      <c r="K62" s="441"/>
      <c r="L62" s="792">
        <f t="shared" si="23"/>
        <v>142</v>
      </c>
      <c r="M62" s="792">
        <f t="shared" si="24"/>
        <v>0</v>
      </c>
      <c r="N62" s="792"/>
      <c r="O62" s="792">
        <f t="shared" si="25"/>
        <v>0</v>
      </c>
      <c r="P62" s="821"/>
    </row>
    <row r="63" spans="1:16" ht="31.5" x14ac:dyDescent="0.25">
      <c r="A63" s="791"/>
      <c r="B63" s="813" t="s">
        <v>1262</v>
      </c>
      <c r="C63" s="439"/>
      <c r="D63" s="440"/>
      <c r="E63" s="440">
        <v>1052</v>
      </c>
      <c r="F63" s="441"/>
      <c r="G63" s="440"/>
      <c r="H63" s="792">
        <f t="shared" si="22"/>
        <v>1052</v>
      </c>
      <c r="I63" s="811"/>
      <c r="J63" s="443"/>
      <c r="K63" s="443"/>
      <c r="L63" s="792">
        <f t="shared" si="23"/>
        <v>0</v>
      </c>
      <c r="M63" s="794">
        <f t="shared" si="24"/>
        <v>1052</v>
      </c>
      <c r="N63" s="794"/>
      <c r="O63" s="794">
        <f t="shared" si="25"/>
        <v>1052</v>
      </c>
    </row>
    <row r="64" spans="1:16" x14ac:dyDescent="0.25">
      <c r="A64" s="812"/>
      <c r="B64" s="796" t="s">
        <v>244</v>
      </c>
      <c r="C64" s="814"/>
      <c r="D64" s="815"/>
      <c r="E64" s="815"/>
      <c r="F64" s="816"/>
      <c r="G64" s="815"/>
      <c r="H64" s="817"/>
      <c r="I64" s="818"/>
      <c r="J64" s="819"/>
      <c r="K64" s="819"/>
      <c r="L64" s="817"/>
      <c r="M64" s="820"/>
      <c r="N64" s="820"/>
      <c r="O64" s="820"/>
    </row>
    <row r="65" spans="1:16" s="821" customFormat="1" ht="16.5" thickBot="1" x14ac:dyDescent="0.3">
      <c r="A65" s="812"/>
      <c r="B65" s="813" t="s">
        <v>1427</v>
      </c>
      <c r="C65" s="814">
        <v>357</v>
      </c>
      <c r="D65" s="815">
        <v>123</v>
      </c>
      <c r="E65" s="815"/>
      <c r="F65" s="816"/>
      <c r="G65" s="815"/>
      <c r="H65" s="817">
        <f t="shared" si="22"/>
        <v>480</v>
      </c>
      <c r="I65" s="818"/>
      <c r="J65" s="819"/>
      <c r="K65" s="819"/>
      <c r="L65" s="817">
        <f t="shared" si="23"/>
        <v>0</v>
      </c>
      <c r="M65" s="820">
        <f t="shared" si="24"/>
        <v>480</v>
      </c>
      <c r="N65" s="820"/>
      <c r="O65" s="820">
        <f t="shared" si="25"/>
        <v>480</v>
      </c>
      <c r="P65" s="781"/>
    </row>
    <row r="66" spans="1:16" s="821" customFormat="1" ht="17.25" thickTop="1" thickBot="1" x14ac:dyDescent="0.3">
      <c r="A66" s="807"/>
      <c r="B66" s="444" t="s">
        <v>1157</v>
      </c>
      <c r="C66" s="445">
        <f>+C54+C58+C59+C60+C65+C61+C62+C63</f>
        <v>58468</v>
      </c>
      <c r="D66" s="445">
        <f t="shared" ref="D66:O66" si="26">+D54+D58+D59+D60+D65+D61+D62+D63</f>
        <v>15640</v>
      </c>
      <c r="E66" s="445">
        <f t="shared" si="26"/>
        <v>16147</v>
      </c>
      <c r="F66" s="445">
        <f t="shared" si="26"/>
        <v>0</v>
      </c>
      <c r="G66" s="445">
        <f t="shared" si="26"/>
        <v>0</v>
      </c>
      <c r="H66" s="445">
        <f t="shared" si="26"/>
        <v>90255</v>
      </c>
      <c r="I66" s="445">
        <f t="shared" si="26"/>
        <v>237</v>
      </c>
      <c r="J66" s="445">
        <f t="shared" si="26"/>
        <v>0</v>
      </c>
      <c r="K66" s="445">
        <f t="shared" si="26"/>
        <v>0</v>
      </c>
      <c r="L66" s="445">
        <f t="shared" si="26"/>
        <v>237</v>
      </c>
      <c r="M66" s="445">
        <f t="shared" si="26"/>
        <v>90492</v>
      </c>
      <c r="N66" s="445">
        <f t="shared" si="26"/>
        <v>0</v>
      </c>
      <c r="O66" s="445">
        <f t="shared" si="26"/>
        <v>90492</v>
      </c>
    </row>
    <row r="67" spans="1:16" s="821" customFormat="1" ht="17.25" thickTop="1" thickBot="1" x14ac:dyDescent="0.3">
      <c r="A67" s="807"/>
      <c r="B67" s="444" t="s">
        <v>1158</v>
      </c>
      <c r="C67" s="445">
        <f t="shared" ref="C67:O67" si="27">+C55+C58+C59+C60+C61+C62+C63</f>
        <v>56336</v>
      </c>
      <c r="D67" s="445">
        <f t="shared" si="27"/>
        <v>14894</v>
      </c>
      <c r="E67" s="445">
        <f t="shared" si="27"/>
        <v>16017</v>
      </c>
      <c r="F67" s="445">
        <f t="shared" si="27"/>
        <v>0</v>
      </c>
      <c r="G67" s="445">
        <f t="shared" si="27"/>
        <v>0</v>
      </c>
      <c r="H67" s="445">
        <f t="shared" si="27"/>
        <v>87247</v>
      </c>
      <c r="I67" s="445">
        <f t="shared" si="27"/>
        <v>237</v>
      </c>
      <c r="J67" s="445">
        <f t="shared" si="27"/>
        <v>0</v>
      </c>
      <c r="K67" s="445">
        <f t="shared" si="27"/>
        <v>0</v>
      </c>
      <c r="L67" s="445">
        <f t="shared" si="27"/>
        <v>237</v>
      </c>
      <c r="M67" s="445">
        <f t="shared" si="27"/>
        <v>87484</v>
      </c>
      <c r="N67" s="445">
        <f t="shared" si="27"/>
        <v>0</v>
      </c>
      <c r="O67" s="445">
        <f t="shared" si="27"/>
        <v>87484</v>
      </c>
    </row>
    <row r="68" spans="1:16" s="821" customFormat="1" ht="17.25" thickTop="1" thickBot="1" x14ac:dyDescent="0.3">
      <c r="A68" s="807"/>
      <c r="B68" s="444" t="s">
        <v>1159</v>
      </c>
      <c r="C68" s="445">
        <f>+C56+C65</f>
        <v>2132</v>
      </c>
      <c r="D68" s="445">
        <f t="shared" ref="D68:O68" si="28">+D56+D65</f>
        <v>746</v>
      </c>
      <c r="E68" s="445">
        <f t="shared" si="28"/>
        <v>130</v>
      </c>
      <c r="F68" s="445">
        <f t="shared" si="28"/>
        <v>0</v>
      </c>
      <c r="G68" s="445">
        <f t="shared" si="28"/>
        <v>0</v>
      </c>
      <c r="H68" s="445">
        <f t="shared" si="28"/>
        <v>3008</v>
      </c>
      <c r="I68" s="445">
        <f t="shared" si="28"/>
        <v>0</v>
      </c>
      <c r="J68" s="445">
        <f t="shared" si="28"/>
        <v>0</v>
      </c>
      <c r="K68" s="445">
        <f t="shared" si="28"/>
        <v>0</v>
      </c>
      <c r="L68" s="445">
        <f t="shared" si="28"/>
        <v>0</v>
      </c>
      <c r="M68" s="445">
        <f t="shared" si="28"/>
        <v>3008</v>
      </c>
      <c r="N68" s="445">
        <f t="shared" si="28"/>
        <v>0</v>
      </c>
      <c r="O68" s="445">
        <f t="shared" si="28"/>
        <v>3008</v>
      </c>
      <c r="P68" s="1116"/>
    </row>
    <row r="69" spans="1:16" ht="16.5" thickTop="1" x14ac:dyDescent="0.25">
      <c r="A69" s="791" t="s">
        <v>330</v>
      </c>
      <c r="B69" s="438" t="s">
        <v>547</v>
      </c>
      <c r="C69" s="439"/>
      <c r="D69" s="440"/>
      <c r="E69" s="440"/>
      <c r="F69" s="443"/>
      <c r="G69" s="440"/>
      <c r="H69" s="792"/>
      <c r="I69" s="793"/>
      <c r="J69" s="441"/>
      <c r="K69" s="441"/>
      <c r="L69" s="792"/>
      <c r="M69" s="792"/>
      <c r="N69" s="792"/>
      <c r="O69" s="792"/>
      <c r="P69" s="821"/>
    </row>
    <row r="70" spans="1:16" x14ac:dyDescent="0.25">
      <c r="A70" s="791"/>
      <c r="B70" s="442" t="s">
        <v>1125</v>
      </c>
      <c r="C70" s="439">
        <v>51416</v>
      </c>
      <c r="D70" s="440">
        <v>13891</v>
      </c>
      <c r="E70" s="440">
        <v>12034</v>
      </c>
      <c r="F70" s="441"/>
      <c r="G70" s="440"/>
      <c r="H70" s="792">
        <f>SUM(C70:G70)</f>
        <v>77341</v>
      </c>
      <c r="I70" s="793">
        <v>1605</v>
      </c>
      <c r="J70" s="441"/>
      <c r="K70" s="441"/>
      <c r="L70" s="792">
        <f>SUM(I70:K70)</f>
        <v>1605</v>
      </c>
      <c r="M70" s="794">
        <f>SUM(H70+L70)</f>
        <v>78946</v>
      </c>
      <c r="N70" s="794"/>
      <c r="O70" s="794">
        <f>SUM(M70+N70)</f>
        <v>78946</v>
      </c>
      <c r="P70" s="821"/>
    </row>
    <row r="71" spans="1:16" x14ac:dyDescent="0.25">
      <c r="A71" s="795"/>
      <c r="B71" s="796" t="s">
        <v>1263</v>
      </c>
      <c r="C71" s="797">
        <v>49564</v>
      </c>
      <c r="D71" s="798">
        <v>13226</v>
      </c>
      <c r="E71" s="798">
        <v>11794</v>
      </c>
      <c r="F71" s="799"/>
      <c r="G71" s="798"/>
      <c r="H71" s="800">
        <f>SUM(C71:G71)</f>
        <v>74584</v>
      </c>
      <c r="I71" s="808">
        <v>1605</v>
      </c>
      <c r="J71" s="799"/>
      <c r="K71" s="799"/>
      <c r="L71" s="800">
        <f>SUM(I71:K71)</f>
        <v>1605</v>
      </c>
      <c r="M71" s="803">
        <f>SUM(H71+L71)</f>
        <v>76189</v>
      </c>
      <c r="N71" s="803"/>
      <c r="O71" s="803">
        <f>SUM(M71+N71)</f>
        <v>76189</v>
      </c>
    </row>
    <row r="72" spans="1:16" x14ac:dyDescent="0.25">
      <c r="A72" s="795"/>
      <c r="B72" s="796" t="s">
        <v>1156</v>
      </c>
      <c r="C72" s="797">
        <v>1852</v>
      </c>
      <c r="D72" s="798">
        <v>665</v>
      </c>
      <c r="E72" s="798">
        <v>240</v>
      </c>
      <c r="F72" s="799"/>
      <c r="G72" s="798"/>
      <c r="H72" s="800">
        <f>SUM(C72:G72)</f>
        <v>2757</v>
      </c>
      <c r="I72" s="808"/>
      <c r="J72" s="799"/>
      <c r="K72" s="799"/>
      <c r="L72" s="800">
        <f>SUM(I72:K72)</f>
        <v>0</v>
      </c>
      <c r="M72" s="803">
        <f>SUM(H72+L72)</f>
        <v>2757</v>
      </c>
      <c r="N72" s="803"/>
      <c r="O72" s="803">
        <f>SUM(M72+N72)</f>
        <v>2757</v>
      </c>
    </row>
    <row r="73" spans="1:16" x14ac:dyDescent="0.25">
      <c r="A73" s="795"/>
      <c r="B73" s="796" t="s">
        <v>243</v>
      </c>
      <c r="C73" s="797"/>
      <c r="D73" s="798"/>
      <c r="E73" s="798"/>
      <c r="F73" s="799"/>
      <c r="G73" s="798"/>
      <c r="H73" s="800"/>
      <c r="I73" s="808"/>
      <c r="J73" s="799"/>
      <c r="K73" s="799"/>
      <c r="L73" s="800"/>
      <c r="M73" s="803"/>
      <c r="N73" s="803"/>
      <c r="O73" s="803"/>
    </row>
    <row r="74" spans="1:16" s="804" customFormat="1" x14ac:dyDescent="0.25">
      <c r="A74" s="795"/>
      <c r="B74" s="813" t="s">
        <v>1426</v>
      </c>
      <c r="C74" s="814">
        <v>77</v>
      </c>
      <c r="D74" s="815">
        <v>21</v>
      </c>
      <c r="E74" s="798"/>
      <c r="F74" s="799"/>
      <c r="G74" s="798"/>
      <c r="H74" s="817">
        <f t="shared" ref="H74:H80" si="29">SUM(C74:G74)</f>
        <v>98</v>
      </c>
      <c r="I74" s="853"/>
      <c r="J74" s="816"/>
      <c r="K74" s="816"/>
      <c r="L74" s="817">
        <f t="shared" ref="L74:L80" si="30">SUM(I74:K74)</f>
        <v>0</v>
      </c>
      <c r="M74" s="820">
        <f t="shared" ref="M74:M80" si="31">SUM(H74+L74)</f>
        <v>98</v>
      </c>
      <c r="N74" s="820"/>
      <c r="O74" s="820">
        <f t="shared" ref="O74:O80" si="32">SUM(M74+N74)</f>
        <v>98</v>
      </c>
      <c r="P74" s="781"/>
    </row>
    <row r="75" spans="1:16" s="804" customFormat="1" ht="31.5" x14ac:dyDescent="0.25">
      <c r="A75" s="795"/>
      <c r="B75" s="813" t="s">
        <v>1428</v>
      </c>
      <c r="C75" s="814">
        <v>231</v>
      </c>
      <c r="D75" s="815">
        <v>62</v>
      </c>
      <c r="E75" s="815"/>
      <c r="F75" s="799"/>
      <c r="G75" s="798"/>
      <c r="H75" s="817">
        <f t="shared" si="29"/>
        <v>293</v>
      </c>
      <c r="I75" s="853"/>
      <c r="J75" s="816"/>
      <c r="K75" s="816"/>
      <c r="L75" s="817">
        <f t="shared" si="30"/>
        <v>0</v>
      </c>
      <c r="M75" s="820">
        <f t="shared" si="31"/>
        <v>293</v>
      </c>
      <c r="N75" s="820"/>
      <c r="O75" s="820">
        <f t="shared" si="32"/>
        <v>293</v>
      </c>
      <c r="P75" s="781"/>
    </row>
    <row r="76" spans="1:16" s="804" customFormat="1" ht="31.5" x14ac:dyDescent="0.25">
      <c r="A76" s="795"/>
      <c r="B76" s="813" t="s">
        <v>1429</v>
      </c>
      <c r="C76" s="814">
        <v>33</v>
      </c>
      <c r="D76" s="815">
        <v>9</v>
      </c>
      <c r="E76" s="798"/>
      <c r="F76" s="799"/>
      <c r="G76" s="798"/>
      <c r="H76" s="817">
        <f t="shared" si="29"/>
        <v>42</v>
      </c>
      <c r="I76" s="853"/>
      <c r="J76" s="816"/>
      <c r="K76" s="816"/>
      <c r="L76" s="817">
        <f t="shared" si="30"/>
        <v>0</v>
      </c>
      <c r="M76" s="820">
        <f t="shared" si="31"/>
        <v>42</v>
      </c>
      <c r="N76" s="820"/>
      <c r="O76" s="820">
        <f t="shared" si="32"/>
        <v>42</v>
      </c>
    </row>
    <row r="77" spans="1:16" s="804" customFormat="1" ht="78.75" x14ac:dyDescent="0.25">
      <c r="A77" s="795"/>
      <c r="B77" s="813" t="s">
        <v>1430</v>
      </c>
      <c r="C77" s="814">
        <v>1481</v>
      </c>
      <c r="D77" s="815">
        <v>400</v>
      </c>
      <c r="E77" s="815"/>
      <c r="F77" s="799"/>
      <c r="G77" s="798"/>
      <c r="H77" s="817">
        <f t="shared" si="29"/>
        <v>1881</v>
      </c>
      <c r="I77" s="853"/>
      <c r="J77" s="816"/>
      <c r="K77" s="816"/>
      <c r="L77" s="817">
        <f t="shared" si="30"/>
        <v>0</v>
      </c>
      <c r="M77" s="820">
        <f t="shared" si="31"/>
        <v>1881</v>
      </c>
      <c r="N77" s="820"/>
      <c r="O77" s="820">
        <f t="shared" si="32"/>
        <v>1881</v>
      </c>
    </row>
    <row r="78" spans="1:16" s="804" customFormat="1" ht="31.5" x14ac:dyDescent="0.25">
      <c r="A78" s="795"/>
      <c r="B78" s="813" t="s">
        <v>1315</v>
      </c>
      <c r="C78" s="814"/>
      <c r="D78" s="815"/>
      <c r="E78" s="815">
        <v>-715</v>
      </c>
      <c r="F78" s="799"/>
      <c r="G78" s="798"/>
      <c r="H78" s="817">
        <f t="shared" si="29"/>
        <v>-715</v>
      </c>
      <c r="I78" s="853">
        <v>715</v>
      </c>
      <c r="J78" s="816"/>
      <c r="K78" s="816"/>
      <c r="L78" s="817">
        <f t="shared" si="30"/>
        <v>715</v>
      </c>
      <c r="M78" s="820">
        <f t="shared" si="31"/>
        <v>0</v>
      </c>
      <c r="N78" s="820"/>
      <c r="O78" s="820">
        <f t="shared" si="32"/>
        <v>0</v>
      </c>
    </row>
    <row r="79" spans="1:16" s="804" customFormat="1" x14ac:dyDescent="0.25">
      <c r="A79" s="795"/>
      <c r="B79" s="796" t="s">
        <v>244</v>
      </c>
      <c r="C79" s="797"/>
      <c r="D79" s="798"/>
      <c r="E79" s="798"/>
      <c r="F79" s="799"/>
      <c r="G79" s="798"/>
      <c r="H79" s="817"/>
      <c r="I79" s="853"/>
      <c r="J79" s="816"/>
      <c r="K79" s="816"/>
      <c r="L79" s="817"/>
      <c r="M79" s="820"/>
      <c r="N79" s="820"/>
      <c r="O79" s="820"/>
    </row>
    <row r="80" spans="1:16" s="804" customFormat="1" ht="16.5" thickBot="1" x14ac:dyDescent="0.3">
      <c r="A80" s="795"/>
      <c r="B80" s="813" t="s">
        <v>1427</v>
      </c>
      <c r="C80" s="814">
        <v>353</v>
      </c>
      <c r="D80" s="815">
        <v>122</v>
      </c>
      <c r="E80" s="815"/>
      <c r="F80" s="799"/>
      <c r="G80" s="798"/>
      <c r="H80" s="817">
        <f t="shared" si="29"/>
        <v>475</v>
      </c>
      <c r="I80" s="853"/>
      <c r="J80" s="816"/>
      <c r="K80" s="816"/>
      <c r="L80" s="817">
        <f t="shared" si="30"/>
        <v>0</v>
      </c>
      <c r="M80" s="820">
        <f t="shared" si="31"/>
        <v>475</v>
      </c>
      <c r="N80" s="820"/>
      <c r="O80" s="820">
        <f t="shared" si="32"/>
        <v>475</v>
      </c>
    </row>
    <row r="81" spans="1:16" s="804" customFormat="1" ht="17.25" thickTop="1" thickBot="1" x14ac:dyDescent="0.3">
      <c r="A81" s="807"/>
      <c r="B81" s="444" t="s">
        <v>1157</v>
      </c>
      <c r="C81" s="445">
        <f>+C70+C74+C75+C76+C80+C77+C78</f>
        <v>53591</v>
      </c>
      <c r="D81" s="445">
        <f t="shared" ref="D81:O81" si="33">+D70+D74+D75+D76+D80+D77+D78</f>
        <v>14505</v>
      </c>
      <c r="E81" s="445">
        <f t="shared" si="33"/>
        <v>11319</v>
      </c>
      <c r="F81" s="445">
        <f t="shared" si="33"/>
        <v>0</v>
      </c>
      <c r="G81" s="445">
        <f t="shared" si="33"/>
        <v>0</v>
      </c>
      <c r="H81" s="445">
        <f t="shared" si="33"/>
        <v>79415</v>
      </c>
      <c r="I81" s="445">
        <f t="shared" si="33"/>
        <v>2320</v>
      </c>
      <c r="J81" s="445">
        <f t="shared" si="33"/>
        <v>0</v>
      </c>
      <c r="K81" s="445">
        <f t="shared" si="33"/>
        <v>0</v>
      </c>
      <c r="L81" s="445">
        <f t="shared" si="33"/>
        <v>2320</v>
      </c>
      <c r="M81" s="445">
        <f t="shared" si="33"/>
        <v>81735</v>
      </c>
      <c r="N81" s="445">
        <f t="shared" si="33"/>
        <v>0</v>
      </c>
      <c r="O81" s="445">
        <f t="shared" si="33"/>
        <v>81735</v>
      </c>
    </row>
    <row r="82" spans="1:16" s="804" customFormat="1" ht="17.25" thickTop="1" thickBot="1" x14ac:dyDescent="0.3">
      <c r="A82" s="807"/>
      <c r="B82" s="444" t="s">
        <v>1158</v>
      </c>
      <c r="C82" s="445">
        <f t="shared" ref="C82:O82" si="34">+C71+C74+C75+C76+C77+C78</f>
        <v>51386</v>
      </c>
      <c r="D82" s="445">
        <f t="shared" si="34"/>
        <v>13718</v>
      </c>
      <c r="E82" s="445">
        <f t="shared" si="34"/>
        <v>11079</v>
      </c>
      <c r="F82" s="445">
        <f t="shared" si="34"/>
        <v>0</v>
      </c>
      <c r="G82" s="445">
        <f t="shared" si="34"/>
        <v>0</v>
      </c>
      <c r="H82" s="445">
        <f t="shared" si="34"/>
        <v>76183</v>
      </c>
      <c r="I82" s="445">
        <f t="shared" si="34"/>
        <v>2320</v>
      </c>
      <c r="J82" s="445">
        <f t="shared" si="34"/>
        <v>0</v>
      </c>
      <c r="K82" s="445">
        <f t="shared" si="34"/>
        <v>0</v>
      </c>
      <c r="L82" s="445">
        <f t="shared" si="34"/>
        <v>2320</v>
      </c>
      <c r="M82" s="445">
        <f t="shared" si="34"/>
        <v>78503</v>
      </c>
      <c r="N82" s="445">
        <f t="shared" si="34"/>
        <v>0</v>
      </c>
      <c r="O82" s="445">
        <f t="shared" si="34"/>
        <v>78503</v>
      </c>
    </row>
    <row r="83" spans="1:16" s="804" customFormat="1" ht="17.25" thickTop="1" thickBot="1" x14ac:dyDescent="0.3">
      <c r="A83" s="807"/>
      <c r="B83" s="444" t="s">
        <v>1159</v>
      </c>
      <c r="C83" s="445">
        <f>+C72+C80</f>
        <v>2205</v>
      </c>
      <c r="D83" s="445">
        <f t="shared" ref="D83:O83" si="35">+D72+D80</f>
        <v>787</v>
      </c>
      <c r="E83" s="445">
        <f t="shared" si="35"/>
        <v>240</v>
      </c>
      <c r="F83" s="445">
        <f t="shared" si="35"/>
        <v>0</v>
      </c>
      <c r="G83" s="445">
        <f t="shared" si="35"/>
        <v>0</v>
      </c>
      <c r="H83" s="445">
        <f t="shared" si="35"/>
        <v>3232</v>
      </c>
      <c r="I83" s="445">
        <f t="shared" si="35"/>
        <v>0</v>
      </c>
      <c r="J83" s="445">
        <f t="shared" si="35"/>
        <v>0</v>
      </c>
      <c r="K83" s="445">
        <f t="shared" si="35"/>
        <v>0</v>
      </c>
      <c r="L83" s="445">
        <f t="shared" si="35"/>
        <v>0</v>
      </c>
      <c r="M83" s="445">
        <f t="shared" si="35"/>
        <v>3232</v>
      </c>
      <c r="N83" s="445">
        <f t="shared" si="35"/>
        <v>0</v>
      </c>
      <c r="O83" s="445">
        <f t="shared" si="35"/>
        <v>3232</v>
      </c>
    </row>
    <row r="84" spans="1:16" s="804" customFormat="1" ht="16.5" thickTop="1" x14ac:dyDescent="0.25">
      <c r="A84" s="822" t="s">
        <v>334</v>
      </c>
      <c r="B84" s="823" t="s">
        <v>548</v>
      </c>
      <c r="C84" s="824"/>
      <c r="D84" s="825"/>
      <c r="E84" s="825"/>
      <c r="F84" s="826"/>
      <c r="G84" s="825"/>
      <c r="H84" s="827"/>
      <c r="I84" s="828"/>
      <c r="J84" s="826"/>
      <c r="K84" s="826"/>
      <c r="L84" s="827"/>
      <c r="M84" s="827"/>
      <c r="N84" s="827"/>
      <c r="O84" s="827"/>
    </row>
    <row r="85" spans="1:16" s="804" customFormat="1" x14ac:dyDescent="0.25">
      <c r="A85" s="791"/>
      <c r="B85" s="442" t="s">
        <v>1125</v>
      </c>
      <c r="C85" s="439">
        <v>29096</v>
      </c>
      <c r="D85" s="440">
        <v>7911</v>
      </c>
      <c r="E85" s="440">
        <v>7198</v>
      </c>
      <c r="F85" s="441"/>
      <c r="G85" s="440"/>
      <c r="H85" s="792">
        <f>SUM(C85:G85)</f>
        <v>44205</v>
      </c>
      <c r="I85" s="793">
        <v>222</v>
      </c>
      <c r="J85" s="441"/>
      <c r="K85" s="441"/>
      <c r="L85" s="792">
        <f>SUM(I85:K85)</f>
        <v>222</v>
      </c>
      <c r="M85" s="794">
        <f>SUM(H85+L85)</f>
        <v>44427</v>
      </c>
      <c r="N85" s="794"/>
      <c r="O85" s="794">
        <f>SUM(M85+N85)</f>
        <v>44427</v>
      </c>
    </row>
    <row r="86" spans="1:16" s="804" customFormat="1" x14ac:dyDescent="0.25">
      <c r="A86" s="795"/>
      <c r="B86" s="796" t="s">
        <v>1263</v>
      </c>
      <c r="C86" s="797">
        <v>28072</v>
      </c>
      <c r="D86" s="798">
        <v>7549</v>
      </c>
      <c r="E86" s="798">
        <v>7018</v>
      </c>
      <c r="F86" s="799"/>
      <c r="G86" s="798"/>
      <c r="H86" s="800">
        <f>SUM(C86:G86)</f>
        <v>42639</v>
      </c>
      <c r="I86" s="808">
        <v>222</v>
      </c>
      <c r="J86" s="799"/>
      <c r="K86" s="799"/>
      <c r="L86" s="800">
        <f>SUM(I86:K86)</f>
        <v>222</v>
      </c>
      <c r="M86" s="803">
        <f>SUM(H86+L86)</f>
        <v>42861</v>
      </c>
      <c r="N86" s="803"/>
      <c r="O86" s="803">
        <f>SUM(M86+N86)</f>
        <v>42861</v>
      </c>
    </row>
    <row r="87" spans="1:16" x14ac:dyDescent="0.25">
      <c r="A87" s="795"/>
      <c r="B87" s="796" t="s">
        <v>1156</v>
      </c>
      <c r="C87" s="797">
        <v>1024</v>
      </c>
      <c r="D87" s="798">
        <v>362</v>
      </c>
      <c r="E87" s="798">
        <v>180</v>
      </c>
      <c r="F87" s="799"/>
      <c r="G87" s="798"/>
      <c r="H87" s="800">
        <f>SUM(C87:G87)</f>
        <v>1566</v>
      </c>
      <c r="I87" s="808"/>
      <c r="J87" s="799"/>
      <c r="K87" s="799"/>
      <c r="L87" s="800">
        <f>SUM(I87:K87)</f>
        <v>0</v>
      </c>
      <c r="M87" s="803">
        <f>SUM(H87+L87)</f>
        <v>1566</v>
      </c>
      <c r="N87" s="803"/>
      <c r="O87" s="803">
        <f>SUM(M87+N87)</f>
        <v>1566</v>
      </c>
      <c r="P87" s="1117"/>
    </row>
    <row r="88" spans="1:16" x14ac:dyDescent="0.25">
      <c r="A88" s="795"/>
      <c r="B88" s="796" t="s">
        <v>243</v>
      </c>
      <c r="C88" s="797"/>
      <c r="D88" s="798"/>
      <c r="E88" s="798"/>
      <c r="F88" s="799"/>
      <c r="G88" s="798"/>
      <c r="H88" s="800"/>
      <c r="I88" s="808"/>
      <c r="J88" s="799"/>
      <c r="K88" s="799"/>
      <c r="L88" s="800"/>
      <c r="M88" s="803"/>
      <c r="N88" s="803"/>
      <c r="O88" s="803"/>
      <c r="P88" s="804"/>
    </row>
    <row r="89" spans="1:16" x14ac:dyDescent="0.25">
      <c r="A89" s="795"/>
      <c r="B89" s="813" t="s">
        <v>1426</v>
      </c>
      <c r="C89" s="814">
        <v>31</v>
      </c>
      <c r="D89" s="815">
        <v>8</v>
      </c>
      <c r="E89" s="798"/>
      <c r="F89" s="799"/>
      <c r="G89" s="798"/>
      <c r="H89" s="817">
        <f t="shared" ref="H89:H96" si="36">SUM(C89:G89)</f>
        <v>39</v>
      </c>
      <c r="I89" s="853"/>
      <c r="J89" s="816"/>
      <c r="K89" s="816"/>
      <c r="L89" s="817">
        <f t="shared" ref="L89:L96" si="37">SUM(I89:K89)</f>
        <v>0</v>
      </c>
      <c r="M89" s="820">
        <f t="shared" ref="M89:M96" si="38">SUM(H89+L89)</f>
        <v>39</v>
      </c>
      <c r="N89" s="820"/>
      <c r="O89" s="820">
        <f t="shared" ref="O89:O96" si="39">SUM(M89+N89)</f>
        <v>39</v>
      </c>
      <c r="P89" s="804"/>
    </row>
    <row r="90" spans="1:16" ht="31.5" x14ac:dyDescent="0.25">
      <c r="A90" s="830"/>
      <c r="B90" s="852" t="s">
        <v>1428</v>
      </c>
      <c r="C90" s="814">
        <v>132</v>
      </c>
      <c r="D90" s="815">
        <v>36</v>
      </c>
      <c r="E90" s="815"/>
      <c r="F90" s="799"/>
      <c r="G90" s="798"/>
      <c r="H90" s="817">
        <f t="shared" si="36"/>
        <v>168</v>
      </c>
      <c r="I90" s="853"/>
      <c r="J90" s="816"/>
      <c r="K90" s="816"/>
      <c r="L90" s="817">
        <f t="shared" si="37"/>
        <v>0</v>
      </c>
      <c r="M90" s="817">
        <f t="shared" si="38"/>
        <v>168</v>
      </c>
      <c r="N90" s="817"/>
      <c r="O90" s="817">
        <f t="shared" si="39"/>
        <v>168</v>
      </c>
      <c r="P90" s="804"/>
    </row>
    <row r="91" spans="1:16" ht="31.5" x14ac:dyDescent="0.25">
      <c r="A91" s="830"/>
      <c r="B91" s="852" t="s">
        <v>1429</v>
      </c>
      <c r="C91" s="814">
        <v>-14</v>
      </c>
      <c r="D91" s="815">
        <v>-4</v>
      </c>
      <c r="E91" s="798"/>
      <c r="F91" s="799"/>
      <c r="G91" s="798"/>
      <c r="H91" s="817">
        <f t="shared" si="36"/>
        <v>-18</v>
      </c>
      <c r="I91" s="853"/>
      <c r="J91" s="816"/>
      <c r="K91" s="816"/>
      <c r="L91" s="817">
        <f t="shared" si="37"/>
        <v>0</v>
      </c>
      <c r="M91" s="817">
        <f t="shared" si="38"/>
        <v>-18</v>
      </c>
      <c r="N91" s="817"/>
      <c r="O91" s="817">
        <f t="shared" si="39"/>
        <v>-18</v>
      </c>
      <c r="P91" s="804"/>
    </row>
    <row r="92" spans="1:16" s="804" customFormat="1" ht="78.75" x14ac:dyDescent="0.25">
      <c r="A92" s="795"/>
      <c r="B92" s="813" t="s">
        <v>1430</v>
      </c>
      <c r="C92" s="814">
        <v>1494</v>
      </c>
      <c r="D92" s="815">
        <v>403</v>
      </c>
      <c r="E92" s="815"/>
      <c r="F92" s="799"/>
      <c r="G92" s="798"/>
      <c r="H92" s="817">
        <f t="shared" si="36"/>
        <v>1897</v>
      </c>
      <c r="I92" s="853"/>
      <c r="J92" s="816"/>
      <c r="K92" s="816"/>
      <c r="L92" s="817">
        <f t="shared" si="37"/>
        <v>0</v>
      </c>
      <c r="M92" s="820">
        <f t="shared" si="38"/>
        <v>1897</v>
      </c>
      <c r="N92" s="820"/>
      <c r="O92" s="820">
        <f t="shared" si="39"/>
        <v>1897</v>
      </c>
      <c r="P92" s="781"/>
    </row>
    <row r="93" spans="1:16" s="804" customFormat="1" ht="31.5" x14ac:dyDescent="0.25">
      <c r="A93" s="795"/>
      <c r="B93" s="813" t="s">
        <v>1262</v>
      </c>
      <c r="C93" s="814"/>
      <c r="D93" s="815"/>
      <c r="E93" s="815">
        <f>1+209</f>
        <v>210</v>
      </c>
      <c r="F93" s="799"/>
      <c r="G93" s="798"/>
      <c r="H93" s="817">
        <f t="shared" si="36"/>
        <v>210</v>
      </c>
      <c r="I93" s="853"/>
      <c r="J93" s="816"/>
      <c r="K93" s="816"/>
      <c r="L93" s="817">
        <f t="shared" si="37"/>
        <v>0</v>
      </c>
      <c r="M93" s="820">
        <f t="shared" si="38"/>
        <v>210</v>
      </c>
      <c r="N93" s="820"/>
      <c r="O93" s="820">
        <f t="shared" si="39"/>
        <v>210</v>
      </c>
      <c r="P93" s="781"/>
    </row>
    <row r="94" spans="1:16" s="804" customFormat="1" ht="31.5" x14ac:dyDescent="0.25">
      <c r="A94" s="795"/>
      <c r="B94" s="813" t="s">
        <v>1315</v>
      </c>
      <c r="C94" s="814"/>
      <c r="D94" s="815"/>
      <c r="E94" s="815">
        <v>-1</v>
      </c>
      <c r="F94" s="799"/>
      <c r="G94" s="798"/>
      <c r="H94" s="817">
        <f t="shared" si="36"/>
        <v>-1</v>
      </c>
      <c r="I94" s="853">
        <v>1</v>
      </c>
      <c r="J94" s="816"/>
      <c r="K94" s="816"/>
      <c r="L94" s="817">
        <f t="shared" si="37"/>
        <v>1</v>
      </c>
      <c r="M94" s="820">
        <f t="shared" si="38"/>
        <v>0</v>
      </c>
      <c r="N94" s="820"/>
      <c r="O94" s="820">
        <f t="shared" si="39"/>
        <v>0</v>
      </c>
      <c r="P94" s="781"/>
    </row>
    <row r="95" spans="1:16" s="804" customFormat="1" x14ac:dyDescent="0.25">
      <c r="A95" s="795"/>
      <c r="B95" s="796" t="s">
        <v>244</v>
      </c>
      <c r="C95" s="797"/>
      <c r="D95" s="798"/>
      <c r="E95" s="798"/>
      <c r="F95" s="799"/>
      <c r="G95" s="798"/>
      <c r="H95" s="817"/>
      <c r="I95" s="853"/>
      <c r="J95" s="816"/>
      <c r="K95" s="816"/>
      <c r="L95" s="817"/>
      <c r="M95" s="820"/>
      <c r="N95" s="820"/>
      <c r="O95" s="820"/>
      <c r="P95" s="781"/>
    </row>
    <row r="96" spans="1:16" s="804" customFormat="1" ht="16.5" thickBot="1" x14ac:dyDescent="0.3">
      <c r="A96" s="830"/>
      <c r="B96" s="813" t="s">
        <v>1427</v>
      </c>
      <c r="C96" s="814">
        <v>192</v>
      </c>
      <c r="D96" s="815">
        <v>67</v>
      </c>
      <c r="E96" s="815"/>
      <c r="F96" s="799"/>
      <c r="G96" s="798"/>
      <c r="H96" s="817">
        <f t="shared" si="36"/>
        <v>259</v>
      </c>
      <c r="I96" s="853"/>
      <c r="J96" s="816"/>
      <c r="K96" s="816"/>
      <c r="L96" s="817">
        <f t="shared" si="37"/>
        <v>0</v>
      </c>
      <c r="M96" s="817">
        <f t="shared" si="38"/>
        <v>259</v>
      </c>
      <c r="N96" s="817"/>
      <c r="O96" s="817">
        <f t="shared" si="39"/>
        <v>259</v>
      </c>
      <c r="P96" s="781"/>
    </row>
    <row r="97" spans="1:16" s="804" customFormat="1" ht="17.25" thickTop="1" thickBot="1" x14ac:dyDescent="0.3">
      <c r="A97" s="807"/>
      <c r="B97" s="444" t="s">
        <v>1157</v>
      </c>
      <c r="C97" s="445">
        <f>+C85+C89+C90+C91+C96+C92+C93+C94</f>
        <v>30931</v>
      </c>
      <c r="D97" s="445">
        <f t="shared" ref="D97:O97" si="40">+D85+D89+D90+D91+D96+D92+D93+D94</f>
        <v>8421</v>
      </c>
      <c r="E97" s="445">
        <f t="shared" si="40"/>
        <v>7407</v>
      </c>
      <c r="F97" s="445">
        <f t="shared" si="40"/>
        <v>0</v>
      </c>
      <c r="G97" s="445">
        <f t="shared" si="40"/>
        <v>0</v>
      </c>
      <c r="H97" s="445">
        <f t="shared" si="40"/>
        <v>46759</v>
      </c>
      <c r="I97" s="445">
        <f t="shared" si="40"/>
        <v>223</v>
      </c>
      <c r="J97" s="445">
        <f t="shared" si="40"/>
        <v>0</v>
      </c>
      <c r="K97" s="445">
        <f t="shared" si="40"/>
        <v>0</v>
      </c>
      <c r="L97" s="445">
        <f t="shared" si="40"/>
        <v>223</v>
      </c>
      <c r="M97" s="445">
        <f t="shared" si="40"/>
        <v>46982</v>
      </c>
      <c r="N97" s="445">
        <f t="shared" si="40"/>
        <v>0</v>
      </c>
      <c r="O97" s="445">
        <f t="shared" si="40"/>
        <v>46982</v>
      </c>
    </row>
    <row r="98" spans="1:16" s="804" customFormat="1" ht="17.25" thickTop="1" thickBot="1" x14ac:dyDescent="0.3">
      <c r="A98" s="807"/>
      <c r="B98" s="444" t="s">
        <v>1158</v>
      </c>
      <c r="C98" s="445">
        <f t="shared" ref="C98:O98" si="41">+C86+C89+C90+C91+C92+C93+C94</f>
        <v>29715</v>
      </c>
      <c r="D98" s="445">
        <f t="shared" si="41"/>
        <v>7992</v>
      </c>
      <c r="E98" s="445">
        <f t="shared" si="41"/>
        <v>7227</v>
      </c>
      <c r="F98" s="445">
        <f t="shared" si="41"/>
        <v>0</v>
      </c>
      <c r="G98" s="445">
        <f t="shared" si="41"/>
        <v>0</v>
      </c>
      <c r="H98" s="445">
        <f t="shared" si="41"/>
        <v>44934</v>
      </c>
      <c r="I98" s="445">
        <f t="shared" si="41"/>
        <v>223</v>
      </c>
      <c r="J98" s="445">
        <f t="shared" si="41"/>
        <v>0</v>
      </c>
      <c r="K98" s="445">
        <f t="shared" si="41"/>
        <v>0</v>
      </c>
      <c r="L98" s="445">
        <f t="shared" si="41"/>
        <v>223</v>
      </c>
      <c r="M98" s="445">
        <f t="shared" si="41"/>
        <v>45157</v>
      </c>
      <c r="N98" s="445">
        <f t="shared" si="41"/>
        <v>0</v>
      </c>
      <c r="O98" s="445">
        <f t="shared" si="41"/>
        <v>45157</v>
      </c>
    </row>
    <row r="99" spans="1:16" s="804" customFormat="1" ht="17.25" thickTop="1" thickBot="1" x14ac:dyDescent="0.3">
      <c r="A99" s="807"/>
      <c r="B99" s="444" t="s">
        <v>1159</v>
      </c>
      <c r="C99" s="445">
        <f>+C87+C96</f>
        <v>1216</v>
      </c>
      <c r="D99" s="445">
        <f t="shared" ref="D99:O99" si="42">+D87+D96</f>
        <v>429</v>
      </c>
      <c r="E99" s="445">
        <f t="shared" si="42"/>
        <v>180</v>
      </c>
      <c r="F99" s="445">
        <f t="shared" si="42"/>
        <v>0</v>
      </c>
      <c r="G99" s="445">
        <f t="shared" si="42"/>
        <v>0</v>
      </c>
      <c r="H99" s="445">
        <f t="shared" si="42"/>
        <v>1825</v>
      </c>
      <c r="I99" s="445">
        <f t="shared" si="42"/>
        <v>0</v>
      </c>
      <c r="J99" s="445">
        <f t="shared" si="42"/>
        <v>0</v>
      </c>
      <c r="K99" s="445">
        <f t="shared" si="42"/>
        <v>0</v>
      </c>
      <c r="L99" s="445">
        <f t="shared" si="42"/>
        <v>0</v>
      </c>
      <c r="M99" s="445">
        <f t="shared" si="42"/>
        <v>1825</v>
      </c>
      <c r="N99" s="445">
        <f t="shared" si="42"/>
        <v>0</v>
      </c>
      <c r="O99" s="445">
        <f t="shared" si="42"/>
        <v>1825</v>
      </c>
    </row>
    <row r="100" spans="1:16" s="804" customFormat="1" ht="16.5" thickTop="1" x14ac:dyDescent="0.25">
      <c r="A100" s="791"/>
      <c r="B100" s="438" t="s">
        <v>549</v>
      </c>
      <c r="C100" s="439"/>
      <c r="D100" s="440"/>
      <c r="E100" s="440"/>
      <c r="F100" s="443"/>
      <c r="G100" s="440"/>
      <c r="H100" s="792"/>
      <c r="I100" s="793"/>
      <c r="J100" s="441"/>
      <c r="K100" s="441"/>
      <c r="L100" s="792"/>
      <c r="M100" s="792"/>
      <c r="N100" s="792"/>
      <c r="O100" s="792"/>
    </row>
    <row r="101" spans="1:16" s="804" customFormat="1" x14ac:dyDescent="0.25">
      <c r="A101" s="791" t="s">
        <v>338</v>
      </c>
      <c r="B101" s="442" t="s">
        <v>1125</v>
      </c>
      <c r="C101" s="439">
        <v>66616</v>
      </c>
      <c r="D101" s="440">
        <v>19287</v>
      </c>
      <c r="E101" s="440">
        <v>19797</v>
      </c>
      <c r="F101" s="441"/>
      <c r="G101" s="440"/>
      <c r="H101" s="792">
        <f>SUM(C101:G101)</f>
        <v>105700</v>
      </c>
      <c r="I101" s="793">
        <v>861</v>
      </c>
      <c r="J101" s="441"/>
      <c r="K101" s="441"/>
      <c r="L101" s="792">
        <f>SUM(I101:K101)</f>
        <v>861</v>
      </c>
      <c r="M101" s="794">
        <f>SUM(H101+L101)</f>
        <v>106561</v>
      </c>
      <c r="N101" s="794"/>
      <c r="O101" s="794">
        <f>SUM(M101+N101)</f>
        <v>106561</v>
      </c>
    </row>
    <row r="102" spans="1:16" s="804" customFormat="1" x14ac:dyDescent="0.25">
      <c r="A102" s="795"/>
      <c r="B102" s="796" t="s">
        <v>1263</v>
      </c>
      <c r="C102" s="797">
        <v>64370</v>
      </c>
      <c r="D102" s="798">
        <v>18489</v>
      </c>
      <c r="E102" s="798">
        <v>19517</v>
      </c>
      <c r="F102" s="799"/>
      <c r="G102" s="798"/>
      <c r="H102" s="800">
        <f>SUM(C102:G102)</f>
        <v>102376</v>
      </c>
      <c r="I102" s="808">
        <v>861</v>
      </c>
      <c r="J102" s="799"/>
      <c r="K102" s="799"/>
      <c r="L102" s="800">
        <f>SUM(I102:K102)</f>
        <v>861</v>
      </c>
      <c r="M102" s="803">
        <f>SUM(H102+L102)</f>
        <v>103237</v>
      </c>
      <c r="N102" s="803"/>
      <c r="O102" s="803">
        <f>SUM(M102+N102)</f>
        <v>103237</v>
      </c>
    </row>
    <row r="103" spans="1:16" s="804" customFormat="1" x14ac:dyDescent="0.25">
      <c r="A103" s="795"/>
      <c r="B103" s="796" t="s">
        <v>1156</v>
      </c>
      <c r="C103" s="797">
        <v>2246</v>
      </c>
      <c r="D103" s="798">
        <v>798</v>
      </c>
      <c r="E103" s="798">
        <v>280</v>
      </c>
      <c r="F103" s="799"/>
      <c r="G103" s="798"/>
      <c r="H103" s="800">
        <f>SUM(C103:G103)</f>
        <v>3324</v>
      </c>
      <c r="I103" s="808"/>
      <c r="J103" s="799"/>
      <c r="K103" s="799"/>
      <c r="L103" s="800">
        <f>SUM(I103:K103)</f>
        <v>0</v>
      </c>
      <c r="M103" s="803">
        <f>SUM(H103+L103)</f>
        <v>3324</v>
      </c>
      <c r="N103" s="803"/>
      <c r="O103" s="803">
        <f>SUM(M103+N103)</f>
        <v>3324</v>
      </c>
      <c r="P103" s="1117"/>
    </row>
    <row r="104" spans="1:16" x14ac:dyDescent="0.25">
      <c r="A104" s="795"/>
      <c r="B104" s="796" t="s">
        <v>243</v>
      </c>
      <c r="C104" s="797"/>
      <c r="D104" s="798"/>
      <c r="E104" s="798"/>
      <c r="F104" s="799"/>
      <c r="G104" s="798"/>
      <c r="H104" s="800"/>
      <c r="I104" s="808"/>
      <c r="J104" s="799"/>
      <c r="K104" s="799"/>
      <c r="L104" s="800"/>
      <c r="M104" s="803"/>
      <c r="N104" s="803"/>
      <c r="O104" s="803"/>
      <c r="P104" s="804"/>
    </row>
    <row r="105" spans="1:16" x14ac:dyDescent="0.25">
      <c r="A105" s="795"/>
      <c r="B105" s="813" t="s">
        <v>1426</v>
      </c>
      <c r="C105" s="814">
        <v>175</v>
      </c>
      <c r="D105" s="815">
        <v>47</v>
      </c>
      <c r="E105" s="798"/>
      <c r="F105" s="799"/>
      <c r="G105" s="798"/>
      <c r="H105" s="817">
        <f t="shared" ref="H105:H112" si="43">SUM(C105:G105)</f>
        <v>222</v>
      </c>
      <c r="I105" s="853"/>
      <c r="J105" s="816"/>
      <c r="K105" s="816"/>
      <c r="L105" s="817">
        <f t="shared" ref="L105:L112" si="44">SUM(I105:K105)</f>
        <v>0</v>
      </c>
      <c r="M105" s="820">
        <f t="shared" ref="M105:M112" si="45">SUM(H105+L105)</f>
        <v>222</v>
      </c>
      <c r="N105" s="820"/>
      <c r="O105" s="820">
        <f t="shared" ref="O105:O112" si="46">SUM(M105+N105)</f>
        <v>222</v>
      </c>
      <c r="P105" s="804"/>
    </row>
    <row r="106" spans="1:16" ht="31.5" x14ac:dyDescent="0.25">
      <c r="A106" s="795"/>
      <c r="B106" s="813" t="s">
        <v>1428</v>
      </c>
      <c r="C106" s="814">
        <v>353</v>
      </c>
      <c r="D106" s="815">
        <v>96</v>
      </c>
      <c r="E106" s="815"/>
      <c r="F106" s="799"/>
      <c r="G106" s="798"/>
      <c r="H106" s="817">
        <f t="shared" si="43"/>
        <v>449</v>
      </c>
      <c r="I106" s="853"/>
      <c r="J106" s="816"/>
      <c r="K106" s="816"/>
      <c r="L106" s="817">
        <f t="shared" si="44"/>
        <v>0</v>
      </c>
      <c r="M106" s="820">
        <f t="shared" si="45"/>
        <v>449</v>
      </c>
      <c r="N106" s="820"/>
      <c r="O106" s="820">
        <f t="shared" si="46"/>
        <v>449</v>
      </c>
      <c r="P106" s="804"/>
    </row>
    <row r="107" spans="1:16" ht="31.5" x14ac:dyDescent="0.25">
      <c r="A107" s="795"/>
      <c r="B107" s="813" t="s">
        <v>1429</v>
      </c>
      <c r="C107" s="814">
        <v>-13</v>
      </c>
      <c r="D107" s="815">
        <v>-3</v>
      </c>
      <c r="E107" s="815"/>
      <c r="F107" s="799"/>
      <c r="G107" s="798"/>
      <c r="H107" s="817">
        <f t="shared" si="43"/>
        <v>-16</v>
      </c>
      <c r="I107" s="853"/>
      <c r="J107" s="816"/>
      <c r="K107" s="816"/>
      <c r="L107" s="817">
        <f t="shared" si="44"/>
        <v>0</v>
      </c>
      <c r="M107" s="820">
        <f t="shared" si="45"/>
        <v>-16</v>
      </c>
      <c r="N107" s="820"/>
      <c r="O107" s="820">
        <f t="shared" si="46"/>
        <v>-16</v>
      </c>
      <c r="P107" s="804"/>
    </row>
    <row r="108" spans="1:16" ht="78.75" x14ac:dyDescent="0.25">
      <c r="A108" s="795"/>
      <c r="B108" s="813" t="s">
        <v>1430</v>
      </c>
      <c r="C108" s="814">
        <v>1746</v>
      </c>
      <c r="D108" s="815">
        <v>471</v>
      </c>
      <c r="E108" s="815"/>
      <c r="F108" s="799"/>
      <c r="G108" s="798"/>
      <c r="H108" s="817">
        <f t="shared" si="43"/>
        <v>2217</v>
      </c>
      <c r="I108" s="853"/>
      <c r="J108" s="816"/>
      <c r="K108" s="816"/>
      <c r="L108" s="817">
        <f t="shared" si="44"/>
        <v>0</v>
      </c>
      <c r="M108" s="820">
        <f t="shared" si="45"/>
        <v>2217</v>
      </c>
      <c r="N108" s="820"/>
      <c r="O108" s="820">
        <f t="shared" si="46"/>
        <v>2217</v>
      </c>
      <c r="P108" s="804"/>
    </row>
    <row r="109" spans="1:16" s="804" customFormat="1" ht="31.5" x14ac:dyDescent="0.25">
      <c r="A109" s="795"/>
      <c r="B109" s="813" t="s">
        <v>1315</v>
      </c>
      <c r="C109" s="814"/>
      <c r="D109" s="815"/>
      <c r="E109" s="815">
        <v>-42</v>
      </c>
      <c r="F109" s="799"/>
      <c r="G109" s="798"/>
      <c r="H109" s="817">
        <f t="shared" si="43"/>
        <v>-42</v>
      </c>
      <c r="I109" s="853">
        <v>42</v>
      </c>
      <c r="J109" s="816"/>
      <c r="K109" s="816"/>
      <c r="L109" s="817">
        <f t="shared" si="44"/>
        <v>42</v>
      </c>
      <c r="M109" s="820">
        <f t="shared" si="45"/>
        <v>0</v>
      </c>
      <c r="N109" s="820"/>
      <c r="O109" s="820">
        <f t="shared" si="46"/>
        <v>0</v>
      </c>
      <c r="P109" s="781"/>
    </row>
    <row r="110" spans="1:16" s="804" customFormat="1" ht="31.5" x14ac:dyDescent="0.25">
      <c r="A110" s="795"/>
      <c r="B110" s="813" t="s">
        <v>1262</v>
      </c>
      <c r="C110" s="814"/>
      <c r="D110" s="815"/>
      <c r="E110" s="815">
        <f>2+1188</f>
        <v>1190</v>
      </c>
      <c r="F110" s="799"/>
      <c r="G110" s="798"/>
      <c r="H110" s="817">
        <f t="shared" si="43"/>
        <v>1190</v>
      </c>
      <c r="I110" s="853"/>
      <c r="J110" s="816"/>
      <c r="K110" s="816"/>
      <c r="L110" s="817">
        <f t="shared" si="44"/>
        <v>0</v>
      </c>
      <c r="M110" s="820">
        <f t="shared" si="45"/>
        <v>1190</v>
      </c>
      <c r="N110" s="820"/>
      <c r="O110" s="820">
        <f t="shared" si="46"/>
        <v>1190</v>
      </c>
      <c r="P110" s="781"/>
    </row>
    <row r="111" spans="1:16" s="804" customFormat="1" x14ac:dyDescent="0.25">
      <c r="A111" s="795"/>
      <c r="B111" s="796" t="s">
        <v>244</v>
      </c>
      <c r="C111" s="797"/>
      <c r="D111" s="798"/>
      <c r="E111" s="798"/>
      <c r="F111" s="799"/>
      <c r="G111" s="798"/>
      <c r="H111" s="817"/>
      <c r="I111" s="853"/>
      <c r="J111" s="816"/>
      <c r="K111" s="816"/>
      <c r="L111" s="817"/>
      <c r="M111" s="820"/>
      <c r="N111" s="820"/>
      <c r="O111" s="820"/>
      <c r="P111" s="781"/>
    </row>
    <row r="112" spans="1:16" s="804" customFormat="1" ht="16.5" thickBot="1" x14ac:dyDescent="0.3">
      <c r="A112" s="795"/>
      <c r="B112" s="813" t="s">
        <v>1427</v>
      </c>
      <c r="C112" s="814">
        <v>438</v>
      </c>
      <c r="D112" s="815">
        <v>151</v>
      </c>
      <c r="E112" s="815"/>
      <c r="F112" s="799"/>
      <c r="G112" s="798"/>
      <c r="H112" s="817">
        <f t="shared" si="43"/>
        <v>589</v>
      </c>
      <c r="I112" s="853"/>
      <c r="J112" s="816"/>
      <c r="K112" s="816"/>
      <c r="L112" s="817">
        <f t="shared" si="44"/>
        <v>0</v>
      </c>
      <c r="M112" s="820">
        <f t="shared" si="45"/>
        <v>589</v>
      </c>
      <c r="N112" s="820"/>
      <c r="O112" s="820">
        <f t="shared" si="46"/>
        <v>589</v>
      </c>
      <c r="P112" s="781"/>
    </row>
    <row r="113" spans="1:16" s="804" customFormat="1" ht="17.25" thickTop="1" thickBot="1" x14ac:dyDescent="0.3">
      <c r="A113" s="807"/>
      <c r="B113" s="444" t="s">
        <v>1157</v>
      </c>
      <c r="C113" s="445">
        <f>+C101+C105+C106+C107+C112+C108+C109+C110</f>
        <v>69315</v>
      </c>
      <c r="D113" s="445">
        <f t="shared" ref="D113:O113" si="47">+D101+D105+D106+D107+D112+D108+D109+D110</f>
        <v>20049</v>
      </c>
      <c r="E113" s="445">
        <f t="shared" si="47"/>
        <v>20945</v>
      </c>
      <c r="F113" s="445">
        <f t="shared" si="47"/>
        <v>0</v>
      </c>
      <c r="G113" s="445">
        <f t="shared" si="47"/>
        <v>0</v>
      </c>
      <c r="H113" s="445">
        <f t="shared" si="47"/>
        <v>110309</v>
      </c>
      <c r="I113" s="445">
        <f t="shared" si="47"/>
        <v>903</v>
      </c>
      <c r="J113" s="445">
        <f t="shared" si="47"/>
        <v>0</v>
      </c>
      <c r="K113" s="445">
        <f t="shared" si="47"/>
        <v>0</v>
      </c>
      <c r="L113" s="445">
        <f t="shared" si="47"/>
        <v>903</v>
      </c>
      <c r="M113" s="445">
        <f t="shared" si="47"/>
        <v>111212</v>
      </c>
      <c r="N113" s="445">
        <f t="shared" si="47"/>
        <v>0</v>
      </c>
      <c r="O113" s="445">
        <f t="shared" si="47"/>
        <v>111212</v>
      </c>
      <c r="P113" s="781"/>
    </row>
    <row r="114" spans="1:16" s="804" customFormat="1" ht="17.25" thickTop="1" thickBot="1" x14ac:dyDescent="0.3">
      <c r="A114" s="807"/>
      <c r="B114" s="444" t="s">
        <v>1158</v>
      </c>
      <c r="C114" s="445">
        <f t="shared" ref="C114:O114" si="48">+C102+C105+C106+C107+C108+C109+C110</f>
        <v>66631</v>
      </c>
      <c r="D114" s="445">
        <f t="shared" si="48"/>
        <v>19100</v>
      </c>
      <c r="E114" s="445">
        <f t="shared" si="48"/>
        <v>20665</v>
      </c>
      <c r="F114" s="445">
        <f t="shared" si="48"/>
        <v>0</v>
      </c>
      <c r="G114" s="445">
        <f t="shared" si="48"/>
        <v>0</v>
      </c>
      <c r="H114" s="445">
        <f t="shared" si="48"/>
        <v>106396</v>
      </c>
      <c r="I114" s="445">
        <f t="shared" si="48"/>
        <v>903</v>
      </c>
      <c r="J114" s="445">
        <f t="shared" si="48"/>
        <v>0</v>
      </c>
      <c r="K114" s="445">
        <f t="shared" si="48"/>
        <v>0</v>
      </c>
      <c r="L114" s="445">
        <f t="shared" si="48"/>
        <v>903</v>
      </c>
      <c r="M114" s="445">
        <f t="shared" si="48"/>
        <v>107299</v>
      </c>
      <c r="N114" s="445">
        <f t="shared" si="48"/>
        <v>0</v>
      </c>
      <c r="O114" s="445">
        <f t="shared" si="48"/>
        <v>107299</v>
      </c>
    </row>
    <row r="115" spans="1:16" s="804" customFormat="1" ht="17.25" thickTop="1" thickBot="1" x14ac:dyDescent="0.3">
      <c r="A115" s="807"/>
      <c r="B115" s="444" t="s">
        <v>1159</v>
      </c>
      <c r="C115" s="445">
        <f>+C103+C112</f>
        <v>2684</v>
      </c>
      <c r="D115" s="445">
        <f t="shared" ref="D115:O115" si="49">+D103+D112</f>
        <v>949</v>
      </c>
      <c r="E115" s="445">
        <f t="shared" si="49"/>
        <v>280</v>
      </c>
      <c r="F115" s="445">
        <f t="shared" si="49"/>
        <v>0</v>
      </c>
      <c r="G115" s="445">
        <f t="shared" si="49"/>
        <v>0</v>
      </c>
      <c r="H115" s="445">
        <f t="shared" si="49"/>
        <v>3913</v>
      </c>
      <c r="I115" s="445">
        <f t="shared" si="49"/>
        <v>0</v>
      </c>
      <c r="J115" s="445">
        <f t="shared" si="49"/>
        <v>0</v>
      </c>
      <c r="K115" s="445">
        <f t="shared" si="49"/>
        <v>0</v>
      </c>
      <c r="L115" s="445">
        <f t="shared" si="49"/>
        <v>0</v>
      </c>
      <c r="M115" s="445">
        <f t="shared" si="49"/>
        <v>3913</v>
      </c>
      <c r="N115" s="445">
        <f t="shared" si="49"/>
        <v>0</v>
      </c>
      <c r="O115" s="445">
        <f t="shared" si="49"/>
        <v>3913</v>
      </c>
    </row>
    <row r="116" spans="1:16" s="804" customFormat="1" ht="16.5" thickTop="1" x14ac:dyDescent="0.25">
      <c r="A116" s="791" t="s">
        <v>341</v>
      </c>
      <c r="B116" s="438" t="s">
        <v>550</v>
      </c>
      <c r="C116" s="439"/>
      <c r="D116" s="440"/>
      <c r="E116" s="440"/>
      <c r="F116" s="443"/>
      <c r="G116" s="440"/>
      <c r="H116" s="792"/>
      <c r="I116" s="793"/>
      <c r="J116" s="441"/>
      <c r="K116" s="441"/>
      <c r="L116" s="792"/>
      <c r="M116" s="792"/>
      <c r="N116" s="792"/>
      <c r="O116" s="792"/>
    </row>
    <row r="117" spans="1:16" s="804" customFormat="1" x14ac:dyDescent="0.25">
      <c r="A117" s="791"/>
      <c r="B117" s="442" t="s">
        <v>1125</v>
      </c>
      <c r="C117" s="439">
        <v>56748</v>
      </c>
      <c r="D117" s="440">
        <v>16616</v>
      </c>
      <c r="E117" s="440">
        <v>26328</v>
      </c>
      <c r="F117" s="441"/>
      <c r="G117" s="440"/>
      <c r="H117" s="792">
        <f>SUM(C117:G117)</f>
        <v>99692</v>
      </c>
      <c r="I117" s="793">
        <v>1411</v>
      </c>
      <c r="J117" s="441"/>
      <c r="K117" s="441"/>
      <c r="L117" s="792">
        <f>SUM(I117:K117)</f>
        <v>1411</v>
      </c>
      <c r="M117" s="794">
        <f>SUM(H117+L117)</f>
        <v>101103</v>
      </c>
      <c r="N117" s="794"/>
      <c r="O117" s="794">
        <f>SUM(M117+N117)</f>
        <v>101103</v>
      </c>
    </row>
    <row r="118" spans="1:16" s="804" customFormat="1" x14ac:dyDescent="0.25">
      <c r="A118" s="795"/>
      <c r="B118" s="796" t="s">
        <v>1263</v>
      </c>
      <c r="C118" s="797">
        <v>54623</v>
      </c>
      <c r="D118" s="798">
        <v>15855</v>
      </c>
      <c r="E118" s="798">
        <v>26198</v>
      </c>
      <c r="F118" s="799"/>
      <c r="G118" s="798"/>
      <c r="H118" s="800">
        <f>SUM(C118:G118)</f>
        <v>96676</v>
      </c>
      <c r="I118" s="808">
        <v>1411</v>
      </c>
      <c r="J118" s="799"/>
      <c r="K118" s="799"/>
      <c r="L118" s="800">
        <f>SUM(I118:K118)</f>
        <v>1411</v>
      </c>
      <c r="M118" s="803">
        <f>SUM(H118+L118)</f>
        <v>98087</v>
      </c>
      <c r="N118" s="803"/>
      <c r="O118" s="803">
        <f>SUM(M118+N118)</f>
        <v>98087</v>
      </c>
    </row>
    <row r="119" spans="1:16" s="804" customFormat="1" x14ac:dyDescent="0.25">
      <c r="A119" s="795"/>
      <c r="B119" s="796" t="s">
        <v>1156</v>
      </c>
      <c r="C119" s="797">
        <v>2125</v>
      </c>
      <c r="D119" s="798">
        <v>761</v>
      </c>
      <c r="E119" s="798">
        <v>130</v>
      </c>
      <c r="F119" s="799"/>
      <c r="G119" s="798"/>
      <c r="H119" s="800">
        <f>SUM(C119:G119)</f>
        <v>3016</v>
      </c>
      <c r="I119" s="808"/>
      <c r="J119" s="799"/>
      <c r="K119" s="799"/>
      <c r="L119" s="800">
        <f>SUM(I119:K119)</f>
        <v>0</v>
      </c>
      <c r="M119" s="803">
        <f>SUM(H119+L119)</f>
        <v>3016</v>
      </c>
      <c r="N119" s="803"/>
      <c r="O119" s="803">
        <f>SUM(M119+N119)</f>
        <v>3016</v>
      </c>
    </row>
    <row r="120" spans="1:16" s="804" customFormat="1" x14ac:dyDescent="0.25">
      <c r="A120" s="795"/>
      <c r="B120" s="796" t="s">
        <v>243</v>
      </c>
      <c r="C120" s="797"/>
      <c r="D120" s="798"/>
      <c r="E120" s="798"/>
      <c r="F120" s="799"/>
      <c r="G120" s="798"/>
      <c r="H120" s="800"/>
      <c r="I120" s="808"/>
      <c r="J120" s="799"/>
      <c r="K120" s="799"/>
      <c r="L120" s="800"/>
      <c r="M120" s="803"/>
      <c r="N120" s="803"/>
      <c r="O120" s="803"/>
      <c r="P120" s="1117"/>
    </row>
    <row r="121" spans="1:16" s="804" customFormat="1" x14ac:dyDescent="0.25">
      <c r="A121" s="795"/>
      <c r="B121" s="813" t="s">
        <v>1426</v>
      </c>
      <c r="C121" s="814">
        <v>86</v>
      </c>
      <c r="D121" s="815">
        <v>24</v>
      </c>
      <c r="E121" s="798"/>
      <c r="F121" s="799"/>
      <c r="G121" s="798"/>
      <c r="H121" s="817">
        <f t="shared" ref="H121:H128" si="50">SUM(C121:G121)</f>
        <v>110</v>
      </c>
      <c r="I121" s="853"/>
      <c r="J121" s="816"/>
      <c r="K121" s="816"/>
      <c r="L121" s="817">
        <f t="shared" ref="L121:L128" si="51">SUM(I121:K121)</f>
        <v>0</v>
      </c>
      <c r="M121" s="820">
        <f t="shared" ref="M121:M128" si="52">SUM(H121+L121)</f>
        <v>110</v>
      </c>
      <c r="N121" s="820"/>
      <c r="O121" s="820">
        <f t="shared" ref="O121:O128" si="53">SUM(M121+N121)</f>
        <v>110</v>
      </c>
    </row>
    <row r="122" spans="1:16" ht="31.5" x14ac:dyDescent="0.25">
      <c r="A122" s="795"/>
      <c r="B122" s="813" t="s">
        <v>1428</v>
      </c>
      <c r="C122" s="814">
        <v>298</v>
      </c>
      <c r="D122" s="815">
        <v>80</v>
      </c>
      <c r="E122" s="815"/>
      <c r="F122" s="799"/>
      <c r="G122" s="798"/>
      <c r="H122" s="817">
        <f t="shared" si="50"/>
        <v>378</v>
      </c>
      <c r="I122" s="853"/>
      <c r="J122" s="816"/>
      <c r="K122" s="816"/>
      <c r="L122" s="817">
        <f t="shared" si="51"/>
        <v>0</v>
      </c>
      <c r="M122" s="820">
        <f t="shared" si="52"/>
        <v>378</v>
      </c>
      <c r="N122" s="820"/>
      <c r="O122" s="820">
        <f t="shared" si="53"/>
        <v>378</v>
      </c>
      <c r="P122" s="804"/>
    </row>
    <row r="123" spans="1:16" ht="31.5" x14ac:dyDescent="0.25">
      <c r="A123" s="830"/>
      <c r="B123" s="813" t="s">
        <v>1429</v>
      </c>
      <c r="C123" s="814">
        <v>77</v>
      </c>
      <c r="D123" s="815">
        <v>21</v>
      </c>
      <c r="E123" s="815"/>
      <c r="F123" s="799"/>
      <c r="G123" s="798"/>
      <c r="H123" s="817">
        <f t="shared" si="50"/>
        <v>98</v>
      </c>
      <c r="I123" s="853"/>
      <c r="J123" s="816"/>
      <c r="K123" s="816"/>
      <c r="L123" s="817">
        <f t="shared" si="51"/>
        <v>0</v>
      </c>
      <c r="M123" s="817">
        <f t="shared" si="52"/>
        <v>98</v>
      </c>
      <c r="N123" s="817"/>
      <c r="O123" s="817">
        <f t="shared" si="53"/>
        <v>98</v>
      </c>
      <c r="P123" s="804"/>
    </row>
    <row r="124" spans="1:16" ht="78.75" x14ac:dyDescent="0.25">
      <c r="A124" s="830"/>
      <c r="B124" s="813" t="s">
        <v>1430</v>
      </c>
      <c r="C124" s="814">
        <v>1508</v>
      </c>
      <c r="D124" s="815">
        <v>407</v>
      </c>
      <c r="E124" s="815"/>
      <c r="F124" s="799"/>
      <c r="G124" s="798"/>
      <c r="H124" s="817">
        <f t="shared" si="50"/>
        <v>1915</v>
      </c>
      <c r="I124" s="853"/>
      <c r="J124" s="816"/>
      <c r="K124" s="816"/>
      <c r="L124" s="817">
        <f t="shared" si="51"/>
        <v>0</v>
      </c>
      <c r="M124" s="817">
        <f t="shared" si="52"/>
        <v>1915</v>
      </c>
      <c r="N124" s="817"/>
      <c r="O124" s="817">
        <f t="shared" si="53"/>
        <v>1915</v>
      </c>
      <c r="P124" s="804"/>
    </row>
    <row r="125" spans="1:16" ht="63" x14ac:dyDescent="0.25">
      <c r="A125" s="795"/>
      <c r="B125" s="813" t="s">
        <v>1431</v>
      </c>
      <c r="C125" s="814">
        <v>229</v>
      </c>
      <c r="D125" s="815">
        <v>62</v>
      </c>
      <c r="E125" s="815"/>
      <c r="F125" s="799"/>
      <c r="G125" s="798"/>
      <c r="H125" s="817">
        <f t="shared" si="50"/>
        <v>291</v>
      </c>
      <c r="I125" s="853"/>
      <c r="J125" s="816"/>
      <c r="K125" s="816"/>
      <c r="L125" s="817">
        <f t="shared" si="51"/>
        <v>0</v>
      </c>
      <c r="M125" s="820">
        <f t="shared" si="52"/>
        <v>291</v>
      </c>
      <c r="N125" s="820"/>
      <c r="O125" s="820">
        <f t="shared" si="53"/>
        <v>291</v>
      </c>
      <c r="P125" s="804"/>
    </row>
    <row r="126" spans="1:16" ht="31.5" x14ac:dyDescent="0.25">
      <c r="A126" s="795"/>
      <c r="B126" s="813" t="s">
        <v>1262</v>
      </c>
      <c r="C126" s="814"/>
      <c r="D126" s="815">
        <v>880</v>
      </c>
      <c r="E126" s="815">
        <f>2055+1708</f>
        <v>3763</v>
      </c>
      <c r="F126" s="799"/>
      <c r="G126" s="798"/>
      <c r="H126" s="817">
        <f t="shared" si="50"/>
        <v>4643</v>
      </c>
      <c r="I126" s="853">
        <v>109</v>
      </c>
      <c r="J126" s="816"/>
      <c r="K126" s="816"/>
      <c r="L126" s="817">
        <f t="shared" si="51"/>
        <v>109</v>
      </c>
      <c r="M126" s="820">
        <f t="shared" si="52"/>
        <v>4752</v>
      </c>
      <c r="N126" s="820"/>
      <c r="O126" s="820">
        <f t="shared" si="53"/>
        <v>4752</v>
      </c>
      <c r="P126" s="804"/>
    </row>
    <row r="127" spans="1:16" s="804" customFormat="1" x14ac:dyDescent="0.25">
      <c r="A127" s="795"/>
      <c r="B127" s="796" t="s">
        <v>244</v>
      </c>
      <c r="C127" s="797"/>
      <c r="D127" s="798"/>
      <c r="E127" s="798"/>
      <c r="F127" s="799"/>
      <c r="G127" s="798"/>
      <c r="H127" s="817"/>
      <c r="I127" s="853"/>
      <c r="J127" s="816"/>
      <c r="K127" s="816"/>
      <c r="L127" s="817"/>
      <c r="M127" s="820"/>
      <c r="N127" s="820"/>
      <c r="O127" s="820"/>
      <c r="P127" s="781"/>
    </row>
    <row r="128" spans="1:16" s="804" customFormat="1" ht="16.5" thickBot="1" x14ac:dyDescent="0.3">
      <c r="A128" s="795"/>
      <c r="B128" s="813" t="s">
        <v>1427</v>
      </c>
      <c r="C128" s="814">
        <v>407</v>
      </c>
      <c r="D128" s="815">
        <v>141</v>
      </c>
      <c r="E128" s="815"/>
      <c r="F128" s="799"/>
      <c r="G128" s="798"/>
      <c r="H128" s="817">
        <f t="shared" si="50"/>
        <v>548</v>
      </c>
      <c r="I128" s="853"/>
      <c r="J128" s="816"/>
      <c r="K128" s="816"/>
      <c r="L128" s="817">
        <f t="shared" si="51"/>
        <v>0</v>
      </c>
      <c r="M128" s="820">
        <f t="shared" si="52"/>
        <v>548</v>
      </c>
      <c r="N128" s="820"/>
      <c r="O128" s="820">
        <f t="shared" si="53"/>
        <v>548</v>
      </c>
      <c r="P128" s="781"/>
    </row>
    <row r="129" spans="1:16" s="804" customFormat="1" ht="17.25" thickTop="1" thickBot="1" x14ac:dyDescent="0.3">
      <c r="A129" s="807"/>
      <c r="B129" s="444" t="s">
        <v>1157</v>
      </c>
      <c r="C129" s="445">
        <f>+C117+C121+C122+C123+C128+C124+C125+C126</f>
        <v>59353</v>
      </c>
      <c r="D129" s="445">
        <f t="shared" ref="D129:O129" si="54">+D117+D121+D122+D123+D128+D124+D125+D126</f>
        <v>18231</v>
      </c>
      <c r="E129" s="445">
        <f t="shared" si="54"/>
        <v>30091</v>
      </c>
      <c r="F129" s="445">
        <f t="shared" si="54"/>
        <v>0</v>
      </c>
      <c r="G129" s="445">
        <f t="shared" si="54"/>
        <v>0</v>
      </c>
      <c r="H129" s="445">
        <f t="shared" si="54"/>
        <v>107675</v>
      </c>
      <c r="I129" s="445">
        <f t="shared" si="54"/>
        <v>1520</v>
      </c>
      <c r="J129" s="445">
        <f t="shared" si="54"/>
        <v>0</v>
      </c>
      <c r="K129" s="445">
        <f t="shared" si="54"/>
        <v>0</v>
      </c>
      <c r="L129" s="445">
        <f t="shared" si="54"/>
        <v>1520</v>
      </c>
      <c r="M129" s="445">
        <f t="shared" si="54"/>
        <v>109195</v>
      </c>
      <c r="N129" s="445">
        <f t="shared" si="54"/>
        <v>0</v>
      </c>
      <c r="O129" s="445">
        <f t="shared" si="54"/>
        <v>109195</v>
      </c>
      <c r="P129" s="781"/>
    </row>
    <row r="130" spans="1:16" s="804" customFormat="1" ht="17.25" thickTop="1" thickBot="1" x14ac:dyDescent="0.3">
      <c r="A130" s="807"/>
      <c r="B130" s="444" t="s">
        <v>1158</v>
      </c>
      <c r="C130" s="445">
        <f t="shared" ref="C130:O130" si="55">+C118+C121+C122+C123+C124+C125+C126</f>
        <v>56821</v>
      </c>
      <c r="D130" s="445">
        <f t="shared" si="55"/>
        <v>17329</v>
      </c>
      <c r="E130" s="445">
        <f t="shared" si="55"/>
        <v>29961</v>
      </c>
      <c r="F130" s="445">
        <f t="shared" si="55"/>
        <v>0</v>
      </c>
      <c r="G130" s="445">
        <f t="shared" si="55"/>
        <v>0</v>
      </c>
      <c r="H130" s="445">
        <f t="shared" si="55"/>
        <v>104111</v>
      </c>
      <c r="I130" s="445">
        <f t="shared" si="55"/>
        <v>1520</v>
      </c>
      <c r="J130" s="445">
        <f t="shared" si="55"/>
        <v>0</v>
      </c>
      <c r="K130" s="445">
        <f t="shared" si="55"/>
        <v>0</v>
      </c>
      <c r="L130" s="445">
        <f t="shared" si="55"/>
        <v>1520</v>
      </c>
      <c r="M130" s="445">
        <f t="shared" si="55"/>
        <v>105631</v>
      </c>
      <c r="N130" s="445">
        <f t="shared" si="55"/>
        <v>0</v>
      </c>
      <c r="O130" s="445">
        <f t="shared" si="55"/>
        <v>105631</v>
      </c>
      <c r="P130" s="781"/>
    </row>
    <row r="131" spans="1:16" s="804" customFormat="1" ht="17.25" thickTop="1" thickBot="1" x14ac:dyDescent="0.3">
      <c r="A131" s="807"/>
      <c r="B131" s="444" t="s">
        <v>1159</v>
      </c>
      <c r="C131" s="445">
        <f>+C119+C128</f>
        <v>2532</v>
      </c>
      <c r="D131" s="445">
        <f t="shared" ref="D131:O131" si="56">+D119+D128</f>
        <v>902</v>
      </c>
      <c r="E131" s="445">
        <f t="shared" si="56"/>
        <v>130</v>
      </c>
      <c r="F131" s="445">
        <f t="shared" si="56"/>
        <v>0</v>
      </c>
      <c r="G131" s="445">
        <f t="shared" si="56"/>
        <v>0</v>
      </c>
      <c r="H131" s="445">
        <f t="shared" si="56"/>
        <v>3564</v>
      </c>
      <c r="I131" s="445">
        <f t="shared" si="56"/>
        <v>0</v>
      </c>
      <c r="J131" s="445">
        <f t="shared" si="56"/>
        <v>0</v>
      </c>
      <c r="K131" s="445">
        <f t="shared" si="56"/>
        <v>0</v>
      </c>
      <c r="L131" s="445">
        <f t="shared" si="56"/>
        <v>0</v>
      </c>
      <c r="M131" s="445">
        <f t="shared" si="56"/>
        <v>3564</v>
      </c>
      <c r="N131" s="445">
        <f t="shared" si="56"/>
        <v>0</v>
      </c>
      <c r="O131" s="445">
        <f t="shared" si="56"/>
        <v>3564</v>
      </c>
      <c r="P131" s="781"/>
    </row>
    <row r="132" spans="1:16" s="804" customFormat="1" ht="17.25" thickTop="1" thickBot="1" x14ac:dyDescent="0.3">
      <c r="A132" s="807"/>
      <c r="B132" s="444" t="s">
        <v>551</v>
      </c>
      <c r="C132" s="445">
        <f t="shared" ref="C132:O132" si="57">SUM(C50+C66+C81+C97+C113+C129)</f>
        <v>323373</v>
      </c>
      <c r="D132" s="445">
        <f t="shared" si="57"/>
        <v>90828</v>
      </c>
      <c r="E132" s="445">
        <f t="shared" si="57"/>
        <v>102331</v>
      </c>
      <c r="F132" s="445">
        <f t="shared" si="57"/>
        <v>0</v>
      </c>
      <c r="G132" s="445">
        <f t="shared" si="57"/>
        <v>0</v>
      </c>
      <c r="H132" s="445">
        <f t="shared" si="57"/>
        <v>516532</v>
      </c>
      <c r="I132" s="445">
        <f t="shared" si="57"/>
        <v>5847</v>
      </c>
      <c r="J132" s="445">
        <f t="shared" si="57"/>
        <v>0</v>
      </c>
      <c r="K132" s="445">
        <f t="shared" si="57"/>
        <v>0</v>
      </c>
      <c r="L132" s="445">
        <f t="shared" si="57"/>
        <v>5847</v>
      </c>
      <c r="M132" s="445">
        <f t="shared" si="57"/>
        <v>522379</v>
      </c>
      <c r="N132" s="445">
        <f t="shared" si="57"/>
        <v>0</v>
      </c>
      <c r="O132" s="445">
        <f t="shared" si="57"/>
        <v>522379</v>
      </c>
    </row>
    <row r="133" spans="1:16" s="804" customFormat="1" ht="16.5" thickTop="1" x14ac:dyDescent="0.25">
      <c r="A133" s="791" t="s">
        <v>344</v>
      </c>
      <c r="B133" s="438" t="s">
        <v>552</v>
      </c>
      <c r="C133" s="439"/>
      <c r="D133" s="440"/>
      <c r="E133" s="440"/>
      <c r="F133" s="443"/>
      <c r="G133" s="440"/>
      <c r="H133" s="792"/>
      <c r="I133" s="793"/>
      <c r="J133" s="441"/>
      <c r="K133" s="441"/>
      <c r="L133" s="792"/>
      <c r="M133" s="792"/>
      <c r="N133" s="792"/>
      <c r="O133" s="792"/>
    </row>
    <row r="134" spans="1:16" s="804" customFormat="1" x14ac:dyDescent="0.25">
      <c r="A134" s="791"/>
      <c r="B134" s="442" t="s">
        <v>1125</v>
      </c>
      <c r="C134" s="439">
        <v>145863</v>
      </c>
      <c r="D134" s="440">
        <v>41684</v>
      </c>
      <c r="E134" s="440">
        <v>61761</v>
      </c>
      <c r="F134" s="441"/>
      <c r="G134" s="440"/>
      <c r="H134" s="792">
        <f>SUM(C134:G134)</f>
        <v>249308</v>
      </c>
      <c r="I134" s="793">
        <v>707</v>
      </c>
      <c r="J134" s="441"/>
      <c r="K134" s="441"/>
      <c r="L134" s="792">
        <f>SUM(I134:K134)</f>
        <v>707</v>
      </c>
      <c r="M134" s="794">
        <f>SUM(H134+L134)</f>
        <v>250015</v>
      </c>
      <c r="N134" s="794"/>
      <c r="O134" s="794">
        <f>SUM(M134+N134)</f>
        <v>250015</v>
      </c>
    </row>
    <row r="135" spans="1:16" s="804" customFormat="1" x14ac:dyDescent="0.25">
      <c r="A135" s="791"/>
      <c r="B135" s="796" t="s">
        <v>1263</v>
      </c>
      <c r="C135" s="797">
        <v>142171</v>
      </c>
      <c r="D135" s="798">
        <v>40384</v>
      </c>
      <c r="E135" s="798">
        <v>61546</v>
      </c>
      <c r="F135" s="799"/>
      <c r="G135" s="798"/>
      <c r="H135" s="800">
        <f>SUM(C135:G135)</f>
        <v>244101</v>
      </c>
      <c r="I135" s="808">
        <v>707</v>
      </c>
      <c r="J135" s="799"/>
      <c r="K135" s="799"/>
      <c r="L135" s="800">
        <f>SUM(I135:K135)</f>
        <v>707</v>
      </c>
      <c r="M135" s="803">
        <f>SUM(H135+L135)</f>
        <v>244808</v>
      </c>
      <c r="N135" s="803"/>
      <c r="O135" s="803">
        <f>SUM(M135+N135)</f>
        <v>244808</v>
      </c>
    </row>
    <row r="136" spans="1:16" s="804" customFormat="1" x14ac:dyDescent="0.25">
      <c r="A136" s="791"/>
      <c r="B136" s="796" t="s">
        <v>1156</v>
      </c>
      <c r="C136" s="797">
        <v>3692</v>
      </c>
      <c r="D136" s="798">
        <v>1300</v>
      </c>
      <c r="E136" s="798">
        <v>215</v>
      </c>
      <c r="F136" s="799"/>
      <c r="G136" s="798"/>
      <c r="H136" s="800">
        <f>SUM(C136:G136)</f>
        <v>5207</v>
      </c>
      <c r="I136" s="808"/>
      <c r="J136" s="799"/>
      <c r="K136" s="799"/>
      <c r="L136" s="800">
        <f>SUM(I136:K136)</f>
        <v>0</v>
      </c>
      <c r="M136" s="803">
        <f>SUM(H136+L136)</f>
        <v>5207</v>
      </c>
      <c r="N136" s="803"/>
      <c r="O136" s="803">
        <f>SUM(M136+N136)</f>
        <v>5207</v>
      </c>
    </row>
    <row r="137" spans="1:16" s="804" customFormat="1" x14ac:dyDescent="0.25">
      <c r="A137" s="791"/>
      <c r="B137" s="796" t="s">
        <v>243</v>
      </c>
      <c r="C137" s="797"/>
      <c r="D137" s="798"/>
      <c r="E137" s="798"/>
      <c r="F137" s="799"/>
      <c r="G137" s="798"/>
      <c r="H137" s="800"/>
      <c r="I137" s="808"/>
      <c r="J137" s="799"/>
      <c r="K137" s="799"/>
      <c r="L137" s="800"/>
      <c r="M137" s="803"/>
      <c r="N137" s="803"/>
      <c r="O137" s="803"/>
    </row>
    <row r="138" spans="1:16" s="804" customFormat="1" x14ac:dyDescent="0.25">
      <c r="A138" s="791"/>
      <c r="B138" s="813" t="s">
        <v>1426</v>
      </c>
      <c r="C138" s="814">
        <v>27</v>
      </c>
      <c r="D138" s="815">
        <v>7</v>
      </c>
      <c r="E138" s="798"/>
      <c r="F138" s="799"/>
      <c r="G138" s="798"/>
      <c r="H138" s="817">
        <f t="shared" ref="H138:H142" si="58">SUM(C138:G138)</f>
        <v>34</v>
      </c>
      <c r="I138" s="853"/>
      <c r="J138" s="816"/>
      <c r="K138" s="816"/>
      <c r="L138" s="817">
        <f t="shared" ref="L138:L142" si="59">SUM(I138:K138)</f>
        <v>0</v>
      </c>
      <c r="M138" s="820">
        <f t="shared" ref="M138:M142" si="60">SUM(H138+L138)</f>
        <v>34</v>
      </c>
      <c r="N138" s="820"/>
      <c r="O138" s="820">
        <f t="shared" ref="O138:O142" si="61">SUM(M138+N138)</f>
        <v>34</v>
      </c>
      <c r="P138" s="1117"/>
    </row>
    <row r="139" spans="1:16" ht="31.5" x14ac:dyDescent="0.25">
      <c r="A139" s="791"/>
      <c r="B139" s="813" t="s">
        <v>1315</v>
      </c>
      <c r="C139" s="814"/>
      <c r="D139" s="815"/>
      <c r="E139" s="815">
        <v>-217</v>
      </c>
      <c r="F139" s="799"/>
      <c r="G139" s="798"/>
      <c r="H139" s="817">
        <f t="shared" si="58"/>
        <v>-217</v>
      </c>
      <c r="I139" s="853">
        <v>217</v>
      </c>
      <c r="J139" s="816"/>
      <c r="K139" s="816"/>
      <c r="L139" s="817">
        <f t="shared" si="59"/>
        <v>217</v>
      </c>
      <c r="M139" s="820">
        <f t="shared" si="60"/>
        <v>0</v>
      </c>
      <c r="N139" s="820"/>
      <c r="O139" s="820">
        <f t="shared" si="61"/>
        <v>0</v>
      </c>
      <c r="P139" s="804"/>
    </row>
    <row r="140" spans="1:16" ht="31.5" x14ac:dyDescent="0.25">
      <c r="A140" s="791"/>
      <c r="B140" s="813" t="s">
        <v>1262</v>
      </c>
      <c r="C140" s="814"/>
      <c r="D140" s="815"/>
      <c r="E140" s="815">
        <f>2154+655</f>
        <v>2809</v>
      </c>
      <c r="F140" s="799"/>
      <c r="G140" s="798"/>
      <c r="H140" s="817">
        <f t="shared" si="58"/>
        <v>2809</v>
      </c>
      <c r="I140" s="853"/>
      <c r="J140" s="816"/>
      <c r="K140" s="816"/>
      <c r="L140" s="817">
        <f t="shared" si="59"/>
        <v>0</v>
      </c>
      <c r="M140" s="820">
        <f t="shared" si="60"/>
        <v>2809</v>
      </c>
      <c r="N140" s="820"/>
      <c r="O140" s="820">
        <f t="shared" si="61"/>
        <v>2809</v>
      </c>
      <c r="P140" s="804"/>
    </row>
    <row r="141" spans="1:16" x14ac:dyDescent="0.25">
      <c r="A141" s="829"/>
      <c r="B141" s="831" t="s">
        <v>244</v>
      </c>
      <c r="C141" s="797"/>
      <c r="D141" s="798"/>
      <c r="E141" s="798"/>
      <c r="F141" s="799"/>
      <c r="G141" s="798"/>
      <c r="H141" s="817"/>
      <c r="I141" s="853"/>
      <c r="J141" s="816"/>
      <c r="K141" s="816"/>
      <c r="L141" s="817"/>
      <c r="M141" s="817"/>
      <c r="N141" s="817"/>
      <c r="O141" s="817"/>
      <c r="P141" s="804"/>
    </row>
    <row r="142" spans="1:16" ht="16.5" thickBot="1" x14ac:dyDescent="0.3">
      <c r="A142" s="1153"/>
      <c r="B142" s="959" t="s">
        <v>1427</v>
      </c>
      <c r="C142" s="976">
        <v>717</v>
      </c>
      <c r="D142" s="969">
        <v>247</v>
      </c>
      <c r="E142" s="969"/>
      <c r="F142" s="970"/>
      <c r="G142" s="968"/>
      <c r="H142" s="971">
        <f t="shared" si="58"/>
        <v>964</v>
      </c>
      <c r="I142" s="972"/>
      <c r="J142" s="973"/>
      <c r="K142" s="973"/>
      <c r="L142" s="971">
        <f t="shared" si="59"/>
        <v>0</v>
      </c>
      <c r="M142" s="971">
        <f t="shared" si="60"/>
        <v>964</v>
      </c>
      <c r="N142" s="971"/>
      <c r="O142" s="971">
        <f t="shared" si="61"/>
        <v>964</v>
      </c>
      <c r="P142" s="804"/>
    </row>
    <row r="143" spans="1:16" ht="17.25" thickTop="1" thickBot="1" x14ac:dyDescent="0.3">
      <c r="A143" s="807"/>
      <c r="B143" s="444" t="s">
        <v>1157</v>
      </c>
      <c r="C143" s="445">
        <f>+C134+C138+C139+C140+C142</f>
        <v>146607</v>
      </c>
      <c r="D143" s="445">
        <f t="shared" ref="D143:O143" si="62">+D134+D138+D139+D140+D142</f>
        <v>41938</v>
      </c>
      <c r="E143" s="445">
        <f t="shared" si="62"/>
        <v>64353</v>
      </c>
      <c r="F143" s="445">
        <f t="shared" si="62"/>
        <v>0</v>
      </c>
      <c r="G143" s="445">
        <f t="shared" si="62"/>
        <v>0</v>
      </c>
      <c r="H143" s="445">
        <f t="shared" si="62"/>
        <v>252898</v>
      </c>
      <c r="I143" s="445">
        <f t="shared" si="62"/>
        <v>924</v>
      </c>
      <c r="J143" s="445">
        <f t="shared" si="62"/>
        <v>0</v>
      </c>
      <c r="K143" s="445">
        <f t="shared" si="62"/>
        <v>0</v>
      </c>
      <c r="L143" s="445">
        <f t="shared" si="62"/>
        <v>924</v>
      </c>
      <c r="M143" s="445">
        <f t="shared" si="62"/>
        <v>253822</v>
      </c>
      <c r="N143" s="445">
        <f t="shared" si="62"/>
        <v>0</v>
      </c>
      <c r="O143" s="445">
        <f t="shared" si="62"/>
        <v>253822</v>
      </c>
      <c r="P143" s="804"/>
    </row>
    <row r="144" spans="1:16" ht="17.25" thickTop="1" thickBot="1" x14ac:dyDescent="0.3">
      <c r="A144" s="807"/>
      <c r="B144" s="444" t="s">
        <v>1158</v>
      </c>
      <c r="C144" s="445">
        <f>+C135+C138+C139+C140</f>
        <v>142198</v>
      </c>
      <c r="D144" s="445">
        <f t="shared" ref="D144:O144" si="63">+D135+D138+D139+D140</f>
        <v>40391</v>
      </c>
      <c r="E144" s="445">
        <f t="shared" si="63"/>
        <v>64138</v>
      </c>
      <c r="F144" s="445">
        <f t="shared" si="63"/>
        <v>0</v>
      </c>
      <c r="G144" s="445">
        <f t="shared" si="63"/>
        <v>0</v>
      </c>
      <c r="H144" s="445">
        <f t="shared" si="63"/>
        <v>246727</v>
      </c>
      <c r="I144" s="445">
        <f t="shared" si="63"/>
        <v>924</v>
      </c>
      <c r="J144" s="445">
        <f t="shared" si="63"/>
        <v>0</v>
      </c>
      <c r="K144" s="445">
        <f t="shared" si="63"/>
        <v>0</v>
      </c>
      <c r="L144" s="445">
        <f t="shared" si="63"/>
        <v>924</v>
      </c>
      <c r="M144" s="445">
        <f t="shared" si="63"/>
        <v>247651</v>
      </c>
      <c r="N144" s="445">
        <f t="shared" si="63"/>
        <v>0</v>
      </c>
      <c r="O144" s="445">
        <f t="shared" si="63"/>
        <v>247651</v>
      </c>
      <c r="P144" s="804"/>
    </row>
    <row r="145" spans="1:16" ht="17.25" thickTop="1" thickBot="1" x14ac:dyDescent="0.3">
      <c r="A145" s="807"/>
      <c r="B145" s="444" t="s">
        <v>1159</v>
      </c>
      <c r="C145" s="445">
        <f>+C136+C142</f>
        <v>4409</v>
      </c>
      <c r="D145" s="445">
        <f t="shared" ref="D145:O145" si="64">+D136+D142</f>
        <v>1547</v>
      </c>
      <c r="E145" s="445">
        <f t="shared" si="64"/>
        <v>215</v>
      </c>
      <c r="F145" s="445">
        <f t="shared" si="64"/>
        <v>0</v>
      </c>
      <c r="G145" s="445">
        <f t="shared" si="64"/>
        <v>0</v>
      </c>
      <c r="H145" s="445">
        <f t="shared" si="64"/>
        <v>6171</v>
      </c>
      <c r="I145" s="445">
        <f t="shared" si="64"/>
        <v>0</v>
      </c>
      <c r="J145" s="445">
        <f t="shared" si="64"/>
        <v>0</v>
      </c>
      <c r="K145" s="445">
        <f t="shared" si="64"/>
        <v>0</v>
      </c>
      <c r="L145" s="445">
        <f t="shared" si="64"/>
        <v>0</v>
      </c>
      <c r="M145" s="445">
        <f t="shared" si="64"/>
        <v>6171</v>
      </c>
      <c r="N145" s="445">
        <f t="shared" si="64"/>
        <v>0</v>
      </c>
      <c r="O145" s="445">
        <f t="shared" si="64"/>
        <v>6171</v>
      </c>
      <c r="P145" s="804"/>
    </row>
    <row r="146" spans="1:16" ht="16.5" thickTop="1" x14ac:dyDescent="0.25">
      <c r="A146" s="791" t="s">
        <v>0</v>
      </c>
      <c r="B146" s="438" t="s">
        <v>553</v>
      </c>
      <c r="C146" s="439"/>
      <c r="D146" s="440"/>
      <c r="E146" s="440"/>
      <c r="F146" s="443"/>
      <c r="G146" s="440"/>
      <c r="H146" s="792"/>
      <c r="I146" s="793"/>
      <c r="J146" s="441"/>
      <c r="K146" s="441"/>
      <c r="L146" s="792"/>
      <c r="M146" s="792"/>
      <c r="N146" s="792"/>
      <c r="O146" s="792"/>
      <c r="P146" s="804"/>
    </row>
    <row r="147" spans="1:16" x14ac:dyDescent="0.25">
      <c r="A147" s="791"/>
      <c r="B147" s="442" t="s">
        <v>1125</v>
      </c>
      <c r="C147" s="439">
        <v>148919</v>
      </c>
      <c r="D147" s="440">
        <v>42583</v>
      </c>
      <c r="E147" s="440">
        <v>56973</v>
      </c>
      <c r="F147" s="441"/>
      <c r="G147" s="440"/>
      <c r="H147" s="792">
        <f>SUM(C147:G147)</f>
        <v>248475</v>
      </c>
      <c r="I147" s="793">
        <v>708</v>
      </c>
      <c r="J147" s="441"/>
      <c r="K147" s="441"/>
      <c r="L147" s="792">
        <f>SUM(I147:K147)</f>
        <v>708</v>
      </c>
      <c r="M147" s="794">
        <f>SUM(H147+L147)</f>
        <v>249183</v>
      </c>
      <c r="N147" s="794"/>
      <c r="O147" s="794">
        <f>SUM(M147+N147)</f>
        <v>249183</v>
      </c>
    </row>
    <row r="148" spans="1:16" x14ac:dyDescent="0.25">
      <c r="A148" s="795"/>
      <c r="B148" s="796" t="s">
        <v>1263</v>
      </c>
      <c r="C148" s="797">
        <v>145048</v>
      </c>
      <c r="D148" s="798">
        <v>41215</v>
      </c>
      <c r="E148" s="798">
        <v>56768</v>
      </c>
      <c r="F148" s="799"/>
      <c r="G148" s="798"/>
      <c r="H148" s="800">
        <f>SUM(C148:G148)</f>
        <v>243031</v>
      </c>
      <c r="I148" s="808">
        <v>708</v>
      </c>
      <c r="J148" s="799"/>
      <c r="K148" s="799"/>
      <c r="L148" s="800">
        <f>SUM(I148:K148)</f>
        <v>708</v>
      </c>
      <c r="M148" s="803">
        <f>SUM(H148+L148)</f>
        <v>243739</v>
      </c>
      <c r="N148" s="803"/>
      <c r="O148" s="803">
        <f>SUM(M148+N148)</f>
        <v>243739</v>
      </c>
    </row>
    <row r="149" spans="1:16" x14ac:dyDescent="0.25">
      <c r="A149" s="795"/>
      <c r="B149" s="796" t="s">
        <v>1156</v>
      </c>
      <c r="C149" s="797">
        <v>3871</v>
      </c>
      <c r="D149" s="798">
        <v>1368</v>
      </c>
      <c r="E149" s="798">
        <v>205</v>
      </c>
      <c r="F149" s="799"/>
      <c r="G149" s="798"/>
      <c r="H149" s="800">
        <f>SUM(C149:G149)</f>
        <v>5444</v>
      </c>
      <c r="I149" s="808"/>
      <c r="J149" s="799"/>
      <c r="K149" s="799"/>
      <c r="L149" s="800">
        <f>SUM(I149:K149)</f>
        <v>0</v>
      </c>
      <c r="M149" s="803">
        <f>SUM(H149+L149)</f>
        <v>5444</v>
      </c>
      <c r="N149" s="803"/>
      <c r="O149" s="803">
        <f>SUM(M149+N149)</f>
        <v>5444</v>
      </c>
    </row>
    <row r="150" spans="1:16" x14ac:dyDescent="0.25">
      <c r="A150" s="795"/>
      <c r="B150" s="796" t="s">
        <v>243</v>
      </c>
      <c r="C150" s="797"/>
      <c r="D150" s="798"/>
      <c r="E150" s="798"/>
      <c r="F150" s="799"/>
      <c r="G150" s="798"/>
      <c r="H150" s="800"/>
      <c r="I150" s="808"/>
      <c r="J150" s="799"/>
      <c r="K150" s="799"/>
      <c r="L150" s="800"/>
      <c r="M150" s="803"/>
      <c r="N150" s="803"/>
      <c r="O150" s="803"/>
    </row>
    <row r="151" spans="1:16" x14ac:dyDescent="0.25">
      <c r="A151" s="795"/>
      <c r="B151" s="813" t="s">
        <v>1426</v>
      </c>
      <c r="C151" s="814">
        <v>50</v>
      </c>
      <c r="D151" s="815">
        <v>13</v>
      </c>
      <c r="E151" s="798"/>
      <c r="F151" s="799"/>
      <c r="G151" s="798"/>
      <c r="H151" s="817">
        <f t="shared" ref="H151:H155" si="65">SUM(C151:G151)</f>
        <v>63</v>
      </c>
      <c r="I151" s="853"/>
      <c r="J151" s="816"/>
      <c r="K151" s="816"/>
      <c r="L151" s="817">
        <f t="shared" ref="L151:L155" si="66">SUM(I151:K151)</f>
        <v>0</v>
      </c>
      <c r="M151" s="820">
        <f t="shared" ref="M151:M155" si="67">SUM(H151+L151)</f>
        <v>63</v>
      </c>
      <c r="N151" s="820"/>
      <c r="O151" s="820">
        <f t="shared" ref="O151:O155" si="68">SUM(M151+N151)</f>
        <v>63</v>
      </c>
    </row>
    <row r="152" spans="1:16" ht="31.5" x14ac:dyDescent="0.25">
      <c r="A152" s="795"/>
      <c r="B152" s="813" t="s">
        <v>1315</v>
      </c>
      <c r="C152" s="814"/>
      <c r="D152" s="815"/>
      <c r="E152" s="798">
        <v>-202</v>
      </c>
      <c r="F152" s="799"/>
      <c r="G152" s="798"/>
      <c r="H152" s="817">
        <f t="shared" si="65"/>
        <v>-202</v>
      </c>
      <c r="I152" s="853">
        <v>202</v>
      </c>
      <c r="J152" s="816"/>
      <c r="K152" s="816"/>
      <c r="L152" s="817">
        <f t="shared" si="66"/>
        <v>202</v>
      </c>
      <c r="M152" s="820">
        <f t="shared" si="67"/>
        <v>0</v>
      </c>
      <c r="N152" s="820"/>
      <c r="O152" s="820">
        <f t="shared" si="68"/>
        <v>0</v>
      </c>
    </row>
    <row r="153" spans="1:16" ht="31.5" x14ac:dyDescent="0.25">
      <c r="A153" s="830"/>
      <c r="B153" s="813" t="s">
        <v>1262</v>
      </c>
      <c r="C153" s="814"/>
      <c r="D153" s="815">
        <v>43</v>
      </c>
      <c r="E153" s="798">
        <f>4530+164</f>
        <v>4694</v>
      </c>
      <c r="F153" s="799"/>
      <c r="G153" s="798"/>
      <c r="H153" s="817">
        <f t="shared" si="65"/>
        <v>4737</v>
      </c>
      <c r="I153" s="853"/>
      <c r="J153" s="816"/>
      <c r="K153" s="816"/>
      <c r="L153" s="817">
        <f t="shared" si="66"/>
        <v>0</v>
      </c>
      <c r="M153" s="817">
        <f t="shared" si="67"/>
        <v>4737</v>
      </c>
      <c r="N153" s="817"/>
      <c r="O153" s="817">
        <f t="shared" si="68"/>
        <v>4737</v>
      </c>
    </row>
    <row r="154" spans="1:16" x14ac:dyDescent="0.25">
      <c r="A154" s="795"/>
      <c r="B154" s="796" t="s">
        <v>244</v>
      </c>
      <c r="C154" s="797"/>
      <c r="D154" s="798"/>
      <c r="E154" s="798"/>
      <c r="F154" s="799"/>
      <c r="G154" s="798"/>
      <c r="H154" s="817"/>
      <c r="I154" s="853"/>
      <c r="J154" s="816"/>
      <c r="K154" s="816"/>
      <c r="L154" s="817"/>
      <c r="M154" s="820"/>
      <c r="N154" s="820"/>
      <c r="O154" s="820"/>
      <c r="P154" s="780"/>
    </row>
    <row r="155" spans="1:16" ht="16.5" thickBot="1" x14ac:dyDescent="0.3">
      <c r="A155" s="795"/>
      <c r="B155" s="813" t="s">
        <v>1427</v>
      </c>
      <c r="C155" s="814">
        <v>756</v>
      </c>
      <c r="D155" s="815">
        <v>261</v>
      </c>
      <c r="E155" s="815"/>
      <c r="F155" s="799"/>
      <c r="G155" s="798"/>
      <c r="H155" s="817">
        <f t="shared" si="65"/>
        <v>1017</v>
      </c>
      <c r="I155" s="853"/>
      <c r="J155" s="816"/>
      <c r="K155" s="816"/>
      <c r="L155" s="817">
        <f t="shared" si="66"/>
        <v>0</v>
      </c>
      <c r="M155" s="820">
        <f t="shared" si="67"/>
        <v>1017</v>
      </c>
      <c r="N155" s="820"/>
      <c r="O155" s="820">
        <f t="shared" si="68"/>
        <v>1017</v>
      </c>
    </row>
    <row r="156" spans="1:16" ht="17.25" thickTop="1" thickBot="1" x14ac:dyDescent="0.3">
      <c r="A156" s="807"/>
      <c r="B156" s="444" t="s">
        <v>1157</v>
      </c>
      <c r="C156" s="445">
        <f>+C147+C151+C152+C153+C155</f>
        <v>149725</v>
      </c>
      <c r="D156" s="445">
        <f t="shared" ref="D156:O156" si="69">+D147+D151+D152+D153+D155</f>
        <v>42900</v>
      </c>
      <c r="E156" s="445">
        <f t="shared" si="69"/>
        <v>61465</v>
      </c>
      <c r="F156" s="445">
        <f t="shared" si="69"/>
        <v>0</v>
      </c>
      <c r="G156" s="445">
        <f t="shared" si="69"/>
        <v>0</v>
      </c>
      <c r="H156" s="445">
        <f t="shared" si="69"/>
        <v>254090</v>
      </c>
      <c r="I156" s="445">
        <f t="shared" si="69"/>
        <v>910</v>
      </c>
      <c r="J156" s="445">
        <f t="shared" si="69"/>
        <v>0</v>
      </c>
      <c r="K156" s="445">
        <f t="shared" si="69"/>
        <v>0</v>
      </c>
      <c r="L156" s="445">
        <f t="shared" si="69"/>
        <v>910</v>
      </c>
      <c r="M156" s="445">
        <f t="shared" si="69"/>
        <v>255000</v>
      </c>
      <c r="N156" s="445">
        <f t="shared" si="69"/>
        <v>0</v>
      </c>
      <c r="O156" s="445">
        <f t="shared" si="69"/>
        <v>255000</v>
      </c>
    </row>
    <row r="157" spans="1:16" ht="17.25" thickTop="1" thickBot="1" x14ac:dyDescent="0.3">
      <c r="A157" s="807"/>
      <c r="B157" s="444" t="s">
        <v>1158</v>
      </c>
      <c r="C157" s="445">
        <f>+C148+C151+C152+C153</f>
        <v>145098</v>
      </c>
      <c r="D157" s="445">
        <f t="shared" ref="D157:O157" si="70">+D148+D151+D152+D153</f>
        <v>41271</v>
      </c>
      <c r="E157" s="445">
        <f t="shared" si="70"/>
        <v>61260</v>
      </c>
      <c r="F157" s="445">
        <f t="shared" si="70"/>
        <v>0</v>
      </c>
      <c r="G157" s="445">
        <f t="shared" si="70"/>
        <v>0</v>
      </c>
      <c r="H157" s="445">
        <f t="shared" si="70"/>
        <v>247629</v>
      </c>
      <c r="I157" s="445">
        <f t="shared" si="70"/>
        <v>910</v>
      </c>
      <c r="J157" s="445">
        <f t="shared" si="70"/>
        <v>0</v>
      </c>
      <c r="K157" s="445">
        <f t="shared" si="70"/>
        <v>0</v>
      </c>
      <c r="L157" s="445">
        <f t="shared" si="70"/>
        <v>910</v>
      </c>
      <c r="M157" s="445">
        <f t="shared" si="70"/>
        <v>248539</v>
      </c>
      <c r="N157" s="445">
        <f t="shared" si="70"/>
        <v>0</v>
      </c>
      <c r="O157" s="445">
        <f t="shared" si="70"/>
        <v>248539</v>
      </c>
    </row>
    <row r="158" spans="1:16" ht="17.25" thickTop="1" thickBot="1" x14ac:dyDescent="0.3">
      <c r="A158" s="807"/>
      <c r="B158" s="444" t="s">
        <v>1159</v>
      </c>
      <c r="C158" s="445">
        <f>+C149+C155</f>
        <v>4627</v>
      </c>
      <c r="D158" s="445">
        <f t="shared" ref="D158:O158" si="71">+D149+D155</f>
        <v>1629</v>
      </c>
      <c r="E158" s="445">
        <f t="shared" si="71"/>
        <v>205</v>
      </c>
      <c r="F158" s="445">
        <f t="shared" si="71"/>
        <v>0</v>
      </c>
      <c r="G158" s="445">
        <f t="shared" si="71"/>
        <v>0</v>
      </c>
      <c r="H158" s="445">
        <f t="shared" si="71"/>
        <v>6461</v>
      </c>
      <c r="I158" s="445">
        <f t="shared" si="71"/>
        <v>0</v>
      </c>
      <c r="J158" s="445">
        <f t="shared" si="71"/>
        <v>0</v>
      </c>
      <c r="K158" s="445">
        <f t="shared" si="71"/>
        <v>0</v>
      </c>
      <c r="L158" s="445">
        <f t="shared" si="71"/>
        <v>0</v>
      </c>
      <c r="M158" s="445">
        <f t="shared" si="71"/>
        <v>6461</v>
      </c>
      <c r="N158" s="445">
        <f t="shared" si="71"/>
        <v>0</v>
      </c>
      <c r="O158" s="445">
        <f t="shared" si="71"/>
        <v>6461</v>
      </c>
    </row>
    <row r="159" spans="1:16" ht="32.25" thickTop="1" x14ac:dyDescent="0.25">
      <c r="A159" s="822" t="s">
        <v>1</v>
      </c>
      <c r="B159" s="823" t="s">
        <v>554</v>
      </c>
      <c r="C159" s="824"/>
      <c r="D159" s="825"/>
      <c r="E159" s="825"/>
      <c r="F159" s="826"/>
      <c r="G159" s="825"/>
      <c r="H159" s="827"/>
      <c r="I159" s="828"/>
      <c r="J159" s="826"/>
      <c r="K159" s="826"/>
      <c r="L159" s="827"/>
      <c r="M159" s="827"/>
      <c r="N159" s="827"/>
      <c r="O159" s="827"/>
    </row>
    <row r="160" spans="1:16" s="804" customFormat="1" x14ac:dyDescent="0.25">
      <c r="A160" s="791"/>
      <c r="B160" s="442" t="s">
        <v>1125</v>
      </c>
      <c r="C160" s="439">
        <v>162171</v>
      </c>
      <c r="D160" s="440">
        <v>46260</v>
      </c>
      <c r="E160" s="440">
        <v>90979</v>
      </c>
      <c r="F160" s="441"/>
      <c r="G160" s="440"/>
      <c r="H160" s="792">
        <f>SUM(C160:G160)</f>
        <v>299410</v>
      </c>
      <c r="I160" s="793">
        <v>195</v>
      </c>
      <c r="J160" s="441"/>
      <c r="K160" s="441"/>
      <c r="L160" s="792">
        <f>SUM(I160:K160)</f>
        <v>195</v>
      </c>
      <c r="M160" s="794">
        <f>SUM(H160+L160)</f>
        <v>299605</v>
      </c>
      <c r="N160" s="794"/>
      <c r="O160" s="794">
        <f>SUM(M160+N160)</f>
        <v>299605</v>
      </c>
      <c r="P160" s="781"/>
    </row>
    <row r="161" spans="1:16" s="804" customFormat="1" x14ac:dyDescent="0.25">
      <c r="A161" s="795"/>
      <c r="B161" s="796" t="s">
        <v>1263</v>
      </c>
      <c r="C161" s="797">
        <v>157913</v>
      </c>
      <c r="D161" s="798">
        <v>44759</v>
      </c>
      <c r="E161" s="798">
        <v>90924</v>
      </c>
      <c r="F161" s="799"/>
      <c r="G161" s="798"/>
      <c r="H161" s="800">
        <f>SUM(C161:G161)</f>
        <v>293596</v>
      </c>
      <c r="I161" s="808">
        <v>195</v>
      </c>
      <c r="J161" s="799"/>
      <c r="K161" s="799"/>
      <c r="L161" s="800">
        <f>SUM(I161:K161)</f>
        <v>195</v>
      </c>
      <c r="M161" s="803">
        <f>SUM(H161+L161)</f>
        <v>293791</v>
      </c>
      <c r="N161" s="803"/>
      <c r="O161" s="803">
        <f>SUM(M161+N161)</f>
        <v>293791</v>
      </c>
      <c r="P161" s="781"/>
    </row>
    <row r="162" spans="1:16" s="804" customFormat="1" x14ac:dyDescent="0.25">
      <c r="A162" s="795"/>
      <c r="B162" s="796" t="s">
        <v>1156</v>
      </c>
      <c r="C162" s="797">
        <v>4258</v>
      </c>
      <c r="D162" s="798">
        <v>1501</v>
      </c>
      <c r="E162" s="798">
        <v>55</v>
      </c>
      <c r="F162" s="799"/>
      <c r="G162" s="798"/>
      <c r="H162" s="800">
        <f>SUM(C162:G162)</f>
        <v>5814</v>
      </c>
      <c r="I162" s="808"/>
      <c r="J162" s="799"/>
      <c r="K162" s="799"/>
      <c r="L162" s="800">
        <f>SUM(I162:K162)</f>
        <v>0</v>
      </c>
      <c r="M162" s="803">
        <f>SUM(H162+L162)</f>
        <v>5814</v>
      </c>
      <c r="N162" s="803"/>
      <c r="O162" s="803">
        <f>SUM(M162+N162)</f>
        <v>5814</v>
      </c>
      <c r="P162" s="781"/>
    </row>
    <row r="163" spans="1:16" s="804" customFormat="1" x14ac:dyDescent="0.25">
      <c r="A163" s="795"/>
      <c r="B163" s="796" t="s">
        <v>243</v>
      </c>
      <c r="C163" s="797"/>
      <c r="D163" s="798"/>
      <c r="E163" s="798"/>
      <c r="F163" s="799"/>
      <c r="G163" s="798"/>
      <c r="H163" s="800"/>
      <c r="I163" s="808"/>
      <c r="J163" s="799"/>
      <c r="K163" s="799"/>
      <c r="L163" s="800"/>
      <c r="M163" s="803"/>
      <c r="N163" s="803"/>
      <c r="O163" s="803"/>
      <c r="P163" s="781"/>
    </row>
    <row r="164" spans="1:16" s="804" customFormat="1" x14ac:dyDescent="0.25">
      <c r="A164" s="795"/>
      <c r="B164" s="813" t="s">
        <v>1426</v>
      </c>
      <c r="C164" s="814">
        <v>63</v>
      </c>
      <c r="D164" s="815">
        <v>17</v>
      </c>
      <c r="E164" s="798"/>
      <c r="F164" s="799"/>
      <c r="G164" s="798"/>
      <c r="H164" s="817">
        <f t="shared" ref="H164:H169" si="72">SUM(C164:G164)</f>
        <v>80</v>
      </c>
      <c r="I164" s="853"/>
      <c r="J164" s="816"/>
      <c r="K164" s="816"/>
      <c r="L164" s="817">
        <f t="shared" ref="L164:L169" si="73">SUM(I164:K164)</f>
        <v>0</v>
      </c>
      <c r="M164" s="820">
        <f t="shared" ref="M164:M169" si="74">SUM(H164+L164)</f>
        <v>80</v>
      </c>
      <c r="N164" s="820"/>
      <c r="O164" s="820">
        <f t="shared" ref="O164:O169" si="75">SUM(M164+N164)</f>
        <v>80</v>
      </c>
      <c r="P164" s="781"/>
    </row>
    <row r="165" spans="1:16" s="804" customFormat="1" ht="31.5" x14ac:dyDescent="0.25">
      <c r="A165" s="795"/>
      <c r="B165" s="813" t="s">
        <v>1209</v>
      </c>
      <c r="C165" s="814">
        <v>327</v>
      </c>
      <c r="D165" s="815">
        <v>88</v>
      </c>
      <c r="E165" s="815"/>
      <c r="F165" s="799"/>
      <c r="G165" s="798"/>
      <c r="H165" s="817">
        <f t="shared" si="72"/>
        <v>415</v>
      </c>
      <c r="I165" s="853"/>
      <c r="J165" s="816"/>
      <c r="K165" s="816"/>
      <c r="L165" s="817">
        <f t="shared" si="73"/>
        <v>0</v>
      </c>
      <c r="M165" s="820">
        <f t="shared" si="74"/>
        <v>415</v>
      </c>
      <c r="N165" s="820"/>
      <c r="O165" s="820">
        <f t="shared" si="75"/>
        <v>415</v>
      </c>
      <c r="P165" s="781"/>
    </row>
    <row r="166" spans="1:16" s="804" customFormat="1" ht="31.5" x14ac:dyDescent="0.25">
      <c r="A166" s="795"/>
      <c r="B166" s="813" t="s">
        <v>1315</v>
      </c>
      <c r="C166" s="814"/>
      <c r="D166" s="815"/>
      <c r="E166" s="815">
        <v>-1233</v>
      </c>
      <c r="F166" s="799"/>
      <c r="G166" s="798"/>
      <c r="H166" s="817">
        <f t="shared" si="72"/>
        <v>-1233</v>
      </c>
      <c r="I166" s="853">
        <v>1233</v>
      </c>
      <c r="J166" s="816"/>
      <c r="K166" s="816"/>
      <c r="L166" s="817">
        <f t="shared" si="73"/>
        <v>1233</v>
      </c>
      <c r="M166" s="820">
        <f t="shared" si="74"/>
        <v>0</v>
      </c>
      <c r="N166" s="820"/>
      <c r="O166" s="820">
        <f t="shared" si="75"/>
        <v>0</v>
      </c>
      <c r="P166" s="781"/>
    </row>
    <row r="167" spans="1:16" s="804" customFormat="1" ht="31.5" x14ac:dyDescent="0.25">
      <c r="A167" s="795"/>
      <c r="B167" s="813" t="s">
        <v>1262</v>
      </c>
      <c r="C167" s="814"/>
      <c r="D167" s="815">
        <v>77</v>
      </c>
      <c r="E167" s="815">
        <f>2165+1215</f>
        <v>3380</v>
      </c>
      <c r="F167" s="799"/>
      <c r="G167" s="798"/>
      <c r="H167" s="817">
        <f t="shared" si="72"/>
        <v>3457</v>
      </c>
      <c r="I167" s="853"/>
      <c r="J167" s="816"/>
      <c r="K167" s="816"/>
      <c r="L167" s="817">
        <f t="shared" si="73"/>
        <v>0</v>
      </c>
      <c r="M167" s="820">
        <f t="shared" si="74"/>
        <v>3457</v>
      </c>
      <c r="N167" s="820"/>
      <c r="O167" s="820">
        <f t="shared" si="75"/>
        <v>3457</v>
      </c>
      <c r="P167" s="781"/>
    </row>
    <row r="168" spans="1:16" s="804" customFormat="1" x14ac:dyDescent="0.25">
      <c r="A168" s="795"/>
      <c r="B168" s="796" t="s">
        <v>244</v>
      </c>
      <c r="C168" s="814"/>
      <c r="D168" s="815"/>
      <c r="E168" s="798"/>
      <c r="F168" s="799"/>
      <c r="G168" s="798"/>
      <c r="H168" s="817"/>
      <c r="I168" s="853"/>
      <c r="J168" s="816"/>
      <c r="K168" s="816"/>
      <c r="L168" s="817"/>
      <c r="M168" s="820"/>
      <c r="N168" s="820"/>
      <c r="O168" s="820"/>
      <c r="P168" s="781"/>
    </row>
    <row r="169" spans="1:16" s="804" customFormat="1" ht="16.5" thickBot="1" x14ac:dyDescent="0.3">
      <c r="A169" s="795"/>
      <c r="B169" s="813" t="s">
        <v>1427</v>
      </c>
      <c r="C169" s="814">
        <v>815</v>
      </c>
      <c r="D169" s="815">
        <v>281</v>
      </c>
      <c r="E169" s="815"/>
      <c r="F169" s="799"/>
      <c r="G169" s="798"/>
      <c r="H169" s="817">
        <f t="shared" si="72"/>
        <v>1096</v>
      </c>
      <c r="I169" s="853"/>
      <c r="J169" s="816"/>
      <c r="K169" s="816"/>
      <c r="L169" s="817">
        <f t="shared" si="73"/>
        <v>0</v>
      </c>
      <c r="M169" s="820">
        <f t="shared" si="74"/>
        <v>1096</v>
      </c>
      <c r="N169" s="820"/>
      <c r="O169" s="820">
        <f t="shared" si="75"/>
        <v>1096</v>
      </c>
    </row>
    <row r="170" spans="1:16" ht="17.25" thickTop="1" thickBot="1" x14ac:dyDescent="0.3">
      <c r="A170" s="807"/>
      <c r="B170" s="444" t="s">
        <v>1157</v>
      </c>
      <c r="C170" s="445">
        <f>+C160+C164+C165+C169+C166+C167</f>
        <v>163376</v>
      </c>
      <c r="D170" s="445">
        <f t="shared" ref="D170:O170" si="76">+D160+D164+D165+D169+D166+D167</f>
        <v>46723</v>
      </c>
      <c r="E170" s="445">
        <f t="shared" si="76"/>
        <v>93126</v>
      </c>
      <c r="F170" s="445">
        <f t="shared" si="76"/>
        <v>0</v>
      </c>
      <c r="G170" s="445">
        <f t="shared" si="76"/>
        <v>0</v>
      </c>
      <c r="H170" s="445">
        <f t="shared" si="76"/>
        <v>303225</v>
      </c>
      <c r="I170" s="445">
        <f t="shared" si="76"/>
        <v>1428</v>
      </c>
      <c r="J170" s="445">
        <f t="shared" si="76"/>
        <v>0</v>
      </c>
      <c r="K170" s="445">
        <f t="shared" si="76"/>
        <v>0</v>
      </c>
      <c r="L170" s="445">
        <f t="shared" si="76"/>
        <v>1428</v>
      </c>
      <c r="M170" s="445">
        <f t="shared" si="76"/>
        <v>304653</v>
      </c>
      <c r="N170" s="445">
        <f t="shared" si="76"/>
        <v>0</v>
      </c>
      <c r="O170" s="445">
        <f t="shared" si="76"/>
        <v>304653</v>
      </c>
      <c r="P170" s="804"/>
    </row>
    <row r="171" spans="1:16" ht="17.25" thickTop="1" thickBot="1" x14ac:dyDescent="0.3">
      <c r="A171" s="807"/>
      <c r="B171" s="444" t="s">
        <v>1158</v>
      </c>
      <c r="C171" s="445">
        <f>+C161+C164+C165+C166+C167</f>
        <v>158303</v>
      </c>
      <c r="D171" s="445">
        <f t="shared" ref="D171:O171" si="77">+D161+D164+D165+D166+D167</f>
        <v>44941</v>
      </c>
      <c r="E171" s="445">
        <f t="shared" si="77"/>
        <v>93071</v>
      </c>
      <c r="F171" s="445">
        <f t="shared" si="77"/>
        <v>0</v>
      </c>
      <c r="G171" s="445">
        <f t="shared" si="77"/>
        <v>0</v>
      </c>
      <c r="H171" s="445">
        <f t="shared" si="77"/>
        <v>296315</v>
      </c>
      <c r="I171" s="445">
        <f t="shared" si="77"/>
        <v>1428</v>
      </c>
      <c r="J171" s="445">
        <f t="shared" si="77"/>
        <v>0</v>
      </c>
      <c r="K171" s="445">
        <f t="shared" si="77"/>
        <v>0</v>
      </c>
      <c r="L171" s="445">
        <f t="shared" si="77"/>
        <v>1428</v>
      </c>
      <c r="M171" s="445">
        <f t="shared" si="77"/>
        <v>297743</v>
      </c>
      <c r="N171" s="445">
        <f t="shared" si="77"/>
        <v>0</v>
      </c>
      <c r="O171" s="445">
        <f t="shared" si="77"/>
        <v>297743</v>
      </c>
      <c r="P171" s="804"/>
    </row>
    <row r="172" spans="1:16" ht="17.25" thickTop="1" thickBot="1" x14ac:dyDescent="0.3">
      <c r="A172" s="807"/>
      <c r="B172" s="444" t="s">
        <v>1159</v>
      </c>
      <c r="C172" s="445">
        <f>+C162+C169</f>
        <v>5073</v>
      </c>
      <c r="D172" s="445">
        <f t="shared" ref="D172:O172" si="78">+D162+D169</f>
        <v>1782</v>
      </c>
      <c r="E172" s="445">
        <f t="shared" si="78"/>
        <v>55</v>
      </c>
      <c r="F172" s="445">
        <f t="shared" si="78"/>
        <v>0</v>
      </c>
      <c r="G172" s="445">
        <f t="shared" si="78"/>
        <v>0</v>
      </c>
      <c r="H172" s="445">
        <f t="shared" si="78"/>
        <v>6910</v>
      </c>
      <c r="I172" s="445">
        <f t="shared" si="78"/>
        <v>0</v>
      </c>
      <c r="J172" s="445">
        <f t="shared" si="78"/>
        <v>0</v>
      </c>
      <c r="K172" s="445">
        <f t="shared" si="78"/>
        <v>0</v>
      </c>
      <c r="L172" s="445">
        <f t="shared" si="78"/>
        <v>0</v>
      </c>
      <c r="M172" s="445">
        <f t="shared" si="78"/>
        <v>6910</v>
      </c>
      <c r="N172" s="445">
        <f t="shared" si="78"/>
        <v>0</v>
      </c>
      <c r="O172" s="445">
        <f t="shared" si="78"/>
        <v>6910</v>
      </c>
      <c r="P172" s="1117"/>
    </row>
    <row r="173" spans="1:16" ht="16.5" thickTop="1" x14ac:dyDescent="0.25">
      <c r="A173" s="822" t="s">
        <v>2</v>
      </c>
      <c r="B173" s="823" t="s">
        <v>555</v>
      </c>
      <c r="C173" s="824"/>
      <c r="D173" s="825"/>
      <c r="E173" s="825"/>
      <c r="F173" s="826"/>
      <c r="G173" s="825"/>
      <c r="H173" s="827"/>
      <c r="I173" s="828"/>
      <c r="J173" s="826"/>
      <c r="K173" s="826"/>
      <c r="L173" s="827"/>
      <c r="M173" s="827"/>
      <c r="N173" s="827"/>
      <c r="O173" s="827"/>
      <c r="P173" s="804"/>
    </row>
    <row r="174" spans="1:16" x14ac:dyDescent="0.25">
      <c r="A174" s="829"/>
      <c r="B174" s="438" t="s">
        <v>1125</v>
      </c>
      <c r="C174" s="439">
        <v>109171</v>
      </c>
      <c r="D174" s="440">
        <v>30969</v>
      </c>
      <c r="E174" s="440">
        <v>49854</v>
      </c>
      <c r="F174" s="441"/>
      <c r="G174" s="440"/>
      <c r="H174" s="792">
        <f>SUM(C174:G174)</f>
        <v>189994</v>
      </c>
      <c r="I174" s="793">
        <v>5370</v>
      </c>
      <c r="J174" s="441"/>
      <c r="K174" s="441"/>
      <c r="L174" s="792">
        <f>SUM(I174:K174)</f>
        <v>5370</v>
      </c>
      <c r="M174" s="792">
        <f>SUM(H174+L174)</f>
        <v>195364</v>
      </c>
      <c r="N174" s="792"/>
      <c r="O174" s="792">
        <f>SUM(M174+N174)</f>
        <v>195364</v>
      </c>
      <c r="P174" s="804"/>
    </row>
    <row r="175" spans="1:16" s="804" customFormat="1" x14ac:dyDescent="0.25">
      <c r="A175" s="830"/>
      <c r="B175" s="796" t="s">
        <v>1263</v>
      </c>
      <c r="C175" s="797">
        <v>106649</v>
      </c>
      <c r="D175" s="798">
        <v>30074</v>
      </c>
      <c r="E175" s="798">
        <v>49489</v>
      </c>
      <c r="F175" s="799"/>
      <c r="G175" s="798"/>
      <c r="H175" s="800">
        <f>SUM(C175:G175)</f>
        <v>186212</v>
      </c>
      <c r="I175" s="808">
        <v>5370</v>
      </c>
      <c r="J175" s="799"/>
      <c r="K175" s="799"/>
      <c r="L175" s="800">
        <f>SUM(I175:K175)</f>
        <v>5370</v>
      </c>
      <c r="M175" s="803">
        <f>SUM(H175+L175)</f>
        <v>191582</v>
      </c>
      <c r="N175" s="803"/>
      <c r="O175" s="803">
        <f>SUM(M175+N175)</f>
        <v>191582</v>
      </c>
    </row>
    <row r="176" spans="1:16" s="804" customFormat="1" x14ac:dyDescent="0.25">
      <c r="A176" s="830"/>
      <c r="B176" s="796" t="s">
        <v>1156</v>
      </c>
      <c r="C176" s="797">
        <v>2522</v>
      </c>
      <c r="D176" s="798">
        <v>895</v>
      </c>
      <c r="E176" s="798">
        <v>365</v>
      </c>
      <c r="F176" s="799"/>
      <c r="G176" s="798"/>
      <c r="H176" s="800">
        <f>SUM(C176:G176)</f>
        <v>3782</v>
      </c>
      <c r="I176" s="808"/>
      <c r="J176" s="799"/>
      <c r="K176" s="799"/>
      <c r="L176" s="800">
        <f>SUM(I176:K176)</f>
        <v>0</v>
      </c>
      <c r="M176" s="803">
        <f>SUM(H176+L176)</f>
        <v>3782</v>
      </c>
      <c r="N176" s="803"/>
      <c r="O176" s="803">
        <f>SUM(M176+N176)</f>
        <v>3782</v>
      </c>
    </row>
    <row r="177" spans="1:16" s="804" customFormat="1" x14ac:dyDescent="0.25">
      <c r="A177" s="829"/>
      <c r="B177" s="831" t="s">
        <v>243</v>
      </c>
      <c r="C177" s="439"/>
      <c r="D177" s="440"/>
      <c r="E177" s="440"/>
      <c r="F177" s="441"/>
      <c r="G177" s="440"/>
      <c r="H177" s="792"/>
      <c r="I177" s="793"/>
      <c r="J177" s="441"/>
      <c r="K177" s="441"/>
      <c r="L177" s="792"/>
      <c r="M177" s="794"/>
      <c r="N177" s="794"/>
      <c r="O177" s="794"/>
    </row>
    <row r="178" spans="1:16" s="804" customFormat="1" x14ac:dyDescent="0.25">
      <c r="A178" s="829"/>
      <c r="B178" s="813" t="s">
        <v>1426</v>
      </c>
      <c r="C178" s="439">
        <v>64</v>
      </c>
      <c r="D178" s="440">
        <v>18</v>
      </c>
      <c r="E178" s="440"/>
      <c r="F178" s="441"/>
      <c r="G178" s="440"/>
      <c r="H178" s="792">
        <f>SUM(C178:G178)</f>
        <v>82</v>
      </c>
      <c r="I178" s="793"/>
      <c r="J178" s="441"/>
      <c r="K178" s="441"/>
      <c r="L178" s="792">
        <f>SUM(I178:K178)</f>
        <v>0</v>
      </c>
      <c r="M178" s="792">
        <f>SUM(H178+L178)</f>
        <v>82</v>
      </c>
      <c r="N178" s="792"/>
      <c r="O178" s="792">
        <f>SUM(M178+N178)</f>
        <v>82</v>
      </c>
    </row>
    <row r="179" spans="1:16" s="804" customFormat="1" ht="31.5" x14ac:dyDescent="0.25">
      <c r="A179" s="830"/>
      <c r="B179" s="813" t="s">
        <v>1209</v>
      </c>
      <c r="C179" s="814">
        <v>270</v>
      </c>
      <c r="D179" s="815">
        <v>73</v>
      </c>
      <c r="E179" s="815"/>
      <c r="F179" s="799"/>
      <c r="G179" s="798"/>
      <c r="H179" s="792">
        <f t="shared" ref="H179:H183" si="79">SUM(C179:G179)</f>
        <v>343</v>
      </c>
      <c r="I179" s="808"/>
      <c r="J179" s="799"/>
      <c r="K179" s="799"/>
      <c r="L179" s="792">
        <f t="shared" ref="L179:L183" si="80">SUM(I179:K179)</f>
        <v>0</v>
      </c>
      <c r="M179" s="792">
        <f t="shared" ref="M179:M183" si="81">SUM(H179+L179)</f>
        <v>343</v>
      </c>
      <c r="N179" s="803"/>
      <c r="O179" s="792">
        <f t="shared" ref="O179:O183" si="82">SUM(M179+N179)</f>
        <v>343</v>
      </c>
    </row>
    <row r="180" spans="1:16" s="804" customFormat="1" ht="31.5" x14ac:dyDescent="0.25">
      <c r="A180" s="830"/>
      <c r="B180" s="813" t="s">
        <v>1315</v>
      </c>
      <c r="C180" s="814"/>
      <c r="D180" s="815"/>
      <c r="E180" s="815">
        <v>-289</v>
      </c>
      <c r="F180" s="799"/>
      <c r="G180" s="798"/>
      <c r="H180" s="792">
        <f t="shared" si="79"/>
        <v>-289</v>
      </c>
      <c r="I180" s="808">
        <v>289</v>
      </c>
      <c r="J180" s="799"/>
      <c r="K180" s="799"/>
      <c r="L180" s="792">
        <f t="shared" si="80"/>
        <v>289</v>
      </c>
      <c r="M180" s="792">
        <f t="shared" si="81"/>
        <v>0</v>
      </c>
      <c r="N180" s="803"/>
      <c r="O180" s="792">
        <f t="shared" si="82"/>
        <v>0</v>
      </c>
      <c r="P180" s="781"/>
    </row>
    <row r="181" spans="1:16" s="804" customFormat="1" ht="31.5" x14ac:dyDescent="0.25">
      <c r="A181" s="830"/>
      <c r="B181" s="813" t="s">
        <v>1262</v>
      </c>
      <c r="C181" s="814"/>
      <c r="D181" s="815"/>
      <c r="E181" s="815">
        <f>3164+27</f>
        <v>3191</v>
      </c>
      <c r="F181" s="799"/>
      <c r="G181" s="798"/>
      <c r="H181" s="792">
        <f t="shared" si="79"/>
        <v>3191</v>
      </c>
      <c r="I181" s="808"/>
      <c r="J181" s="799"/>
      <c r="K181" s="799"/>
      <c r="L181" s="792">
        <f t="shared" si="80"/>
        <v>0</v>
      </c>
      <c r="M181" s="792">
        <f t="shared" si="81"/>
        <v>3191</v>
      </c>
      <c r="N181" s="803"/>
      <c r="O181" s="792">
        <f t="shared" si="82"/>
        <v>3191</v>
      </c>
      <c r="P181" s="781"/>
    </row>
    <row r="182" spans="1:16" s="804" customFormat="1" x14ac:dyDescent="0.25">
      <c r="A182" s="830"/>
      <c r="B182" s="831" t="s">
        <v>244</v>
      </c>
      <c r="C182" s="797"/>
      <c r="D182" s="798"/>
      <c r="E182" s="798"/>
      <c r="F182" s="799"/>
      <c r="G182" s="798"/>
      <c r="H182" s="792"/>
      <c r="I182" s="808"/>
      <c r="J182" s="799"/>
      <c r="K182" s="799"/>
      <c r="L182" s="792"/>
      <c r="M182" s="792"/>
      <c r="N182" s="800"/>
      <c r="O182" s="792"/>
      <c r="P182" s="781"/>
    </row>
    <row r="183" spans="1:16" ht="16.5" thickBot="1" x14ac:dyDescent="0.3">
      <c r="A183" s="830"/>
      <c r="B183" s="813" t="s">
        <v>1427</v>
      </c>
      <c r="C183" s="814">
        <v>468</v>
      </c>
      <c r="D183" s="815">
        <v>162</v>
      </c>
      <c r="E183" s="815"/>
      <c r="F183" s="799"/>
      <c r="G183" s="798"/>
      <c r="H183" s="792">
        <f t="shared" si="79"/>
        <v>630</v>
      </c>
      <c r="I183" s="808"/>
      <c r="J183" s="799"/>
      <c r="K183" s="799"/>
      <c r="L183" s="792">
        <f t="shared" si="80"/>
        <v>0</v>
      </c>
      <c r="M183" s="792">
        <f t="shared" si="81"/>
        <v>630</v>
      </c>
      <c r="N183" s="800"/>
      <c r="O183" s="792">
        <f t="shared" si="82"/>
        <v>630</v>
      </c>
    </row>
    <row r="184" spans="1:16" ht="17.25" thickTop="1" thickBot="1" x14ac:dyDescent="0.3">
      <c r="A184" s="807"/>
      <c r="B184" s="444" t="s">
        <v>1157</v>
      </c>
      <c r="C184" s="445">
        <f>+C174+C178+C179+C180+C183+C181</f>
        <v>109973</v>
      </c>
      <c r="D184" s="445">
        <f t="shared" ref="D184:O184" si="83">+D174+D178+D179+D180+D183+D181</f>
        <v>31222</v>
      </c>
      <c r="E184" s="445">
        <f t="shared" si="83"/>
        <v>52756</v>
      </c>
      <c r="F184" s="445">
        <f t="shared" si="83"/>
        <v>0</v>
      </c>
      <c r="G184" s="445">
        <f t="shared" si="83"/>
        <v>0</v>
      </c>
      <c r="H184" s="445">
        <f t="shared" si="83"/>
        <v>193951</v>
      </c>
      <c r="I184" s="445">
        <f t="shared" si="83"/>
        <v>5659</v>
      </c>
      <c r="J184" s="445">
        <f t="shared" si="83"/>
        <v>0</v>
      </c>
      <c r="K184" s="445">
        <f t="shared" si="83"/>
        <v>0</v>
      </c>
      <c r="L184" s="445">
        <f t="shared" si="83"/>
        <v>5659</v>
      </c>
      <c r="M184" s="445">
        <f t="shared" si="83"/>
        <v>199610</v>
      </c>
      <c r="N184" s="445">
        <f t="shared" si="83"/>
        <v>0</v>
      </c>
      <c r="O184" s="445">
        <f t="shared" si="83"/>
        <v>199610</v>
      </c>
    </row>
    <row r="185" spans="1:16" ht="17.25" thickTop="1" thickBot="1" x14ac:dyDescent="0.3">
      <c r="A185" s="807"/>
      <c r="B185" s="444" t="s">
        <v>1158</v>
      </c>
      <c r="C185" s="445">
        <f t="shared" ref="C185:O185" si="84">+C175+C178+C179+C180+C181</f>
        <v>106983</v>
      </c>
      <c r="D185" s="445">
        <f t="shared" si="84"/>
        <v>30165</v>
      </c>
      <c r="E185" s="445">
        <f t="shared" si="84"/>
        <v>52391</v>
      </c>
      <c r="F185" s="445">
        <f t="shared" si="84"/>
        <v>0</v>
      </c>
      <c r="G185" s="445">
        <f t="shared" si="84"/>
        <v>0</v>
      </c>
      <c r="H185" s="445">
        <f t="shared" si="84"/>
        <v>189539</v>
      </c>
      <c r="I185" s="445">
        <f t="shared" si="84"/>
        <v>5659</v>
      </c>
      <c r="J185" s="445">
        <f t="shared" si="84"/>
        <v>0</v>
      </c>
      <c r="K185" s="445">
        <f t="shared" si="84"/>
        <v>0</v>
      </c>
      <c r="L185" s="445">
        <f t="shared" si="84"/>
        <v>5659</v>
      </c>
      <c r="M185" s="445">
        <f t="shared" si="84"/>
        <v>195198</v>
      </c>
      <c r="N185" s="445">
        <f t="shared" si="84"/>
        <v>0</v>
      </c>
      <c r="O185" s="445">
        <f t="shared" si="84"/>
        <v>195198</v>
      </c>
    </row>
    <row r="186" spans="1:16" ht="17.25" thickTop="1" thickBot="1" x14ac:dyDescent="0.3">
      <c r="A186" s="807"/>
      <c r="B186" s="444" t="s">
        <v>1159</v>
      </c>
      <c r="C186" s="445">
        <f>+C176+C183</f>
        <v>2990</v>
      </c>
      <c r="D186" s="445">
        <f t="shared" ref="D186:O186" si="85">+D176+D183</f>
        <v>1057</v>
      </c>
      <c r="E186" s="445">
        <f t="shared" si="85"/>
        <v>365</v>
      </c>
      <c r="F186" s="445">
        <f t="shared" si="85"/>
        <v>0</v>
      </c>
      <c r="G186" s="445">
        <f t="shared" si="85"/>
        <v>0</v>
      </c>
      <c r="H186" s="445">
        <f t="shared" si="85"/>
        <v>4412</v>
      </c>
      <c r="I186" s="445">
        <f t="shared" si="85"/>
        <v>0</v>
      </c>
      <c r="J186" s="445">
        <f t="shared" si="85"/>
        <v>0</v>
      </c>
      <c r="K186" s="445">
        <f t="shared" si="85"/>
        <v>0</v>
      </c>
      <c r="L186" s="445">
        <f t="shared" si="85"/>
        <v>0</v>
      </c>
      <c r="M186" s="445">
        <f t="shared" si="85"/>
        <v>4412</v>
      </c>
      <c r="N186" s="445">
        <f t="shared" si="85"/>
        <v>0</v>
      </c>
      <c r="O186" s="445">
        <f t="shared" si="85"/>
        <v>4412</v>
      </c>
    </row>
    <row r="187" spans="1:16" ht="16.5" thickTop="1" x14ac:dyDescent="0.25">
      <c r="A187" s="791" t="s">
        <v>3</v>
      </c>
      <c r="B187" s="438" t="s">
        <v>556</v>
      </c>
      <c r="C187" s="439"/>
      <c r="D187" s="440"/>
      <c r="E187" s="440"/>
      <c r="F187" s="443"/>
      <c r="G187" s="440"/>
      <c r="H187" s="792"/>
      <c r="I187" s="793"/>
      <c r="J187" s="441"/>
      <c r="K187" s="441"/>
      <c r="L187" s="792"/>
      <c r="M187" s="792"/>
      <c r="N187" s="792"/>
      <c r="O187" s="792"/>
    </row>
    <row r="188" spans="1:16" s="804" customFormat="1" x14ac:dyDescent="0.25">
      <c r="A188" s="791"/>
      <c r="B188" s="442" t="s">
        <v>1125</v>
      </c>
      <c r="C188" s="439">
        <v>129243</v>
      </c>
      <c r="D188" s="440">
        <v>36873</v>
      </c>
      <c r="E188" s="440">
        <v>63372</v>
      </c>
      <c r="F188" s="441"/>
      <c r="G188" s="440"/>
      <c r="H188" s="792">
        <f>SUM(C188:G188)</f>
        <v>229488</v>
      </c>
      <c r="I188" s="793">
        <v>2113</v>
      </c>
      <c r="J188" s="441"/>
      <c r="K188" s="441"/>
      <c r="L188" s="792">
        <f>SUM(I188:K188)</f>
        <v>2113</v>
      </c>
      <c r="M188" s="794">
        <f>SUM(H188+L188)</f>
        <v>231601</v>
      </c>
      <c r="N188" s="794"/>
      <c r="O188" s="794">
        <f>SUM(M188+N188)</f>
        <v>231601</v>
      </c>
      <c r="P188" s="1117"/>
    </row>
    <row r="189" spans="1:16" s="804" customFormat="1" x14ac:dyDescent="0.25">
      <c r="A189" s="795"/>
      <c r="B189" s="796" t="s">
        <v>1263</v>
      </c>
      <c r="C189" s="797">
        <v>126029</v>
      </c>
      <c r="D189" s="798">
        <v>35739</v>
      </c>
      <c r="E189" s="798">
        <v>63257</v>
      </c>
      <c r="F189" s="799"/>
      <c r="G189" s="798"/>
      <c r="H189" s="800">
        <f>SUM(C189:G189)</f>
        <v>225025</v>
      </c>
      <c r="I189" s="808">
        <v>2113</v>
      </c>
      <c r="J189" s="799"/>
      <c r="K189" s="799"/>
      <c r="L189" s="800">
        <f>SUM(I189:K189)</f>
        <v>2113</v>
      </c>
      <c r="M189" s="803">
        <f>SUM(H189+L189)</f>
        <v>227138</v>
      </c>
      <c r="N189" s="803"/>
      <c r="O189" s="803">
        <f>SUM(M189+N189)</f>
        <v>227138</v>
      </c>
    </row>
    <row r="190" spans="1:16" x14ac:dyDescent="0.25">
      <c r="A190" s="795"/>
      <c r="B190" s="796" t="s">
        <v>1156</v>
      </c>
      <c r="C190" s="797">
        <v>3214</v>
      </c>
      <c r="D190" s="798">
        <v>1134</v>
      </c>
      <c r="E190" s="798">
        <v>115</v>
      </c>
      <c r="F190" s="799"/>
      <c r="G190" s="798"/>
      <c r="H190" s="800">
        <f>SUM(C190:G190)</f>
        <v>4463</v>
      </c>
      <c r="I190" s="808"/>
      <c r="J190" s="799"/>
      <c r="K190" s="799"/>
      <c r="L190" s="800">
        <f>SUM(I190:K190)</f>
        <v>0</v>
      </c>
      <c r="M190" s="803">
        <f>SUM(H190+L190)</f>
        <v>4463</v>
      </c>
      <c r="N190" s="803"/>
      <c r="O190" s="803">
        <f>SUM(M190+N190)</f>
        <v>4463</v>
      </c>
      <c r="P190" s="804"/>
    </row>
    <row r="191" spans="1:16" x14ac:dyDescent="0.25">
      <c r="A191" s="795"/>
      <c r="B191" s="796" t="s">
        <v>243</v>
      </c>
      <c r="C191" s="797"/>
      <c r="D191" s="798"/>
      <c r="E191" s="798"/>
      <c r="F191" s="799"/>
      <c r="G191" s="798"/>
      <c r="H191" s="800"/>
      <c r="I191" s="808"/>
      <c r="J191" s="799"/>
      <c r="K191" s="799"/>
      <c r="L191" s="800"/>
      <c r="M191" s="803"/>
      <c r="N191" s="803"/>
      <c r="O191" s="803"/>
      <c r="P191" s="804"/>
    </row>
    <row r="192" spans="1:16" s="804" customFormat="1" x14ac:dyDescent="0.25">
      <c r="A192" s="795"/>
      <c r="B192" s="813" t="s">
        <v>1426</v>
      </c>
      <c r="C192" s="814">
        <v>26</v>
      </c>
      <c r="D192" s="815">
        <v>7</v>
      </c>
      <c r="E192" s="798"/>
      <c r="F192" s="799"/>
      <c r="G192" s="798"/>
      <c r="H192" s="817">
        <f t="shared" ref="H192:H196" si="86">SUM(C192:G192)</f>
        <v>33</v>
      </c>
      <c r="I192" s="853"/>
      <c r="J192" s="816"/>
      <c r="K192" s="816"/>
      <c r="L192" s="817">
        <f t="shared" ref="L192:L196" si="87">SUM(I192:K192)</f>
        <v>0</v>
      </c>
      <c r="M192" s="820">
        <f t="shared" ref="M192:M196" si="88">SUM(H192+L192)</f>
        <v>33</v>
      </c>
      <c r="N192" s="820"/>
      <c r="O192" s="820">
        <f t="shared" ref="O192:O196" si="89">SUM(M192+N192)</f>
        <v>33</v>
      </c>
    </row>
    <row r="193" spans="1:16" s="804" customFormat="1" ht="31.5" x14ac:dyDescent="0.25">
      <c r="A193" s="795"/>
      <c r="B193" s="813" t="s">
        <v>1315</v>
      </c>
      <c r="C193" s="814"/>
      <c r="D193" s="815"/>
      <c r="E193" s="815">
        <v>-591</v>
      </c>
      <c r="F193" s="799"/>
      <c r="G193" s="798"/>
      <c r="H193" s="817">
        <f t="shared" si="86"/>
        <v>-591</v>
      </c>
      <c r="I193" s="853">
        <v>591</v>
      </c>
      <c r="J193" s="816"/>
      <c r="K193" s="816"/>
      <c r="L193" s="817">
        <f t="shared" si="87"/>
        <v>591</v>
      </c>
      <c r="M193" s="820">
        <f t="shared" si="88"/>
        <v>0</v>
      </c>
      <c r="N193" s="820"/>
      <c r="O193" s="820">
        <f t="shared" si="89"/>
        <v>0</v>
      </c>
    </row>
    <row r="194" spans="1:16" s="804" customFormat="1" ht="31.5" x14ac:dyDescent="0.25">
      <c r="A194" s="795"/>
      <c r="B194" s="813" t="s">
        <v>1262</v>
      </c>
      <c r="C194" s="814"/>
      <c r="D194" s="815"/>
      <c r="E194" s="815">
        <f>2469+129</f>
        <v>2598</v>
      </c>
      <c r="F194" s="799"/>
      <c r="G194" s="798"/>
      <c r="H194" s="817">
        <f t="shared" si="86"/>
        <v>2598</v>
      </c>
      <c r="I194" s="853"/>
      <c r="J194" s="816"/>
      <c r="K194" s="816"/>
      <c r="L194" s="817">
        <f t="shared" si="87"/>
        <v>0</v>
      </c>
      <c r="M194" s="820">
        <f t="shared" si="88"/>
        <v>2598</v>
      </c>
      <c r="N194" s="820"/>
      <c r="O194" s="820">
        <f t="shared" si="89"/>
        <v>2598</v>
      </c>
    </row>
    <row r="195" spans="1:16" s="804" customFormat="1" x14ac:dyDescent="0.25">
      <c r="A195" s="795"/>
      <c r="B195" s="796" t="s">
        <v>244</v>
      </c>
      <c r="C195" s="797"/>
      <c r="D195" s="798"/>
      <c r="E195" s="798"/>
      <c r="F195" s="799"/>
      <c r="G195" s="798"/>
      <c r="H195" s="817"/>
      <c r="I195" s="853"/>
      <c r="J195" s="816"/>
      <c r="K195" s="816"/>
      <c r="L195" s="817"/>
      <c r="M195" s="820"/>
      <c r="N195" s="820"/>
      <c r="O195" s="820"/>
    </row>
    <row r="196" spans="1:16" s="804" customFormat="1" ht="16.5" thickBot="1" x14ac:dyDescent="0.3">
      <c r="A196" s="795"/>
      <c r="B196" s="813" t="s">
        <v>1427</v>
      </c>
      <c r="C196" s="814">
        <v>626</v>
      </c>
      <c r="D196" s="815">
        <v>216</v>
      </c>
      <c r="E196" s="815"/>
      <c r="F196" s="799"/>
      <c r="G196" s="798"/>
      <c r="H196" s="817">
        <f t="shared" si="86"/>
        <v>842</v>
      </c>
      <c r="I196" s="853"/>
      <c r="J196" s="816"/>
      <c r="K196" s="816"/>
      <c r="L196" s="817">
        <f t="shared" si="87"/>
        <v>0</v>
      </c>
      <c r="M196" s="820">
        <f t="shared" si="88"/>
        <v>842</v>
      </c>
      <c r="N196" s="820"/>
      <c r="O196" s="820">
        <f t="shared" si="89"/>
        <v>842</v>
      </c>
      <c r="P196" s="781"/>
    </row>
    <row r="197" spans="1:16" s="804" customFormat="1" ht="17.25" thickTop="1" thickBot="1" x14ac:dyDescent="0.3">
      <c r="A197" s="807"/>
      <c r="B197" s="444" t="s">
        <v>1157</v>
      </c>
      <c r="C197" s="445">
        <f>+C188+C192+C193+C194+C196</f>
        <v>129895</v>
      </c>
      <c r="D197" s="445">
        <f t="shared" ref="D197:O197" si="90">+D188+D192+D193+D194+D196</f>
        <v>37096</v>
      </c>
      <c r="E197" s="445">
        <f t="shared" si="90"/>
        <v>65379</v>
      </c>
      <c r="F197" s="445">
        <f t="shared" si="90"/>
        <v>0</v>
      </c>
      <c r="G197" s="445">
        <f t="shared" si="90"/>
        <v>0</v>
      </c>
      <c r="H197" s="445">
        <f t="shared" si="90"/>
        <v>232370</v>
      </c>
      <c r="I197" s="445">
        <f t="shared" si="90"/>
        <v>2704</v>
      </c>
      <c r="J197" s="445">
        <f t="shared" si="90"/>
        <v>0</v>
      </c>
      <c r="K197" s="445">
        <f t="shared" si="90"/>
        <v>0</v>
      </c>
      <c r="L197" s="445">
        <f t="shared" si="90"/>
        <v>2704</v>
      </c>
      <c r="M197" s="445">
        <f t="shared" si="90"/>
        <v>235074</v>
      </c>
      <c r="N197" s="445">
        <f t="shared" si="90"/>
        <v>0</v>
      </c>
      <c r="O197" s="445">
        <f t="shared" si="90"/>
        <v>235074</v>
      </c>
      <c r="P197" s="781"/>
    </row>
    <row r="198" spans="1:16" s="804" customFormat="1" ht="17.25" thickTop="1" thickBot="1" x14ac:dyDescent="0.3">
      <c r="A198" s="807"/>
      <c r="B198" s="444" t="s">
        <v>1158</v>
      </c>
      <c r="C198" s="445">
        <f>+C189+C192+C193+C194</f>
        <v>126055</v>
      </c>
      <c r="D198" s="445">
        <f t="shared" ref="D198:O198" si="91">+D189+D192+D193+D194</f>
        <v>35746</v>
      </c>
      <c r="E198" s="445">
        <f t="shared" si="91"/>
        <v>65264</v>
      </c>
      <c r="F198" s="445">
        <f t="shared" si="91"/>
        <v>0</v>
      </c>
      <c r="G198" s="445">
        <f t="shared" si="91"/>
        <v>0</v>
      </c>
      <c r="H198" s="445">
        <f t="shared" si="91"/>
        <v>227065</v>
      </c>
      <c r="I198" s="445">
        <f t="shared" si="91"/>
        <v>2704</v>
      </c>
      <c r="J198" s="445">
        <f t="shared" si="91"/>
        <v>0</v>
      </c>
      <c r="K198" s="445">
        <f t="shared" si="91"/>
        <v>0</v>
      </c>
      <c r="L198" s="445">
        <f t="shared" si="91"/>
        <v>2704</v>
      </c>
      <c r="M198" s="445">
        <f t="shared" si="91"/>
        <v>229769</v>
      </c>
      <c r="N198" s="445">
        <f t="shared" si="91"/>
        <v>0</v>
      </c>
      <c r="O198" s="445">
        <f t="shared" si="91"/>
        <v>229769</v>
      </c>
      <c r="P198" s="781"/>
    </row>
    <row r="199" spans="1:16" ht="17.25" thickTop="1" thickBot="1" x14ac:dyDescent="0.3">
      <c r="A199" s="807"/>
      <c r="B199" s="444" t="s">
        <v>1159</v>
      </c>
      <c r="C199" s="445">
        <f>+C190+C196</f>
        <v>3840</v>
      </c>
      <c r="D199" s="445">
        <f t="shared" ref="D199:O199" si="92">+D190+D196</f>
        <v>1350</v>
      </c>
      <c r="E199" s="445">
        <f t="shared" si="92"/>
        <v>115</v>
      </c>
      <c r="F199" s="445">
        <f t="shared" si="92"/>
        <v>0</v>
      </c>
      <c r="G199" s="445">
        <f t="shared" si="92"/>
        <v>0</v>
      </c>
      <c r="H199" s="445">
        <f t="shared" si="92"/>
        <v>5305</v>
      </c>
      <c r="I199" s="445">
        <f t="shared" si="92"/>
        <v>0</v>
      </c>
      <c r="J199" s="445">
        <f t="shared" si="92"/>
        <v>0</v>
      </c>
      <c r="K199" s="445">
        <f t="shared" si="92"/>
        <v>0</v>
      </c>
      <c r="L199" s="445">
        <f t="shared" si="92"/>
        <v>0</v>
      </c>
      <c r="M199" s="445">
        <f t="shared" si="92"/>
        <v>5305</v>
      </c>
      <c r="N199" s="445">
        <f t="shared" si="92"/>
        <v>0</v>
      </c>
      <c r="O199" s="445">
        <f t="shared" si="92"/>
        <v>5305</v>
      </c>
    </row>
    <row r="200" spans="1:16" ht="16.5" thickTop="1" x14ac:dyDescent="0.25">
      <c r="A200" s="791" t="s">
        <v>7</v>
      </c>
      <c r="B200" s="438" t="s">
        <v>557</v>
      </c>
      <c r="C200" s="439"/>
      <c r="D200" s="440"/>
      <c r="E200" s="440"/>
      <c r="F200" s="443"/>
      <c r="G200" s="440"/>
      <c r="H200" s="792"/>
      <c r="I200" s="793"/>
      <c r="J200" s="441"/>
      <c r="K200" s="441"/>
      <c r="L200" s="792"/>
      <c r="M200" s="792"/>
      <c r="N200" s="792"/>
      <c r="O200" s="792"/>
    </row>
    <row r="201" spans="1:16" x14ac:dyDescent="0.25">
      <c r="A201" s="829"/>
      <c r="B201" s="438" t="s">
        <v>1125</v>
      </c>
      <c r="C201" s="439">
        <v>110846</v>
      </c>
      <c r="D201" s="440">
        <v>31761</v>
      </c>
      <c r="E201" s="440">
        <v>62685</v>
      </c>
      <c r="F201" s="441"/>
      <c r="G201" s="440"/>
      <c r="H201" s="792">
        <f>SUM(C201:G201)</f>
        <v>205292</v>
      </c>
      <c r="I201" s="793">
        <v>2444</v>
      </c>
      <c r="J201" s="441"/>
      <c r="K201" s="441"/>
      <c r="L201" s="792">
        <f>SUM(I201:K201)</f>
        <v>2444</v>
      </c>
      <c r="M201" s="794">
        <f>SUM(H201+L201)</f>
        <v>207736</v>
      </c>
      <c r="N201" s="794"/>
      <c r="O201" s="794">
        <f>SUM(M201+N201)</f>
        <v>207736</v>
      </c>
      <c r="P201" s="804"/>
    </row>
    <row r="202" spans="1:16" x14ac:dyDescent="0.25">
      <c r="A202" s="830"/>
      <c r="B202" s="796" t="s">
        <v>1263</v>
      </c>
      <c r="C202" s="797">
        <v>108107</v>
      </c>
      <c r="D202" s="798">
        <v>30802</v>
      </c>
      <c r="E202" s="798">
        <v>62630</v>
      </c>
      <c r="F202" s="799"/>
      <c r="G202" s="798"/>
      <c r="H202" s="800">
        <f>SUM(C202:G202)</f>
        <v>201539</v>
      </c>
      <c r="I202" s="808">
        <v>2444</v>
      </c>
      <c r="J202" s="799"/>
      <c r="K202" s="799"/>
      <c r="L202" s="800">
        <f>SUM(I202:K202)</f>
        <v>2444</v>
      </c>
      <c r="M202" s="803">
        <f>SUM(H202+L202)</f>
        <v>203983</v>
      </c>
      <c r="N202" s="803"/>
      <c r="O202" s="803">
        <f>SUM(M202+N202)</f>
        <v>203983</v>
      </c>
      <c r="P202" s="804"/>
    </row>
    <row r="203" spans="1:16" x14ac:dyDescent="0.25">
      <c r="A203" s="830"/>
      <c r="B203" s="796" t="s">
        <v>1156</v>
      </c>
      <c r="C203" s="797">
        <v>2739</v>
      </c>
      <c r="D203" s="798">
        <v>959</v>
      </c>
      <c r="E203" s="798">
        <v>55</v>
      </c>
      <c r="F203" s="799"/>
      <c r="G203" s="798"/>
      <c r="H203" s="800">
        <f>SUM(C203:G203)</f>
        <v>3753</v>
      </c>
      <c r="I203" s="808"/>
      <c r="J203" s="799"/>
      <c r="K203" s="799"/>
      <c r="L203" s="800">
        <f>SUM(I203:K203)</f>
        <v>0</v>
      </c>
      <c r="M203" s="803">
        <f>SUM(H203+L203)</f>
        <v>3753</v>
      </c>
      <c r="N203" s="803"/>
      <c r="O203" s="803">
        <f>SUM(M203+N203)</f>
        <v>3753</v>
      </c>
      <c r="P203" s="780"/>
    </row>
    <row r="204" spans="1:16" s="804" customFormat="1" x14ac:dyDescent="0.25">
      <c r="A204" s="830"/>
      <c r="B204" s="796" t="s">
        <v>243</v>
      </c>
      <c r="C204" s="797"/>
      <c r="D204" s="798"/>
      <c r="E204" s="798"/>
      <c r="F204" s="799"/>
      <c r="G204" s="798"/>
      <c r="H204" s="800"/>
      <c r="I204" s="808"/>
      <c r="J204" s="799"/>
      <c r="K204" s="799"/>
      <c r="L204" s="800"/>
      <c r="M204" s="803"/>
      <c r="N204" s="803"/>
      <c r="O204" s="803"/>
      <c r="P204" s="781"/>
    </row>
    <row r="205" spans="1:16" s="804" customFormat="1" x14ac:dyDescent="0.25">
      <c r="A205" s="830"/>
      <c r="B205" s="813" t="s">
        <v>1426</v>
      </c>
      <c r="C205" s="814">
        <v>18</v>
      </c>
      <c r="D205" s="815">
        <v>5</v>
      </c>
      <c r="E205" s="798"/>
      <c r="F205" s="799"/>
      <c r="G205" s="798"/>
      <c r="H205" s="817">
        <f t="shared" ref="H205:H209" si="93">SUM(C205:G205)</f>
        <v>23</v>
      </c>
      <c r="I205" s="853"/>
      <c r="J205" s="816"/>
      <c r="K205" s="816"/>
      <c r="L205" s="817">
        <f t="shared" ref="L205:L209" si="94">SUM(I205:K205)</f>
        <v>0</v>
      </c>
      <c r="M205" s="820">
        <f t="shared" ref="M205:M209" si="95">SUM(H205+L205)</f>
        <v>23</v>
      </c>
      <c r="N205" s="820"/>
      <c r="O205" s="820">
        <f t="shared" ref="O205:O209" si="96">SUM(M205+N205)</f>
        <v>23</v>
      </c>
    </row>
    <row r="206" spans="1:16" s="804" customFormat="1" ht="31.5" x14ac:dyDescent="0.25">
      <c r="A206" s="830"/>
      <c r="B206" s="852" t="s">
        <v>1315</v>
      </c>
      <c r="C206" s="814"/>
      <c r="D206" s="815"/>
      <c r="E206" s="815">
        <v>-138</v>
      </c>
      <c r="F206" s="799"/>
      <c r="G206" s="798"/>
      <c r="H206" s="817">
        <f t="shared" si="93"/>
        <v>-138</v>
      </c>
      <c r="I206" s="853">
        <v>138</v>
      </c>
      <c r="J206" s="816"/>
      <c r="K206" s="816"/>
      <c r="L206" s="817">
        <f t="shared" si="94"/>
        <v>138</v>
      </c>
      <c r="M206" s="817">
        <f t="shared" si="95"/>
        <v>0</v>
      </c>
      <c r="N206" s="817"/>
      <c r="O206" s="817">
        <f t="shared" si="96"/>
        <v>0</v>
      </c>
    </row>
    <row r="207" spans="1:16" s="804" customFormat="1" ht="31.5" x14ac:dyDescent="0.25">
      <c r="A207" s="830"/>
      <c r="B207" s="852" t="s">
        <v>1262</v>
      </c>
      <c r="C207" s="814"/>
      <c r="D207" s="815">
        <v>84</v>
      </c>
      <c r="E207" s="815">
        <f>2889+308</f>
        <v>3197</v>
      </c>
      <c r="F207" s="799"/>
      <c r="G207" s="798"/>
      <c r="H207" s="817">
        <f t="shared" si="93"/>
        <v>3281</v>
      </c>
      <c r="I207" s="853"/>
      <c r="J207" s="816"/>
      <c r="K207" s="816"/>
      <c r="L207" s="817">
        <f t="shared" si="94"/>
        <v>0</v>
      </c>
      <c r="M207" s="817">
        <f t="shared" si="95"/>
        <v>3281</v>
      </c>
      <c r="N207" s="817"/>
      <c r="O207" s="817">
        <f t="shared" si="96"/>
        <v>3281</v>
      </c>
    </row>
    <row r="208" spans="1:16" s="804" customFormat="1" x14ac:dyDescent="0.25">
      <c r="A208" s="830"/>
      <c r="B208" s="796" t="s">
        <v>244</v>
      </c>
      <c r="C208" s="797"/>
      <c r="D208" s="798"/>
      <c r="E208" s="798"/>
      <c r="F208" s="799"/>
      <c r="G208" s="798"/>
      <c r="H208" s="817"/>
      <c r="I208" s="853"/>
      <c r="J208" s="816"/>
      <c r="K208" s="816"/>
      <c r="L208" s="817"/>
      <c r="M208" s="820"/>
      <c r="N208" s="820"/>
      <c r="O208" s="820"/>
    </row>
    <row r="209" spans="1:16" s="804" customFormat="1" ht="16.5" thickBot="1" x14ac:dyDescent="0.3">
      <c r="A209" s="830"/>
      <c r="B209" s="813" t="s">
        <v>1427</v>
      </c>
      <c r="C209" s="814">
        <v>541</v>
      </c>
      <c r="D209" s="815">
        <v>187</v>
      </c>
      <c r="E209" s="798"/>
      <c r="F209" s="799"/>
      <c r="G209" s="798"/>
      <c r="H209" s="817">
        <f t="shared" si="93"/>
        <v>728</v>
      </c>
      <c r="I209" s="853"/>
      <c r="J209" s="816"/>
      <c r="K209" s="816"/>
      <c r="L209" s="817">
        <f t="shared" si="94"/>
        <v>0</v>
      </c>
      <c r="M209" s="820">
        <f t="shared" si="95"/>
        <v>728</v>
      </c>
      <c r="N209" s="820"/>
      <c r="O209" s="820">
        <f t="shared" si="96"/>
        <v>728</v>
      </c>
    </row>
    <row r="210" spans="1:16" s="804" customFormat="1" ht="17.25" thickTop="1" thickBot="1" x14ac:dyDescent="0.3">
      <c r="A210" s="807"/>
      <c r="B210" s="444" t="s">
        <v>1157</v>
      </c>
      <c r="C210" s="445">
        <f>+C201+C205+C206+C207+C209</f>
        <v>111405</v>
      </c>
      <c r="D210" s="445">
        <f t="shared" ref="D210:O210" si="97">+D201+D205+D206+D207+D209</f>
        <v>32037</v>
      </c>
      <c r="E210" s="445">
        <f t="shared" si="97"/>
        <v>65744</v>
      </c>
      <c r="F210" s="445">
        <f t="shared" si="97"/>
        <v>0</v>
      </c>
      <c r="G210" s="445">
        <f t="shared" si="97"/>
        <v>0</v>
      </c>
      <c r="H210" s="445">
        <f t="shared" si="97"/>
        <v>209186</v>
      </c>
      <c r="I210" s="445">
        <f t="shared" si="97"/>
        <v>2582</v>
      </c>
      <c r="J210" s="445">
        <f t="shared" si="97"/>
        <v>0</v>
      </c>
      <c r="K210" s="445">
        <f t="shared" si="97"/>
        <v>0</v>
      </c>
      <c r="L210" s="445">
        <f t="shared" si="97"/>
        <v>2582</v>
      </c>
      <c r="M210" s="445">
        <f t="shared" si="97"/>
        <v>211768</v>
      </c>
      <c r="N210" s="445">
        <f t="shared" si="97"/>
        <v>0</v>
      </c>
      <c r="O210" s="445">
        <f t="shared" si="97"/>
        <v>211768</v>
      </c>
    </row>
    <row r="211" spans="1:16" s="804" customFormat="1" ht="17.25" thickTop="1" thickBot="1" x14ac:dyDescent="0.3">
      <c r="A211" s="807"/>
      <c r="B211" s="444" t="s">
        <v>1158</v>
      </c>
      <c r="C211" s="445">
        <f>+C202+C205+C206+C207</f>
        <v>108125</v>
      </c>
      <c r="D211" s="445">
        <f t="shared" ref="D211:O211" si="98">+D202+D205+D206+D207</f>
        <v>30891</v>
      </c>
      <c r="E211" s="445">
        <f t="shared" si="98"/>
        <v>65689</v>
      </c>
      <c r="F211" s="445">
        <f t="shared" si="98"/>
        <v>0</v>
      </c>
      <c r="G211" s="445">
        <f t="shared" si="98"/>
        <v>0</v>
      </c>
      <c r="H211" s="445">
        <f t="shared" si="98"/>
        <v>204705</v>
      </c>
      <c r="I211" s="445">
        <f t="shared" si="98"/>
        <v>2582</v>
      </c>
      <c r="J211" s="445">
        <f t="shared" si="98"/>
        <v>0</v>
      </c>
      <c r="K211" s="445">
        <f t="shared" si="98"/>
        <v>0</v>
      </c>
      <c r="L211" s="445">
        <f t="shared" si="98"/>
        <v>2582</v>
      </c>
      <c r="M211" s="445">
        <f t="shared" si="98"/>
        <v>207287</v>
      </c>
      <c r="N211" s="445">
        <f t="shared" si="98"/>
        <v>0</v>
      </c>
      <c r="O211" s="445">
        <f t="shared" si="98"/>
        <v>207287</v>
      </c>
    </row>
    <row r="212" spans="1:16" s="804" customFormat="1" ht="17.25" thickTop="1" thickBot="1" x14ac:dyDescent="0.3">
      <c r="A212" s="807"/>
      <c r="B212" s="444" t="s">
        <v>1159</v>
      </c>
      <c r="C212" s="445">
        <f>+C203+C209</f>
        <v>3280</v>
      </c>
      <c r="D212" s="445">
        <f t="shared" ref="D212:O212" si="99">+D203+D209</f>
        <v>1146</v>
      </c>
      <c r="E212" s="445">
        <f t="shared" si="99"/>
        <v>55</v>
      </c>
      <c r="F212" s="445">
        <f t="shared" si="99"/>
        <v>0</v>
      </c>
      <c r="G212" s="445">
        <f t="shared" si="99"/>
        <v>0</v>
      </c>
      <c r="H212" s="445">
        <f t="shared" si="99"/>
        <v>4481</v>
      </c>
      <c r="I212" s="445">
        <f t="shared" si="99"/>
        <v>0</v>
      </c>
      <c r="J212" s="445">
        <f t="shared" si="99"/>
        <v>0</v>
      </c>
      <c r="K212" s="445">
        <f t="shared" si="99"/>
        <v>0</v>
      </c>
      <c r="L212" s="445">
        <f t="shared" si="99"/>
        <v>0</v>
      </c>
      <c r="M212" s="445">
        <f t="shared" si="99"/>
        <v>4481</v>
      </c>
      <c r="N212" s="445">
        <f t="shared" si="99"/>
        <v>0</v>
      </c>
      <c r="O212" s="445">
        <f t="shared" si="99"/>
        <v>4481</v>
      </c>
      <c r="P212" s="781"/>
    </row>
    <row r="213" spans="1:16" s="804" customFormat="1" ht="16.5" thickTop="1" x14ac:dyDescent="0.25">
      <c r="A213" s="791" t="s">
        <v>11</v>
      </c>
      <c r="B213" s="438" t="s">
        <v>91</v>
      </c>
      <c r="C213" s="439"/>
      <c r="D213" s="440"/>
      <c r="E213" s="440"/>
      <c r="F213" s="443"/>
      <c r="G213" s="440"/>
      <c r="H213" s="792"/>
      <c r="I213" s="793"/>
      <c r="J213" s="441"/>
      <c r="K213" s="441"/>
      <c r="L213" s="792"/>
      <c r="M213" s="792"/>
      <c r="N213" s="792"/>
      <c r="O213" s="792"/>
      <c r="P213" s="781"/>
    </row>
    <row r="214" spans="1:16" x14ac:dyDescent="0.25">
      <c r="A214" s="791"/>
      <c r="B214" s="442" t="s">
        <v>1125</v>
      </c>
      <c r="C214" s="439">
        <v>137966</v>
      </c>
      <c r="D214" s="440">
        <v>39376</v>
      </c>
      <c r="E214" s="440">
        <v>53131</v>
      </c>
      <c r="F214" s="443"/>
      <c r="G214" s="440"/>
      <c r="H214" s="792">
        <f>SUM(C214:G214)</f>
        <v>230473</v>
      </c>
      <c r="I214" s="793">
        <v>1787</v>
      </c>
      <c r="J214" s="441"/>
      <c r="K214" s="441"/>
      <c r="L214" s="792">
        <f>SUM(I214:K214)</f>
        <v>1787</v>
      </c>
      <c r="M214" s="794">
        <f>SUM(H214+L214)</f>
        <v>232260</v>
      </c>
      <c r="N214" s="794"/>
      <c r="O214" s="794">
        <f>SUM(M214+N214)</f>
        <v>232260</v>
      </c>
    </row>
    <row r="215" spans="1:16" x14ac:dyDescent="0.25">
      <c r="A215" s="795"/>
      <c r="B215" s="796" t="s">
        <v>1263</v>
      </c>
      <c r="C215" s="797">
        <v>134751</v>
      </c>
      <c r="D215" s="798">
        <v>38240</v>
      </c>
      <c r="E215" s="798">
        <v>53016</v>
      </c>
      <c r="F215" s="802"/>
      <c r="G215" s="798"/>
      <c r="H215" s="800">
        <f>SUM(C215:G215)</f>
        <v>226007</v>
      </c>
      <c r="I215" s="808">
        <v>1787</v>
      </c>
      <c r="J215" s="799"/>
      <c r="K215" s="799"/>
      <c r="L215" s="800">
        <f>SUM(I215:K215)</f>
        <v>1787</v>
      </c>
      <c r="M215" s="803">
        <f>SUM(H215+L215)</f>
        <v>227794</v>
      </c>
      <c r="N215" s="803"/>
      <c r="O215" s="803">
        <f>SUM(M215+N215)</f>
        <v>227794</v>
      </c>
    </row>
    <row r="216" spans="1:16" x14ac:dyDescent="0.25">
      <c r="A216" s="795"/>
      <c r="B216" s="796" t="s">
        <v>1156</v>
      </c>
      <c r="C216" s="797">
        <v>3215</v>
      </c>
      <c r="D216" s="798">
        <v>1136</v>
      </c>
      <c r="E216" s="798">
        <v>115</v>
      </c>
      <c r="F216" s="802"/>
      <c r="G216" s="798"/>
      <c r="H216" s="800">
        <f>SUM(C216:G216)</f>
        <v>4466</v>
      </c>
      <c r="I216" s="808"/>
      <c r="J216" s="799"/>
      <c r="K216" s="799"/>
      <c r="L216" s="800">
        <f>SUM(I216:K216)</f>
        <v>0</v>
      </c>
      <c r="M216" s="803">
        <f>SUM(H216+L216)</f>
        <v>4466</v>
      </c>
      <c r="N216" s="803"/>
      <c r="O216" s="803">
        <f>SUM(M216+N216)</f>
        <v>4466</v>
      </c>
    </row>
    <row r="217" spans="1:16" x14ac:dyDescent="0.25">
      <c r="A217" s="795"/>
      <c r="B217" s="796" t="s">
        <v>243</v>
      </c>
      <c r="C217" s="797"/>
      <c r="D217" s="798"/>
      <c r="E217" s="798"/>
      <c r="F217" s="802"/>
      <c r="G217" s="798"/>
      <c r="H217" s="800"/>
      <c r="I217" s="808"/>
      <c r="J217" s="799"/>
      <c r="K217" s="799"/>
      <c r="L217" s="800"/>
      <c r="M217" s="803"/>
      <c r="N217" s="803"/>
      <c r="O217" s="803"/>
      <c r="P217" s="804"/>
    </row>
    <row r="218" spans="1:16" x14ac:dyDescent="0.25">
      <c r="A218" s="795"/>
      <c r="B218" s="813" t="s">
        <v>1426</v>
      </c>
      <c r="C218" s="814">
        <v>25</v>
      </c>
      <c r="D218" s="815">
        <v>7</v>
      </c>
      <c r="E218" s="798"/>
      <c r="F218" s="802"/>
      <c r="G218" s="798"/>
      <c r="H218" s="817">
        <f t="shared" ref="H218:H223" si="100">SUM(C218:G218)</f>
        <v>32</v>
      </c>
      <c r="I218" s="853"/>
      <c r="J218" s="816"/>
      <c r="K218" s="816"/>
      <c r="L218" s="817">
        <f t="shared" ref="L218:L223" si="101">SUM(I218:K218)</f>
        <v>0</v>
      </c>
      <c r="M218" s="820">
        <f t="shared" ref="M218:M223" si="102">SUM(H218+L218)</f>
        <v>32</v>
      </c>
      <c r="N218" s="820"/>
      <c r="O218" s="820">
        <f t="shared" ref="O218:O223" si="103">SUM(M218+N218)</f>
        <v>32</v>
      </c>
      <c r="P218" s="1117"/>
    </row>
    <row r="219" spans="1:16" s="804" customFormat="1" ht="31.5" x14ac:dyDescent="0.25">
      <c r="A219" s="795"/>
      <c r="B219" s="813" t="s">
        <v>1209</v>
      </c>
      <c r="C219" s="814">
        <v>473</v>
      </c>
      <c r="D219" s="815">
        <v>128</v>
      </c>
      <c r="E219" s="815"/>
      <c r="F219" s="802"/>
      <c r="G219" s="798"/>
      <c r="H219" s="817">
        <f t="shared" si="100"/>
        <v>601</v>
      </c>
      <c r="I219" s="853"/>
      <c r="J219" s="816"/>
      <c r="K219" s="816"/>
      <c r="L219" s="817">
        <f t="shared" si="101"/>
        <v>0</v>
      </c>
      <c r="M219" s="820">
        <f t="shared" si="102"/>
        <v>601</v>
      </c>
      <c r="N219" s="820"/>
      <c r="O219" s="820">
        <f t="shared" si="103"/>
        <v>601</v>
      </c>
    </row>
    <row r="220" spans="1:16" s="804" customFormat="1" ht="31.5" x14ac:dyDescent="0.25">
      <c r="A220" s="795"/>
      <c r="B220" s="813" t="s">
        <v>1315</v>
      </c>
      <c r="C220" s="814"/>
      <c r="D220" s="815">
        <v>-5</v>
      </c>
      <c r="E220" s="815">
        <f>-89+4</f>
        <v>-85</v>
      </c>
      <c r="F220" s="802"/>
      <c r="G220" s="798"/>
      <c r="H220" s="817">
        <f t="shared" si="100"/>
        <v>-90</v>
      </c>
      <c r="I220" s="853">
        <f>89+1</f>
        <v>90</v>
      </c>
      <c r="J220" s="816"/>
      <c r="K220" s="816"/>
      <c r="L220" s="817">
        <f t="shared" si="101"/>
        <v>90</v>
      </c>
      <c r="M220" s="820">
        <f t="shared" si="102"/>
        <v>0</v>
      </c>
      <c r="N220" s="820"/>
      <c r="O220" s="820">
        <f t="shared" si="103"/>
        <v>0</v>
      </c>
    </row>
    <row r="221" spans="1:16" s="804" customFormat="1" ht="31.5" x14ac:dyDescent="0.25">
      <c r="A221" s="795"/>
      <c r="B221" s="813" t="s">
        <v>1262</v>
      </c>
      <c r="C221" s="814"/>
      <c r="D221" s="815"/>
      <c r="E221" s="815">
        <f>5217+2136</f>
        <v>7353</v>
      </c>
      <c r="F221" s="802"/>
      <c r="G221" s="798"/>
      <c r="H221" s="817">
        <f t="shared" si="100"/>
        <v>7353</v>
      </c>
      <c r="I221" s="853"/>
      <c r="J221" s="816"/>
      <c r="K221" s="816"/>
      <c r="L221" s="817">
        <f t="shared" si="101"/>
        <v>0</v>
      </c>
      <c r="M221" s="820">
        <f t="shared" si="102"/>
        <v>7353</v>
      </c>
      <c r="N221" s="820"/>
      <c r="O221" s="820">
        <f t="shared" si="103"/>
        <v>7353</v>
      </c>
    </row>
    <row r="222" spans="1:16" s="804" customFormat="1" x14ac:dyDescent="0.25">
      <c r="A222" s="795"/>
      <c r="B222" s="796" t="s">
        <v>244</v>
      </c>
      <c r="C222" s="797"/>
      <c r="D222" s="798"/>
      <c r="E222" s="798"/>
      <c r="F222" s="802"/>
      <c r="G222" s="798"/>
      <c r="H222" s="817"/>
      <c r="I222" s="853"/>
      <c r="J222" s="816"/>
      <c r="K222" s="816"/>
      <c r="L222" s="817"/>
      <c r="M222" s="820"/>
      <c r="N222" s="820"/>
      <c r="O222" s="820"/>
    </row>
    <row r="223" spans="1:16" s="804" customFormat="1" ht="16.5" thickBot="1" x14ac:dyDescent="0.3">
      <c r="A223" s="795"/>
      <c r="B223" s="813" t="s">
        <v>1427</v>
      </c>
      <c r="C223" s="814">
        <v>621</v>
      </c>
      <c r="D223" s="815">
        <v>214</v>
      </c>
      <c r="E223" s="815"/>
      <c r="F223" s="802"/>
      <c r="G223" s="798"/>
      <c r="H223" s="817">
        <f t="shared" si="100"/>
        <v>835</v>
      </c>
      <c r="I223" s="853"/>
      <c r="J223" s="816"/>
      <c r="K223" s="816"/>
      <c r="L223" s="817">
        <f t="shared" si="101"/>
        <v>0</v>
      </c>
      <c r="M223" s="820">
        <f t="shared" si="102"/>
        <v>835</v>
      </c>
      <c r="N223" s="820"/>
      <c r="O223" s="820">
        <f t="shared" si="103"/>
        <v>835</v>
      </c>
    </row>
    <row r="224" spans="1:16" s="804" customFormat="1" ht="17.25" thickTop="1" thickBot="1" x14ac:dyDescent="0.3">
      <c r="A224" s="807"/>
      <c r="B224" s="444" t="s">
        <v>1157</v>
      </c>
      <c r="C224" s="445">
        <f>+C214+C218+C219+C220+C223+C221</f>
        <v>139085</v>
      </c>
      <c r="D224" s="445">
        <f t="shared" ref="D224:O224" si="104">+D214+D218+D219+D220+D223+D221</f>
        <v>39720</v>
      </c>
      <c r="E224" s="445">
        <f t="shared" si="104"/>
        <v>60399</v>
      </c>
      <c r="F224" s="445">
        <f t="shared" si="104"/>
        <v>0</v>
      </c>
      <c r="G224" s="445">
        <f t="shared" si="104"/>
        <v>0</v>
      </c>
      <c r="H224" s="445">
        <f t="shared" si="104"/>
        <v>239204</v>
      </c>
      <c r="I224" s="445">
        <f t="shared" si="104"/>
        <v>1877</v>
      </c>
      <c r="J224" s="445">
        <f t="shared" si="104"/>
        <v>0</v>
      </c>
      <c r="K224" s="445">
        <f t="shared" si="104"/>
        <v>0</v>
      </c>
      <c r="L224" s="445">
        <f t="shared" si="104"/>
        <v>1877</v>
      </c>
      <c r="M224" s="445">
        <f t="shared" si="104"/>
        <v>241081</v>
      </c>
      <c r="N224" s="445">
        <f t="shared" si="104"/>
        <v>0</v>
      </c>
      <c r="O224" s="445">
        <f t="shared" si="104"/>
        <v>241081</v>
      </c>
    </row>
    <row r="225" spans="1:16" s="804" customFormat="1" ht="17.25" thickTop="1" thickBot="1" x14ac:dyDescent="0.3">
      <c r="A225" s="807"/>
      <c r="B225" s="444" t="s">
        <v>1158</v>
      </c>
      <c r="C225" s="445">
        <f>+C215+C218+C219+C220+C221</f>
        <v>135249</v>
      </c>
      <c r="D225" s="445">
        <f t="shared" ref="D225:O225" si="105">+D215+D218+D219+D220+D221</f>
        <v>38370</v>
      </c>
      <c r="E225" s="445">
        <f t="shared" si="105"/>
        <v>60284</v>
      </c>
      <c r="F225" s="445">
        <f t="shared" si="105"/>
        <v>0</v>
      </c>
      <c r="G225" s="445">
        <f t="shared" si="105"/>
        <v>0</v>
      </c>
      <c r="H225" s="445">
        <f t="shared" si="105"/>
        <v>233903</v>
      </c>
      <c r="I225" s="445">
        <f t="shared" si="105"/>
        <v>1877</v>
      </c>
      <c r="J225" s="445">
        <f t="shared" si="105"/>
        <v>0</v>
      </c>
      <c r="K225" s="445">
        <f t="shared" si="105"/>
        <v>0</v>
      </c>
      <c r="L225" s="445">
        <f t="shared" si="105"/>
        <v>1877</v>
      </c>
      <c r="M225" s="445">
        <f t="shared" si="105"/>
        <v>235780</v>
      </c>
      <c r="N225" s="445">
        <f t="shared" si="105"/>
        <v>0</v>
      </c>
      <c r="O225" s="445">
        <f t="shared" si="105"/>
        <v>235780</v>
      </c>
    </row>
    <row r="226" spans="1:16" s="804" customFormat="1" ht="17.25" thickTop="1" thickBot="1" x14ac:dyDescent="0.3">
      <c r="A226" s="807"/>
      <c r="B226" s="444" t="s">
        <v>1159</v>
      </c>
      <c r="C226" s="445">
        <f>+C216+C223</f>
        <v>3836</v>
      </c>
      <c r="D226" s="445">
        <f t="shared" ref="D226:O226" si="106">+D216+D223</f>
        <v>1350</v>
      </c>
      <c r="E226" s="445">
        <f t="shared" si="106"/>
        <v>115</v>
      </c>
      <c r="F226" s="445">
        <f t="shared" si="106"/>
        <v>0</v>
      </c>
      <c r="G226" s="445">
        <f t="shared" si="106"/>
        <v>0</v>
      </c>
      <c r="H226" s="445">
        <f t="shared" si="106"/>
        <v>5301</v>
      </c>
      <c r="I226" s="445">
        <f t="shared" si="106"/>
        <v>0</v>
      </c>
      <c r="J226" s="445">
        <f t="shared" si="106"/>
        <v>0</v>
      </c>
      <c r="K226" s="445">
        <f t="shared" si="106"/>
        <v>0</v>
      </c>
      <c r="L226" s="445">
        <f t="shared" si="106"/>
        <v>0</v>
      </c>
      <c r="M226" s="445">
        <f t="shared" si="106"/>
        <v>5301</v>
      </c>
      <c r="N226" s="445">
        <f t="shared" si="106"/>
        <v>0</v>
      </c>
      <c r="O226" s="445">
        <f t="shared" si="106"/>
        <v>5301</v>
      </c>
    </row>
    <row r="227" spans="1:16" s="804" customFormat="1" ht="16.5" thickTop="1" x14ac:dyDescent="0.25">
      <c r="A227" s="791" t="s">
        <v>15</v>
      </c>
      <c r="B227" s="438" t="s">
        <v>1174</v>
      </c>
      <c r="C227" s="439"/>
      <c r="D227" s="440"/>
      <c r="E227" s="440"/>
      <c r="F227" s="443"/>
      <c r="G227" s="440"/>
      <c r="H227" s="792"/>
      <c r="I227" s="793"/>
      <c r="J227" s="441"/>
      <c r="K227" s="441"/>
      <c r="L227" s="792"/>
      <c r="M227" s="792"/>
      <c r="N227" s="792"/>
      <c r="O227" s="792"/>
      <c r="P227" s="781"/>
    </row>
    <row r="228" spans="1:16" s="804" customFormat="1" x14ac:dyDescent="0.25">
      <c r="A228" s="829"/>
      <c r="B228" s="438" t="s">
        <v>1125</v>
      </c>
      <c r="C228" s="439">
        <v>128091</v>
      </c>
      <c r="D228" s="440">
        <v>36770</v>
      </c>
      <c r="E228" s="440">
        <v>68333</v>
      </c>
      <c r="F228" s="441"/>
      <c r="G228" s="440"/>
      <c r="H228" s="792">
        <f>SUM(C228:G228)</f>
        <v>233194</v>
      </c>
      <c r="I228" s="793"/>
      <c r="J228" s="441"/>
      <c r="K228" s="441"/>
      <c r="L228" s="792">
        <f>SUM(I228:K228)</f>
        <v>0</v>
      </c>
      <c r="M228" s="794">
        <f>SUM(H228+L228)</f>
        <v>233194</v>
      </c>
      <c r="N228" s="794"/>
      <c r="O228" s="794">
        <f>SUM(M228+N228)</f>
        <v>233194</v>
      </c>
      <c r="P228" s="781"/>
    </row>
    <row r="229" spans="1:16" s="804" customFormat="1" x14ac:dyDescent="0.25">
      <c r="A229" s="830"/>
      <c r="B229" s="796" t="s">
        <v>1263</v>
      </c>
      <c r="C229" s="797">
        <v>124835</v>
      </c>
      <c r="D229" s="798">
        <v>35621</v>
      </c>
      <c r="E229" s="798">
        <v>68068</v>
      </c>
      <c r="F229" s="799"/>
      <c r="G229" s="798"/>
      <c r="H229" s="800">
        <f>SUM(C229:G229)</f>
        <v>228524</v>
      </c>
      <c r="I229" s="808"/>
      <c r="J229" s="799"/>
      <c r="K229" s="799"/>
      <c r="L229" s="800">
        <f>SUM(I229:K229)</f>
        <v>0</v>
      </c>
      <c r="M229" s="803">
        <f>SUM(H229+L229)</f>
        <v>228524</v>
      </c>
      <c r="N229" s="803"/>
      <c r="O229" s="803">
        <f>SUM(M229+N229)</f>
        <v>228524</v>
      </c>
      <c r="P229" s="781"/>
    </row>
    <row r="230" spans="1:16" x14ac:dyDescent="0.25">
      <c r="A230" s="830"/>
      <c r="B230" s="796" t="s">
        <v>1156</v>
      </c>
      <c r="C230" s="797">
        <v>3256</v>
      </c>
      <c r="D230" s="798">
        <v>1149</v>
      </c>
      <c r="E230" s="798">
        <v>265</v>
      </c>
      <c r="F230" s="799"/>
      <c r="G230" s="798"/>
      <c r="H230" s="800">
        <f>SUM(C230:G230)</f>
        <v>4670</v>
      </c>
      <c r="I230" s="808"/>
      <c r="J230" s="799"/>
      <c r="K230" s="799"/>
      <c r="L230" s="800">
        <f>SUM(I230:K230)</f>
        <v>0</v>
      </c>
      <c r="M230" s="803">
        <f>SUM(H230+L230)</f>
        <v>4670</v>
      </c>
      <c r="N230" s="803"/>
      <c r="O230" s="803">
        <f>SUM(M230+N230)</f>
        <v>4670</v>
      </c>
    </row>
    <row r="231" spans="1:16" x14ac:dyDescent="0.25">
      <c r="A231" s="830"/>
      <c r="B231" s="796" t="s">
        <v>243</v>
      </c>
      <c r="C231" s="797"/>
      <c r="D231" s="798"/>
      <c r="E231" s="798"/>
      <c r="F231" s="799"/>
      <c r="G231" s="798"/>
      <c r="H231" s="800"/>
      <c r="I231" s="808"/>
      <c r="J231" s="799"/>
      <c r="K231" s="799"/>
      <c r="L231" s="800"/>
      <c r="M231" s="803"/>
      <c r="N231" s="803"/>
      <c r="O231" s="803"/>
    </row>
    <row r="232" spans="1:16" x14ac:dyDescent="0.25">
      <c r="A232" s="830"/>
      <c r="B232" s="813" t="s">
        <v>1426</v>
      </c>
      <c r="C232" s="814">
        <v>38</v>
      </c>
      <c r="D232" s="815">
        <v>10</v>
      </c>
      <c r="E232" s="798"/>
      <c r="F232" s="799"/>
      <c r="G232" s="798"/>
      <c r="H232" s="817">
        <f t="shared" ref="H232:H236" si="107">SUM(C232:G232)</f>
        <v>48</v>
      </c>
      <c r="I232" s="853"/>
      <c r="J232" s="816"/>
      <c r="K232" s="816"/>
      <c r="L232" s="817">
        <f t="shared" ref="L232:L236" si="108">SUM(I232:K232)</f>
        <v>0</v>
      </c>
      <c r="M232" s="820">
        <f t="shared" ref="M232:M236" si="109">SUM(H232+L232)</f>
        <v>48</v>
      </c>
      <c r="N232" s="820"/>
      <c r="O232" s="820">
        <f t="shared" ref="O232:O236" si="110">SUM(M232+N232)</f>
        <v>48</v>
      </c>
      <c r="P232" s="804"/>
    </row>
    <row r="233" spans="1:16" ht="31.5" x14ac:dyDescent="0.25">
      <c r="A233" s="830"/>
      <c r="B233" s="813" t="s">
        <v>1315</v>
      </c>
      <c r="C233" s="814"/>
      <c r="D233" s="815"/>
      <c r="E233" s="815">
        <v>-146</v>
      </c>
      <c r="F233" s="799"/>
      <c r="G233" s="798"/>
      <c r="H233" s="817">
        <f t="shared" si="107"/>
        <v>-146</v>
      </c>
      <c r="I233" s="853">
        <v>146</v>
      </c>
      <c r="J233" s="816"/>
      <c r="K233" s="816"/>
      <c r="L233" s="817">
        <f t="shared" si="108"/>
        <v>146</v>
      </c>
      <c r="M233" s="820">
        <f t="shared" si="109"/>
        <v>0</v>
      </c>
      <c r="N233" s="820"/>
      <c r="O233" s="820">
        <f t="shared" si="110"/>
        <v>0</v>
      </c>
    </row>
    <row r="234" spans="1:16" ht="31.5" x14ac:dyDescent="0.25">
      <c r="A234" s="830"/>
      <c r="B234" s="813" t="s">
        <v>1262</v>
      </c>
      <c r="C234" s="814"/>
      <c r="D234" s="815"/>
      <c r="E234" s="815">
        <f>3534+1</f>
        <v>3535</v>
      </c>
      <c r="F234" s="799"/>
      <c r="G234" s="798"/>
      <c r="H234" s="817">
        <f t="shared" si="107"/>
        <v>3535</v>
      </c>
      <c r="I234" s="853"/>
      <c r="J234" s="816"/>
      <c r="K234" s="816"/>
      <c r="L234" s="817">
        <f t="shared" si="108"/>
        <v>0</v>
      </c>
      <c r="M234" s="820">
        <f t="shared" si="109"/>
        <v>3535</v>
      </c>
      <c r="N234" s="820"/>
      <c r="O234" s="820">
        <f t="shared" si="110"/>
        <v>3535</v>
      </c>
      <c r="P234" s="1117"/>
    </row>
    <row r="235" spans="1:16" s="804" customFormat="1" x14ac:dyDescent="0.25">
      <c r="A235" s="830"/>
      <c r="B235" s="796" t="s">
        <v>244</v>
      </c>
      <c r="C235" s="797"/>
      <c r="D235" s="798"/>
      <c r="E235" s="798"/>
      <c r="F235" s="799"/>
      <c r="G235" s="798"/>
      <c r="H235" s="817"/>
      <c r="I235" s="853"/>
      <c r="J235" s="816"/>
      <c r="K235" s="816"/>
      <c r="L235" s="817"/>
      <c r="M235" s="820"/>
      <c r="N235" s="820"/>
      <c r="O235" s="820"/>
    </row>
    <row r="236" spans="1:16" s="804" customFormat="1" ht="16.5" thickBot="1" x14ac:dyDescent="0.3">
      <c r="A236" s="830"/>
      <c r="B236" s="813" t="s">
        <v>1427</v>
      </c>
      <c r="C236" s="814">
        <v>625</v>
      </c>
      <c r="D236" s="815">
        <v>216</v>
      </c>
      <c r="E236" s="815"/>
      <c r="F236" s="799"/>
      <c r="G236" s="798"/>
      <c r="H236" s="817">
        <f t="shared" si="107"/>
        <v>841</v>
      </c>
      <c r="I236" s="853"/>
      <c r="J236" s="816"/>
      <c r="K236" s="816"/>
      <c r="L236" s="817">
        <f t="shared" si="108"/>
        <v>0</v>
      </c>
      <c r="M236" s="820">
        <f t="shared" si="109"/>
        <v>841</v>
      </c>
      <c r="N236" s="820"/>
      <c r="O236" s="820">
        <f t="shared" si="110"/>
        <v>841</v>
      </c>
    </row>
    <row r="237" spans="1:16" s="804" customFormat="1" ht="17.25" thickTop="1" thickBot="1" x14ac:dyDescent="0.3">
      <c r="A237" s="807"/>
      <c r="B237" s="444" t="s">
        <v>1157</v>
      </c>
      <c r="C237" s="445">
        <f>+C228+C232+C233+C234+C236</f>
        <v>128754</v>
      </c>
      <c r="D237" s="445">
        <f t="shared" ref="D237:O237" si="111">+D228+D232+D233+D234+D236</f>
        <v>36996</v>
      </c>
      <c r="E237" s="445">
        <f t="shared" si="111"/>
        <v>71722</v>
      </c>
      <c r="F237" s="445">
        <f t="shared" si="111"/>
        <v>0</v>
      </c>
      <c r="G237" s="445">
        <f t="shared" si="111"/>
        <v>0</v>
      </c>
      <c r="H237" s="445">
        <f t="shared" si="111"/>
        <v>237472</v>
      </c>
      <c r="I237" s="445">
        <f t="shared" si="111"/>
        <v>146</v>
      </c>
      <c r="J237" s="445">
        <f t="shared" si="111"/>
        <v>0</v>
      </c>
      <c r="K237" s="445">
        <f t="shared" si="111"/>
        <v>0</v>
      </c>
      <c r="L237" s="445">
        <f t="shared" si="111"/>
        <v>146</v>
      </c>
      <c r="M237" s="445">
        <f t="shared" si="111"/>
        <v>237618</v>
      </c>
      <c r="N237" s="445">
        <f t="shared" si="111"/>
        <v>0</v>
      </c>
      <c r="O237" s="445">
        <f t="shared" si="111"/>
        <v>237618</v>
      </c>
    </row>
    <row r="238" spans="1:16" s="804" customFormat="1" ht="17.25" thickTop="1" thickBot="1" x14ac:dyDescent="0.3">
      <c r="A238" s="807"/>
      <c r="B238" s="444" t="s">
        <v>1158</v>
      </c>
      <c r="C238" s="445">
        <f>+C229+C232+C233+C234</f>
        <v>124873</v>
      </c>
      <c r="D238" s="445">
        <f t="shared" ref="D238:O238" si="112">+D229+D232+D233+D234</f>
        <v>35631</v>
      </c>
      <c r="E238" s="445">
        <f t="shared" si="112"/>
        <v>71457</v>
      </c>
      <c r="F238" s="445">
        <f t="shared" si="112"/>
        <v>0</v>
      </c>
      <c r="G238" s="445">
        <f t="shared" si="112"/>
        <v>0</v>
      </c>
      <c r="H238" s="445">
        <f t="shared" si="112"/>
        <v>231961</v>
      </c>
      <c r="I238" s="445">
        <f t="shared" si="112"/>
        <v>146</v>
      </c>
      <c r="J238" s="445">
        <f t="shared" si="112"/>
        <v>0</v>
      </c>
      <c r="K238" s="445">
        <f t="shared" si="112"/>
        <v>0</v>
      </c>
      <c r="L238" s="445">
        <f t="shared" si="112"/>
        <v>146</v>
      </c>
      <c r="M238" s="445">
        <f t="shared" si="112"/>
        <v>232107</v>
      </c>
      <c r="N238" s="445">
        <f t="shared" si="112"/>
        <v>0</v>
      </c>
      <c r="O238" s="445">
        <f t="shared" si="112"/>
        <v>232107</v>
      </c>
    </row>
    <row r="239" spans="1:16" s="804" customFormat="1" ht="17.25" thickTop="1" thickBot="1" x14ac:dyDescent="0.3">
      <c r="A239" s="807"/>
      <c r="B239" s="444" t="s">
        <v>1159</v>
      </c>
      <c r="C239" s="445">
        <f>+C230+C236</f>
        <v>3881</v>
      </c>
      <c r="D239" s="445">
        <f t="shared" ref="D239:O239" si="113">+D230+D236</f>
        <v>1365</v>
      </c>
      <c r="E239" s="445">
        <f t="shared" si="113"/>
        <v>265</v>
      </c>
      <c r="F239" s="445">
        <f t="shared" si="113"/>
        <v>0</v>
      </c>
      <c r="G239" s="445">
        <f t="shared" si="113"/>
        <v>0</v>
      </c>
      <c r="H239" s="445">
        <f t="shared" si="113"/>
        <v>5511</v>
      </c>
      <c r="I239" s="445">
        <f t="shared" si="113"/>
        <v>0</v>
      </c>
      <c r="J239" s="445">
        <f t="shared" si="113"/>
        <v>0</v>
      </c>
      <c r="K239" s="445">
        <f t="shared" si="113"/>
        <v>0</v>
      </c>
      <c r="L239" s="445">
        <f t="shared" si="113"/>
        <v>0</v>
      </c>
      <c r="M239" s="445">
        <f t="shared" si="113"/>
        <v>5511</v>
      </c>
      <c r="N239" s="445">
        <f t="shared" si="113"/>
        <v>0</v>
      </c>
      <c r="O239" s="445">
        <f t="shared" si="113"/>
        <v>5511</v>
      </c>
    </row>
    <row r="240" spans="1:16" s="804" customFormat="1" ht="16.5" thickTop="1" x14ac:dyDescent="0.25">
      <c r="A240" s="791" t="s">
        <v>18</v>
      </c>
      <c r="B240" s="438" t="s">
        <v>558</v>
      </c>
      <c r="C240" s="439"/>
      <c r="D240" s="440"/>
      <c r="E240" s="440"/>
      <c r="F240" s="443"/>
      <c r="G240" s="440"/>
      <c r="H240" s="792"/>
      <c r="I240" s="793"/>
      <c r="J240" s="441"/>
      <c r="K240" s="441"/>
      <c r="L240" s="792"/>
      <c r="M240" s="792"/>
      <c r="N240" s="792"/>
      <c r="O240" s="792"/>
    </row>
    <row r="241" spans="1:16" s="804" customFormat="1" x14ac:dyDescent="0.25">
      <c r="A241" s="791"/>
      <c r="B241" s="442" t="s">
        <v>1125</v>
      </c>
      <c r="C241" s="439">
        <v>53502</v>
      </c>
      <c r="D241" s="440">
        <v>14433</v>
      </c>
      <c r="E241" s="440">
        <v>17578</v>
      </c>
      <c r="F241" s="443"/>
      <c r="G241" s="440"/>
      <c r="H241" s="792">
        <f>SUM(C241:G241)</f>
        <v>85513</v>
      </c>
      <c r="I241" s="793">
        <v>331</v>
      </c>
      <c r="J241" s="441"/>
      <c r="K241" s="441"/>
      <c r="L241" s="792">
        <f>SUM(I241:K241)</f>
        <v>331</v>
      </c>
      <c r="M241" s="794">
        <f>SUM(H241+L241)</f>
        <v>85844</v>
      </c>
      <c r="N241" s="794"/>
      <c r="O241" s="794">
        <f>SUM(M241+N241)</f>
        <v>85844</v>
      </c>
    </row>
    <row r="242" spans="1:16" s="804" customFormat="1" x14ac:dyDescent="0.25">
      <c r="A242" s="795"/>
      <c r="B242" s="796" t="s">
        <v>1263</v>
      </c>
      <c r="C242" s="797">
        <v>52331</v>
      </c>
      <c r="D242" s="798">
        <v>14019</v>
      </c>
      <c r="E242" s="798">
        <v>17293</v>
      </c>
      <c r="F242" s="802"/>
      <c r="G242" s="798"/>
      <c r="H242" s="800">
        <f>SUM(C242:G242)</f>
        <v>83643</v>
      </c>
      <c r="I242" s="808">
        <v>331</v>
      </c>
      <c r="J242" s="799"/>
      <c r="K242" s="799"/>
      <c r="L242" s="800">
        <f>SUM(I242:K242)</f>
        <v>331</v>
      </c>
      <c r="M242" s="803">
        <f>SUM(H242+L242)</f>
        <v>83974</v>
      </c>
      <c r="N242" s="803"/>
      <c r="O242" s="803">
        <f>SUM(M242+N242)</f>
        <v>83974</v>
      </c>
    </row>
    <row r="243" spans="1:16" s="804" customFormat="1" x14ac:dyDescent="0.25">
      <c r="A243" s="795"/>
      <c r="B243" s="796" t="s">
        <v>1156</v>
      </c>
      <c r="C243" s="797">
        <v>1171</v>
      </c>
      <c r="D243" s="798">
        <v>414</v>
      </c>
      <c r="E243" s="798">
        <v>285</v>
      </c>
      <c r="F243" s="802"/>
      <c r="G243" s="798"/>
      <c r="H243" s="800">
        <f>SUM(C243:G243)</f>
        <v>1870</v>
      </c>
      <c r="I243" s="808"/>
      <c r="J243" s="799"/>
      <c r="K243" s="799"/>
      <c r="L243" s="800">
        <f>SUM(I243:K243)</f>
        <v>0</v>
      </c>
      <c r="M243" s="803">
        <f>SUM(H243+L243)</f>
        <v>1870</v>
      </c>
      <c r="N243" s="803"/>
      <c r="O243" s="803">
        <f>SUM(M243+N243)</f>
        <v>1870</v>
      </c>
    </row>
    <row r="244" spans="1:16" s="804" customFormat="1" x14ac:dyDescent="0.25">
      <c r="A244" s="795"/>
      <c r="B244" s="796" t="s">
        <v>243</v>
      </c>
      <c r="C244" s="797"/>
      <c r="D244" s="798"/>
      <c r="E244" s="798"/>
      <c r="F244" s="802"/>
      <c r="G244" s="798"/>
      <c r="H244" s="800"/>
      <c r="I244" s="808"/>
      <c r="J244" s="799"/>
      <c r="K244" s="799"/>
      <c r="L244" s="800"/>
      <c r="M244" s="803"/>
      <c r="N244" s="803"/>
      <c r="O244" s="803"/>
    </row>
    <row r="245" spans="1:16" x14ac:dyDescent="0.25">
      <c r="A245" s="795"/>
      <c r="B245" s="813" t="s">
        <v>1426</v>
      </c>
      <c r="C245" s="814">
        <v>16</v>
      </c>
      <c r="D245" s="815">
        <v>4</v>
      </c>
      <c r="E245" s="798"/>
      <c r="F245" s="802"/>
      <c r="G245" s="798"/>
      <c r="H245" s="817">
        <f t="shared" ref="H245:H250" si="114">SUM(C245:G245)</f>
        <v>20</v>
      </c>
      <c r="I245" s="853"/>
      <c r="J245" s="816"/>
      <c r="K245" s="816"/>
      <c r="L245" s="817">
        <f t="shared" ref="L245:L250" si="115">SUM(I245:K245)</f>
        <v>0</v>
      </c>
      <c r="M245" s="820">
        <f t="shared" ref="M245:M250" si="116">SUM(H245+L245)</f>
        <v>20</v>
      </c>
      <c r="N245" s="820"/>
      <c r="O245" s="820">
        <f t="shared" ref="O245:O250" si="117">SUM(M245+N245)</f>
        <v>20</v>
      </c>
    </row>
    <row r="246" spans="1:16" ht="31.5" x14ac:dyDescent="0.25">
      <c r="A246" s="795"/>
      <c r="B246" s="813" t="s">
        <v>1209</v>
      </c>
      <c r="C246" s="814">
        <v>328</v>
      </c>
      <c r="D246" s="815">
        <v>89</v>
      </c>
      <c r="E246" s="815"/>
      <c r="F246" s="802"/>
      <c r="G246" s="798"/>
      <c r="H246" s="817">
        <f t="shared" si="114"/>
        <v>417</v>
      </c>
      <c r="I246" s="853"/>
      <c r="J246" s="816"/>
      <c r="K246" s="816"/>
      <c r="L246" s="817">
        <f t="shared" si="115"/>
        <v>0</v>
      </c>
      <c r="M246" s="820">
        <f t="shared" si="116"/>
        <v>417</v>
      </c>
      <c r="N246" s="820"/>
      <c r="O246" s="820">
        <f t="shared" si="117"/>
        <v>417</v>
      </c>
    </row>
    <row r="247" spans="1:16" ht="31.5" x14ac:dyDescent="0.25">
      <c r="A247" s="795"/>
      <c r="B247" s="813" t="s">
        <v>1315</v>
      </c>
      <c r="C247" s="814"/>
      <c r="D247" s="815"/>
      <c r="E247" s="815">
        <v>-402</v>
      </c>
      <c r="F247" s="802"/>
      <c r="G247" s="798"/>
      <c r="H247" s="817">
        <f t="shared" si="114"/>
        <v>-402</v>
      </c>
      <c r="I247" s="853">
        <v>402</v>
      </c>
      <c r="J247" s="816"/>
      <c r="K247" s="816"/>
      <c r="L247" s="817">
        <f t="shared" si="115"/>
        <v>402</v>
      </c>
      <c r="M247" s="820">
        <f t="shared" si="116"/>
        <v>0</v>
      </c>
      <c r="N247" s="820"/>
      <c r="O247" s="820">
        <f t="shared" si="117"/>
        <v>0</v>
      </c>
    </row>
    <row r="248" spans="1:16" ht="31.5" x14ac:dyDescent="0.25">
      <c r="A248" s="795"/>
      <c r="B248" s="813" t="s">
        <v>1262</v>
      </c>
      <c r="C248" s="814"/>
      <c r="D248" s="815">
        <v>244</v>
      </c>
      <c r="E248" s="815">
        <f>610+77</f>
        <v>687</v>
      </c>
      <c r="F248" s="802"/>
      <c r="G248" s="798"/>
      <c r="H248" s="817">
        <f t="shared" si="114"/>
        <v>931</v>
      </c>
      <c r="I248" s="853"/>
      <c r="J248" s="816"/>
      <c r="K248" s="816"/>
      <c r="L248" s="817">
        <f t="shared" si="115"/>
        <v>0</v>
      </c>
      <c r="M248" s="820">
        <f t="shared" si="116"/>
        <v>931</v>
      </c>
      <c r="N248" s="820"/>
      <c r="O248" s="820">
        <f t="shared" si="117"/>
        <v>931</v>
      </c>
    </row>
    <row r="249" spans="1:16" x14ac:dyDescent="0.25">
      <c r="A249" s="795"/>
      <c r="B249" s="796" t="s">
        <v>244</v>
      </c>
      <c r="C249" s="797"/>
      <c r="D249" s="798"/>
      <c r="E249" s="798"/>
      <c r="F249" s="802"/>
      <c r="G249" s="798"/>
      <c r="H249" s="817"/>
      <c r="I249" s="853"/>
      <c r="J249" s="816"/>
      <c r="K249" s="816"/>
      <c r="L249" s="817"/>
      <c r="M249" s="820"/>
      <c r="N249" s="820"/>
      <c r="O249" s="820"/>
    </row>
    <row r="250" spans="1:16" s="804" customFormat="1" ht="16.5" thickBot="1" x14ac:dyDescent="0.3">
      <c r="A250" s="795"/>
      <c r="B250" s="813" t="s">
        <v>1427</v>
      </c>
      <c r="C250" s="814">
        <v>231</v>
      </c>
      <c r="D250" s="815">
        <v>79</v>
      </c>
      <c r="E250" s="815"/>
      <c r="F250" s="802"/>
      <c r="G250" s="798"/>
      <c r="H250" s="817">
        <f t="shared" si="114"/>
        <v>310</v>
      </c>
      <c r="I250" s="853"/>
      <c r="J250" s="816"/>
      <c r="K250" s="816"/>
      <c r="L250" s="817">
        <f t="shared" si="115"/>
        <v>0</v>
      </c>
      <c r="M250" s="820">
        <f t="shared" si="116"/>
        <v>310</v>
      </c>
      <c r="N250" s="820"/>
      <c r="O250" s="820">
        <f t="shared" si="117"/>
        <v>310</v>
      </c>
      <c r="P250" s="780"/>
    </row>
    <row r="251" spans="1:16" s="804" customFormat="1" ht="17.25" thickTop="1" thickBot="1" x14ac:dyDescent="0.3">
      <c r="A251" s="807"/>
      <c r="B251" s="444" t="s">
        <v>1157</v>
      </c>
      <c r="C251" s="445">
        <f>+C241+C245+C246+C250+C247+C248</f>
        <v>54077</v>
      </c>
      <c r="D251" s="445">
        <f t="shared" ref="D251:O251" si="118">+D241+D245+D246+D250+D247+D248</f>
        <v>14849</v>
      </c>
      <c r="E251" s="445">
        <f t="shared" si="118"/>
        <v>17863</v>
      </c>
      <c r="F251" s="445">
        <f t="shared" si="118"/>
        <v>0</v>
      </c>
      <c r="G251" s="445">
        <f t="shared" si="118"/>
        <v>0</v>
      </c>
      <c r="H251" s="445">
        <f t="shared" si="118"/>
        <v>86789</v>
      </c>
      <c r="I251" s="445">
        <f t="shared" si="118"/>
        <v>733</v>
      </c>
      <c r="J251" s="445">
        <f t="shared" si="118"/>
        <v>0</v>
      </c>
      <c r="K251" s="445">
        <f t="shared" si="118"/>
        <v>0</v>
      </c>
      <c r="L251" s="445">
        <f t="shared" si="118"/>
        <v>733</v>
      </c>
      <c r="M251" s="445">
        <f t="shared" si="118"/>
        <v>87522</v>
      </c>
      <c r="N251" s="445">
        <f t="shared" si="118"/>
        <v>0</v>
      </c>
      <c r="O251" s="445">
        <f t="shared" si="118"/>
        <v>87522</v>
      </c>
    </row>
    <row r="252" spans="1:16" s="804" customFormat="1" ht="17.25" thickTop="1" thickBot="1" x14ac:dyDescent="0.3">
      <c r="A252" s="807"/>
      <c r="B252" s="444" t="s">
        <v>1158</v>
      </c>
      <c r="C252" s="445">
        <f t="shared" ref="C252:O252" si="119">+C242+C245+C246+C247+C248</f>
        <v>52675</v>
      </c>
      <c r="D252" s="445">
        <f t="shared" si="119"/>
        <v>14356</v>
      </c>
      <c r="E252" s="445">
        <f t="shared" si="119"/>
        <v>17578</v>
      </c>
      <c r="F252" s="445">
        <f t="shared" si="119"/>
        <v>0</v>
      </c>
      <c r="G252" s="445">
        <f t="shared" si="119"/>
        <v>0</v>
      </c>
      <c r="H252" s="445">
        <f t="shared" si="119"/>
        <v>84609</v>
      </c>
      <c r="I252" s="445">
        <f t="shared" si="119"/>
        <v>733</v>
      </c>
      <c r="J252" s="445">
        <f t="shared" si="119"/>
        <v>0</v>
      </c>
      <c r="K252" s="445">
        <f t="shared" si="119"/>
        <v>0</v>
      </c>
      <c r="L252" s="445">
        <f t="shared" si="119"/>
        <v>733</v>
      </c>
      <c r="M252" s="445">
        <f t="shared" si="119"/>
        <v>85342</v>
      </c>
      <c r="N252" s="445">
        <f t="shared" si="119"/>
        <v>0</v>
      </c>
      <c r="O252" s="445">
        <f t="shared" si="119"/>
        <v>85342</v>
      </c>
    </row>
    <row r="253" spans="1:16" s="804" customFormat="1" ht="17.25" thickTop="1" thickBot="1" x14ac:dyDescent="0.3">
      <c r="A253" s="807"/>
      <c r="B253" s="444" t="s">
        <v>1159</v>
      </c>
      <c r="C253" s="445">
        <f>+C243+C250</f>
        <v>1402</v>
      </c>
      <c r="D253" s="445">
        <f t="shared" ref="D253:O253" si="120">+D243+D250</f>
        <v>493</v>
      </c>
      <c r="E253" s="445">
        <f t="shared" si="120"/>
        <v>285</v>
      </c>
      <c r="F253" s="445">
        <f t="shared" si="120"/>
        <v>0</v>
      </c>
      <c r="G253" s="445">
        <f t="shared" si="120"/>
        <v>0</v>
      </c>
      <c r="H253" s="445">
        <f t="shared" si="120"/>
        <v>2180</v>
      </c>
      <c r="I253" s="445">
        <f t="shared" si="120"/>
        <v>0</v>
      </c>
      <c r="J253" s="445">
        <f t="shared" si="120"/>
        <v>0</v>
      </c>
      <c r="K253" s="445">
        <f t="shared" si="120"/>
        <v>0</v>
      </c>
      <c r="L253" s="445">
        <f t="shared" si="120"/>
        <v>0</v>
      </c>
      <c r="M253" s="445">
        <f t="shared" si="120"/>
        <v>2180</v>
      </c>
      <c r="N253" s="445">
        <f t="shared" si="120"/>
        <v>0</v>
      </c>
      <c r="O253" s="445">
        <f t="shared" si="120"/>
        <v>2180</v>
      </c>
    </row>
    <row r="254" spans="1:16" s="804" customFormat="1" ht="16.5" thickTop="1" x14ac:dyDescent="0.25">
      <c r="A254" s="791" t="s">
        <v>22</v>
      </c>
      <c r="B254" s="438" t="s">
        <v>1175</v>
      </c>
      <c r="C254" s="439"/>
      <c r="D254" s="440"/>
      <c r="E254" s="440"/>
      <c r="F254" s="443"/>
      <c r="G254" s="440"/>
      <c r="H254" s="792"/>
      <c r="I254" s="793"/>
      <c r="J254" s="441"/>
      <c r="K254" s="441"/>
      <c r="L254" s="792"/>
      <c r="M254" s="792"/>
      <c r="N254" s="792"/>
      <c r="O254" s="792"/>
    </row>
    <row r="255" spans="1:16" s="804" customFormat="1" x14ac:dyDescent="0.25">
      <c r="A255" s="829"/>
      <c r="B255" s="438" t="s">
        <v>1125</v>
      </c>
      <c r="C255" s="439">
        <v>164907</v>
      </c>
      <c r="D255" s="440">
        <v>47059</v>
      </c>
      <c r="E255" s="440">
        <v>59729</v>
      </c>
      <c r="F255" s="441"/>
      <c r="G255" s="440"/>
      <c r="H255" s="792">
        <f>SUM(C255:G255)</f>
        <v>271695</v>
      </c>
      <c r="I255" s="793">
        <v>3274</v>
      </c>
      <c r="J255" s="441"/>
      <c r="K255" s="441"/>
      <c r="L255" s="792">
        <f>SUM(I255:K255)</f>
        <v>3274</v>
      </c>
      <c r="M255" s="794">
        <f>SUM(H255+L255)</f>
        <v>274969</v>
      </c>
      <c r="N255" s="794"/>
      <c r="O255" s="794">
        <f>SUM(M255+N255)</f>
        <v>274969</v>
      </c>
    </row>
    <row r="256" spans="1:16" s="804" customFormat="1" x14ac:dyDescent="0.25">
      <c r="A256" s="830"/>
      <c r="B256" s="796" t="s">
        <v>1263</v>
      </c>
      <c r="C256" s="797">
        <v>160825</v>
      </c>
      <c r="D256" s="798">
        <v>45620</v>
      </c>
      <c r="E256" s="798">
        <v>59584</v>
      </c>
      <c r="F256" s="799"/>
      <c r="G256" s="798"/>
      <c r="H256" s="800">
        <f>SUM(C256:G256)</f>
        <v>266029</v>
      </c>
      <c r="I256" s="808">
        <v>3274</v>
      </c>
      <c r="J256" s="799"/>
      <c r="K256" s="799"/>
      <c r="L256" s="800">
        <f>SUM(I256:K256)</f>
        <v>3274</v>
      </c>
      <c r="M256" s="803">
        <f>SUM(H256+L256)</f>
        <v>269303</v>
      </c>
      <c r="N256" s="803"/>
      <c r="O256" s="803">
        <f>SUM(M256+N256)</f>
        <v>269303</v>
      </c>
    </row>
    <row r="257" spans="1:16" s="804" customFormat="1" x14ac:dyDescent="0.25">
      <c r="A257" s="830"/>
      <c r="B257" s="796" t="s">
        <v>1156</v>
      </c>
      <c r="C257" s="797">
        <v>4082</v>
      </c>
      <c r="D257" s="798">
        <v>1439</v>
      </c>
      <c r="E257" s="798">
        <v>145</v>
      </c>
      <c r="F257" s="799"/>
      <c r="G257" s="798"/>
      <c r="H257" s="800">
        <f>SUM(C257:G257)</f>
        <v>5666</v>
      </c>
      <c r="I257" s="808"/>
      <c r="J257" s="799"/>
      <c r="K257" s="799"/>
      <c r="L257" s="800">
        <f>SUM(I257:K257)</f>
        <v>0</v>
      </c>
      <c r="M257" s="803">
        <f>SUM(H257+L257)</f>
        <v>5666</v>
      </c>
      <c r="N257" s="803"/>
      <c r="O257" s="803">
        <f>SUM(M257+N257)</f>
        <v>5666</v>
      </c>
    </row>
    <row r="258" spans="1:16" s="804" customFormat="1" x14ac:dyDescent="0.25">
      <c r="A258" s="830"/>
      <c r="B258" s="796" t="s">
        <v>243</v>
      </c>
      <c r="C258" s="797"/>
      <c r="D258" s="798"/>
      <c r="E258" s="798"/>
      <c r="F258" s="799"/>
      <c r="G258" s="798"/>
      <c r="H258" s="800"/>
      <c r="I258" s="808"/>
      <c r="J258" s="799"/>
      <c r="K258" s="799"/>
      <c r="L258" s="800"/>
      <c r="M258" s="803"/>
      <c r="N258" s="803"/>
      <c r="O258" s="803"/>
    </row>
    <row r="259" spans="1:16" s="804" customFormat="1" x14ac:dyDescent="0.25">
      <c r="A259" s="830"/>
      <c r="B259" s="813" t="s">
        <v>1426</v>
      </c>
      <c r="C259" s="814">
        <v>9</v>
      </c>
      <c r="D259" s="815">
        <v>3</v>
      </c>
      <c r="E259" s="798"/>
      <c r="F259" s="799"/>
      <c r="G259" s="798"/>
      <c r="H259" s="817">
        <f t="shared" ref="H259:H263" si="121">SUM(C259:G259)</f>
        <v>12</v>
      </c>
      <c r="I259" s="853"/>
      <c r="J259" s="816"/>
      <c r="K259" s="816"/>
      <c r="L259" s="817">
        <f t="shared" ref="L259:L263" si="122">SUM(I259:K259)</f>
        <v>0</v>
      </c>
      <c r="M259" s="820">
        <f t="shared" ref="M259:M263" si="123">SUM(H259+L259)</f>
        <v>12</v>
      </c>
      <c r="N259" s="820"/>
      <c r="O259" s="820">
        <f t="shared" ref="O259:O263" si="124">SUM(M259+N259)</f>
        <v>12</v>
      </c>
    </row>
    <row r="260" spans="1:16" s="804" customFormat="1" ht="31.5" x14ac:dyDescent="0.25">
      <c r="A260" s="830"/>
      <c r="B260" s="813" t="s">
        <v>1315</v>
      </c>
      <c r="C260" s="814"/>
      <c r="D260" s="815">
        <v>-3</v>
      </c>
      <c r="E260" s="815">
        <f>-288+3</f>
        <v>-285</v>
      </c>
      <c r="F260" s="799"/>
      <c r="G260" s="798"/>
      <c r="H260" s="817">
        <f t="shared" si="121"/>
        <v>-288</v>
      </c>
      <c r="I260" s="853">
        <v>288</v>
      </c>
      <c r="J260" s="816"/>
      <c r="K260" s="816"/>
      <c r="L260" s="817">
        <f t="shared" si="122"/>
        <v>288</v>
      </c>
      <c r="M260" s="820">
        <f t="shared" si="123"/>
        <v>0</v>
      </c>
      <c r="N260" s="820"/>
      <c r="O260" s="820">
        <f t="shared" si="124"/>
        <v>0</v>
      </c>
    </row>
    <row r="261" spans="1:16" ht="31.5" x14ac:dyDescent="0.25">
      <c r="A261" s="830"/>
      <c r="B261" s="813" t="s">
        <v>1262</v>
      </c>
      <c r="C261" s="814"/>
      <c r="D261" s="815"/>
      <c r="E261" s="815">
        <f>5155+3005</f>
        <v>8160</v>
      </c>
      <c r="F261" s="799"/>
      <c r="G261" s="798"/>
      <c r="H261" s="817">
        <f t="shared" si="121"/>
        <v>8160</v>
      </c>
      <c r="I261" s="853"/>
      <c r="J261" s="816"/>
      <c r="K261" s="816"/>
      <c r="L261" s="817">
        <f t="shared" si="122"/>
        <v>0</v>
      </c>
      <c r="M261" s="820">
        <f t="shared" si="123"/>
        <v>8160</v>
      </c>
      <c r="N261" s="820"/>
      <c r="O261" s="820">
        <f t="shared" si="124"/>
        <v>8160</v>
      </c>
      <c r="P261" s="804"/>
    </row>
    <row r="262" spans="1:16" x14ac:dyDescent="0.25">
      <c r="A262" s="830"/>
      <c r="B262" s="796" t="s">
        <v>244</v>
      </c>
      <c r="C262" s="797"/>
      <c r="D262" s="798"/>
      <c r="E262" s="798"/>
      <c r="F262" s="799"/>
      <c r="G262" s="798"/>
      <c r="H262" s="817"/>
      <c r="I262" s="853"/>
      <c r="J262" s="816"/>
      <c r="K262" s="816"/>
      <c r="L262" s="817"/>
      <c r="M262" s="820"/>
      <c r="N262" s="820"/>
      <c r="O262" s="820"/>
    </row>
    <row r="263" spans="1:16" ht="16.5" thickBot="1" x14ac:dyDescent="0.3">
      <c r="A263" s="830"/>
      <c r="B263" s="813" t="s">
        <v>1427</v>
      </c>
      <c r="C263" s="814">
        <v>785</v>
      </c>
      <c r="D263" s="815">
        <v>271</v>
      </c>
      <c r="E263" s="815"/>
      <c r="F263" s="799"/>
      <c r="G263" s="798"/>
      <c r="H263" s="817">
        <f t="shared" si="121"/>
        <v>1056</v>
      </c>
      <c r="I263" s="853"/>
      <c r="J263" s="816"/>
      <c r="K263" s="816"/>
      <c r="L263" s="817">
        <f t="shared" si="122"/>
        <v>0</v>
      </c>
      <c r="M263" s="820">
        <f t="shared" si="123"/>
        <v>1056</v>
      </c>
      <c r="N263" s="820"/>
      <c r="O263" s="820">
        <f t="shared" si="124"/>
        <v>1056</v>
      </c>
    </row>
    <row r="264" spans="1:16" ht="17.25" thickTop="1" thickBot="1" x14ac:dyDescent="0.3">
      <c r="A264" s="807"/>
      <c r="B264" s="444" t="s">
        <v>1157</v>
      </c>
      <c r="C264" s="445">
        <f>+C255+C259+C260+C261+C263</f>
        <v>165701</v>
      </c>
      <c r="D264" s="445">
        <f t="shared" ref="D264:O264" si="125">+D255+D259+D260+D261+D263</f>
        <v>47330</v>
      </c>
      <c r="E264" s="445">
        <f t="shared" si="125"/>
        <v>67604</v>
      </c>
      <c r="F264" s="445">
        <f t="shared" si="125"/>
        <v>0</v>
      </c>
      <c r="G264" s="445">
        <f t="shared" si="125"/>
        <v>0</v>
      </c>
      <c r="H264" s="445">
        <f t="shared" si="125"/>
        <v>280635</v>
      </c>
      <c r="I264" s="445">
        <f t="shared" si="125"/>
        <v>3562</v>
      </c>
      <c r="J264" s="445">
        <f t="shared" si="125"/>
        <v>0</v>
      </c>
      <c r="K264" s="445">
        <f t="shared" si="125"/>
        <v>0</v>
      </c>
      <c r="L264" s="445">
        <f t="shared" si="125"/>
        <v>3562</v>
      </c>
      <c r="M264" s="445">
        <f t="shared" si="125"/>
        <v>284197</v>
      </c>
      <c r="N264" s="445">
        <f t="shared" si="125"/>
        <v>0</v>
      </c>
      <c r="O264" s="445">
        <f t="shared" si="125"/>
        <v>284197</v>
      </c>
    </row>
    <row r="265" spans="1:16" ht="17.25" thickTop="1" thickBot="1" x14ac:dyDescent="0.3">
      <c r="A265" s="807"/>
      <c r="B265" s="444" t="s">
        <v>1158</v>
      </c>
      <c r="C265" s="445">
        <f t="shared" ref="C265:O265" si="126">+C256+C259+C260+C261</f>
        <v>160834</v>
      </c>
      <c r="D265" s="445">
        <f t="shared" si="126"/>
        <v>45620</v>
      </c>
      <c r="E265" s="445">
        <f t="shared" si="126"/>
        <v>67459</v>
      </c>
      <c r="F265" s="445">
        <f t="shared" si="126"/>
        <v>0</v>
      </c>
      <c r="G265" s="445">
        <f t="shared" si="126"/>
        <v>0</v>
      </c>
      <c r="H265" s="445">
        <f t="shared" si="126"/>
        <v>273913</v>
      </c>
      <c r="I265" s="445">
        <f t="shared" si="126"/>
        <v>3562</v>
      </c>
      <c r="J265" s="445">
        <f t="shared" si="126"/>
        <v>0</v>
      </c>
      <c r="K265" s="445">
        <f t="shared" si="126"/>
        <v>0</v>
      </c>
      <c r="L265" s="445">
        <f t="shared" si="126"/>
        <v>3562</v>
      </c>
      <c r="M265" s="445">
        <f t="shared" si="126"/>
        <v>277475</v>
      </c>
      <c r="N265" s="445">
        <f t="shared" si="126"/>
        <v>0</v>
      </c>
      <c r="O265" s="445">
        <f t="shared" si="126"/>
        <v>277475</v>
      </c>
      <c r="P265" s="780"/>
    </row>
    <row r="266" spans="1:16" s="804" customFormat="1" ht="17.25" thickTop="1" thickBot="1" x14ac:dyDescent="0.3">
      <c r="A266" s="807"/>
      <c r="B266" s="444" t="s">
        <v>1159</v>
      </c>
      <c r="C266" s="445">
        <f>+C257+C263</f>
        <v>4867</v>
      </c>
      <c r="D266" s="445">
        <f t="shared" ref="D266:O266" si="127">+D257+D263</f>
        <v>1710</v>
      </c>
      <c r="E266" s="445">
        <f t="shared" si="127"/>
        <v>145</v>
      </c>
      <c r="F266" s="445">
        <f t="shared" si="127"/>
        <v>0</v>
      </c>
      <c r="G266" s="445">
        <f t="shared" si="127"/>
        <v>0</v>
      </c>
      <c r="H266" s="445">
        <f t="shared" si="127"/>
        <v>6722</v>
      </c>
      <c r="I266" s="445">
        <f t="shared" si="127"/>
        <v>0</v>
      </c>
      <c r="J266" s="445">
        <f t="shared" si="127"/>
        <v>0</v>
      </c>
      <c r="K266" s="445">
        <f t="shared" si="127"/>
        <v>0</v>
      </c>
      <c r="L266" s="445">
        <f t="shared" si="127"/>
        <v>0</v>
      </c>
      <c r="M266" s="445">
        <f t="shared" si="127"/>
        <v>6722</v>
      </c>
      <c r="N266" s="445">
        <f t="shared" si="127"/>
        <v>0</v>
      </c>
      <c r="O266" s="445">
        <f t="shared" si="127"/>
        <v>6722</v>
      </c>
      <c r="P266" s="781"/>
    </row>
    <row r="267" spans="1:16" s="804" customFormat="1" ht="16.5" thickTop="1" x14ac:dyDescent="0.25">
      <c r="A267" s="791" t="s">
        <v>25</v>
      </c>
      <c r="B267" s="438" t="s">
        <v>560</v>
      </c>
      <c r="C267" s="439"/>
      <c r="D267" s="440"/>
      <c r="E267" s="440"/>
      <c r="F267" s="443"/>
      <c r="G267" s="440"/>
      <c r="H267" s="792"/>
      <c r="I267" s="793"/>
      <c r="J267" s="441"/>
      <c r="K267" s="441"/>
      <c r="L267" s="792"/>
      <c r="M267" s="792"/>
      <c r="N267" s="792"/>
      <c r="O267" s="792"/>
    </row>
    <row r="268" spans="1:16" s="804" customFormat="1" x14ac:dyDescent="0.25">
      <c r="A268" s="791"/>
      <c r="B268" s="442" t="s">
        <v>1125</v>
      </c>
      <c r="C268" s="439">
        <v>106290</v>
      </c>
      <c r="D268" s="440">
        <v>30563</v>
      </c>
      <c r="E268" s="440">
        <v>59646</v>
      </c>
      <c r="F268" s="443"/>
      <c r="G268" s="440"/>
      <c r="H268" s="792">
        <f>SUM(C268:G268)</f>
        <v>196499</v>
      </c>
      <c r="I268" s="793">
        <v>1481</v>
      </c>
      <c r="J268" s="441"/>
      <c r="K268" s="441"/>
      <c r="L268" s="792">
        <f>SUM(I268:K268)</f>
        <v>1481</v>
      </c>
      <c r="M268" s="794">
        <f>SUM(H268+L268)</f>
        <v>197980</v>
      </c>
      <c r="N268" s="794"/>
      <c r="O268" s="794">
        <f>SUM(M268+N268)</f>
        <v>197980</v>
      </c>
    </row>
    <row r="269" spans="1:16" s="804" customFormat="1" x14ac:dyDescent="0.25">
      <c r="A269" s="795"/>
      <c r="B269" s="796" t="s">
        <v>1263</v>
      </c>
      <c r="C269" s="797">
        <v>103550</v>
      </c>
      <c r="D269" s="798">
        <v>29598</v>
      </c>
      <c r="E269" s="798">
        <v>59481</v>
      </c>
      <c r="F269" s="802"/>
      <c r="G269" s="798"/>
      <c r="H269" s="800">
        <f>SUM(C269:G269)</f>
        <v>192629</v>
      </c>
      <c r="I269" s="808">
        <v>1481</v>
      </c>
      <c r="J269" s="799"/>
      <c r="K269" s="799"/>
      <c r="L269" s="800">
        <f>SUM(I269:K269)</f>
        <v>1481</v>
      </c>
      <c r="M269" s="803">
        <f>SUM(H269+L269)</f>
        <v>194110</v>
      </c>
      <c r="N269" s="803"/>
      <c r="O269" s="803">
        <f>SUM(M269+N269)</f>
        <v>194110</v>
      </c>
    </row>
    <row r="270" spans="1:16" s="804" customFormat="1" x14ac:dyDescent="0.25">
      <c r="A270" s="795"/>
      <c r="B270" s="796" t="s">
        <v>1156</v>
      </c>
      <c r="C270" s="797">
        <v>2740</v>
      </c>
      <c r="D270" s="798">
        <v>965</v>
      </c>
      <c r="E270" s="798">
        <v>165</v>
      </c>
      <c r="F270" s="802"/>
      <c r="G270" s="798"/>
      <c r="H270" s="800">
        <f>SUM(C270:G270)</f>
        <v>3870</v>
      </c>
      <c r="I270" s="808"/>
      <c r="J270" s="799"/>
      <c r="K270" s="799"/>
      <c r="L270" s="800">
        <f>SUM(I270:K270)</f>
        <v>0</v>
      </c>
      <c r="M270" s="803">
        <f>SUM(H270+L270)</f>
        <v>3870</v>
      </c>
      <c r="N270" s="803"/>
      <c r="O270" s="803">
        <f>SUM(M270+N270)</f>
        <v>3870</v>
      </c>
    </row>
    <row r="271" spans="1:16" s="804" customFormat="1" x14ac:dyDescent="0.25">
      <c r="A271" s="830"/>
      <c r="B271" s="831" t="s">
        <v>243</v>
      </c>
      <c r="C271" s="797"/>
      <c r="D271" s="798"/>
      <c r="E271" s="798"/>
      <c r="F271" s="799"/>
      <c r="G271" s="798"/>
      <c r="H271" s="800"/>
      <c r="I271" s="808"/>
      <c r="J271" s="799"/>
      <c r="K271" s="799"/>
      <c r="L271" s="800"/>
      <c r="M271" s="800"/>
      <c r="N271" s="800"/>
      <c r="O271" s="800"/>
    </row>
    <row r="272" spans="1:16" s="804" customFormat="1" x14ac:dyDescent="0.25">
      <c r="A272" s="830"/>
      <c r="B272" s="852" t="s">
        <v>1426</v>
      </c>
      <c r="C272" s="814">
        <v>16</v>
      </c>
      <c r="D272" s="815">
        <v>4</v>
      </c>
      <c r="E272" s="798"/>
      <c r="F272" s="799"/>
      <c r="G272" s="798"/>
      <c r="H272" s="817">
        <f t="shared" ref="H272:H276" si="128">SUM(C272:G272)</f>
        <v>20</v>
      </c>
      <c r="I272" s="853"/>
      <c r="J272" s="816"/>
      <c r="K272" s="816"/>
      <c r="L272" s="817">
        <f t="shared" ref="L272:L276" si="129">SUM(I272:K272)</f>
        <v>0</v>
      </c>
      <c r="M272" s="817">
        <f t="shared" ref="M272:M276" si="130">SUM(H272+L272)</f>
        <v>20</v>
      </c>
      <c r="N272" s="817"/>
      <c r="O272" s="817">
        <f t="shared" ref="O272:O276" si="131">SUM(M272+N272)</f>
        <v>20</v>
      </c>
    </row>
    <row r="273" spans="1:16" s="804" customFormat="1" ht="31.5" x14ac:dyDescent="0.25">
      <c r="A273" s="795"/>
      <c r="B273" s="813" t="s">
        <v>1315</v>
      </c>
      <c r="C273" s="814"/>
      <c r="D273" s="815"/>
      <c r="E273" s="815">
        <v>-217</v>
      </c>
      <c r="F273" s="802"/>
      <c r="G273" s="798"/>
      <c r="H273" s="817">
        <f t="shared" si="128"/>
        <v>-217</v>
      </c>
      <c r="I273" s="853">
        <v>217</v>
      </c>
      <c r="J273" s="816"/>
      <c r="K273" s="816"/>
      <c r="L273" s="817">
        <f t="shared" si="129"/>
        <v>217</v>
      </c>
      <c r="M273" s="820">
        <f t="shared" si="130"/>
        <v>0</v>
      </c>
      <c r="N273" s="820"/>
      <c r="O273" s="820">
        <f t="shared" si="131"/>
        <v>0</v>
      </c>
    </row>
    <row r="274" spans="1:16" ht="31.5" x14ac:dyDescent="0.25">
      <c r="A274" s="795"/>
      <c r="B274" s="813" t="s">
        <v>1262</v>
      </c>
      <c r="C274" s="814"/>
      <c r="D274" s="815">
        <v>341</v>
      </c>
      <c r="E274" s="815">
        <f>3311+2821-3162</f>
        <v>2970</v>
      </c>
      <c r="F274" s="802"/>
      <c r="G274" s="798"/>
      <c r="H274" s="817">
        <f t="shared" si="128"/>
        <v>3311</v>
      </c>
      <c r="I274" s="853"/>
      <c r="J274" s="816"/>
      <c r="K274" s="816"/>
      <c r="L274" s="817">
        <f t="shared" si="129"/>
        <v>0</v>
      </c>
      <c r="M274" s="820">
        <f t="shared" si="130"/>
        <v>3311</v>
      </c>
      <c r="N274" s="820"/>
      <c r="O274" s="820">
        <f t="shared" si="131"/>
        <v>3311</v>
      </c>
      <c r="P274" s="804"/>
    </row>
    <row r="275" spans="1:16" x14ac:dyDescent="0.25">
      <c r="A275" s="795"/>
      <c r="B275" s="796" t="s">
        <v>244</v>
      </c>
      <c r="C275" s="797"/>
      <c r="D275" s="798"/>
      <c r="E275" s="798"/>
      <c r="F275" s="802"/>
      <c r="G275" s="798"/>
      <c r="H275" s="817"/>
      <c r="I275" s="853"/>
      <c r="J275" s="816"/>
      <c r="K275" s="816"/>
      <c r="L275" s="817"/>
      <c r="M275" s="820"/>
      <c r="N275" s="820"/>
      <c r="O275" s="820"/>
      <c r="P275" s="804"/>
    </row>
    <row r="276" spans="1:16" ht="16.5" thickBot="1" x14ac:dyDescent="0.3">
      <c r="A276" s="795"/>
      <c r="B276" s="813" t="s">
        <v>1427</v>
      </c>
      <c r="C276" s="814">
        <v>523</v>
      </c>
      <c r="D276" s="815">
        <v>180</v>
      </c>
      <c r="E276" s="815"/>
      <c r="F276" s="802"/>
      <c r="G276" s="798"/>
      <c r="H276" s="817">
        <f t="shared" si="128"/>
        <v>703</v>
      </c>
      <c r="I276" s="853"/>
      <c r="J276" s="816"/>
      <c r="K276" s="816"/>
      <c r="L276" s="817">
        <f t="shared" si="129"/>
        <v>0</v>
      </c>
      <c r="M276" s="820">
        <f t="shared" si="130"/>
        <v>703</v>
      </c>
      <c r="N276" s="820"/>
      <c r="O276" s="820">
        <f t="shared" si="131"/>
        <v>703</v>
      </c>
      <c r="P276" s="804"/>
    </row>
    <row r="277" spans="1:16" ht="17.25" thickTop="1" thickBot="1" x14ac:dyDescent="0.3">
      <c r="A277" s="807"/>
      <c r="B277" s="444" t="s">
        <v>1157</v>
      </c>
      <c r="C277" s="445">
        <f>+C268+C272+C273+C274+C276</f>
        <v>106829</v>
      </c>
      <c r="D277" s="445">
        <f t="shared" ref="D277:O277" si="132">+D268+D272+D273+D274+D276</f>
        <v>31088</v>
      </c>
      <c r="E277" s="445">
        <f t="shared" si="132"/>
        <v>62399</v>
      </c>
      <c r="F277" s="445">
        <f t="shared" si="132"/>
        <v>0</v>
      </c>
      <c r="G277" s="445">
        <f t="shared" si="132"/>
        <v>0</v>
      </c>
      <c r="H277" s="445">
        <f t="shared" si="132"/>
        <v>200316</v>
      </c>
      <c r="I277" s="445">
        <f t="shared" si="132"/>
        <v>1698</v>
      </c>
      <c r="J277" s="445">
        <f t="shared" si="132"/>
        <v>0</v>
      </c>
      <c r="K277" s="445">
        <f t="shared" si="132"/>
        <v>0</v>
      </c>
      <c r="L277" s="445">
        <f t="shared" si="132"/>
        <v>1698</v>
      </c>
      <c r="M277" s="445">
        <f t="shared" si="132"/>
        <v>202014</v>
      </c>
      <c r="N277" s="445">
        <f t="shared" si="132"/>
        <v>0</v>
      </c>
      <c r="O277" s="445">
        <f t="shared" si="132"/>
        <v>202014</v>
      </c>
      <c r="P277" s="804"/>
    </row>
    <row r="278" spans="1:16" ht="17.25" thickTop="1" thickBot="1" x14ac:dyDescent="0.3">
      <c r="A278" s="807"/>
      <c r="B278" s="444" t="s">
        <v>1158</v>
      </c>
      <c r="C278" s="445">
        <f>+C269+C272+C273+C274</f>
        <v>103566</v>
      </c>
      <c r="D278" s="445">
        <f t="shared" ref="D278:O278" si="133">+D269+D272+D273+D274</f>
        <v>29943</v>
      </c>
      <c r="E278" s="445">
        <f t="shared" si="133"/>
        <v>62234</v>
      </c>
      <c r="F278" s="445">
        <f t="shared" si="133"/>
        <v>0</v>
      </c>
      <c r="G278" s="445">
        <f t="shared" si="133"/>
        <v>0</v>
      </c>
      <c r="H278" s="445">
        <f t="shared" si="133"/>
        <v>195743</v>
      </c>
      <c r="I278" s="445">
        <f t="shared" si="133"/>
        <v>1698</v>
      </c>
      <c r="J278" s="445">
        <f t="shared" si="133"/>
        <v>0</v>
      </c>
      <c r="K278" s="445">
        <f t="shared" si="133"/>
        <v>0</v>
      </c>
      <c r="L278" s="445">
        <f t="shared" si="133"/>
        <v>1698</v>
      </c>
      <c r="M278" s="445">
        <f t="shared" si="133"/>
        <v>197441</v>
      </c>
      <c r="N278" s="445">
        <f t="shared" si="133"/>
        <v>0</v>
      </c>
      <c r="O278" s="445">
        <f t="shared" si="133"/>
        <v>197441</v>
      </c>
    </row>
    <row r="279" spans="1:16" s="804" customFormat="1" ht="17.25" thickTop="1" thickBot="1" x14ac:dyDescent="0.3">
      <c r="A279" s="807"/>
      <c r="B279" s="444" t="s">
        <v>1159</v>
      </c>
      <c r="C279" s="445">
        <f>+C270+C276</f>
        <v>3263</v>
      </c>
      <c r="D279" s="445">
        <f t="shared" ref="D279:O279" si="134">+D270+D276</f>
        <v>1145</v>
      </c>
      <c r="E279" s="445">
        <f t="shared" si="134"/>
        <v>165</v>
      </c>
      <c r="F279" s="445">
        <f t="shared" si="134"/>
        <v>0</v>
      </c>
      <c r="G279" s="445">
        <f t="shared" si="134"/>
        <v>0</v>
      </c>
      <c r="H279" s="445">
        <f t="shared" si="134"/>
        <v>4573</v>
      </c>
      <c r="I279" s="445">
        <f t="shared" si="134"/>
        <v>0</v>
      </c>
      <c r="J279" s="445">
        <f t="shared" si="134"/>
        <v>0</v>
      </c>
      <c r="K279" s="445">
        <f t="shared" si="134"/>
        <v>0</v>
      </c>
      <c r="L279" s="445">
        <f t="shared" si="134"/>
        <v>0</v>
      </c>
      <c r="M279" s="445">
        <f t="shared" si="134"/>
        <v>4573</v>
      </c>
      <c r="N279" s="445">
        <f t="shared" si="134"/>
        <v>0</v>
      </c>
      <c r="O279" s="445">
        <f t="shared" si="134"/>
        <v>4573</v>
      </c>
      <c r="P279" s="781"/>
    </row>
    <row r="280" spans="1:16" s="804" customFormat="1" ht="16.5" thickTop="1" x14ac:dyDescent="0.25">
      <c r="A280" s="822" t="s">
        <v>26</v>
      </c>
      <c r="B280" s="823" t="s">
        <v>92</v>
      </c>
      <c r="C280" s="824"/>
      <c r="D280" s="825"/>
      <c r="E280" s="825"/>
      <c r="F280" s="826"/>
      <c r="G280" s="825"/>
      <c r="H280" s="827"/>
      <c r="I280" s="828"/>
      <c r="J280" s="826"/>
      <c r="K280" s="826"/>
      <c r="L280" s="827"/>
      <c r="M280" s="827"/>
      <c r="N280" s="827"/>
      <c r="O280" s="827"/>
      <c r="P280" s="781"/>
    </row>
    <row r="281" spans="1:16" s="804" customFormat="1" x14ac:dyDescent="0.25">
      <c r="A281" s="829"/>
      <c r="B281" s="438" t="s">
        <v>1125</v>
      </c>
      <c r="C281" s="439">
        <v>130201</v>
      </c>
      <c r="D281" s="440">
        <v>37138</v>
      </c>
      <c r="E281" s="440">
        <v>51094</v>
      </c>
      <c r="F281" s="441"/>
      <c r="G281" s="440"/>
      <c r="H281" s="792">
        <f>SUM(C281:G281)</f>
        <v>218433</v>
      </c>
      <c r="I281" s="793">
        <v>1505</v>
      </c>
      <c r="J281" s="441"/>
      <c r="K281" s="441"/>
      <c r="L281" s="792">
        <f>SUM(I281:K281)</f>
        <v>1505</v>
      </c>
      <c r="M281" s="794">
        <f>SUM(H281+L281)</f>
        <v>219938</v>
      </c>
      <c r="N281" s="794"/>
      <c r="O281" s="794">
        <f>SUM(M281+N281)</f>
        <v>219938</v>
      </c>
      <c r="P281" s="780"/>
    </row>
    <row r="282" spans="1:16" s="804" customFormat="1" x14ac:dyDescent="0.25">
      <c r="A282" s="795"/>
      <c r="B282" s="796" t="s">
        <v>1263</v>
      </c>
      <c r="C282" s="797">
        <v>126827</v>
      </c>
      <c r="D282" s="798">
        <v>35945</v>
      </c>
      <c r="E282" s="798">
        <v>50979</v>
      </c>
      <c r="F282" s="799"/>
      <c r="G282" s="798"/>
      <c r="H282" s="800">
        <f>SUM(C282:G282)</f>
        <v>213751</v>
      </c>
      <c r="I282" s="808">
        <v>1505</v>
      </c>
      <c r="J282" s="799"/>
      <c r="K282" s="799"/>
      <c r="L282" s="800">
        <f>SUM(I282:K282)</f>
        <v>1505</v>
      </c>
      <c r="M282" s="803">
        <f>SUM(H282+L282)</f>
        <v>215256</v>
      </c>
      <c r="N282" s="803"/>
      <c r="O282" s="803">
        <f>SUM(M282+N282)</f>
        <v>215256</v>
      </c>
      <c r="P282" s="781"/>
    </row>
    <row r="283" spans="1:16" s="804" customFormat="1" x14ac:dyDescent="0.25">
      <c r="A283" s="795"/>
      <c r="B283" s="796" t="s">
        <v>1156</v>
      </c>
      <c r="C283" s="797">
        <v>3374</v>
      </c>
      <c r="D283" s="798">
        <v>1193</v>
      </c>
      <c r="E283" s="798">
        <v>115</v>
      </c>
      <c r="F283" s="799"/>
      <c r="G283" s="798"/>
      <c r="H283" s="800">
        <f>SUM(C283:G283)</f>
        <v>4682</v>
      </c>
      <c r="I283" s="808"/>
      <c r="J283" s="799"/>
      <c r="K283" s="799"/>
      <c r="L283" s="800">
        <f>SUM(I283:K283)</f>
        <v>0</v>
      </c>
      <c r="M283" s="803">
        <f>SUM(H283+L283)</f>
        <v>4682</v>
      </c>
      <c r="N283" s="803"/>
      <c r="O283" s="803">
        <f>SUM(M283+N283)</f>
        <v>4682</v>
      </c>
      <c r="P283" s="781"/>
    </row>
    <row r="284" spans="1:16" s="804" customFormat="1" x14ac:dyDescent="0.25">
      <c r="A284" s="795"/>
      <c r="B284" s="796" t="s">
        <v>243</v>
      </c>
      <c r="C284" s="797"/>
      <c r="D284" s="798"/>
      <c r="E284" s="798"/>
      <c r="F284" s="799"/>
      <c r="G284" s="798"/>
      <c r="H284" s="800"/>
      <c r="I284" s="808"/>
      <c r="J284" s="799"/>
      <c r="K284" s="799"/>
      <c r="L284" s="800"/>
      <c r="M284" s="803"/>
      <c r="N284" s="803"/>
      <c r="O284" s="803"/>
    </row>
    <row r="285" spans="1:16" s="804" customFormat="1" x14ac:dyDescent="0.25">
      <c r="A285" s="795"/>
      <c r="B285" s="813" t="s">
        <v>1426</v>
      </c>
      <c r="C285" s="814">
        <v>28</v>
      </c>
      <c r="D285" s="815">
        <v>8</v>
      </c>
      <c r="E285" s="798"/>
      <c r="F285" s="799"/>
      <c r="G285" s="798"/>
      <c r="H285" s="817">
        <f t="shared" ref="H285:H290" si="135">SUM(C285:G285)</f>
        <v>36</v>
      </c>
      <c r="I285" s="853"/>
      <c r="J285" s="816"/>
      <c r="K285" s="816"/>
      <c r="L285" s="817">
        <f t="shared" ref="L285:L290" si="136">SUM(I285:K285)</f>
        <v>0</v>
      </c>
      <c r="M285" s="820">
        <f t="shared" ref="M285:M290" si="137">SUM(H285+L285)</f>
        <v>36</v>
      </c>
      <c r="N285" s="820"/>
      <c r="O285" s="820">
        <f t="shared" ref="O285:O290" si="138">SUM(M285+N285)</f>
        <v>36</v>
      </c>
    </row>
    <row r="286" spans="1:16" s="804" customFormat="1" ht="31.5" x14ac:dyDescent="0.25">
      <c r="A286" s="795"/>
      <c r="B286" s="813" t="s">
        <v>1209</v>
      </c>
      <c r="C286" s="814">
        <v>129</v>
      </c>
      <c r="D286" s="815">
        <v>35</v>
      </c>
      <c r="E286" s="815"/>
      <c r="F286" s="799"/>
      <c r="G286" s="798"/>
      <c r="H286" s="817">
        <f t="shared" si="135"/>
        <v>164</v>
      </c>
      <c r="I286" s="853"/>
      <c r="J286" s="816"/>
      <c r="K286" s="816"/>
      <c r="L286" s="817">
        <f t="shared" si="136"/>
        <v>0</v>
      </c>
      <c r="M286" s="820">
        <f t="shared" si="137"/>
        <v>164</v>
      </c>
      <c r="N286" s="820"/>
      <c r="O286" s="820">
        <f t="shared" si="138"/>
        <v>164</v>
      </c>
    </row>
    <row r="287" spans="1:16" s="804" customFormat="1" ht="31.5" x14ac:dyDescent="0.25">
      <c r="A287" s="795"/>
      <c r="B287" s="813" t="s">
        <v>1315</v>
      </c>
      <c r="C287" s="814"/>
      <c r="D287" s="815"/>
      <c r="E287" s="815">
        <v>-200</v>
      </c>
      <c r="F287" s="799"/>
      <c r="G287" s="798"/>
      <c r="H287" s="817">
        <f t="shared" si="135"/>
        <v>-200</v>
      </c>
      <c r="I287" s="853">
        <v>200</v>
      </c>
      <c r="J287" s="816"/>
      <c r="K287" s="816"/>
      <c r="L287" s="817">
        <f t="shared" si="136"/>
        <v>200</v>
      </c>
      <c r="M287" s="820">
        <f t="shared" si="137"/>
        <v>0</v>
      </c>
      <c r="N287" s="820"/>
      <c r="O287" s="820">
        <f t="shared" si="138"/>
        <v>0</v>
      </c>
    </row>
    <row r="288" spans="1:16" s="804" customFormat="1" ht="31.5" x14ac:dyDescent="0.25">
      <c r="A288" s="795"/>
      <c r="B288" s="813" t="s">
        <v>1262</v>
      </c>
      <c r="C288" s="814"/>
      <c r="D288" s="815"/>
      <c r="E288" s="815">
        <v>2384</v>
      </c>
      <c r="F288" s="799"/>
      <c r="G288" s="798"/>
      <c r="H288" s="817">
        <f t="shared" si="135"/>
        <v>2384</v>
      </c>
      <c r="I288" s="853"/>
      <c r="J288" s="816"/>
      <c r="K288" s="816"/>
      <c r="L288" s="817">
        <f t="shared" si="136"/>
        <v>0</v>
      </c>
      <c r="M288" s="820">
        <f t="shared" si="137"/>
        <v>2384</v>
      </c>
      <c r="N288" s="820"/>
      <c r="O288" s="820">
        <f t="shared" si="138"/>
        <v>2384</v>
      </c>
    </row>
    <row r="289" spans="1:16" x14ac:dyDescent="0.25">
      <c r="A289" s="795"/>
      <c r="B289" s="796" t="s">
        <v>244</v>
      </c>
      <c r="C289" s="797"/>
      <c r="D289" s="798"/>
      <c r="E289" s="798"/>
      <c r="F289" s="799"/>
      <c r="G289" s="798"/>
      <c r="H289" s="817"/>
      <c r="I289" s="853"/>
      <c r="J289" s="816"/>
      <c r="K289" s="816"/>
      <c r="L289" s="817"/>
      <c r="M289" s="820"/>
      <c r="N289" s="820"/>
      <c r="O289" s="820"/>
      <c r="P289" s="804"/>
    </row>
    <row r="290" spans="1:16" ht="16.5" thickBot="1" x14ac:dyDescent="0.3">
      <c r="A290" s="795"/>
      <c r="B290" s="813" t="s">
        <v>1427</v>
      </c>
      <c r="C290" s="814">
        <v>651</v>
      </c>
      <c r="D290" s="815">
        <v>225</v>
      </c>
      <c r="E290" s="815"/>
      <c r="F290" s="799"/>
      <c r="G290" s="798"/>
      <c r="H290" s="817">
        <f t="shared" si="135"/>
        <v>876</v>
      </c>
      <c r="I290" s="853"/>
      <c r="J290" s="816"/>
      <c r="K290" s="816"/>
      <c r="L290" s="817">
        <f t="shared" si="136"/>
        <v>0</v>
      </c>
      <c r="M290" s="820">
        <f t="shared" si="137"/>
        <v>876</v>
      </c>
      <c r="N290" s="820"/>
      <c r="O290" s="820">
        <f t="shared" si="138"/>
        <v>876</v>
      </c>
      <c r="P290" s="804"/>
    </row>
    <row r="291" spans="1:16" ht="17.25" thickTop="1" thickBot="1" x14ac:dyDescent="0.3">
      <c r="A291" s="807"/>
      <c r="B291" s="444" t="s">
        <v>1157</v>
      </c>
      <c r="C291" s="445">
        <f>+C281+C285+C286+C287+C290+C288</f>
        <v>131009</v>
      </c>
      <c r="D291" s="445">
        <f t="shared" ref="D291:O291" si="139">+D281+D285+D286+D287+D290+D288</f>
        <v>37406</v>
      </c>
      <c r="E291" s="445">
        <f t="shared" si="139"/>
        <v>53278</v>
      </c>
      <c r="F291" s="445">
        <f t="shared" si="139"/>
        <v>0</v>
      </c>
      <c r="G291" s="445">
        <f t="shared" si="139"/>
        <v>0</v>
      </c>
      <c r="H291" s="445">
        <f t="shared" si="139"/>
        <v>221693</v>
      </c>
      <c r="I291" s="445">
        <f t="shared" si="139"/>
        <v>1705</v>
      </c>
      <c r="J291" s="445">
        <f t="shared" si="139"/>
        <v>0</v>
      </c>
      <c r="K291" s="445">
        <f t="shared" si="139"/>
        <v>0</v>
      </c>
      <c r="L291" s="445">
        <f t="shared" si="139"/>
        <v>1705</v>
      </c>
      <c r="M291" s="445">
        <f t="shared" si="139"/>
        <v>223398</v>
      </c>
      <c r="N291" s="445">
        <f t="shared" si="139"/>
        <v>0</v>
      </c>
      <c r="O291" s="445">
        <f t="shared" si="139"/>
        <v>223398</v>
      </c>
      <c r="P291" s="804"/>
    </row>
    <row r="292" spans="1:16" ht="17.25" thickTop="1" thickBot="1" x14ac:dyDescent="0.3">
      <c r="A292" s="807"/>
      <c r="B292" s="444" t="s">
        <v>1158</v>
      </c>
      <c r="C292" s="445">
        <f>+C282+C285+C286+C287+C288</f>
        <v>126984</v>
      </c>
      <c r="D292" s="445">
        <f t="shared" ref="D292:O292" si="140">+D282+D285+D286+D287+D288</f>
        <v>35988</v>
      </c>
      <c r="E292" s="445">
        <f t="shared" si="140"/>
        <v>53163</v>
      </c>
      <c r="F292" s="445">
        <f t="shared" si="140"/>
        <v>0</v>
      </c>
      <c r="G292" s="445">
        <f t="shared" si="140"/>
        <v>0</v>
      </c>
      <c r="H292" s="445">
        <f t="shared" si="140"/>
        <v>216135</v>
      </c>
      <c r="I292" s="445">
        <f t="shared" si="140"/>
        <v>1705</v>
      </c>
      <c r="J292" s="445">
        <f t="shared" si="140"/>
        <v>0</v>
      </c>
      <c r="K292" s="445">
        <f t="shared" si="140"/>
        <v>0</v>
      </c>
      <c r="L292" s="445">
        <f t="shared" si="140"/>
        <v>1705</v>
      </c>
      <c r="M292" s="445">
        <f t="shared" si="140"/>
        <v>217840</v>
      </c>
      <c r="N292" s="445">
        <f t="shared" si="140"/>
        <v>0</v>
      </c>
      <c r="O292" s="445">
        <f t="shared" si="140"/>
        <v>217840</v>
      </c>
    </row>
    <row r="293" spans="1:16" ht="17.25" thickTop="1" thickBot="1" x14ac:dyDescent="0.3">
      <c r="A293" s="807"/>
      <c r="B293" s="444" t="s">
        <v>1159</v>
      </c>
      <c r="C293" s="445">
        <f>+C283+C290</f>
        <v>4025</v>
      </c>
      <c r="D293" s="445">
        <f t="shared" ref="D293:O293" si="141">+D283+D290</f>
        <v>1418</v>
      </c>
      <c r="E293" s="445">
        <f t="shared" si="141"/>
        <v>115</v>
      </c>
      <c r="F293" s="445">
        <f t="shared" si="141"/>
        <v>0</v>
      </c>
      <c r="G293" s="445">
        <f t="shared" si="141"/>
        <v>0</v>
      </c>
      <c r="H293" s="445">
        <f t="shared" si="141"/>
        <v>5558</v>
      </c>
      <c r="I293" s="445">
        <f t="shared" si="141"/>
        <v>0</v>
      </c>
      <c r="J293" s="445">
        <f t="shared" si="141"/>
        <v>0</v>
      </c>
      <c r="K293" s="445">
        <f t="shared" si="141"/>
        <v>0</v>
      </c>
      <c r="L293" s="445">
        <f t="shared" si="141"/>
        <v>0</v>
      </c>
      <c r="M293" s="445">
        <f t="shared" si="141"/>
        <v>5558</v>
      </c>
      <c r="N293" s="445">
        <f t="shared" si="141"/>
        <v>0</v>
      </c>
      <c r="O293" s="445">
        <f t="shared" si="141"/>
        <v>5558</v>
      </c>
    </row>
    <row r="294" spans="1:16" s="804" customFormat="1" ht="17.25" thickTop="1" thickBot="1" x14ac:dyDescent="0.3">
      <c r="A294" s="807"/>
      <c r="B294" s="444" t="s">
        <v>561</v>
      </c>
      <c r="C294" s="445">
        <f t="shared" ref="C294:O294" si="142">SUM(C143+C156+C170+C184+C197+C210+C224+C237+C251+C264+C277+C291)</f>
        <v>1536436</v>
      </c>
      <c r="D294" s="445">
        <f t="shared" si="142"/>
        <v>439305</v>
      </c>
      <c r="E294" s="445">
        <f t="shared" si="142"/>
        <v>736088</v>
      </c>
      <c r="F294" s="445">
        <f t="shared" si="142"/>
        <v>0</v>
      </c>
      <c r="G294" s="445">
        <f t="shared" si="142"/>
        <v>0</v>
      </c>
      <c r="H294" s="445">
        <f t="shared" si="142"/>
        <v>2711829</v>
      </c>
      <c r="I294" s="445">
        <f t="shared" si="142"/>
        <v>23928</v>
      </c>
      <c r="J294" s="445">
        <f t="shared" si="142"/>
        <v>0</v>
      </c>
      <c r="K294" s="445">
        <f t="shared" si="142"/>
        <v>0</v>
      </c>
      <c r="L294" s="445">
        <f t="shared" si="142"/>
        <v>23928</v>
      </c>
      <c r="M294" s="445">
        <f t="shared" si="142"/>
        <v>2735757</v>
      </c>
      <c r="N294" s="445">
        <f t="shared" si="142"/>
        <v>0</v>
      </c>
      <c r="O294" s="445">
        <f t="shared" si="142"/>
        <v>2735757</v>
      </c>
      <c r="P294" s="781"/>
    </row>
    <row r="295" spans="1:16" s="804" customFormat="1" ht="17.25" thickTop="1" thickBot="1" x14ac:dyDescent="0.3">
      <c r="A295" s="807"/>
      <c r="B295" s="444" t="s">
        <v>562</v>
      </c>
      <c r="C295" s="445">
        <f t="shared" ref="C295:O295" si="143">SUM(C35+C132+C294)</f>
        <v>2394515</v>
      </c>
      <c r="D295" s="445">
        <f t="shared" si="143"/>
        <v>682256</v>
      </c>
      <c r="E295" s="445">
        <f t="shared" si="143"/>
        <v>1053618</v>
      </c>
      <c r="F295" s="445">
        <f t="shared" si="143"/>
        <v>0</v>
      </c>
      <c r="G295" s="445">
        <f t="shared" si="143"/>
        <v>0</v>
      </c>
      <c r="H295" s="445">
        <f t="shared" si="143"/>
        <v>4130389</v>
      </c>
      <c r="I295" s="445">
        <f t="shared" si="143"/>
        <v>46283</v>
      </c>
      <c r="J295" s="445">
        <f t="shared" si="143"/>
        <v>0</v>
      </c>
      <c r="K295" s="445">
        <f t="shared" si="143"/>
        <v>0</v>
      </c>
      <c r="L295" s="445">
        <f t="shared" si="143"/>
        <v>46283</v>
      </c>
      <c r="M295" s="445">
        <f t="shared" si="143"/>
        <v>4176672</v>
      </c>
      <c r="N295" s="445">
        <f t="shared" si="143"/>
        <v>0</v>
      </c>
      <c r="O295" s="445">
        <f t="shared" si="143"/>
        <v>4176672</v>
      </c>
      <c r="P295" s="781"/>
    </row>
    <row r="296" spans="1:16" s="804" customFormat="1" ht="16.5" thickTop="1" x14ac:dyDescent="0.25">
      <c r="A296" s="791" t="s">
        <v>28</v>
      </c>
      <c r="B296" s="438" t="s">
        <v>93</v>
      </c>
      <c r="C296" s="439"/>
      <c r="D296" s="440"/>
      <c r="E296" s="440"/>
      <c r="F296" s="443"/>
      <c r="G296" s="440"/>
      <c r="H296" s="792"/>
      <c r="I296" s="793"/>
      <c r="J296" s="441"/>
      <c r="K296" s="441"/>
      <c r="L296" s="792"/>
      <c r="M296" s="792"/>
      <c r="N296" s="792"/>
      <c r="O296" s="792"/>
      <c r="P296" s="781"/>
    </row>
    <row r="297" spans="1:16" s="804" customFormat="1" x14ac:dyDescent="0.25">
      <c r="A297" s="791"/>
      <c r="B297" s="442" t="s">
        <v>1125</v>
      </c>
      <c r="C297" s="439">
        <v>519550</v>
      </c>
      <c r="D297" s="440">
        <v>149089</v>
      </c>
      <c r="E297" s="440">
        <v>385219</v>
      </c>
      <c r="F297" s="443">
        <v>20</v>
      </c>
      <c r="G297" s="440"/>
      <c r="H297" s="792">
        <f>SUM(C297:G297)</f>
        <v>1053878</v>
      </c>
      <c r="I297" s="793">
        <v>8898</v>
      </c>
      <c r="J297" s="441"/>
      <c r="K297" s="441"/>
      <c r="L297" s="792">
        <f>SUM(I297:K297)</f>
        <v>8898</v>
      </c>
      <c r="M297" s="794">
        <f>SUM(H297+L297)</f>
        <v>1062776</v>
      </c>
      <c r="N297" s="794"/>
      <c r="O297" s="794">
        <f>SUM(M297+N297)</f>
        <v>1062776</v>
      </c>
      <c r="P297" s="781"/>
    </row>
    <row r="298" spans="1:16" s="804" customFormat="1" x14ac:dyDescent="0.25">
      <c r="A298" s="795"/>
      <c r="B298" s="796" t="s">
        <v>1263</v>
      </c>
      <c r="C298" s="797">
        <v>502285</v>
      </c>
      <c r="D298" s="798">
        <v>142981</v>
      </c>
      <c r="E298" s="798">
        <v>385109</v>
      </c>
      <c r="F298" s="802">
        <v>20</v>
      </c>
      <c r="G298" s="798"/>
      <c r="H298" s="800">
        <f>SUM(C298:G298)</f>
        <v>1030395</v>
      </c>
      <c r="I298" s="808">
        <v>8898</v>
      </c>
      <c r="J298" s="799"/>
      <c r="K298" s="799"/>
      <c r="L298" s="800">
        <f>SUM(I298:K298)</f>
        <v>8898</v>
      </c>
      <c r="M298" s="803">
        <f>SUM(H298+L298)</f>
        <v>1039293</v>
      </c>
      <c r="N298" s="803"/>
      <c r="O298" s="803">
        <f>SUM(M298+N298)</f>
        <v>1039293</v>
      </c>
      <c r="P298" s="780"/>
    </row>
    <row r="299" spans="1:16" s="804" customFormat="1" x14ac:dyDescent="0.25">
      <c r="A299" s="795"/>
      <c r="B299" s="796" t="s">
        <v>1156</v>
      </c>
      <c r="C299" s="797">
        <v>17265</v>
      </c>
      <c r="D299" s="798">
        <v>6108</v>
      </c>
      <c r="E299" s="798">
        <v>110</v>
      </c>
      <c r="F299" s="802"/>
      <c r="G299" s="798"/>
      <c r="H299" s="800">
        <f>SUM(C299:G299)</f>
        <v>23483</v>
      </c>
      <c r="I299" s="808"/>
      <c r="J299" s="799"/>
      <c r="K299" s="799"/>
      <c r="L299" s="800">
        <f>SUM(I299:K299)</f>
        <v>0</v>
      </c>
      <c r="M299" s="803">
        <f>SUM(H299+L299)</f>
        <v>23483</v>
      </c>
      <c r="N299" s="803"/>
      <c r="O299" s="803">
        <f>SUM(M299+N299)</f>
        <v>23483</v>
      </c>
    </row>
    <row r="300" spans="1:16" s="804" customFormat="1" x14ac:dyDescent="0.25">
      <c r="A300" s="795"/>
      <c r="B300" s="796" t="s">
        <v>243</v>
      </c>
      <c r="C300" s="797"/>
      <c r="D300" s="798"/>
      <c r="E300" s="798"/>
      <c r="F300" s="802"/>
      <c r="G300" s="798"/>
      <c r="H300" s="800"/>
      <c r="I300" s="808"/>
      <c r="J300" s="799"/>
      <c r="K300" s="799"/>
      <c r="L300" s="800"/>
      <c r="M300" s="803"/>
      <c r="N300" s="803"/>
      <c r="O300" s="803"/>
    </row>
    <row r="301" spans="1:16" s="804" customFormat="1" x14ac:dyDescent="0.25">
      <c r="A301" s="795"/>
      <c r="B301" s="813" t="s">
        <v>1426</v>
      </c>
      <c r="C301" s="814">
        <v>477</v>
      </c>
      <c r="D301" s="815">
        <v>128</v>
      </c>
      <c r="E301" s="798"/>
      <c r="F301" s="802"/>
      <c r="G301" s="798"/>
      <c r="H301" s="817">
        <f t="shared" ref="H301:H309" si="144">SUM(C301:G301)</f>
        <v>605</v>
      </c>
      <c r="I301" s="853"/>
      <c r="J301" s="816"/>
      <c r="K301" s="816"/>
      <c r="L301" s="817">
        <f t="shared" ref="L301:L309" si="145">SUM(I301:K301)</f>
        <v>0</v>
      </c>
      <c r="M301" s="820">
        <f t="shared" ref="M301:M309" si="146">SUM(H301+L301)</f>
        <v>605</v>
      </c>
      <c r="N301" s="820"/>
      <c r="O301" s="820">
        <f t="shared" ref="O301:O309" si="147">SUM(M301+N301)</f>
        <v>605</v>
      </c>
    </row>
    <row r="302" spans="1:16" s="804" customFormat="1" ht="31.5" x14ac:dyDescent="0.25">
      <c r="A302" s="830"/>
      <c r="B302" s="852" t="s">
        <v>1428</v>
      </c>
      <c r="C302" s="814">
        <v>1897</v>
      </c>
      <c r="D302" s="815">
        <v>512</v>
      </c>
      <c r="E302" s="815"/>
      <c r="F302" s="799"/>
      <c r="G302" s="798"/>
      <c r="H302" s="817">
        <f t="shared" si="144"/>
        <v>2409</v>
      </c>
      <c r="I302" s="853"/>
      <c r="J302" s="816"/>
      <c r="K302" s="816"/>
      <c r="L302" s="817">
        <f t="shared" si="145"/>
        <v>0</v>
      </c>
      <c r="M302" s="817">
        <f t="shared" si="146"/>
        <v>2409</v>
      </c>
      <c r="N302" s="817"/>
      <c r="O302" s="817">
        <f t="shared" si="147"/>
        <v>2409</v>
      </c>
    </row>
    <row r="303" spans="1:16" s="804" customFormat="1" ht="31.5" x14ac:dyDescent="0.25">
      <c r="A303" s="830"/>
      <c r="B303" s="852" t="s">
        <v>1429</v>
      </c>
      <c r="C303" s="814">
        <v>-173</v>
      </c>
      <c r="D303" s="815">
        <v>-46</v>
      </c>
      <c r="E303" s="798"/>
      <c r="F303" s="799"/>
      <c r="G303" s="798"/>
      <c r="H303" s="817">
        <f t="shared" si="144"/>
        <v>-219</v>
      </c>
      <c r="I303" s="853"/>
      <c r="J303" s="816"/>
      <c r="K303" s="816"/>
      <c r="L303" s="817">
        <f t="shared" si="145"/>
        <v>0</v>
      </c>
      <c r="M303" s="817">
        <f t="shared" si="146"/>
        <v>-219</v>
      </c>
      <c r="N303" s="817"/>
      <c r="O303" s="817">
        <f t="shared" si="147"/>
        <v>-219</v>
      </c>
    </row>
    <row r="304" spans="1:16" ht="31.5" x14ac:dyDescent="0.25">
      <c r="A304" s="795"/>
      <c r="B304" s="813" t="s">
        <v>1209</v>
      </c>
      <c r="C304" s="814">
        <v>258</v>
      </c>
      <c r="D304" s="815">
        <v>70</v>
      </c>
      <c r="E304" s="798"/>
      <c r="F304" s="802"/>
      <c r="G304" s="798"/>
      <c r="H304" s="817">
        <f t="shared" si="144"/>
        <v>328</v>
      </c>
      <c r="I304" s="853"/>
      <c r="J304" s="816"/>
      <c r="K304" s="816"/>
      <c r="L304" s="817">
        <f t="shared" si="145"/>
        <v>0</v>
      </c>
      <c r="M304" s="820">
        <f t="shared" si="146"/>
        <v>328</v>
      </c>
      <c r="N304" s="820"/>
      <c r="O304" s="820">
        <f t="shared" si="147"/>
        <v>328</v>
      </c>
      <c r="P304" s="804"/>
    </row>
    <row r="305" spans="1:16" ht="31.5" x14ac:dyDescent="0.25">
      <c r="A305" s="795"/>
      <c r="B305" s="813" t="s">
        <v>1315</v>
      </c>
      <c r="C305" s="814"/>
      <c r="D305" s="815"/>
      <c r="E305" s="815">
        <v>-2065</v>
      </c>
      <c r="F305" s="802"/>
      <c r="G305" s="798"/>
      <c r="H305" s="817">
        <f t="shared" si="144"/>
        <v>-2065</v>
      </c>
      <c r="I305" s="853">
        <v>2065</v>
      </c>
      <c r="J305" s="816"/>
      <c r="K305" s="816"/>
      <c r="L305" s="817">
        <f t="shared" si="145"/>
        <v>2065</v>
      </c>
      <c r="M305" s="820">
        <f t="shared" si="146"/>
        <v>0</v>
      </c>
      <c r="N305" s="820"/>
      <c r="O305" s="820">
        <f t="shared" si="147"/>
        <v>0</v>
      </c>
      <c r="P305" s="804"/>
    </row>
    <row r="306" spans="1:16" ht="31.5" x14ac:dyDescent="0.25">
      <c r="A306" s="795"/>
      <c r="B306" s="813" t="s">
        <v>1262</v>
      </c>
      <c r="C306" s="814"/>
      <c r="D306" s="815">
        <v>2948</v>
      </c>
      <c r="E306" s="815">
        <f>25761+1</f>
        <v>25762</v>
      </c>
      <c r="F306" s="819"/>
      <c r="G306" s="798"/>
      <c r="H306" s="817">
        <f t="shared" si="144"/>
        <v>28710</v>
      </c>
      <c r="I306" s="853"/>
      <c r="J306" s="816"/>
      <c r="K306" s="816"/>
      <c r="L306" s="817">
        <f t="shared" si="145"/>
        <v>0</v>
      </c>
      <c r="M306" s="820">
        <f t="shared" si="146"/>
        <v>28710</v>
      </c>
      <c r="N306" s="820"/>
      <c r="O306" s="820">
        <f t="shared" si="147"/>
        <v>28710</v>
      </c>
      <c r="P306" s="804"/>
    </row>
    <row r="307" spans="1:16" x14ac:dyDescent="0.25">
      <c r="A307" s="795"/>
      <c r="B307" s="796" t="s">
        <v>244</v>
      </c>
      <c r="C307" s="797"/>
      <c r="D307" s="798"/>
      <c r="E307" s="798"/>
      <c r="F307" s="802"/>
      <c r="G307" s="798"/>
      <c r="H307" s="817"/>
      <c r="I307" s="853"/>
      <c r="J307" s="816"/>
      <c r="K307" s="816"/>
      <c r="L307" s="817"/>
      <c r="M307" s="820"/>
      <c r="N307" s="820"/>
      <c r="O307" s="820"/>
      <c r="P307" s="804"/>
    </row>
    <row r="308" spans="1:16" x14ac:dyDescent="0.25">
      <c r="A308" s="795"/>
      <c r="B308" s="813" t="s">
        <v>1427</v>
      </c>
      <c r="C308" s="814">
        <v>3200</v>
      </c>
      <c r="D308" s="815">
        <v>1104</v>
      </c>
      <c r="E308" s="815"/>
      <c r="F308" s="802"/>
      <c r="G308" s="798"/>
      <c r="H308" s="817">
        <f t="shared" si="144"/>
        <v>4304</v>
      </c>
      <c r="I308" s="853"/>
      <c r="J308" s="816"/>
      <c r="K308" s="816"/>
      <c r="L308" s="817">
        <f t="shared" si="145"/>
        <v>0</v>
      </c>
      <c r="M308" s="820">
        <f t="shared" si="146"/>
        <v>4304</v>
      </c>
      <c r="N308" s="820"/>
      <c r="O308" s="820">
        <f t="shared" si="147"/>
        <v>4304</v>
      </c>
      <c r="P308" s="804"/>
    </row>
    <row r="309" spans="1:16" s="804" customFormat="1" ht="95.25" thickBot="1" x14ac:dyDescent="0.3">
      <c r="A309" s="795"/>
      <c r="B309" s="813" t="s">
        <v>1432</v>
      </c>
      <c r="C309" s="814"/>
      <c r="D309" s="815"/>
      <c r="E309" s="815">
        <v>200</v>
      </c>
      <c r="F309" s="802"/>
      <c r="G309" s="798"/>
      <c r="H309" s="817">
        <f t="shared" si="144"/>
        <v>200</v>
      </c>
      <c r="I309" s="853"/>
      <c r="J309" s="816"/>
      <c r="K309" s="816"/>
      <c r="L309" s="817">
        <f t="shared" si="145"/>
        <v>0</v>
      </c>
      <c r="M309" s="820">
        <f t="shared" si="146"/>
        <v>200</v>
      </c>
      <c r="N309" s="820"/>
      <c r="O309" s="820">
        <f t="shared" si="147"/>
        <v>200</v>
      </c>
      <c r="P309" s="781"/>
    </row>
    <row r="310" spans="1:16" s="804" customFormat="1" ht="17.25" thickTop="1" thickBot="1" x14ac:dyDescent="0.3">
      <c r="A310" s="807"/>
      <c r="B310" s="444" t="s">
        <v>1157</v>
      </c>
      <c r="C310" s="445">
        <f>+C297+C301+C302+C303+C308+C304+C305+C306+C309</f>
        <v>525209</v>
      </c>
      <c r="D310" s="445">
        <f t="shared" ref="D310:O310" si="148">+D297+D301+D302+D303+D308+D304+D305+D306+D309</f>
        <v>153805</v>
      </c>
      <c r="E310" s="445">
        <f t="shared" si="148"/>
        <v>409116</v>
      </c>
      <c r="F310" s="445">
        <f t="shared" si="148"/>
        <v>20</v>
      </c>
      <c r="G310" s="445">
        <f t="shared" si="148"/>
        <v>0</v>
      </c>
      <c r="H310" s="445">
        <f t="shared" si="148"/>
        <v>1088150</v>
      </c>
      <c r="I310" s="445">
        <f t="shared" si="148"/>
        <v>10963</v>
      </c>
      <c r="J310" s="445">
        <f t="shared" si="148"/>
        <v>0</v>
      </c>
      <c r="K310" s="445">
        <f t="shared" si="148"/>
        <v>0</v>
      </c>
      <c r="L310" s="445">
        <f t="shared" si="148"/>
        <v>10963</v>
      </c>
      <c r="M310" s="445">
        <f t="shared" si="148"/>
        <v>1099113</v>
      </c>
      <c r="N310" s="445">
        <f t="shared" si="148"/>
        <v>0</v>
      </c>
      <c r="O310" s="445">
        <f t="shared" si="148"/>
        <v>1099113</v>
      </c>
      <c r="P310" s="781"/>
    </row>
    <row r="311" spans="1:16" s="804" customFormat="1" ht="17.25" thickTop="1" thickBot="1" x14ac:dyDescent="0.3">
      <c r="A311" s="807"/>
      <c r="B311" s="444" t="s">
        <v>1158</v>
      </c>
      <c r="C311" s="445">
        <f t="shared" ref="C311:O311" si="149">+C298+C301+C302+C303+C304+C305+C306</f>
        <v>504744</v>
      </c>
      <c r="D311" s="445">
        <f t="shared" si="149"/>
        <v>146593</v>
      </c>
      <c r="E311" s="445">
        <f t="shared" si="149"/>
        <v>408806</v>
      </c>
      <c r="F311" s="445">
        <f t="shared" si="149"/>
        <v>20</v>
      </c>
      <c r="G311" s="445">
        <f t="shared" si="149"/>
        <v>0</v>
      </c>
      <c r="H311" s="445">
        <f t="shared" si="149"/>
        <v>1060163</v>
      </c>
      <c r="I311" s="445">
        <f t="shared" si="149"/>
        <v>10963</v>
      </c>
      <c r="J311" s="445">
        <f t="shared" si="149"/>
        <v>0</v>
      </c>
      <c r="K311" s="445">
        <f t="shared" si="149"/>
        <v>0</v>
      </c>
      <c r="L311" s="445">
        <f t="shared" si="149"/>
        <v>10963</v>
      </c>
      <c r="M311" s="445">
        <f t="shared" si="149"/>
        <v>1071126</v>
      </c>
      <c r="N311" s="445">
        <f t="shared" si="149"/>
        <v>0</v>
      </c>
      <c r="O311" s="445">
        <f t="shared" si="149"/>
        <v>1071126</v>
      </c>
      <c r="P311" s="781"/>
    </row>
    <row r="312" spans="1:16" s="804" customFormat="1" ht="17.25" thickTop="1" thickBot="1" x14ac:dyDescent="0.3">
      <c r="A312" s="807"/>
      <c r="B312" s="444" t="s">
        <v>1159</v>
      </c>
      <c r="C312" s="445">
        <f>+C299+C308+C309</f>
        <v>20465</v>
      </c>
      <c r="D312" s="445">
        <f t="shared" ref="D312:O312" si="150">+D299+D308+D309</f>
        <v>7212</v>
      </c>
      <c r="E312" s="445">
        <f t="shared" si="150"/>
        <v>310</v>
      </c>
      <c r="F312" s="445">
        <f t="shared" si="150"/>
        <v>0</v>
      </c>
      <c r="G312" s="445">
        <f t="shared" si="150"/>
        <v>0</v>
      </c>
      <c r="H312" s="445">
        <f t="shared" si="150"/>
        <v>27987</v>
      </c>
      <c r="I312" s="445">
        <f t="shared" si="150"/>
        <v>0</v>
      </c>
      <c r="J312" s="445">
        <f t="shared" si="150"/>
        <v>0</v>
      </c>
      <c r="K312" s="445">
        <f t="shared" si="150"/>
        <v>0</v>
      </c>
      <c r="L312" s="445">
        <f t="shared" si="150"/>
        <v>0</v>
      </c>
      <c r="M312" s="445">
        <f t="shared" si="150"/>
        <v>27987</v>
      </c>
      <c r="N312" s="445">
        <f t="shared" si="150"/>
        <v>0</v>
      </c>
      <c r="O312" s="445">
        <f t="shared" si="150"/>
        <v>27987</v>
      </c>
      <c r="P312" s="781"/>
    </row>
    <row r="313" spans="1:16" s="804" customFormat="1" ht="32.25" thickTop="1" x14ac:dyDescent="0.25">
      <c r="A313" s="791" t="s">
        <v>32</v>
      </c>
      <c r="B313" s="438" t="s">
        <v>949</v>
      </c>
      <c r="C313" s="439"/>
      <c r="D313" s="440"/>
      <c r="E313" s="440"/>
      <c r="F313" s="443"/>
      <c r="G313" s="440"/>
      <c r="H313" s="792"/>
      <c r="I313" s="793"/>
      <c r="J313" s="441"/>
      <c r="K313" s="441"/>
      <c r="L313" s="792"/>
      <c r="M313" s="792"/>
      <c r="N313" s="792"/>
      <c r="O313" s="792"/>
      <c r="P313" s="780"/>
    </row>
    <row r="314" spans="1:16" s="804" customFormat="1" x14ac:dyDescent="0.25">
      <c r="A314" s="791"/>
      <c r="B314" s="442" t="s">
        <v>1125</v>
      </c>
      <c r="C314" s="439">
        <v>137450</v>
      </c>
      <c r="D314" s="440">
        <v>37220</v>
      </c>
      <c r="E314" s="440">
        <v>24778</v>
      </c>
      <c r="F314" s="443"/>
      <c r="G314" s="440"/>
      <c r="H314" s="792">
        <f>SUM(C314:G314)</f>
        <v>199448</v>
      </c>
      <c r="I314" s="793">
        <v>1054</v>
      </c>
      <c r="J314" s="441"/>
      <c r="K314" s="441"/>
      <c r="L314" s="792">
        <f>SUM(I314:K314)</f>
        <v>1054</v>
      </c>
      <c r="M314" s="794">
        <f>SUM(H314+L314)</f>
        <v>200502</v>
      </c>
      <c r="N314" s="794"/>
      <c r="O314" s="794">
        <f>SUM(M314+N314)</f>
        <v>200502</v>
      </c>
    </row>
    <row r="315" spans="1:16" s="804" customFormat="1" x14ac:dyDescent="0.25">
      <c r="A315" s="795"/>
      <c r="B315" s="796" t="s">
        <v>1263</v>
      </c>
      <c r="C315" s="797">
        <v>133505</v>
      </c>
      <c r="D315" s="798">
        <v>35851</v>
      </c>
      <c r="E315" s="798">
        <v>24723</v>
      </c>
      <c r="F315" s="802"/>
      <c r="G315" s="798"/>
      <c r="H315" s="800">
        <f>SUM(C315:G315)</f>
        <v>194079</v>
      </c>
      <c r="I315" s="808">
        <v>1054</v>
      </c>
      <c r="J315" s="799"/>
      <c r="K315" s="799"/>
      <c r="L315" s="800">
        <f>SUM(I315:K315)</f>
        <v>1054</v>
      </c>
      <c r="M315" s="803">
        <f>SUM(H315+L315)</f>
        <v>195133</v>
      </c>
      <c r="N315" s="803"/>
      <c r="O315" s="803">
        <f>SUM(M315+N315)</f>
        <v>195133</v>
      </c>
    </row>
    <row r="316" spans="1:16" s="804" customFormat="1" x14ac:dyDescent="0.25">
      <c r="A316" s="791"/>
      <c r="B316" s="442" t="s">
        <v>1156</v>
      </c>
      <c r="C316" s="797">
        <v>3945</v>
      </c>
      <c r="D316" s="798">
        <v>1369</v>
      </c>
      <c r="E316" s="798">
        <v>55</v>
      </c>
      <c r="F316" s="802"/>
      <c r="G316" s="798"/>
      <c r="H316" s="800">
        <f>SUM(C316:G316)</f>
        <v>5369</v>
      </c>
      <c r="I316" s="808"/>
      <c r="J316" s="799"/>
      <c r="K316" s="799"/>
      <c r="L316" s="800">
        <f>SUM(I316:K316)</f>
        <v>0</v>
      </c>
      <c r="M316" s="803">
        <f>SUM(H316+L316)</f>
        <v>5369</v>
      </c>
      <c r="N316" s="803"/>
      <c r="O316" s="803">
        <f>SUM(M316+N316)</f>
        <v>5369</v>
      </c>
    </row>
    <row r="317" spans="1:16" s="804" customFormat="1" x14ac:dyDescent="0.25">
      <c r="A317" s="795"/>
      <c r="B317" s="796" t="s">
        <v>243</v>
      </c>
      <c r="C317" s="797"/>
      <c r="D317" s="798"/>
      <c r="E317" s="798"/>
      <c r="F317" s="802"/>
      <c r="G317" s="798"/>
      <c r="H317" s="792"/>
      <c r="I317" s="808"/>
      <c r="J317" s="799"/>
      <c r="K317" s="799"/>
      <c r="L317" s="792"/>
      <c r="M317" s="794"/>
      <c r="N317" s="803"/>
      <c r="O317" s="794"/>
    </row>
    <row r="318" spans="1:16" s="804" customFormat="1" x14ac:dyDescent="0.25">
      <c r="A318" s="791"/>
      <c r="B318" s="813" t="s">
        <v>1426</v>
      </c>
      <c r="C318" s="439">
        <v>126</v>
      </c>
      <c r="D318" s="440">
        <v>34</v>
      </c>
      <c r="E318" s="440"/>
      <c r="F318" s="443"/>
      <c r="G318" s="440"/>
      <c r="H318" s="792">
        <f t="shared" ref="H318:H325" si="151">SUM(C318:G318)</f>
        <v>160</v>
      </c>
      <c r="I318" s="793"/>
      <c r="J318" s="441"/>
      <c r="K318" s="441"/>
      <c r="L318" s="792">
        <f t="shared" ref="L318:L325" si="152">SUM(I318:K318)</f>
        <v>0</v>
      </c>
      <c r="M318" s="794">
        <f t="shared" ref="M318:M325" si="153">SUM(H318+L318)</f>
        <v>160</v>
      </c>
      <c r="N318" s="794"/>
      <c r="O318" s="794">
        <f t="shared" ref="O318:O325" si="154">SUM(M318+N318)</f>
        <v>160</v>
      </c>
    </row>
    <row r="319" spans="1:16" ht="31.5" x14ac:dyDescent="0.25">
      <c r="A319" s="795"/>
      <c r="B319" s="813" t="s">
        <v>1428</v>
      </c>
      <c r="C319" s="814">
        <v>1352</v>
      </c>
      <c r="D319" s="815">
        <v>365</v>
      </c>
      <c r="E319" s="798"/>
      <c r="F319" s="802"/>
      <c r="G319" s="798"/>
      <c r="H319" s="792">
        <f t="shared" si="151"/>
        <v>1717</v>
      </c>
      <c r="I319" s="808"/>
      <c r="J319" s="799"/>
      <c r="K319" s="799"/>
      <c r="L319" s="792">
        <f t="shared" si="152"/>
        <v>0</v>
      </c>
      <c r="M319" s="794">
        <f t="shared" si="153"/>
        <v>1717</v>
      </c>
      <c r="N319" s="803"/>
      <c r="O319" s="794">
        <f t="shared" si="154"/>
        <v>1717</v>
      </c>
      <c r="P319" s="804"/>
    </row>
    <row r="320" spans="1:16" ht="31.5" x14ac:dyDescent="0.25">
      <c r="A320" s="791"/>
      <c r="B320" s="813" t="s">
        <v>1429</v>
      </c>
      <c r="C320" s="439">
        <v>17</v>
      </c>
      <c r="D320" s="440">
        <v>5</v>
      </c>
      <c r="E320" s="440"/>
      <c r="F320" s="443"/>
      <c r="G320" s="440"/>
      <c r="H320" s="792">
        <f t="shared" si="151"/>
        <v>22</v>
      </c>
      <c r="I320" s="793"/>
      <c r="J320" s="441"/>
      <c r="K320" s="441"/>
      <c r="L320" s="792">
        <f t="shared" si="152"/>
        <v>0</v>
      </c>
      <c r="M320" s="794">
        <f t="shared" si="153"/>
        <v>22</v>
      </c>
      <c r="N320" s="794"/>
      <c r="O320" s="794">
        <f t="shared" si="154"/>
        <v>22</v>
      </c>
      <c r="P320" s="804"/>
    </row>
    <row r="321" spans="1:16" ht="31.5" x14ac:dyDescent="0.25">
      <c r="A321" s="791"/>
      <c r="B321" s="813" t="s">
        <v>1209</v>
      </c>
      <c r="C321" s="439">
        <v>14</v>
      </c>
      <c r="D321" s="440">
        <v>4</v>
      </c>
      <c r="E321" s="440"/>
      <c r="F321" s="443"/>
      <c r="G321" s="440"/>
      <c r="H321" s="792">
        <f t="shared" si="151"/>
        <v>18</v>
      </c>
      <c r="I321" s="793"/>
      <c r="J321" s="441"/>
      <c r="K321" s="441"/>
      <c r="L321" s="792">
        <f t="shared" si="152"/>
        <v>0</v>
      </c>
      <c r="M321" s="794">
        <f t="shared" si="153"/>
        <v>18</v>
      </c>
      <c r="N321" s="794"/>
      <c r="O321" s="794">
        <f t="shared" si="154"/>
        <v>18</v>
      </c>
      <c r="P321" s="804"/>
    </row>
    <row r="322" spans="1:16" ht="31.5" x14ac:dyDescent="0.25">
      <c r="A322" s="791"/>
      <c r="B322" s="813" t="s">
        <v>1315</v>
      </c>
      <c r="C322" s="439"/>
      <c r="D322" s="440">
        <v>1288</v>
      </c>
      <c r="E322" s="440">
        <f>-875-1288</f>
        <v>-2163</v>
      </c>
      <c r="F322" s="443"/>
      <c r="G322" s="440"/>
      <c r="H322" s="792">
        <f t="shared" si="151"/>
        <v>-875</v>
      </c>
      <c r="I322" s="793">
        <v>875</v>
      </c>
      <c r="J322" s="441"/>
      <c r="K322" s="441"/>
      <c r="L322" s="792">
        <f t="shared" si="152"/>
        <v>875</v>
      </c>
      <c r="M322" s="794">
        <f t="shared" si="153"/>
        <v>0</v>
      </c>
      <c r="N322" s="794"/>
      <c r="O322" s="794">
        <f t="shared" si="154"/>
        <v>0</v>
      </c>
      <c r="P322" s="804"/>
    </row>
    <row r="323" spans="1:16" ht="31.5" x14ac:dyDescent="0.25">
      <c r="A323" s="829"/>
      <c r="B323" s="813" t="s">
        <v>1262</v>
      </c>
      <c r="C323" s="439"/>
      <c r="D323" s="440"/>
      <c r="E323" s="440">
        <v>190696</v>
      </c>
      <c r="F323" s="441"/>
      <c r="G323" s="440"/>
      <c r="H323" s="792">
        <f t="shared" si="151"/>
        <v>190696</v>
      </c>
      <c r="I323" s="793"/>
      <c r="J323" s="441"/>
      <c r="K323" s="441"/>
      <c r="L323" s="792">
        <f t="shared" si="152"/>
        <v>0</v>
      </c>
      <c r="M323" s="792">
        <f t="shared" si="153"/>
        <v>190696</v>
      </c>
      <c r="N323" s="792"/>
      <c r="O323" s="792">
        <f t="shared" si="154"/>
        <v>190696</v>
      </c>
      <c r="P323" s="804"/>
    </row>
    <row r="324" spans="1:16" x14ac:dyDescent="0.25">
      <c r="A324" s="830"/>
      <c r="B324" s="831" t="s">
        <v>244</v>
      </c>
      <c r="C324" s="797"/>
      <c r="D324" s="798"/>
      <c r="E324" s="798"/>
      <c r="F324" s="799"/>
      <c r="G324" s="798"/>
      <c r="H324" s="792"/>
      <c r="I324" s="808"/>
      <c r="J324" s="799"/>
      <c r="K324" s="799"/>
      <c r="L324" s="792"/>
      <c r="M324" s="792"/>
      <c r="N324" s="800"/>
      <c r="O324" s="792"/>
      <c r="P324" s="804"/>
    </row>
    <row r="325" spans="1:16" ht="16.5" thickBot="1" x14ac:dyDescent="0.3">
      <c r="A325" s="791"/>
      <c r="B325" s="813" t="s">
        <v>1427</v>
      </c>
      <c r="C325" s="439">
        <v>811</v>
      </c>
      <c r="D325" s="440">
        <v>279</v>
      </c>
      <c r="E325" s="440"/>
      <c r="F325" s="443"/>
      <c r="G325" s="440"/>
      <c r="H325" s="792">
        <f t="shared" si="151"/>
        <v>1090</v>
      </c>
      <c r="I325" s="793"/>
      <c r="J325" s="441"/>
      <c r="K325" s="441"/>
      <c r="L325" s="792">
        <f t="shared" si="152"/>
        <v>0</v>
      </c>
      <c r="M325" s="794">
        <f t="shared" si="153"/>
        <v>1090</v>
      </c>
      <c r="N325" s="794"/>
      <c r="O325" s="794">
        <f t="shared" si="154"/>
        <v>1090</v>
      </c>
      <c r="P325" s="804"/>
    </row>
    <row r="326" spans="1:16" s="804" customFormat="1" ht="17.25" thickTop="1" thickBot="1" x14ac:dyDescent="0.3">
      <c r="A326" s="807"/>
      <c r="B326" s="444" t="s">
        <v>1157</v>
      </c>
      <c r="C326" s="445">
        <f>+C314+C318+C319+C320+C325+C321+C322+C323</f>
        <v>139770</v>
      </c>
      <c r="D326" s="445">
        <f t="shared" ref="D326:O326" si="155">+D314+D318+D319+D320+D325+D321+D322+D323</f>
        <v>39195</v>
      </c>
      <c r="E326" s="445">
        <f t="shared" si="155"/>
        <v>213311</v>
      </c>
      <c r="F326" s="445">
        <f t="shared" si="155"/>
        <v>0</v>
      </c>
      <c r="G326" s="445">
        <f t="shared" si="155"/>
        <v>0</v>
      </c>
      <c r="H326" s="445">
        <f t="shared" si="155"/>
        <v>392276</v>
      </c>
      <c r="I326" s="445">
        <f t="shared" si="155"/>
        <v>1929</v>
      </c>
      <c r="J326" s="445">
        <f t="shared" si="155"/>
        <v>0</v>
      </c>
      <c r="K326" s="445">
        <f t="shared" si="155"/>
        <v>0</v>
      </c>
      <c r="L326" s="445">
        <f t="shared" si="155"/>
        <v>1929</v>
      </c>
      <c r="M326" s="445">
        <f t="shared" si="155"/>
        <v>394205</v>
      </c>
      <c r="N326" s="445">
        <f t="shared" si="155"/>
        <v>0</v>
      </c>
      <c r="O326" s="445">
        <f t="shared" si="155"/>
        <v>394205</v>
      </c>
      <c r="P326" s="781"/>
    </row>
    <row r="327" spans="1:16" s="804" customFormat="1" ht="17.25" thickTop="1" thickBot="1" x14ac:dyDescent="0.3">
      <c r="A327" s="807"/>
      <c r="B327" s="444" t="s">
        <v>1158</v>
      </c>
      <c r="C327" s="445">
        <f t="shared" ref="C327:O327" si="156">+C315+C318+C319+C320+C321+C322+C323</f>
        <v>135014</v>
      </c>
      <c r="D327" s="445">
        <f t="shared" si="156"/>
        <v>37547</v>
      </c>
      <c r="E327" s="445">
        <f t="shared" si="156"/>
        <v>213256</v>
      </c>
      <c r="F327" s="445">
        <f t="shared" si="156"/>
        <v>0</v>
      </c>
      <c r="G327" s="445">
        <f t="shared" si="156"/>
        <v>0</v>
      </c>
      <c r="H327" s="445">
        <f t="shared" si="156"/>
        <v>385817</v>
      </c>
      <c r="I327" s="445">
        <f t="shared" si="156"/>
        <v>1929</v>
      </c>
      <c r="J327" s="445">
        <f t="shared" si="156"/>
        <v>0</v>
      </c>
      <c r="K327" s="445">
        <f t="shared" si="156"/>
        <v>0</v>
      </c>
      <c r="L327" s="445">
        <f t="shared" si="156"/>
        <v>1929</v>
      </c>
      <c r="M327" s="445">
        <f t="shared" si="156"/>
        <v>387746</v>
      </c>
      <c r="N327" s="445">
        <f t="shared" si="156"/>
        <v>0</v>
      </c>
      <c r="O327" s="445">
        <f t="shared" si="156"/>
        <v>387746</v>
      </c>
      <c r="P327" s="781"/>
    </row>
    <row r="328" spans="1:16" s="804" customFormat="1" ht="17.25" thickTop="1" thickBot="1" x14ac:dyDescent="0.3">
      <c r="A328" s="807"/>
      <c r="B328" s="444" t="s">
        <v>1159</v>
      </c>
      <c r="C328" s="445">
        <f>+C316+C325</f>
        <v>4756</v>
      </c>
      <c r="D328" s="445">
        <f t="shared" ref="D328:O328" si="157">+D316+D325</f>
        <v>1648</v>
      </c>
      <c r="E328" s="445">
        <f t="shared" si="157"/>
        <v>55</v>
      </c>
      <c r="F328" s="445">
        <f t="shared" si="157"/>
        <v>0</v>
      </c>
      <c r="G328" s="445">
        <f t="shared" si="157"/>
        <v>0</v>
      </c>
      <c r="H328" s="445">
        <f t="shared" si="157"/>
        <v>6459</v>
      </c>
      <c r="I328" s="445">
        <f t="shared" si="157"/>
        <v>0</v>
      </c>
      <c r="J328" s="445">
        <f t="shared" si="157"/>
        <v>0</v>
      </c>
      <c r="K328" s="445">
        <f t="shared" si="157"/>
        <v>0</v>
      </c>
      <c r="L328" s="445">
        <f t="shared" si="157"/>
        <v>0</v>
      </c>
      <c r="M328" s="445">
        <f t="shared" si="157"/>
        <v>6459</v>
      </c>
      <c r="N328" s="445">
        <f t="shared" si="157"/>
        <v>0</v>
      </c>
      <c r="O328" s="445">
        <f t="shared" si="157"/>
        <v>6459</v>
      </c>
      <c r="P328" s="781"/>
    </row>
    <row r="329" spans="1:16" s="804" customFormat="1" ht="16.5" thickTop="1" x14ac:dyDescent="0.25">
      <c r="A329" s="791" t="s">
        <v>33</v>
      </c>
      <c r="B329" s="438" t="s">
        <v>563</v>
      </c>
      <c r="C329" s="439"/>
      <c r="D329" s="440"/>
      <c r="E329" s="440"/>
      <c r="F329" s="443"/>
      <c r="G329" s="440"/>
      <c r="H329" s="792"/>
      <c r="I329" s="793"/>
      <c r="J329" s="441"/>
      <c r="K329" s="441"/>
      <c r="L329" s="792"/>
      <c r="M329" s="792"/>
      <c r="N329" s="792"/>
      <c r="O329" s="792"/>
      <c r="P329" s="780"/>
    </row>
    <row r="330" spans="1:16" s="804" customFormat="1" x14ac:dyDescent="0.25">
      <c r="A330" s="791"/>
      <c r="B330" s="442" t="s">
        <v>1125</v>
      </c>
      <c r="C330" s="439">
        <v>164900</v>
      </c>
      <c r="D330" s="440">
        <v>44949</v>
      </c>
      <c r="E330" s="440">
        <v>94012</v>
      </c>
      <c r="F330" s="443">
        <v>1067</v>
      </c>
      <c r="G330" s="440"/>
      <c r="H330" s="792">
        <f>SUM(C330:G330)</f>
        <v>304928</v>
      </c>
      <c r="I330" s="793">
        <v>6936</v>
      </c>
      <c r="J330" s="441"/>
      <c r="K330" s="441"/>
      <c r="L330" s="792">
        <f>SUM(I330:K330)</f>
        <v>6936</v>
      </c>
      <c r="M330" s="794">
        <f>SUM(H330+L330)</f>
        <v>311864</v>
      </c>
      <c r="N330" s="794"/>
      <c r="O330" s="794">
        <f>SUM(M330+N330)</f>
        <v>311864</v>
      </c>
      <c r="P330" s="781"/>
    </row>
    <row r="331" spans="1:16" s="804" customFormat="1" x14ac:dyDescent="0.25">
      <c r="A331" s="795"/>
      <c r="B331" s="796" t="s">
        <v>1263</v>
      </c>
      <c r="C331" s="797">
        <v>161335</v>
      </c>
      <c r="D331" s="798">
        <v>43709</v>
      </c>
      <c r="E331" s="798">
        <v>93465</v>
      </c>
      <c r="F331" s="802">
        <v>1067</v>
      </c>
      <c r="G331" s="798"/>
      <c r="H331" s="800">
        <f>SUM(C331:G331)</f>
        <v>299576</v>
      </c>
      <c r="I331" s="808">
        <v>6936</v>
      </c>
      <c r="J331" s="799"/>
      <c r="K331" s="799"/>
      <c r="L331" s="800">
        <f>SUM(I331:K331)</f>
        <v>6936</v>
      </c>
      <c r="M331" s="803">
        <f>SUM(H331+L331)</f>
        <v>306512</v>
      </c>
      <c r="N331" s="803"/>
      <c r="O331" s="803">
        <f>SUM(M331+N331)</f>
        <v>306512</v>
      </c>
    </row>
    <row r="332" spans="1:16" s="804" customFormat="1" x14ac:dyDescent="0.25">
      <c r="A332" s="795"/>
      <c r="B332" s="796" t="s">
        <v>1156</v>
      </c>
      <c r="C332" s="797">
        <v>3565</v>
      </c>
      <c r="D332" s="798">
        <v>1240</v>
      </c>
      <c r="E332" s="798">
        <v>547</v>
      </c>
      <c r="F332" s="802"/>
      <c r="G332" s="798"/>
      <c r="H332" s="800">
        <f>SUM(C332:G332)</f>
        <v>5352</v>
      </c>
      <c r="I332" s="808"/>
      <c r="J332" s="799"/>
      <c r="K332" s="799"/>
      <c r="L332" s="800">
        <f>SUM(I332:K332)</f>
        <v>0</v>
      </c>
      <c r="M332" s="803">
        <f>SUM(H332+L332)</f>
        <v>5352</v>
      </c>
      <c r="N332" s="803"/>
      <c r="O332" s="803">
        <f>SUM(M332+N332)</f>
        <v>5352</v>
      </c>
    </row>
    <row r="333" spans="1:16" s="804" customFormat="1" x14ac:dyDescent="0.25">
      <c r="A333" s="795"/>
      <c r="B333" s="796" t="s">
        <v>243</v>
      </c>
      <c r="C333" s="797"/>
      <c r="D333" s="798"/>
      <c r="E333" s="798"/>
      <c r="F333" s="802"/>
      <c r="G333" s="798"/>
      <c r="H333" s="800"/>
      <c r="I333" s="808"/>
      <c r="J333" s="799"/>
      <c r="K333" s="799"/>
      <c r="L333" s="800"/>
      <c r="M333" s="803"/>
      <c r="N333" s="803"/>
      <c r="O333" s="803"/>
    </row>
    <row r="334" spans="1:16" s="804" customFormat="1" x14ac:dyDescent="0.25">
      <c r="A334" s="795"/>
      <c r="B334" s="813" t="s">
        <v>1426</v>
      </c>
      <c r="C334" s="814">
        <v>228</v>
      </c>
      <c r="D334" s="815">
        <v>62</v>
      </c>
      <c r="E334" s="798"/>
      <c r="F334" s="802"/>
      <c r="G334" s="798"/>
      <c r="H334" s="817">
        <f t="shared" ref="H334:H341" si="158">SUM(C334:G334)</f>
        <v>290</v>
      </c>
      <c r="I334" s="853"/>
      <c r="J334" s="816"/>
      <c r="K334" s="816"/>
      <c r="L334" s="817">
        <f t="shared" ref="L334:L341" si="159">SUM(I334:K334)</f>
        <v>0</v>
      </c>
      <c r="M334" s="820">
        <f t="shared" ref="M334:M341" si="160">SUM(H334+L334)</f>
        <v>290</v>
      </c>
      <c r="N334" s="820"/>
      <c r="O334" s="820">
        <f t="shared" ref="O334:O341" si="161">SUM(M334+N334)</f>
        <v>290</v>
      </c>
    </row>
    <row r="335" spans="1:16" s="804" customFormat="1" ht="31.5" x14ac:dyDescent="0.25">
      <c r="A335" s="795"/>
      <c r="B335" s="813" t="s">
        <v>1428</v>
      </c>
      <c r="C335" s="814">
        <v>989</v>
      </c>
      <c r="D335" s="815">
        <v>267</v>
      </c>
      <c r="E335" s="815"/>
      <c r="F335" s="802"/>
      <c r="G335" s="798"/>
      <c r="H335" s="817">
        <f t="shared" si="158"/>
        <v>1256</v>
      </c>
      <c r="I335" s="853"/>
      <c r="J335" s="816"/>
      <c r="K335" s="816"/>
      <c r="L335" s="817">
        <f t="shared" si="159"/>
        <v>0</v>
      </c>
      <c r="M335" s="820">
        <f t="shared" si="160"/>
        <v>1256</v>
      </c>
      <c r="N335" s="820"/>
      <c r="O335" s="820">
        <f t="shared" si="161"/>
        <v>1256</v>
      </c>
    </row>
    <row r="336" spans="1:16" s="804" customFormat="1" ht="31.5" x14ac:dyDescent="0.25">
      <c r="A336" s="795"/>
      <c r="B336" s="813" t="s">
        <v>1429</v>
      </c>
      <c r="C336" s="814">
        <v>16</v>
      </c>
      <c r="D336" s="815">
        <v>4</v>
      </c>
      <c r="E336" s="815"/>
      <c r="F336" s="815"/>
      <c r="G336" s="798"/>
      <c r="H336" s="817">
        <f t="shared" si="158"/>
        <v>20</v>
      </c>
      <c r="I336" s="853"/>
      <c r="J336" s="816"/>
      <c r="K336" s="816"/>
      <c r="L336" s="817">
        <f t="shared" si="159"/>
        <v>0</v>
      </c>
      <c r="M336" s="820">
        <f t="shared" si="160"/>
        <v>20</v>
      </c>
      <c r="N336" s="820"/>
      <c r="O336" s="820">
        <f t="shared" si="161"/>
        <v>20</v>
      </c>
    </row>
    <row r="337" spans="1:16" ht="31.5" x14ac:dyDescent="0.25">
      <c r="A337" s="795"/>
      <c r="B337" s="813" t="s">
        <v>1315</v>
      </c>
      <c r="C337" s="814"/>
      <c r="D337" s="815">
        <v>427</v>
      </c>
      <c r="E337" s="815">
        <v>-3723</v>
      </c>
      <c r="F337" s="802"/>
      <c r="G337" s="798"/>
      <c r="H337" s="817">
        <f t="shared" si="158"/>
        <v>-3296</v>
      </c>
      <c r="I337" s="853">
        <v>3296</v>
      </c>
      <c r="J337" s="816"/>
      <c r="K337" s="816"/>
      <c r="L337" s="817">
        <f t="shared" si="159"/>
        <v>3296</v>
      </c>
      <c r="M337" s="820">
        <f t="shared" si="160"/>
        <v>0</v>
      </c>
      <c r="N337" s="820"/>
      <c r="O337" s="820">
        <f t="shared" si="161"/>
        <v>0</v>
      </c>
      <c r="P337" s="804"/>
    </row>
    <row r="338" spans="1:16" ht="31.5" x14ac:dyDescent="0.25">
      <c r="A338" s="795"/>
      <c r="B338" s="813" t="s">
        <v>1262</v>
      </c>
      <c r="C338" s="814">
        <v>5000</v>
      </c>
      <c r="D338" s="815">
        <v>1073</v>
      </c>
      <c r="E338" s="815">
        <f>4518+1</f>
        <v>4519</v>
      </c>
      <c r="F338" s="819">
        <v>700</v>
      </c>
      <c r="G338" s="798"/>
      <c r="H338" s="817">
        <f t="shared" si="158"/>
        <v>11292</v>
      </c>
      <c r="I338" s="853">
        <v>2254</v>
      </c>
      <c r="J338" s="816"/>
      <c r="K338" s="816"/>
      <c r="L338" s="817">
        <f t="shared" si="159"/>
        <v>2254</v>
      </c>
      <c r="M338" s="820">
        <f t="shared" si="160"/>
        <v>13546</v>
      </c>
      <c r="N338" s="820"/>
      <c r="O338" s="820">
        <f t="shared" si="161"/>
        <v>13546</v>
      </c>
      <c r="P338" s="804"/>
    </row>
    <row r="339" spans="1:16" x14ac:dyDescent="0.25">
      <c r="A339" s="795"/>
      <c r="B339" s="796" t="s">
        <v>244</v>
      </c>
      <c r="C339" s="797"/>
      <c r="D339" s="798"/>
      <c r="E339" s="798"/>
      <c r="F339" s="802"/>
      <c r="G339" s="798"/>
      <c r="H339" s="817"/>
      <c r="I339" s="853"/>
      <c r="J339" s="816"/>
      <c r="K339" s="816"/>
      <c r="L339" s="817"/>
      <c r="M339" s="820"/>
      <c r="N339" s="820"/>
      <c r="O339" s="820"/>
      <c r="P339" s="804"/>
    </row>
    <row r="340" spans="1:16" x14ac:dyDescent="0.25">
      <c r="A340" s="795"/>
      <c r="B340" s="813" t="s">
        <v>1427</v>
      </c>
      <c r="C340" s="814">
        <v>788</v>
      </c>
      <c r="D340" s="815">
        <v>272</v>
      </c>
      <c r="E340" s="815"/>
      <c r="F340" s="802"/>
      <c r="G340" s="798"/>
      <c r="H340" s="817">
        <f t="shared" si="158"/>
        <v>1060</v>
      </c>
      <c r="I340" s="853"/>
      <c r="J340" s="816"/>
      <c r="K340" s="816"/>
      <c r="L340" s="817">
        <f t="shared" si="159"/>
        <v>0</v>
      </c>
      <c r="M340" s="820">
        <f t="shared" si="160"/>
        <v>1060</v>
      </c>
      <c r="N340" s="820"/>
      <c r="O340" s="820">
        <f t="shared" si="161"/>
        <v>1060</v>
      </c>
      <c r="P340" s="804"/>
    </row>
    <row r="341" spans="1:16" ht="79.5" thickBot="1" x14ac:dyDescent="0.3">
      <c r="A341" s="795"/>
      <c r="B341" s="813" t="s">
        <v>1433</v>
      </c>
      <c r="C341" s="814"/>
      <c r="D341" s="815"/>
      <c r="E341" s="815">
        <v>500</v>
      </c>
      <c r="F341" s="802"/>
      <c r="G341" s="798"/>
      <c r="H341" s="817">
        <f t="shared" si="158"/>
        <v>500</v>
      </c>
      <c r="I341" s="853"/>
      <c r="J341" s="816"/>
      <c r="K341" s="816"/>
      <c r="L341" s="817">
        <f t="shared" si="159"/>
        <v>0</v>
      </c>
      <c r="M341" s="820">
        <f t="shared" si="160"/>
        <v>500</v>
      </c>
      <c r="N341" s="820"/>
      <c r="O341" s="820">
        <f t="shared" si="161"/>
        <v>500</v>
      </c>
    </row>
    <row r="342" spans="1:16" s="804" customFormat="1" ht="17.25" thickTop="1" thickBot="1" x14ac:dyDescent="0.3">
      <c r="A342" s="807"/>
      <c r="B342" s="444" t="s">
        <v>1157</v>
      </c>
      <c r="C342" s="445">
        <f>+C330+C334+C335+C336+C340+C337+C341+C338</f>
        <v>171921</v>
      </c>
      <c r="D342" s="445">
        <f t="shared" ref="D342:O342" si="162">+D330+D334+D335+D336+D340+D337+D341+D338</f>
        <v>47054</v>
      </c>
      <c r="E342" s="445">
        <f t="shared" si="162"/>
        <v>95308</v>
      </c>
      <c r="F342" s="445">
        <f t="shared" si="162"/>
        <v>1767</v>
      </c>
      <c r="G342" s="445">
        <f t="shared" si="162"/>
        <v>0</v>
      </c>
      <c r="H342" s="445">
        <f t="shared" si="162"/>
        <v>316050</v>
      </c>
      <c r="I342" s="445">
        <f t="shared" si="162"/>
        <v>12486</v>
      </c>
      <c r="J342" s="445">
        <f t="shared" si="162"/>
        <v>0</v>
      </c>
      <c r="K342" s="445">
        <f t="shared" si="162"/>
        <v>0</v>
      </c>
      <c r="L342" s="445">
        <f t="shared" si="162"/>
        <v>12486</v>
      </c>
      <c r="M342" s="445">
        <f t="shared" si="162"/>
        <v>328536</v>
      </c>
      <c r="N342" s="445">
        <f t="shared" si="162"/>
        <v>0</v>
      </c>
      <c r="O342" s="445">
        <f t="shared" si="162"/>
        <v>328536</v>
      </c>
      <c r="P342" s="781"/>
    </row>
    <row r="343" spans="1:16" ht="17.25" thickTop="1" thickBot="1" x14ac:dyDescent="0.3">
      <c r="A343" s="807"/>
      <c r="B343" s="444" t="s">
        <v>1158</v>
      </c>
      <c r="C343" s="445">
        <f>+C331+C334+C335+C336+C337+C338</f>
        <v>167568</v>
      </c>
      <c r="D343" s="445">
        <f t="shared" ref="D343:O343" si="163">+D331+D334+D335+D336+D337+D338</f>
        <v>45542</v>
      </c>
      <c r="E343" s="445">
        <f t="shared" si="163"/>
        <v>94261</v>
      </c>
      <c r="F343" s="445">
        <f t="shared" si="163"/>
        <v>1767</v>
      </c>
      <c r="G343" s="445">
        <f t="shared" si="163"/>
        <v>0</v>
      </c>
      <c r="H343" s="445">
        <f t="shared" si="163"/>
        <v>309138</v>
      </c>
      <c r="I343" s="445">
        <f t="shared" si="163"/>
        <v>12486</v>
      </c>
      <c r="J343" s="445">
        <f t="shared" si="163"/>
        <v>0</v>
      </c>
      <c r="K343" s="445">
        <f t="shared" si="163"/>
        <v>0</v>
      </c>
      <c r="L343" s="445">
        <f t="shared" si="163"/>
        <v>12486</v>
      </c>
      <c r="M343" s="445">
        <f t="shared" si="163"/>
        <v>321624</v>
      </c>
      <c r="N343" s="445">
        <f t="shared" si="163"/>
        <v>0</v>
      </c>
      <c r="O343" s="445">
        <f t="shared" si="163"/>
        <v>321624</v>
      </c>
    </row>
    <row r="344" spans="1:16" s="804" customFormat="1" ht="17.25" thickTop="1" thickBot="1" x14ac:dyDescent="0.3">
      <c r="A344" s="807"/>
      <c r="B344" s="444" t="s">
        <v>1159</v>
      </c>
      <c r="C344" s="445">
        <f>+C332+C340+C341</f>
        <v>4353</v>
      </c>
      <c r="D344" s="445">
        <f t="shared" ref="D344:O344" si="164">+D332+D340+D341</f>
        <v>1512</v>
      </c>
      <c r="E344" s="445">
        <f t="shared" si="164"/>
        <v>1047</v>
      </c>
      <c r="F344" s="445">
        <f t="shared" si="164"/>
        <v>0</v>
      </c>
      <c r="G344" s="445">
        <f t="shared" si="164"/>
        <v>0</v>
      </c>
      <c r="H344" s="445">
        <f t="shared" si="164"/>
        <v>6912</v>
      </c>
      <c r="I344" s="445">
        <f t="shared" si="164"/>
        <v>0</v>
      </c>
      <c r="J344" s="445">
        <f t="shared" si="164"/>
        <v>0</v>
      </c>
      <c r="K344" s="445">
        <f t="shared" si="164"/>
        <v>0</v>
      </c>
      <c r="L344" s="445">
        <f t="shared" si="164"/>
        <v>0</v>
      </c>
      <c r="M344" s="445">
        <f t="shared" si="164"/>
        <v>6912</v>
      </c>
      <c r="N344" s="445">
        <f t="shared" si="164"/>
        <v>0</v>
      </c>
      <c r="O344" s="445">
        <f t="shared" si="164"/>
        <v>6912</v>
      </c>
      <c r="P344" s="781"/>
    </row>
    <row r="345" spans="1:16" ht="17.25" thickTop="1" thickBot="1" x14ac:dyDescent="0.3">
      <c r="A345" s="807"/>
      <c r="B345" s="444" t="s">
        <v>564</v>
      </c>
      <c r="C345" s="445">
        <f t="shared" ref="C345:O345" si="165">SUM(C310+C326+C342)</f>
        <v>836900</v>
      </c>
      <c r="D345" s="445">
        <f t="shared" si="165"/>
        <v>240054</v>
      </c>
      <c r="E345" s="445">
        <f t="shared" si="165"/>
        <v>717735</v>
      </c>
      <c r="F345" s="445">
        <f t="shared" si="165"/>
        <v>1787</v>
      </c>
      <c r="G345" s="445">
        <f t="shared" si="165"/>
        <v>0</v>
      </c>
      <c r="H345" s="445">
        <f t="shared" si="165"/>
        <v>1796476</v>
      </c>
      <c r="I345" s="445">
        <f t="shared" si="165"/>
        <v>25378</v>
      </c>
      <c r="J345" s="445">
        <f t="shared" si="165"/>
        <v>0</v>
      </c>
      <c r="K345" s="445">
        <f t="shared" si="165"/>
        <v>0</v>
      </c>
      <c r="L345" s="445">
        <f t="shared" si="165"/>
        <v>25378</v>
      </c>
      <c r="M345" s="445">
        <f t="shared" si="165"/>
        <v>1821854</v>
      </c>
      <c r="N345" s="445">
        <f t="shared" si="165"/>
        <v>0</v>
      </c>
      <c r="O345" s="445">
        <f t="shared" si="165"/>
        <v>1821854</v>
      </c>
    </row>
    <row r="346" spans="1:16" s="804" customFormat="1" ht="16.5" thickTop="1" x14ac:dyDescent="0.25">
      <c r="A346" s="822" t="s">
        <v>36</v>
      </c>
      <c r="B346" s="832" t="s">
        <v>565</v>
      </c>
      <c r="C346" s="833"/>
      <c r="D346" s="834"/>
      <c r="E346" s="834"/>
      <c r="F346" s="835"/>
      <c r="G346" s="834"/>
      <c r="H346" s="836"/>
      <c r="I346" s="837"/>
      <c r="J346" s="834"/>
      <c r="K346" s="835"/>
      <c r="L346" s="836"/>
      <c r="M346" s="836"/>
      <c r="N346" s="836"/>
      <c r="O346" s="836"/>
      <c r="P346" s="781"/>
    </row>
    <row r="347" spans="1:16" x14ac:dyDescent="0.25">
      <c r="A347" s="791"/>
      <c r="B347" s="838" t="s">
        <v>1125</v>
      </c>
      <c r="C347" s="447">
        <v>628743</v>
      </c>
      <c r="D347" s="448">
        <v>183506</v>
      </c>
      <c r="E347" s="448">
        <v>1537359</v>
      </c>
      <c r="F347" s="448"/>
      <c r="G347" s="448"/>
      <c r="H347" s="792">
        <f>SUM(C347:G347)</f>
        <v>2349608</v>
      </c>
      <c r="I347" s="793">
        <v>10515</v>
      </c>
      <c r="J347" s="441">
        <v>4949</v>
      </c>
      <c r="K347" s="441"/>
      <c r="L347" s="792">
        <f>SUM(I347:K347)</f>
        <v>15464</v>
      </c>
      <c r="M347" s="794">
        <f>SUM(H347+L347)</f>
        <v>2365072</v>
      </c>
      <c r="N347" s="794"/>
      <c r="O347" s="794">
        <f>SUM(M347+N347)</f>
        <v>2365072</v>
      </c>
    </row>
    <row r="348" spans="1:16" x14ac:dyDescent="0.25">
      <c r="A348" s="795"/>
      <c r="B348" s="796" t="s">
        <v>1263</v>
      </c>
      <c r="C348" s="839">
        <v>605563</v>
      </c>
      <c r="D348" s="840">
        <v>175506</v>
      </c>
      <c r="E348" s="840">
        <v>1536314</v>
      </c>
      <c r="F348" s="840"/>
      <c r="G348" s="840"/>
      <c r="H348" s="800">
        <f>SUM(C348:G348)</f>
        <v>2317383</v>
      </c>
      <c r="I348" s="808">
        <v>10515</v>
      </c>
      <c r="J348" s="799">
        <v>4949</v>
      </c>
      <c r="K348" s="799"/>
      <c r="L348" s="800">
        <f>SUM(I348:K348)</f>
        <v>15464</v>
      </c>
      <c r="M348" s="803">
        <f>SUM(H348+L348)</f>
        <v>2332847</v>
      </c>
      <c r="N348" s="803"/>
      <c r="O348" s="803">
        <f>SUM(M348+N348)</f>
        <v>2332847</v>
      </c>
      <c r="P348" s="780"/>
    </row>
    <row r="349" spans="1:16" x14ac:dyDescent="0.25">
      <c r="A349" s="795"/>
      <c r="B349" s="796" t="s">
        <v>1156</v>
      </c>
      <c r="C349" s="839">
        <v>23180</v>
      </c>
      <c r="D349" s="840">
        <v>8000</v>
      </c>
      <c r="E349" s="840">
        <v>1045</v>
      </c>
      <c r="F349" s="840"/>
      <c r="G349" s="840"/>
      <c r="H349" s="800">
        <f>SUM(C349:G349)</f>
        <v>32225</v>
      </c>
      <c r="I349" s="808"/>
      <c r="J349" s="799"/>
      <c r="K349" s="799"/>
      <c r="L349" s="800">
        <f>SUM(I349:K349)</f>
        <v>0</v>
      </c>
      <c r="M349" s="803">
        <f>SUM(H349+L349)</f>
        <v>32225</v>
      </c>
      <c r="N349" s="803"/>
      <c r="O349" s="803">
        <f>SUM(M349+N349)</f>
        <v>32225</v>
      </c>
      <c r="P349" s="804"/>
    </row>
    <row r="350" spans="1:16" s="804" customFormat="1" x14ac:dyDescent="0.25">
      <c r="A350" s="830"/>
      <c r="B350" s="831" t="s">
        <v>243</v>
      </c>
      <c r="C350" s="797"/>
      <c r="D350" s="798"/>
      <c r="E350" s="798"/>
      <c r="F350" s="798"/>
      <c r="G350" s="798"/>
      <c r="H350" s="800"/>
      <c r="I350" s="808"/>
      <c r="J350" s="799"/>
      <c r="K350" s="799"/>
      <c r="L350" s="800"/>
      <c r="M350" s="800"/>
      <c r="N350" s="800"/>
      <c r="O350" s="800"/>
    </row>
    <row r="351" spans="1:16" x14ac:dyDescent="0.25">
      <c r="A351" s="830"/>
      <c r="B351" s="813" t="s">
        <v>1426</v>
      </c>
      <c r="C351" s="814">
        <v>1172</v>
      </c>
      <c r="D351" s="815">
        <v>317</v>
      </c>
      <c r="E351" s="798"/>
      <c r="F351" s="798"/>
      <c r="G351" s="798"/>
      <c r="H351" s="817">
        <f t="shared" ref="H351:H354" si="166">SUM(C351:G351)</f>
        <v>1489</v>
      </c>
      <c r="I351" s="853"/>
      <c r="J351" s="816"/>
      <c r="K351" s="816"/>
      <c r="L351" s="817">
        <f t="shared" ref="L351:L354" si="167">SUM(I351:K351)</f>
        <v>0</v>
      </c>
      <c r="M351" s="817">
        <f t="shared" ref="M351:M354" si="168">SUM(H351+L351)</f>
        <v>1489</v>
      </c>
      <c r="N351" s="817"/>
      <c r="O351" s="817">
        <f t="shared" ref="O351:O354" si="169">SUM(M351+N351)</f>
        <v>1489</v>
      </c>
      <c r="P351" s="804"/>
    </row>
    <row r="352" spans="1:16" ht="31.5" x14ac:dyDescent="0.25">
      <c r="A352" s="795"/>
      <c r="B352" s="813" t="s">
        <v>1209</v>
      </c>
      <c r="C352" s="962">
        <v>194</v>
      </c>
      <c r="D352" s="963">
        <v>52</v>
      </c>
      <c r="E352" s="963"/>
      <c r="F352" s="840"/>
      <c r="G352" s="840"/>
      <c r="H352" s="817">
        <f t="shared" si="166"/>
        <v>246</v>
      </c>
      <c r="I352" s="853"/>
      <c r="J352" s="816"/>
      <c r="K352" s="816"/>
      <c r="L352" s="817">
        <f t="shared" si="167"/>
        <v>0</v>
      </c>
      <c r="M352" s="820">
        <f t="shared" si="168"/>
        <v>246</v>
      </c>
      <c r="N352" s="820"/>
      <c r="O352" s="820">
        <f t="shared" si="169"/>
        <v>246</v>
      </c>
      <c r="P352" s="804"/>
    </row>
    <row r="353" spans="1:16" ht="31.5" x14ac:dyDescent="0.25">
      <c r="A353" s="795"/>
      <c r="B353" s="813" t="s">
        <v>1315</v>
      </c>
      <c r="C353" s="962"/>
      <c r="D353" s="963"/>
      <c r="E353" s="963">
        <v>-248</v>
      </c>
      <c r="F353" s="840"/>
      <c r="G353" s="840"/>
      <c r="H353" s="817">
        <f t="shared" si="166"/>
        <v>-248</v>
      </c>
      <c r="I353" s="853">
        <v>248</v>
      </c>
      <c r="J353" s="816"/>
      <c r="K353" s="816"/>
      <c r="L353" s="817">
        <f t="shared" si="167"/>
        <v>248</v>
      </c>
      <c r="M353" s="820">
        <f t="shared" si="168"/>
        <v>0</v>
      </c>
      <c r="N353" s="820"/>
      <c r="O353" s="820">
        <f t="shared" si="169"/>
        <v>0</v>
      </c>
      <c r="P353" s="804"/>
    </row>
    <row r="354" spans="1:16" ht="31.5" x14ac:dyDescent="0.25">
      <c r="A354" s="830"/>
      <c r="B354" s="852" t="s">
        <v>1262</v>
      </c>
      <c r="C354" s="814"/>
      <c r="D354" s="815"/>
      <c r="E354" s="815">
        <v>40833</v>
      </c>
      <c r="F354" s="798"/>
      <c r="G354" s="798"/>
      <c r="H354" s="817">
        <f t="shared" si="166"/>
        <v>40833</v>
      </c>
      <c r="I354" s="853"/>
      <c r="J354" s="816"/>
      <c r="K354" s="816"/>
      <c r="L354" s="817">
        <f t="shared" si="167"/>
        <v>0</v>
      </c>
      <c r="M354" s="817">
        <f t="shared" si="168"/>
        <v>40833</v>
      </c>
      <c r="N354" s="817"/>
      <c r="O354" s="817">
        <f t="shared" si="169"/>
        <v>40833</v>
      </c>
      <c r="P354" s="804"/>
    </row>
    <row r="355" spans="1:16" x14ac:dyDescent="0.25">
      <c r="A355" s="830"/>
      <c r="B355" s="831" t="s">
        <v>244</v>
      </c>
      <c r="C355" s="797"/>
      <c r="D355" s="798"/>
      <c r="E355" s="798"/>
      <c r="F355" s="798"/>
      <c r="G355" s="798"/>
      <c r="H355" s="817"/>
      <c r="I355" s="853"/>
      <c r="J355" s="816"/>
      <c r="K355" s="816"/>
      <c r="L355" s="817"/>
      <c r="M355" s="817"/>
      <c r="N355" s="817"/>
      <c r="O355" s="817"/>
      <c r="P355" s="804"/>
    </row>
    <row r="356" spans="1:16" ht="16.5" thickBot="1" x14ac:dyDescent="0.3">
      <c r="A356" s="795"/>
      <c r="B356" s="813" t="s">
        <v>1427</v>
      </c>
      <c r="C356" s="962">
        <v>4228</v>
      </c>
      <c r="D356" s="963">
        <v>1459</v>
      </c>
      <c r="E356" s="963"/>
      <c r="F356" s="840"/>
      <c r="G356" s="840"/>
      <c r="H356" s="817">
        <f>SUM(C356:G356)</f>
        <v>5687</v>
      </c>
      <c r="I356" s="853"/>
      <c r="J356" s="816"/>
      <c r="K356" s="816"/>
      <c r="L356" s="817">
        <f>SUM(I356:K356)</f>
        <v>0</v>
      </c>
      <c r="M356" s="820">
        <f>L356+H356</f>
        <v>5687</v>
      </c>
      <c r="N356" s="820"/>
      <c r="O356" s="820">
        <f>SUM(M356:N356)</f>
        <v>5687</v>
      </c>
      <c r="P356" s="804"/>
    </row>
    <row r="357" spans="1:16" ht="17.25" thickTop="1" thickBot="1" x14ac:dyDescent="0.3">
      <c r="A357" s="807"/>
      <c r="B357" s="444" t="s">
        <v>1157</v>
      </c>
      <c r="C357" s="445">
        <f>+C347+C351+C352+C356+C353+C354</f>
        <v>634337</v>
      </c>
      <c r="D357" s="445">
        <f t="shared" ref="D357:O357" si="170">+D347+D351+D352+D356+D353+D354</f>
        <v>185334</v>
      </c>
      <c r="E357" s="445">
        <f t="shared" si="170"/>
        <v>1577944</v>
      </c>
      <c r="F357" s="445">
        <f t="shared" si="170"/>
        <v>0</v>
      </c>
      <c r="G357" s="445">
        <f t="shared" si="170"/>
        <v>0</v>
      </c>
      <c r="H357" s="445">
        <f t="shared" si="170"/>
        <v>2397615</v>
      </c>
      <c r="I357" s="445">
        <f t="shared" si="170"/>
        <v>10763</v>
      </c>
      <c r="J357" s="445">
        <f t="shared" si="170"/>
        <v>4949</v>
      </c>
      <c r="K357" s="445">
        <f t="shared" si="170"/>
        <v>0</v>
      </c>
      <c r="L357" s="445">
        <f t="shared" si="170"/>
        <v>15712</v>
      </c>
      <c r="M357" s="445">
        <f t="shared" si="170"/>
        <v>2413327</v>
      </c>
      <c r="N357" s="445">
        <f t="shared" si="170"/>
        <v>0</v>
      </c>
      <c r="O357" s="445">
        <f t="shared" si="170"/>
        <v>2413327</v>
      </c>
      <c r="P357" s="804"/>
    </row>
    <row r="358" spans="1:16" s="804" customFormat="1" ht="17.25" thickTop="1" thickBot="1" x14ac:dyDescent="0.3">
      <c r="A358" s="807"/>
      <c r="B358" s="444" t="s">
        <v>1158</v>
      </c>
      <c r="C358" s="445">
        <f>++C348+C351+C352+C353+C354</f>
        <v>606929</v>
      </c>
      <c r="D358" s="445">
        <f t="shared" ref="D358:O358" si="171">++D348+D351+D352+D353+D354</f>
        <v>175875</v>
      </c>
      <c r="E358" s="445">
        <f t="shared" si="171"/>
        <v>1576899</v>
      </c>
      <c r="F358" s="445">
        <f t="shared" si="171"/>
        <v>0</v>
      </c>
      <c r="G358" s="445">
        <f t="shared" si="171"/>
        <v>0</v>
      </c>
      <c r="H358" s="445">
        <f t="shared" si="171"/>
        <v>2359703</v>
      </c>
      <c r="I358" s="445">
        <f t="shared" si="171"/>
        <v>10763</v>
      </c>
      <c r="J358" s="445">
        <f t="shared" si="171"/>
        <v>4949</v>
      </c>
      <c r="K358" s="445">
        <f t="shared" si="171"/>
        <v>0</v>
      </c>
      <c r="L358" s="445">
        <f t="shared" si="171"/>
        <v>15712</v>
      </c>
      <c r="M358" s="445">
        <f t="shared" si="171"/>
        <v>2375415</v>
      </c>
      <c r="N358" s="445">
        <f t="shared" si="171"/>
        <v>0</v>
      </c>
      <c r="O358" s="445">
        <f t="shared" si="171"/>
        <v>2375415</v>
      </c>
    </row>
    <row r="359" spans="1:16" s="804" customFormat="1" ht="17.25" thickTop="1" thickBot="1" x14ac:dyDescent="0.3">
      <c r="A359" s="807"/>
      <c r="B359" s="444" t="s">
        <v>1159</v>
      </c>
      <c r="C359" s="445">
        <f>+C349+C356</f>
        <v>27408</v>
      </c>
      <c r="D359" s="445">
        <f t="shared" ref="D359:O359" si="172">+D349+D356</f>
        <v>9459</v>
      </c>
      <c r="E359" s="445">
        <f t="shared" si="172"/>
        <v>1045</v>
      </c>
      <c r="F359" s="445">
        <f t="shared" si="172"/>
        <v>0</v>
      </c>
      <c r="G359" s="445">
        <f t="shared" si="172"/>
        <v>0</v>
      </c>
      <c r="H359" s="445">
        <f t="shared" si="172"/>
        <v>37912</v>
      </c>
      <c r="I359" s="445">
        <f t="shared" si="172"/>
        <v>0</v>
      </c>
      <c r="J359" s="445">
        <f t="shared" si="172"/>
        <v>0</v>
      </c>
      <c r="K359" s="445">
        <f t="shared" si="172"/>
        <v>0</v>
      </c>
      <c r="L359" s="445">
        <f t="shared" si="172"/>
        <v>0</v>
      </c>
      <c r="M359" s="445">
        <f t="shared" si="172"/>
        <v>37912</v>
      </c>
      <c r="N359" s="445">
        <f t="shared" si="172"/>
        <v>0</v>
      </c>
      <c r="O359" s="445">
        <f t="shared" si="172"/>
        <v>37912</v>
      </c>
    </row>
    <row r="360" spans="1:16" s="804" customFormat="1" ht="16.5" hidden="1" thickTop="1" x14ac:dyDescent="0.25">
      <c r="A360" s="822" t="s">
        <v>37</v>
      </c>
      <c r="B360" s="823" t="s">
        <v>566</v>
      </c>
      <c r="C360" s="824"/>
      <c r="D360" s="825"/>
      <c r="E360" s="825"/>
      <c r="F360" s="826"/>
      <c r="G360" s="825"/>
      <c r="H360" s="827"/>
      <c r="I360" s="828"/>
      <c r="J360" s="826"/>
      <c r="K360" s="826"/>
      <c r="L360" s="827"/>
      <c r="M360" s="827"/>
      <c r="N360" s="827"/>
      <c r="O360" s="827"/>
      <c r="P360" s="781"/>
    </row>
    <row r="361" spans="1:16" s="804" customFormat="1" ht="16.5" hidden="1" thickTop="1" x14ac:dyDescent="0.25">
      <c r="A361" s="791"/>
      <c r="B361" s="442" t="s">
        <v>1125</v>
      </c>
      <c r="C361" s="447">
        <v>38347</v>
      </c>
      <c r="D361" s="448">
        <v>10243</v>
      </c>
      <c r="E361" s="440">
        <v>27467</v>
      </c>
      <c r="F361" s="449"/>
      <c r="G361" s="448"/>
      <c r="H361" s="792">
        <f>SUM(C361:G361)</f>
        <v>76057</v>
      </c>
      <c r="I361" s="793">
        <v>86</v>
      </c>
      <c r="J361" s="441"/>
      <c r="K361" s="441"/>
      <c r="L361" s="792">
        <f>SUM(I361:K361)</f>
        <v>86</v>
      </c>
      <c r="M361" s="794">
        <f>SUM(H361+L361)</f>
        <v>76143</v>
      </c>
      <c r="N361" s="794"/>
      <c r="O361" s="794">
        <f>SUM(M361+N361)</f>
        <v>76143</v>
      </c>
      <c r="P361" s="781"/>
    </row>
    <row r="362" spans="1:16" s="804" customFormat="1" ht="16.5" thickTop="1" x14ac:dyDescent="0.25">
      <c r="A362" s="795"/>
      <c r="B362" s="796" t="s">
        <v>1160</v>
      </c>
      <c r="C362" s="839">
        <v>38347</v>
      </c>
      <c r="D362" s="840">
        <v>10243</v>
      </c>
      <c r="E362" s="798">
        <v>27467</v>
      </c>
      <c r="F362" s="842"/>
      <c r="G362" s="840"/>
      <c r="H362" s="800">
        <f>SUM(C362:G362)</f>
        <v>76057</v>
      </c>
      <c r="I362" s="808">
        <v>86</v>
      </c>
      <c r="J362" s="799"/>
      <c r="K362" s="799"/>
      <c r="L362" s="800">
        <f>SUM(I362:K362)</f>
        <v>86</v>
      </c>
      <c r="M362" s="803">
        <f>SUM(H362+L362)</f>
        <v>76143</v>
      </c>
      <c r="N362" s="803"/>
      <c r="O362" s="803">
        <f>SUM(M362+N362)</f>
        <v>76143</v>
      </c>
      <c r="P362" s="781"/>
    </row>
    <row r="363" spans="1:16" s="804" customFormat="1" x14ac:dyDescent="0.25">
      <c r="A363" s="791"/>
      <c r="B363" s="796" t="s">
        <v>244</v>
      </c>
      <c r="C363" s="447"/>
      <c r="D363" s="448"/>
      <c r="E363" s="440"/>
      <c r="F363" s="449"/>
      <c r="G363" s="448"/>
      <c r="H363" s="800"/>
      <c r="I363" s="793"/>
      <c r="J363" s="441"/>
      <c r="K363" s="441"/>
      <c r="L363" s="800"/>
      <c r="M363" s="803"/>
      <c r="N363" s="794"/>
      <c r="O363" s="803"/>
      <c r="P363" s="781"/>
    </row>
    <row r="364" spans="1:16" s="804" customFormat="1" x14ac:dyDescent="0.25">
      <c r="A364" s="795"/>
      <c r="B364" s="813" t="s">
        <v>1426</v>
      </c>
      <c r="C364" s="962">
        <v>21</v>
      </c>
      <c r="D364" s="963">
        <v>6</v>
      </c>
      <c r="E364" s="798"/>
      <c r="F364" s="842"/>
      <c r="G364" s="840"/>
      <c r="H364" s="817">
        <f t="shared" ref="H364:H368" si="173">SUM(C364:G364)</f>
        <v>27</v>
      </c>
      <c r="I364" s="853"/>
      <c r="J364" s="816"/>
      <c r="K364" s="816"/>
      <c r="L364" s="817">
        <f t="shared" ref="L364:L368" si="174">SUM(I364:K364)</f>
        <v>0</v>
      </c>
      <c r="M364" s="820">
        <f t="shared" ref="M364:M368" si="175">SUM(H364+L364)</f>
        <v>27</v>
      </c>
      <c r="N364" s="820"/>
      <c r="O364" s="820">
        <f t="shared" ref="O364:O368" si="176">SUM(M364+N364)</f>
        <v>27</v>
      </c>
      <c r="P364" s="781"/>
    </row>
    <row r="365" spans="1:16" s="804" customFormat="1" x14ac:dyDescent="0.25">
      <c r="A365" s="791"/>
      <c r="B365" s="813" t="s">
        <v>1427</v>
      </c>
      <c r="C365" s="447">
        <v>180</v>
      </c>
      <c r="D365" s="448">
        <v>62</v>
      </c>
      <c r="E365" s="440"/>
      <c r="F365" s="449"/>
      <c r="G365" s="448"/>
      <c r="H365" s="817">
        <f t="shared" si="173"/>
        <v>242</v>
      </c>
      <c r="I365" s="853"/>
      <c r="J365" s="816"/>
      <c r="K365" s="816"/>
      <c r="L365" s="817">
        <f t="shared" si="174"/>
        <v>0</v>
      </c>
      <c r="M365" s="820">
        <f t="shared" si="175"/>
        <v>242</v>
      </c>
      <c r="N365" s="820"/>
      <c r="O365" s="820">
        <f t="shared" si="176"/>
        <v>242</v>
      </c>
      <c r="P365" s="780"/>
    </row>
    <row r="366" spans="1:16" s="804" customFormat="1" ht="63" x14ac:dyDescent="0.25">
      <c r="A366" s="812"/>
      <c r="B366" s="813" t="s">
        <v>1415</v>
      </c>
      <c r="C366" s="962"/>
      <c r="D366" s="963"/>
      <c r="E366" s="815">
        <v>899</v>
      </c>
      <c r="F366" s="964"/>
      <c r="G366" s="963"/>
      <c r="H366" s="817">
        <f t="shared" si="173"/>
        <v>899</v>
      </c>
      <c r="I366" s="853"/>
      <c r="J366" s="816"/>
      <c r="K366" s="816"/>
      <c r="L366" s="817">
        <f t="shared" si="174"/>
        <v>0</v>
      </c>
      <c r="M366" s="820">
        <f t="shared" si="175"/>
        <v>899</v>
      </c>
      <c r="N366" s="820"/>
      <c r="O366" s="820">
        <f t="shared" si="176"/>
        <v>899</v>
      </c>
    </row>
    <row r="367" spans="1:16" s="804" customFormat="1" ht="31.5" x14ac:dyDescent="0.25">
      <c r="A367" s="812"/>
      <c r="B367" s="813" t="s">
        <v>1315</v>
      </c>
      <c r="C367" s="962">
        <v>3391</v>
      </c>
      <c r="D367" s="963">
        <v>908</v>
      </c>
      <c r="E367" s="815">
        <v>-4299</v>
      </c>
      <c r="F367" s="964"/>
      <c r="G367" s="963"/>
      <c r="H367" s="817">
        <f t="shared" si="173"/>
        <v>0</v>
      </c>
      <c r="I367" s="853"/>
      <c r="J367" s="816"/>
      <c r="K367" s="816"/>
      <c r="L367" s="817">
        <f t="shared" si="174"/>
        <v>0</v>
      </c>
      <c r="M367" s="820">
        <f t="shared" si="175"/>
        <v>0</v>
      </c>
      <c r="N367" s="820"/>
      <c r="O367" s="820">
        <f t="shared" si="176"/>
        <v>0</v>
      </c>
      <c r="P367" s="781"/>
    </row>
    <row r="368" spans="1:16" s="804" customFormat="1" ht="32.25" thickBot="1" x14ac:dyDescent="0.3">
      <c r="A368" s="791"/>
      <c r="B368" s="813" t="s">
        <v>1262</v>
      </c>
      <c r="C368" s="447"/>
      <c r="D368" s="448"/>
      <c r="E368" s="440">
        <f>1000+487</f>
        <v>1487</v>
      </c>
      <c r="F368" s="449"/>
      <c r="G368" s="448"/>
      <c r="H368" s="817">
        <f t="shared" si="173"/>
        <v>1487</v>
      </c>
      <c r="I368" s="853"/>
      <c r="J368" s="816"/>
      <c r="K368" s="816"/>
      <c r="L368" s="817">
        <f t="shared" si="174"/>
        <v>0</v>
      </c>
      <c r="M368" s="820">
        <f t="shared" si="175"/>
        <v>1487</v>
      </c>
      <c r="N368" s="820"/>
      <c r="O368" s="820">
        <f t="shared" si="176"/>
        <v>1487</v>
      </c>
    </row>
    <row r="369" spans="1:16" ht="17.25" thickTop="1" thickBot="1" x14ac:dyDescent="0.3">
      <c r="A369" s="807"/>
      <c r="B369" s="843" t="s">
        <v>1157</v>
      </c>
      <c r="C369" s="450">
        <f>+C361+C364+C365+C366+C367+C368</f>
        <v>41939</v>
      </c>
      <c r="D369" s="450">
        <f t="shared" ref="D369:O369" si="177">+D361+D364+D365+D366+D367+D368</f>
        <v>11219</v>
      </c>
      <c r="E369" s="450">
        <f t="shared" si="177"/>
        <v>25554</v>
      </c>
      <c r="F369" s="450">
        <f t="shared" si="177"/>
        <v>0</v>
      </c>
      <c r="G369" s="450">
        <f t="shared" si="177"/>
        <v>0</v>
      </c>
      <c r="H369" s="450">
        <f t="shared" si="177"/>
        <v>78712</v>
      </c>
      <c r="I369" s="450">
        <f t="shared" si="177"/>
        <v>86</v>
      </c>
      <c r="J369" s="450">
        <f t="shared" si="177"/>
        <v>0</v>
      </c>
      <c r="K369" s="450">
        <f t="shared" si="177"/>
        <v>0</v>
      </c>
      <c r="L369" s="450">
        <f t="shared" si="177"/>
        <v>86</v>
      </c>
      <c r="M369" s="450">
        <f t="shared" si="177"/>
        <v>78798</v>
      </c>
      <c r="N369" s="450">
        <f t="shared" si="177"/>
        <v>0</v>
      </c>
      <c r="O369" s="450">
        <f t="shared" si="177"/>
        <v>78798</v>
      </c>
    </row>
    <row r="370" spans="1:16" ht="17.25" thickTop="1" thickBot="1" x14ac:dyDescent="0.3">
      <c r="A370" s="807"/>
      <c r="B370" s="444" t="s">
        <v>1161</v>
      </c>
      <c r="C370" s="445">
        <f>+C362+C364+C365+C366+C367+C368</f>
        <v>41939</v>
      </c>
      <c r="D370" s="445">
        <f t="shared" ref="D370:O370" si="178">+D362+D364+D365+D366+D367+D368</f>
        <v>11219</v>
      </c>
      <c r="E370" s="445">
        <f t="shared" si="178"/>
        <v>25554</v>
      </c>
      <c r="F370" s="445">
        <f t="shared" si="178"/>
        <v>0</v>
      </c>
      <c r="G370" s="445">
        <f t="shared" si="178"/>
        <v>0</v>
      </c>
      <c r="H370" s="445">
        <f t="shared" si="178"/>
        <v>78712</v>
      </c>
      <c r="I370" s="445">
        <f t="shared" si="178"/>
        <v>86</v>
      </c>
      <c r="J370" s="445">
        <f t="shared" si="178"/>
        <v>0</v>
      </c>
      <c r="K370" s="445">
        <f t="shared" si="178"/>
        <v>0</v>
      </c>
      <c r="L370" s="445">
        <f t="shared" si="178"/>
        <v>86</v>
      </c>
      <c r="M370" s="445">
        <f t="shared" si="178"/>
        <v>78798</v>
      </c>
      <c r="N370" s="445">
        <f t="shared" si="178"/>
        <v>0</v>
      </c>
      <c r="O370" s="445">
        <f t="shared" si="178"/>
        <v>78798</v>
      </c>
      <c r="P370" s="804"/>
    </row>
    <row r="371" spans="1:16" ht="16.5" thickTop="1" x14ac:dyDescent="0.25">
      <c r="A371" s="791" t="s">
        <v>38</v>
      </c>
      <c r="B371" s="446" t="s">
        <v>567</v>
      </c>
      <c r="C371" s="447"/>
      <c r="D371" s="448"/>
      <c r="E371" s="440"/>
      <c r="F371" s="449"/>
      <c r="G371" s="448"/>
      <c r="H371" s="792"/>
      <c r="I371" s="809"/>
      <c r="J371" s="449"/>
      <c r="K371" s="449"/>
      <c r="L371" s="792"/>
      <c r="M371" s="810"/>
      <c r="N371" s="810"/>
      <c r="O371" s="810"/>
    </row>
    <row r="372" spans="1:16" x14ac:dyDescent="0.25">
      <c r="A372" s="829"/>
      <c r="B372" s="438" t="s">
        <v>1125</v>
      </c>
      <c r="C372" s="439">
        <v>10833</v>
      </c>
      <c r="D372" s="440">
        <v>2991</v>
      </c>
      <c r="E372" s="440">
        <v>6546</v>
      </c>
      <c r="F372" s="441"/>
      <c r="G372" s="440">
        <v>1981</v>
      </c>
      <c r="H372" s="792">
        <f>SUM(C372:G372)</f>
        <v>22351</v>
      </c>
      <c r="I372" s="793">
        <v>144</v>
      </c>
      <c r="J372" s="441"/>
      <c r="K372" s="441"/>
      <c r="L372" s="792">
        <f>SUM(I372:K372)</f>
        <v>144</v>
      </c>
      <c r="M372" s="794">
        <f>SUM(H372+L372)</f>
        <v>22495</v>
      </c>
      <c r="N372" s="794"/>
      <c r="O372" s="794">
        <f>SUM(M372+N372)</f>
        <v>22495</v>
      </c>
    </row>
    <row r="373" spans="1:16" x14ac:dyDescent="0.25">
      <c r="A373" s="830"/>
      <c r="B373" s="796" t="s">
        <v>1160</v>
      </c>
      <c r="C373" s="797">
        <v>10833</v>
      </c>
      <c r="D373" s="798">
        <v>2991</v>
      </c>
      <c r="E373" s="798">
        <v>6546</v>
      </c>
      <c r="F373" s="799"/>
      <c r="G373" s="844">
        <v>1981</v>
      </c>
      <c r="H373" s="800">
        <f>SUM(C373:G373)</f>
        <v>22351</v>
      </c>
      <c r="I373" s="808">
        <v>144</v>
      </c>
      <c r="J373" s="799"/>
      <c r="K373" s="844"/>
      <c r="L373" s="800">
        <f>SUM(I373:K373)</f>
        <v>144</v>
      </c>
      <c r="M373" s="803">
        <f>SUM(H373+L373)</f>
        <v>22495</v>
      </c>
      <c r="N373" s="803"/>
      <c r="O373" s="803">
        <f>SUM(M373+N373)</f>
        <v>22495</v>
      </c>
    </row>
    <row r="374" spans="1:16" ht="16.5" thickBot="1" x14ac:dyDescent="0.3">
      <c r="A374" s="967"/>
      <c r="B374" s="1104" t="s">
        <v>244</v>
      </c>
      <c r="C374" s="1103"/>
      <c r="D374" s="968"/>
      <c r="E374" s="968"/>
      <c r="F374" s="970"/>
      <c r="G374" s="1105"/>
      <c r="H374" s="1106"/>
      <c r="I374" s="1107"/>
      <c r="J374" s="970"/>
      <c r="K374" s="1105"/>
      <c r="L374" s="1106"/>
      <c r="M374" s="1106"/>
      <c r="N374" s="1106"/>
      <c r="O374" s="1106"/>
      <c r="P374" s="804"/>
    </row>
    <row r="375" spans="1:16" s="804" customFormat="1" ht="17.25" thickTop="1" thickBot="1" x14ac:dyDescent="0.3">
      <c r="A375" s="807"/>
      <c r="B375" s="444" t="s">
        <v>1157</v>
      </c>
      <c r="C375" s="445">
        <f>+C372</f>
        <v>10833</v>
      </c>
      <c r="D375" s="445">
        <f t="shared" ref="D375:O376" si="179">+D372</f>
        <v>2991</v>
      </c>
      <c r="E375" s="445">
        <f t="shared" si="179"/>
        <v>6546</v>
      </c>
      <c r="F375" s="445">
        <f t="shared" si="179"/>
        <v>0</v>
      </c>
      <c r="G375" s="445">
        <f t="shared" si="179"/>
        <v>1981</v>
      </c>
      <c r="H375" s="445">
        <f t="shared" si="179"/>
        <v>22351</v>
      </c>
      <c r="I375" s="445">
        <f t="shared" si="179"/>
        <v>144</v>
      </c>
      <c r="J375" s="445">
        <f t="shared" si="179"/>
        <v>0</v>
      </c>
      <c r="K375" s="445">
        <f t="shared" si="179"/>
        <v>0</v>
      </c>
      <c r="L375" s="445">
        <f t="shared" si="179"/>
        <v>144</v>
      </c>
      <c r="M375" s="445">
        <f t="shared" si="179"/>
        <v>22495</v>
      </c>
      <c r="N375" s="445">
        <f t="shared" si="179"/>
        <v>0</v>
      </c>
      <c r="O375" s="445">
        <f t="shared" si="179"/>
        <v>22495</v>
      </c>
      <c r="P375" s="781"/>
    </row>
    <row r="376" spans="1:16" s="804" customFormat="1" ht="17.25" thickTop="1" thickBot="1" x14ac:dyDescent="0.3">
      <c r="A376" s="807"/>
      <c r="B376" s="444" t="s">
        <v>1161</v>
      </c>
      <c r="C376" s="445">
        <f>+C373</f>
        <v>10833</v>
      </c>
      <c r="D376" s="445">
        <f t="shared" si="179"/>
        <v>2991</v>
      </c>
      <c r="E376" s="445">
        <f t="shared" si="179"/>
        <v>6546</v>
      </c>
      <c r="F376" s="445">
        <f t="shared" si="179"/>
        <v>0</v>
      </c>
      <c r="G376" s="445">
        <f t="shared" si="179"/>
        <v>1981</v>
      </c>
      <c r="H376" s="445">
        <f t="shared" si="179"/>
        <v>22351</v>
      </c>
      <c r="I376" s="445">
        <f t="shared" si="179"/>
        <v>144</v>
      </c>
      <c r="J376" s="445">
        <f t="shared" si="179"/>
        <v>0</v>
      </c>
      <c r="K376" s="445">
        <f t="shared" si="179"/>
        <v>0</v>
      </c>
      <c r="L376" s="445">
        <f t="shared" si="179"/>
        <v>144</v>
      </c>
      <c r="M376" s="445">
        <f t="shared" si="179"/>
        <v>22495</v>
      </c>
      <c r="N376" s="445">
        <f t="shared" si="179"/>
        <v>0</v>
      </c>
      <c r="O376" s="445">
        <f t="shared" si="179"/>
        <v>22495</v>
      </c>
      <c r="P376" s="781"/>
    </row>
    <row r="377" spans="1:16" s="804" customFormat="1" ht="30.75" customHeight="1" thickTop="1" x14ac:dyDescent="0.25">
      <c r="A377" s="791" t="s">
        <v>41</v>
      </c>
      <c r="B377" s="446" t="s">
        <v>381</v>
      </c>
      <c r="C377" s="447"/>
      <c r="D377" s="448"/>
      <c r="E377" s="440"/>
      <c r="F377" s="449"/>
      <c r="G377" s="448"/>
      <c r="H377" s="792"/>
      <c r="I377" s="809"/>
      <c r="J377" s="449"/>
      <c r="K377" s="449"/>
      <c r="L377" s="792"/>
      <c r="M377" s="810"/>
      <c r="N377" s="810"/>
      <c r="O377" s="810"/>
      <c r="P377" s="781"/>
    </row>
    <row r="378" spans="1:16" s="804" customFormat="1" hidden="1" x14ac:dyDescent="0.25">
      <c r="A378" s="791"/>
      <c r="B378" s="442" t="s">
        <v>1125</v>
      </c>
      <c r="C378" s="447">
        <v>202264</v>
      </c>
      <c r="D378" s="448">
        <v>55879</v>
      </c>
      <c r="E378" s="440">
        <v>108059</v>
      </c>
      <c r="F378" s="449"/>
      <c r="G378" s="448"/>
      <c r="H378" s="792">
        <f>SUM(C378:G378)</f>
        <v>366202</v>
      </c>
      <c r="I378" s="793">
        <v>8168</v>
      </c>
      <c r="J378" s="441">
        <v>230</v>
      </c>
      <c r="K378" s="845"/>
      <c r="L378" s="792">
        <f>SUM(I378:K378)</f>
        <v>8398</v>
      </c>
      <c r="M378" s="794">
        <f>SUM(H378+L378)</f>
        <v>374600</v>
      </c>
      <c r="N378" s="794"/>
      <c r="O378" s="794">
        <f>SUM(M378+N378)</f>
        <v>374600</v>
      </c>
      <c r="P378" s="781"/>
    </row>
    <row r="379" spans="1:16" s="804" customFormat="1" x14ac:dyDescent="0.25">
      <c r="A379" s="795"/>
      <c r="B379" s="796" t="s">
        <v>1263</v>
      </c>
      <c r="C379" s="839">
        <v>195984</v>
      </c>
      <c r="D379" s="840">
        <v>53713</v>
      </c>
      <c r="E379" s="798">
        <v>104424</v>
      </c>
      <c r="F379" s="842"/>
      <c r="G379" s="844"/>
      <c r="H379" s="846">
        <f>SUM(C379:G379)</f>
        <v>354121</v>
      </c>
      <c r="I379" s="808">
        <v>8168</v>
      </c>
      <c r="J379" s="799">
        <v>230</v>
      </c>
      <c r="K379" s="844"/>
      <c r="L379" s="800">
        <f>SUM(I379:K379)</f>
        <v>8398</v>
      </c>
      <c r="M379" s="803">
        <f>SUM(H379+L379)</f>
        <v>362519</v>
      </c>
      <c r="N379" s="803"/>
      <c r="O379" s="803">
        <f>SUM(M379+N379)</f>
        <v>362519</v>
      </c>
      <c r="P379" s="781"/>
    </row>
    <row r="380" spans="1:16" s="804" customFormat="1" x14ac:dyDescent="0.25">
      <c r="A380" s="795"/>
      <c r="B380" s="796" t="s">
        <v>1156</v>
      </c>
      <c r="C380" s="839">
        <v>6280</v>
      </c>
      <c r="D380" s="840">
        <v>2166</v>
      </c>
      <c r="E380" s="798">
        <v>3635</v>
      </c>
      <c r="F380" s="842"/>
      <c r="G380" s="847"/>
      <c r="H380" s="846">
        <f>SUM(C380:G380)</f>
        <v>12081</v>
      </c>
      <c r="I380" s="808"/>
      <c r="J380" s="799"/>
      <c r="K380" s="844"/>
      <c r="L380" s="800">
        <f>SUM(I380:K380)</f>
        <v>0</v>
      </c>
      <c r="M380" s="803">
        <f>SUM(H380+L380)</f>
        <v>12081</v>
      </c>
      <c r="N380" s="803"/>
      <c r="O380" s="803">
        <f>SUM(M380+N380)</f>
        <v>12081</v>
      </c>
      <c r="P380" s="781"/>
    </row>
    <row r="381" spans="1:16" s="804" customFormat="1" x14ac:dyDescent="0.25">
      <c r="A381" s="795"/>
      <c r="B381" s="796" t="s">
        <v>243</v>
      </c>
      <c r="C381" s="839"/>
      <c r="D381" s="840"/>
      <c r="E381" s="798"/>
      <c r="F381" s="842"/>
      <c r="G381" s="844"/>
      <c r="H381" s="846"/>
      <c r="I381" s="808"/>
      <c r="J381" s="799"/>
      <c r="K381" s="844"/>
      <c r="L381" s="800"/>
      <c r="M381" s="803"/>
      <c r="N381" s="803"/>
      <c r="O381" s="803"/>
      <c r="P381" s="781"/>
    </row>
    <row r="382" spans="1:16" s="804" customFormat="1" x14ac:dyDescent="0.25">
      <c r="A382" s="795"/>
      <c r="B382" s="813" t="s">
        <v>1426</v>
      </c>
      <c r="C382" s="962">
        <v>432</v>
      </c>
      <c r="D382" s="963">
        <v>116</v>
      </c>
      <c r="E382" s="815"/>
      <c r="F382" s="842"/>
      <c r="G382" s="847"/>
      <c r="H382" s="966">
        <f t="shared" ref="H382:H389" si="180">SUM(C382:G382)</f>
        <v>548</v>
      </c>
      <c r="I382" s="853"/>
      <c r="J382" s="816"/>
      <c r="K382" s="965"/>
      <c r="L382" s="817">
        <f t="shared" ref="L382:L389" si="181">SUM(I382:K382)</f>
        <v>0</v>
      </c>
      <c r="M382" s="820">
        <f t="shared" ref="M382:M389" si="182">SUM(H382+L382)</f>
        <v>548</v>
      </c>
      <c r="N382" s="820"/>
      <c r="O382" s="820">
        <f t="shared" ref="O382:O389" si="183">SUM(M382+N382)</f>
        <v>548</v>
      </c>
      <c r="P382" s="781"/>
    </row>
    <row r="383" spans="1:16" s="804" customFormat="1" ht="31.5" x14ac:dyDescent="0.25">
      <c r="A383" s="795"/>
      <c r="B383" s="813" t="s">
        <v>1314</v>
      </c>
      <c r="C383" s="962"/>
      <c r="D383" s="963"/>
      <c r="E383" s="798">
        <v>11656</v>
      </c>
      <c r="F383" s="842"/>
      <c r="G383" s="840"/>
      <c r="H383" s="817">
        <f t="shared" si="180"/>
        <v>11656</v>
      </c>
      <c r="I383" s="853">
        <v>10630</v>
      </c>
      <c r="J383" s="816"/>
      <c r="K383" s="816"/>
      <c r="L383" s="817">
        <f t="shared" si="181"/>
        <v>10630</v>
      </c>
      <c r="M383" s="820">
        <f t="shared" si="182"/>
        <v>22286</v>
      </c>
      <c r="N383" s="820"/>
      <c r="O383" s="820">
        <f t="shared" si="183"/>
        <v>22286</v>
      </c>
      <c r="P383" s="1117"/>
    </row>
    <row r="384" spans="1:16" s="804" customFormat="1" ht="31.5" x14ac:dyDescent="0.25">
      <c r="A384" s="795"/>
      <c r="B384" s="813" t="s">
        <v>1417</v>
      </c>
      <c r="C384" s="962"/>
      <c r="D384" s="963"/>
      <c r="E384" s="815">
        <v>2730</v>
      </c>
      <c r="F384" s="842"/>
      <c r="G384" s="847"/>
      <c r="H384" s="817">
        <f t="shared" si="180"/>
        <v>2730</v>
      </c>
      <c r="I384" s="853"/>
      <c r="J384" s="816"/>
      <c r="K384" s="965"/>
      <c r="L384" s="817">
        <f t="shared" si="181"/>
        <v>0</v>
      </c>
      <c r="M384" s="820">
        <f t="shared" si="182"/>
        <v>2730</v>
      </c>
      <c r="N384" s="820"/>
      <c r="O384" s="820">
        <f t="shared" si="183"/>
        <v>2730</v>
      </c>
    </row>
    <row r="385" spans="1:16" s="804" customFormat="1" ht="31.5" x14ac:dyDescent="0.25">
      <c r="A385" s="830"/>
      <c r="B385" s="852" t="s">
        <v>1315</v>
      </c>
      <c r="C385" s="814"/>
      <c r="D385" s="815"/>
      <c r="E385" s="815">
        <v>-3458</v>
      </c>
      <c r="F385" s="799"/>
      <c r="G385" s="844"/>
      <c r="H385" s="817">
        <f t="shared" si="180"/>
        <v>-3458</v>
      </c>
      <c r="I385" s="853">
        <v>1778</v>
      </c>
      <c r="J385" s="816">
        <v>1680</v>
      </c>
      <c r="K385" s="965"/>
      <c r="L385" s="817">
        <f t="shared" si="181"/>
        <v>3458</v>
      </c>
      <c r="M385" s="817">
        <f t="shared" si="182"/>
        <v>0</v>
      </c>
      <c r="N385" s="817"/>
      <c r="O385" s="817">
        <f t="shared" si="183"/>
        <v>0</v>
      </c>
    </row>
    <row r="386" spans="1:16" ht="31.5" x14ac:dyDescent="0.25">
      <c r="A386" s="830"/>
      <c r="B386" s="852" t="s">
        <v>1262</v>
      </c>
      <c r="C386" s="814"/>
      <c r="D386" s="815"/>
      <c r="E386" s="815">
        <v>2037</v>
      </c>
      <c r="F386" s="799"/>
      <c r="G386" s="844"/>
      <c r="H386" s="817">
        <f t="shared" si="180"/>
        <v>2037</v>
      </c>
      <c r="I386" s="853">
        <v>1</v>
      </c>
      <c r="J386" s="816"/>
      <c r="K386" s="965"/>
      <c r="L386" s="817">
        <f t="shared" si="181"/>
        <v>1</v>
      </c>
      <c r="M386" s="817">
        <f t="shared" si="182"/>
        <v>2038</v>
      </c>
      <c r="N386" s="817"/>
      <c r="O386" s="817">
        <f t="shared" si="183"/>
        <v>2038</v>
      </c>
      <c r="P386" s="804"/>
    </row>
    <row r="387" spans="1:16" x14ac:dyDescent="0.25">
      <c r="A387" s="795"/>
      <c r="B387" s="796" t="s">
        <v>244</v>
      </c>
      <c r="C387" s="839"/>
      <c r="D387" s="840"/>
      <c r="E387" s="798"/>
      <c r="F387" s="842"/>
      <c r="G387" s="847"/>
      <c r="H387" s="966"/>
      <c r="I387" s="853"/>
      <c r="J387" s="816"/>
      <c r="K387" s="965"/>
      <c r="L387" s="817"/>
      <c r="M387" s="820"/>
      <c r="N387" s="820"/>
      <c r="O387" s="820"/>
      <c r="P387" s="804"/>
    </row>
    <row r="388" spans="1:16" x14ac:dyDescent="0.25">
      <c r="A388" s="830"/>
      <c r="B388" s="813" t="s">
        <v>1427</v>
      </c>
      <c r="C388" s="814">
        <v>1218</v>
      </c>
      <c r="D388" s="815">
        <v>420</v>
      </c>
      <c r="E388" s="815"/>
      <c r="F388" s="799"/>
      <c r="G388" s="844"/>
      <c r="H388" s="817">
        <f t="shared" si="180"/>
        <v>1638</v>
      </c>
      <c r="I388" s="853"/>
      <c r="J388" s="816"/>
      <c r="K388" s="965"/>
      <c r="L388" s="817">
        <f t="shared" si="181"/>
        <v>0</v>
      </c>
      <c r="M388" s="820">
        <f t="shared" si="182"/>
        <v>1638</v>
      </c>
      <c r="N388" s="820"/>
      <c r="O388" s="820">
        <f t="shared" si="183"/>
        <v>1638</v>
      </c>
      <c r="P388" s="804"/>
    </row>
    <row r="389" spans="1:16" ht="95.25" thickBot="1" x14ac:dyDescent="0.3">
      <c r="A389" s="830"/>
      <c r="B389" s="813" t="s">
        <v>1418</v>
      </c>
      <c r="C389" s="1154"/>
      <c r="D389" s="1155"/>
      <c r="E389" s="1155">
        <v>1000</v>
      </c>
      <c r="F389" s="1156"/>
      <c r="G389" s="1157"/>
      <c r="H389" s="1158">
        <f t="shared" si="180"/>
        <v>1000</v>
      </c>
      <c r="I389" s="853"/>
      <c r="J389" s="816"/>
      <c r="K389" s="965"/>
      <c r="L389" s="817">
        <f t="shared" si="181"/>
        <v>0</v>
      </c>
      <c r="M389" s="820">
        <f t="shared" si="182"/>
        <v>1000</v>
      </c>
      <c r="N389" s="820"/>
      <c r="O389" s="820">
        <f t="shared" si="183"/>
        <v>1000</v>
      </c>
      <c r="P389" s="804"/>
    </row>
    <row r="390" spans="1:16" ht="17.25" thickTop="1" thickBot="1" x14ac:dyDescent="0.3">
      <c r="A390" s="807"/>
      <c r="B390" s="444" t="s">
        <v>1157</v>
      </c>
      <c r="C390" s="445">
        <f>+C378+C382+C383+C388+C389+C384+C385+C386</f>
        <v>203914</v>
      </c>
      <c r="D390" s="445">
        <f t="shared" ref="D390:O390" si="184">+D378+D382+D383+D388+D389+D384+D385+D386</f>
        <v>56415</v>
      </c>
      <c r="E390" s="445">
        <f t="shared" si="184"/>
        <v>122024</v>
      </c>
      <c r="F390" s="445">
        <f t="shared" si="184"/>
        <v>0</v>
      </c>
      <c r="G390" s="445">
        <f t="shared" si="184"/>
        <v>0</v>
      </c>
      <c r="H390" s="445">
        <f t="shared" si="184"/>
        <v>382353</v>
      </c>
      <c r="I390" s="445">
        <f t="shared" si="184"/>
        <v>20577</v>
      </c>
      <c r="J390" s="445">
        <f t="shared" si="184"/>
        <v>1910</v>
      </c>
      <c r="K390" s="445">
        <f t="shared" si="184"/>
        <v>0</v>
      </c>
      <c r="L390" s="445">
        <f t="shared" si="184"/>
        <v>22487</v>
      </c>
      <c r="M390" s="445">
        <f t="shared" si="184"/>
        <v>404840</v>
      </c>
      <c r="N390" s="445">
        <f t="shared" si="184"/>
        <v>0</v>
      </c>
      <c r="O390" s="445">
        <f t="shared" si="184"/>
        <v>404840</v>
      </c>
      <c r="P390" s="804"/>
    </row>
    <row r="391" spans="1:16" s="804" customFormat="1" ht="17.25" thickTop="1" thickBot="1" x14ac:dyDescent="0.3">
      <c r="A391" s="807"/>
      <c r="B391" s="444" t="s">
        <v>1158</v>
      </c>
      <c r="C391" s="445">
        <f t="shared" ref="C391:O391" si="185">+C379+C382+C383+C384+C385+C386</f>
        <v>196416</v>
      </c>
      <c r="D391" s="445">
        <f t="shared" si="185"/>
        <v>53829</v>
      </c>
      <c r="E391" s="445">
        <f t="shared" si="185"/>
        <v>117389</v>
      </c>
      <c r="F391" s="445">
        <f t="shared" si="185"/>
        <v>0</v>
      </c>
      <c r="G391" s="445">
        <f t="shared" si="185"/>
        <v>0</v>
      </c>
      <c r="H391" s="445">
        <f t="shared" si="185"/>
        <v>367634</v>
      </c>
      <c r="I391" s="445">
        <f t="shared" si="185"/>
        <v>20577</v>
      </c>
      <c r="J391" s="445">
        <f t="shared" si="185"/>
        <v>1910</v>
      </c>
      <c r="K391" s="445">
        <f t="shared" si="185"/>
        <v>0</v>
      </c>
      <c r="L391" s="445">
        <f t="shared" si="185"/>
        <v>22487</v>
      </c>
      <c r="M391" s="445">
        <f t="shared" si="185"/>
        <v>390121</v>
      </c>
      <c r="N391" s="445">
        <f t="shared" si="185"/>
        <v>0</v>
      </c>
      <c r="O391" s="445">
        <f t="shared" si="185"/>
        <v>390121</v>
      </c>
    </row>
    <row r="392" spans="1:16" ht="17.25" thickTop="1" thickBot="1" x14ac:dyDescent="0.3">
      <c r="A392" s="807"/>
      <c r="B392" s="444" t="s">
        <v>1159</v>
      </c>
      <c r="C392" s="445">
        <f>+C380+C388+C389</f>
        <v>7498</v>
      </c>
      <c r="D392" s="445">
        <f t="shared" ref="D392:O392" si="186">+D380+D388+D389</f>
        <v>2586</v>
      </c>
      <c r="E392" s="445">
        <f t="shared" si="186"/>
        <v>4635</v>
      </c>
      <c r="F392" s="445">
        <f t="shared" si="186"/>
        <v>0</v>
      </c>
      <c r="G392" s="445">
        <f t="shared" si="186"/>
        <v>0</v>
      </c>
      <c r="H392" s="445">
        <f t="shared" si="186"/>
        <v>14719</v>
      </c>
      <c r="I392" s="445">
        <f t="shared" si="186"/>
        <v>0</v>
      </c>
      <c r="J392" s="445">
        <f t="shared" si="186"/>
        <v>0</v>
      </c>
      <c r="K392" s="445">
        <f t="shared" si="186"/>
        <v>0</v>
      </c>
      <c r="L392" s="445">
        <f t="shared" si="186"/>
        <v>0</v>
      </c>
      <c r="M392" s="445">
        <f t="shared" si="186"/>
        <v>14719</v>
      </c>
      <c r="N392" s="445">
        <f t="shared" si="186"/>
        <v>0</v>
      </c>
      <c r="O392" s="445">
        <f t="shared" si="186"/>
        <v>14719</v>
      </c>
      <c r="P392" s="804"/>
    </row>
    <row r="393" spans="1:16" s="804" customFormat="1" ht="16.5" thickTop="1" x14ac:dyDescent="0.25">
      <c r="A393" s="791" t="s">
        <v>44</v>
      </c>
      <c r="B393" s="446" t="s">
        <v>568</v>
      </c>
      <c r="C393" s="447"/>
      <c r="D393" s="448"/>
      <c r="E393" s="440"/>
      <c r="F393" s="449"/>
      <c r="G393" s="448"/>
      <c r="H393" s="792"/>
      <c r="I393" s="809"/>
      <c r="J393" s="449"/>
      <c r="K393" s="449"/>
      <c r="L393" s="792"/>
      <c r="M393" s="810"/>
      <c r="N393" s="810"/>
      <c r="O393" s="810"/>
      <c r="P393" s="781"/>
    </row>
    <row r="394" spans="1:16" x14ac:dyDescent="0.25">
      <c r="A394" s="791"/>
      <c r="B394" s="442" t="s">
        <v>1125</v>
      </c>
      <c r="C394" s="447">
        <v>228544</v>
      </c>
      <c r="D394" s="448">
        <v>61898</v>
      </c>
      <c r="E394" s="440">
        <v>368120</v>
      </c>
      <c r="F394" s="449"/>
      <c r="G394" s="448">
        <v>6240</v>
      </c>
      <c r="H394" s="792">
        <f>SUM(C394:G394)</f>
        <v>664802</v>
      </c>
      <c r="I394" s="793">
        <v>24048</v>
      </c>
      <c r="J394" s="441">
        <v>10200</v>
      </c>
      <c r="K394" s="441"/>
      <c r="L394" s="792">
        <f>SUM(I394:K394)</f>
        <v>34248</v>
      </c>
      <c r="M394" s="794">
        <f>SUM(H394+L394)</f>
        <v>699050</v>
      </c>
      <c r="N394" s="794"/>
      <c r="O394" s="794">
        <f>SUM(M394+N394)</f>
        <v>699050</v>
      </c>
    </row>
    <row r="395" spans="1:16" s="821" customFormat="1" x14ac:dyDescent="0.25">
      <c r="A395" s="795"/>
      <c r="B395" s="796" t="s">
        <v>1263</v>
      </c>
      <c r="C395" s="839">
        <v>185464</v>
      </c>
      <c r="D395" s="840">
        <v>49956</v>
      </c>
      <c r="E395" s="798">
        <v>330390</v>
      </c>
      <c r="F395" s="842"/>
      <c r="G395" s="840">
        <v>6240</v>
      </c>
      <c r="H395" s="800">
        <f>SUM(C395:G395)</f>
        <v>572050</v>
      </c>
      <c r="I395" s="808">
        <v>24048</v>
      </c>
      <c r="J395" s="799">
        <v>10200</v>
      </c>
      <c r="K395" s="799"/>
      <c r="L395" s="800">
        <f>SUM(I395:K395)</f>
        <v>34248</v>
      </c>
      <c r="M395" s="803">
        <f>SUM(H395+L395)</f>
        <v>606298</v>
      </c>
      <c r="N395" s="803"/>
      <c r="O395" s="803">
        <f>SUM(M395+N395)</f>
        <v>606298</v>
      </c>
      <c r="P395" s="781"/>
    </row>
    <row r="396" spans="1:16" s="821" customFormat="1" x14ac:dyDescent="0.25">
      <c r="A396" s="848"/>
      <c r="B396" s="796" t="s">
        <v>1156</v>
      </c>
      <c r="C396" s="849">
        <v>43080</v>
      </c>
      <c r="D396" s="850">
        <v>11942</v>
      </c>
      <c r="E396" s="806">
        <v>37730</v>
      </c>
      <c r="F396" s="841"/>
      <c r="G396" s="850"/>
      <c r="H396" s="794">
        <f>SUM(C396:G396)</f>
        <v>92752</v>
      </c>
      <c r="I396" s="811"/>
      <c r="J396" s="443"/>
      <c r="K396" s="443"/>
      <c r="L396" s="794">
        <f>SUM(I396:K396)</f>
        <v>0</v>
      </c>
      <c r="M396" s="794">
        <f>SUM(H396+L396)</f>
        <v>92752</v>
      </c>
      <c r="N396" s="794"/>
      <c r="O396" s="794">
        <f>SUM(M396+N396)</f>
        <v>92752</v>
      </c>
      <c r="P396" s="781"/>
    </row>
    <row r="397" spans="1:16" x14ac:dyDescent="0.25">
      <c r="A397" s="830"/>
      <c r="B397" s="831" t="s">
        <v>243</v>
      </c>
      <c r="C397" s="808"/>
      <c r="D397" s="798"/>
      <c r="E397" s="798"/>
      <c r="F397" s="798"/>
      <c r="G397" s="808"/>
      <c r="H397" s="794"/>
      <c r="I397" s="793"/>
      <c r="J397" s="440"/>
      <c r="K397" s="793"/>
      <c r="L397" s="794"/>
      <c r="M397" s="794"/>
      <c r="N397" s="794"/>
      <c r="O397" s="794"/>
    </row>
    <row r="398" spans="1:16" x14ac:dyDescent="0.25">
      <c r="A398" s="851"/>
      <c r="B398" s="813" t="s">
        <v>1426</v>
      </c>
      <c r="C398" s="853">
        <v>327</v>
      </c>
      <c r="D398" s="815">
        <v>88</v>
      </c>
      <c r="E398" s="815"/>
      <c r="F398" s="815"/>
      <c r="G398" s="853"/>
      <c r="H398" s="820">
        <f t="shared" ref="H398:H403" si="187">SUM(C398:G398)</f>
        <v>415</v>
      </c>
      <c r="I398" s="853"/>
      <c r="J398" s="815"/>
      <c r="K398" s="853"/>
      <c r="L398" s="820">
        <f t="shared" ref="L398:L403" si="188">SUM(I398:K398)</f>
        <v>0</v>
      </c>
      <c r="M398" s="820">
        <f t="shared" ref="M398:M403" si="189">SUM(H398+L398)</f>
        <v>415</v>
      </c>
      <c r="N398" s="820"/>
      <c r="O398" s="820">
        <f t="shared" ref="O398:O403" si="190">SUM(M398+N398)</f>
        <v>415</v>
      </c>
    </row>
    <row r="399" spans="1:16" ht="31.5" x14ac:dyDescent="0.25">
      <c r="A399" s="851"/>
      <c r="B399" s="813" t="s">
        <v>1315</v>
      </c>
      <c r="C399" s="853">
        <v>1840</v>
      </c>
      <c r="D399" s="815">
        <v>497</v>
      </c>
      <c r="E399" s="815">
        <v>-35220</v>
      </c>
      <c r="F399" s="815"/>
      <c r="G399" s="853"/>
      <c r="H399" s="820">
        <f t="shared" si="187"/>
        <v>-32883</v>
      </c>
      <c r="I399" s="853">
        <v>21119</v>
      </c>
      <c r="J399" s="815">
        <v>11764</v>
      </c>
      <c r="K399" s="853"/>
      <c r="L399" s="820">
        <f t="shared" si="188"/>
        <v>32883</v>
      </c>
      <c r="M399" s="820">
        <f t="shared" si="189"/>
        <v>0</v>
      </c>
      <c r="N399" s="820"/>
      <c r="O399" s="820">
        <f t="shared" si="190"/>
        <v>0</v>
      </c>
    </row>
    <row r="400" spans="1:16" ht="31.5" x14ac:dyDescent="0.25">
      <c r="A400" s="851"/>
      <c r="B400" s="813" t="s">
        <v>1262</v>
      </c>
      <c r="C400" s="853">
        <v>1264</v>
      </c>
      <c r="D400" s="815">
        <v>843</v>
      </c>
      <c r="E400" s="815">
        <v>13582</v>
      </c>
      <c r="F400" s="815"/>
      <c r="G400" s="853"/>
      <c r="H400" s="820">
        <f t="shared" si="187"/>
        <v>15689</v>
      </c>
      <c r="I400" s="853"/>
      <c r="J400" s="815"/>
      <c r="K400" s="853"/>
      <c r="L400" s="820">
        <f t="shared" si="188"/>
        <v>0</v>
      </c>
      <c r="M400" s="820">
        <f t="shared" si="189"/>
        <v>15689</v>
      </c>
      <c r="N400" s="820"/>
      <c r="O400" s="820">
        <f t="shared" si="190"/>
        <v>15689</v>
      </c>
    </row>
    <row r="401" spans="1:16" x14ac:dyDescent="0.25">
      <c r="A401" s="830"/>
      <c r="B401" s="831" t="s">
        <v>244</v>
      </c>
      <c r="C401" s="808"/>
      <c r="D401" s="798"/>
      <c r="E401" s="798"/>
      <c r="F401" s="798"/>
      <c r="G401" s="808"/>
      <c r="H401" s="794"/>
      <c r="I401" s="793"/>
      <c r="J401" s="440"/>
      <c r="K401" s="793"/>
      <c r="L401" s="794"/>
      <c r="M401" s="794"/>
      <c r="N401" s="794"/>
      <c r="O401" s="794"/>
    </row>
    <row r="402" spans="1:16" s="804" customFormat="1" x14ac:dyDescent="0.25">
      <c r="A402" s="851"/>
      <c r="B402" s="813" t="s">
        <v>1427</v>
      </c>
      <c r="C402" s="853">
        <v>1314</v>
      </c>
      <c r="D402" s="815">
        <v>453</v>
      </c>
      <c r="E402" s="815"/>
      <c r="F402" s="815"/>
      <c r="G402" s="853"/>
      <c r="H402" s="820">
        <f t="shared" si="187"/>
        <v>1767</v>
      </c>
      <c r="I402" s="853"/>
      <c r="J402" s="815"/>
      <c r="K402" s="853"/>
      <c r="L402" s="820">
        <f t="shared" si="188"/>
        <v>0</v>
      </c>
      <c r="M402" s="820">
        <f t="shared" si="189"/>
        <v>1767</v>
      </c>
      <c r="N402" s="820"/>
      <c r="O402" s="820">
        <f t="shared" si="190"/>
        <v>1767</v>
      </c>
    </row>
    <row r="403" spans="1:16" s="804" customFormat="1" ht="32.25" thickBot="1" x14ac:dyDescent="0.3">
      <c r="A403" s="851"/>
      <c r="B403" s="813" t="s">
        <v>1262</v>
      </c>
      <c r="C403" s="853">
        <v>6702</v>
      </c>
      <c r="D403" s="815">
        <v>1809</v>
      </c>
      <c r="E403" s="815">
        <v>6771</v>
      </c>
      <c r="F403" s="815"/>
      <c r="G403" s="853"/>
      <c r="H403" s="820">
        <f t="shared" si="187"/>
        <v>15282</v>
      </c>
      <c r="I403" s="853"/>
      <c r="J403" s="815"/>
      <c r="K403" s="853"/>
      <c r="L403" s="820">
        <f t="shared" si="188"/>
        <v>0</v>
      </c>
      <c r="M403" s="820">
        <f t="shared" si="189"/>
        <v>15282</v>
      </c>
      <c r="N403" s="820"/>
      <c r="O403" s="820">
        <f t="shared" si="190"/>
        <v>15282</v>
      </c>
    </row>
    <row r="404" spans="1:16" s="804" customFormat="1" ht="17.25" thickTop="1" thickBot="1" x14ac:dyDescent="0.3">
      <c r="A404" s="807"/>
      <c r="B404" s="444" t="s">
        <v>1157</v>
      </c>
      <c r="C404" s="445">
        <f>+C394+C398+C399+C400+C402+C403</f>
        <v>239991</v>
      </c>
      <c r="D404" s="445">
        <f t="shared" ref="D404:O404" si="191">+D394+D398+D399+D400+D402+D403</f>
        <v>65588</v>
      </c>
      <c r="E404" s="445">
        <f t="shared" si="191"/>
        <v>353253</v>
      </c>
      <c r="F404" s="445">
        <f t="shared" si="191"/>
        <v>0</v>
      </c>
      <c r="G404" s="445">
        <f t="shared" si="191"/>
        <v>6240</v>
      </c>
      <c r="H404" s="445">
        <f t="shared" si="191"/>
        <v>665072</v>
      </c>
      <c r="I404" s="445">
        <f t="shared" si="191"/>
        <v>45167</v>
      </c>
      <c r="J404" s="445">
        <f t="shared" si="191"/>
        <v>21964</v>
      </c>
      <c r="K404" s="445">
        <f t="shared" si="191"/>
        <v>0</v>
      </c>
      <c r="L404" s="445">
        <f t="shared" si="191"/>
        <v>67131</v>
      </c>
      <c r="M404" s="445">
        <f t="shared" si="191"/>
        <v>732203</v>
      </c>
      <c r="N404" s="445">
        <f t="shared" si="191"/>
        <v>0</v>
      </c>
      <c r="O404" s="445">
        <f t="shared" si="191"/>
        <v>732203</v>
      </c>
      <c r="P404" s="1117"/>
    </row>
    <row r="405" spans="1:16" s="821" customFormat="1" ht="17.25" thickTop="1" thickBot="1" x14ac:dyDescent="0.3">
      <c r="A405" s="807"/>
      <c r="B405" s="444" t="s">
        <v>1158</v>
      </c>
      <c r="C405" s="445">
        <f>+C395+C398+C399+C400</f>
        <v>188895</v>
      </c>
      <c r="D405" s="445">
        <f t="shared" ref="D405:O405" si="192">+D395+D398+D399+D400</f>
        <v>51384</v>
      </c>
      <c r="E405" s="445">
        <f t="shared" si="192"/>
        <v>308752</v>
      </c>
      <c r="F405" s="445">
        <f t="shared" si="192"/>
        <v>0</v>
      </c>
      <c r="G405" s="445">
        <f t="shared" si="192"/>
        <v>6240</v>
      </c>
      <c r="H405" s="445">
        <f t="shared" si="192"/>
        <v>555271</v>
      </c>
      <c r="I405" s="445">
        <f t="shared" si="192"/>
        <v>45167</v>
      </c>
      <c r="J405" s="445">
        <f t="shared" si="192"/>
        <v>21964</v>
      </c>
      <c r="K405" s="445">
        <f t="shared" si="192"/>
        <v>0</v>
      </c>
      <c r="L405" s="445">
        <f t="shared" si="192"/>
        <v>67131</v>
      </c>
      <c r="M405" s="445">
        <f t="shared" si="192"/>
        <v>622402</v>
      </c>
      <c r="N405" s="445">
        <f t="shared" si="192"/>
        <v>0</v>
      </c>
      <c r="O405" s="445">
        <f t="shared" si="192"/>
        <v>622402</v>
      </c>
      <c r="P405" s="804"/>
    </row>
    <row r="406" spans="1:16" s="821" customFormat="1" ht="17.25" thickTop="1" thickBot="1" x14ac:dyDescent="0.3">
      <c r="A406" s="807"/>
      <c r="B406" s="444" t="s">
        <v>1159</v>
      </c>
      <c r="C406" s="445">
        <f>+C396+C402+C403</f>
        <v>51096</v>
      </c>
      <c r="D406" s="445">
        <f t="shared" ref="D406:O406" si="193">+D396+D402+D403</f>
        <v>14204</v>
      </c>
      <c r="E406" s="445">
        <f t="shared" si="193"/>
        <v>44501</v>
      </c>
      <c r="F406" s="445">
        <f t="shared" si="193"/>
        <v>0</v>
      </c>
      <c r="G406" s="445">
        <f t="shared" si="193"/>
        <v>0</v>
      </c>
      <c r="H406" s="445">
        <f t="shared" si="193"/>
        <v>109801</v>
      </c>
      <c r="I406" s="445">
        <f t="shared" si="193"/>
        <v>0</v>
      </c>
      <c r="J406" s="445">
        <f t="shared" si="193"/>
        <v>0</v>
      </c>
      <c r="K406" s="445">
        <f t="shared" si="193"/>
        <v>0</v>
      </c>
      <c r="L406" s="445">
        <f t="shared" si="193"/>
        <v>0</v>
      </c>
      <c r="M406" s="445">
        <f t="shared" si="193"/>
        <v>109801</v>
      </c>
      <c r="N406" s="445">
        <f t="shared" si="193"/>
        <v>0</v>
      </c>
      <c r="O406" s="445">
        <f t="shared" si="193"/>
        <v>109801</v>
      </c>
      <c r="P406" s="804"/>
    </row>
    <row r="407" spans="1:16" ht="16.5" thickTop="1" x14ac:dyDescent="0.25">
      <c r="A407" s="791" t="s">
        <v>48</v>
      </c>
      <c r="B407" s="446" t="s">
        <v>805</v>
      </c>
      <c r="C407" s="447"/>
      <c r="D407" s="448"/>
      <c r="E407" s="440"/>
      <c r="F407" s="449"/>
      <c r="G407" s="448"/>
      <c r="H407" s="792"/>
      <c r="I407" s="809"/>
      <c r="J407" s="449"/>
      <c r="K407" s="449"/>
      <c r="L407" s="792"/>
      <c r="M407" s="810"/>
      <c r="N407" s="810"/>
      <c r="O407" s="810"/>
      <c r="P407" s="804"/>
    </row>
    <row r="408" spans="1:16" x14ac:dyDescent="0.25">
      <c r="A408" s="829"/>
      <c r="B408" s="438" t="s">
        <v>1125</v>
      </c>
      <c r="C408" s="439">
        <v>85159</v>
      </c>
      <c r="D408" s="440">
        <v>22223</v>
      </c>
      <c r="E408" s="440">
        <v>78732</v>
      </c>
      <c r="F408" s="441"/>
      <c r="G408" s="440"/>
      <c r="H408" s="792">
        <f>SUM(C408:G408)</f>
        <v>186114</v>
      </c>
      <c r="I408" s="793">
        <v>5646</v>
      </c>
      <c r="J408" s="441"/>
      <c r="K408" s="441"/>
      <c r="L408" s="792">
        <f>SUM(I408:K408)</f>
        <v>5646</v>
      </c>
      <c r="M408" s="792">
        <f>SUM(H408+L408)</f>
        <v>191760</v>
      </c>
      <c r="N408" s="792"/>
      <c r="O408" s="792">
        <f>SUM(M408+N408)</f>
        <v>191760</v>
      </c>
      <c r="P408" s="804"/>
    </row>
    <row r="409" spans="1:16" ht="15.75" customHeight="1" x14ac:dyDescent="0.25">
      <c r="A409" s="830"/>
      <c r="B409" s="831" t="s">
        <v>1160</v>
      </c>
      <c r="C409" s="797">
        <v>85159</v>
      </c>
      <c r="D409" s="798">
        <v>22223</v>
      </c>
      <c r="E409" s="798">
        <v>78732</v>
      </c>
      <c r="F409" s="799"/>
      <c r="G409" s="844"/>
      <c r="H409" s="800">
        <f>SUM(C409:G409)</f>
        <v>186114</v>
      </c>
      <c r="I409" s="808">
        <v>5646</v>
      </c>
      <c r="J409" s="799"/>
      <c r="K409" s="844"/>
      <c r="L409" s="800">
        <f>SUM(I409:K409)</f>
        <v>5646</v>
      </c>
      <c r="M409" s="800">
        <f>SUM(H409+L409)</f>
        <v>191760</v>
      </c>
      <c r="N409" s="800"/>
      <c r="O409" s="800">
        <f>SUM(M409+N409)</f>
        <v>191760</v>
      </c>
      <c r="P409" s="804"/>
    </row>
    <row r="410" spans="1:16" x14ac:dyDescent="0.25">
      <c r="A410" s="830"/>
      <c r="B410" s="796" t="s">
        <v>244</v>
      </c>
      <c r="C410" s="797"/>
      <c r="D410" s="798"/>
      <c r="E410" s="798"/>
      <c r="F410" s="799"/>
      <c r="G410" s="844"/>
      <c r="H410" s="800"/>
      <c r="I410" s="808"/>
      <c r="J410" s="799"/>
      <c r="K410" s="844"/>
      <c r="L410" s="800"/>
      <c r="M410" s="803"/>
      <c r="N410" s="803"/>
      <c r="O410" s="803"/>
      <c r="P410" s="804"/>
    </row>
    <row r="411" spans="1:16" s="804" customFormat="1" ht="15" customHeight="1" x14ac:dyDescent="0.25">
      <c r="A411" s="830"/>
      <c r="B411" s="813" t="s">
        <v>1427</v>
      </c>
      <c r="C411" s="814">
        <v>318</v>
      </c>
      <c r="D411" s="815">
        <v>110</v>
      </c>
      <c r="E411" s="815"/>
      <c r="F411" s="799"/>
      <c r="G411" s="844"/>
      <c r="H411" s="817">
        <f t="shared" ref="H411:H413" si="194">SUM(C411:G411)</f>
        <v>428</v>
      </c>
      <c r="I411" s="853"/>
      <c r="J411" s="816"/>
      <c r="K411" s="965"/>
      <c r="L411" s="817">
        <f t="shared" ref="L411:L413" si="195">SUM(I411:K411)</f>
        <v>0</v>
      </c>
      <c r="M411" s="820">
        <f t="shared" ref="M411:M413" si="196">SUM(H411+L411)</f>
        <v>428</v>
      </c>
      <c r="N411" s="820"/>
      <c r="O411" s="820">
        <f t="shared" ref="O411:O413" si="197">SUM(M411+N411)</f>
        <v>428</v>
      </c>
    </row>
    <row r="412" spans="1:16" s="804" customFormat="1" ht="31.5" x14ac:dyDescent="0.25">
      <c r="A412" s="830"/>
      <c r="B412" s="813" t="s">
        <v>1315</v>
      </c>
      <c r="C412" s="814">
        <v>811</v>
      </c>
      <c r="D412" s="815">
        <v>-811</v>
      </c>
      <c r="E412" s="815">
        <f>-12128+-1</f>
        <v>-12129</v>
      </c>
      <c r="F412" s="799"/>
      <c r="G412" s="844"/>
      <c r="H412" s="817">
        <f t="shared" si="194"/>
        <v>-12129</v>
      </c>
      <c r="I412" s="853">
        <f>12128+1</f>
        <v>12129</v>
      </c>
      <c r="J412" s="816"/>
      <c r="K412" s="965"/>
      <c r="L412" s="817">
        <f t="shared" si="195"/>
        <v>12129</v>
      </c>
      <c r="M412" s="820">
        <f t="shared" si="196"/>
        <v>0</v>
      </c>
      <c r="N412" s="820"/>
      <c r="O412" s="820">
        <f t="shared" si="197"/>
        <v>0</v>
      </c>
    </row>
    <row r="413" spans="1:16" s="804" customFormat="1" ht="15" customHeight="1" thickBot="1" x14ac:dyDescent="0.3">
      <c r="A413" s="967"/>
      <c r="B413" s="959" t="s">
        <v>1262</v>
      </c>
      <c r="C413" s="976"/>
      <c r="D413" s="969"/>
      <c r="E413" s="969">
        <f>20+384</f>
        <v>404</v>
      </c>
      <c r="F413" s="970"/>
      <c r="G413" s="1105"/>
      <c r="H413" s="971">
        <f t="shared" si="194"/>
        <v>404</v>
      </c>
      <c r="I413" s="972"/>
      <c r="J413" s="973"/>
      <c r="K413" s="1118"/>
      <c r="L413" s="971">
        <f t="shared" si="195"/>
        <v>0</v>
      </c>
      <c r="M413" s="971">
        <f t="shared" si="196"/>
        <v>404</v>
      </c>
      <c r="N413" s="971"/>
      <c r="O413" s="971">
        <f t="shared" si="197"/>
        <v>404</v>
      </c>
    </row>
    <row r="414" spans="1:16" s="804" customFormat="1" ht="47.25" customHeight="1" thickTop="1" thickBot="1" x14ac:dyDescent="0.3">
      <c r="A414" s="807"/>
      <c r="B414" s="444" t="s">
        <v>1157</v>
      </c>
      <c r="C414" s="445">
        <f>+C408+C411+C412+C413</f>
        <v>86288</v>
      </c>
      <c r="D414" s="445">
        <f t="shared" ref="D414:O414" si="198">+D408+D411+D412+D413</f>
        <v>21522</v>
      </c>
      <c r="E414" s="445">
        <f t="shared" si="198"/>
        <v>67007</v>
      </c>
      <c r="F414" s="445">
        <f t="shared" si="198"/>
        <v>0</v>
      </c>
      <c r="G414" s="445">
        <f t="shared" si="198"/>
        <v>0</v>
      </c>
      <c r="H414" s="445">
        <f t="shared" si="198"/>
        <v>174817</v>
      </c>
      <c r="I414" s="445">
        <f t="shared" si="198"/>
        <v>17775</v>
      </c>
      <c r="J414" s="445">
        <f t="shared" si="198"/>
        <v>0</v>
      </c>
      <c r="K414" s="445">
        <f t="shared" si="198"/>
        <v>0</v>
      </c>
      <c r="L414" s="445">
        <f t="shared" si="198"/>
        <v>17775</v>
      </c>
      <c r="M414" s="445">
        <f t="shared" si="198"/>
        <v>192592</v>
      </c>
      <c r="N414" s="445">
        <f t="shared" si="198"/>
        <v>0</v>
      </c>
      <c r="O414" s="445">
        <f t="shared" si="198"/>
        <v>192592</v>
      </c>
      <c r="P414" s="781"/>
    </row>
    <row r="415" spans="1:16" s="804" customFormat="1" ht="2.25" hidden="1" customHeight="1" thickBot="1" x14ac:dyDescent="0.3">
      <c r="A415" s="807"/>
      <c r="B415" s="444" t="s">
        <v>1161</v>
      </c>
      <c r="C415" s="445">
        <f>+C409+C411+C412+C413</f>
        <v>86288</v>
      </c>
      <c r="D415" s="445">
        <f t="shared" ref="D415:O415" si="199">+D409+D411+D412+D413</f>
        <v>21522</v>
      </c>
      <c r="E415" s="445">
        <f t="shared" si="199"/>
        <v>67007</v>
      </c>
      <c r="F415" s="445">
        <f t="shared" si="199"/>
        <v>0</v>
      </c>
      <c r="G415" s="445">
        <f t="shared" si="199"/>
        <v>0</v>
      </c>
      <c r="H415" s="445">
        <f t="shared" si="199"/>
        <v>174817</v>
      </c>
      <c r="I415" s="445">
        <f t="shared" si="199"/>
        <v>17775</v>
      </c>
      <c r="J415" s="445">
        <f t="shared" si="199"/>
        <v>0</v>
      </c>
      <c r="K415" s="445">
        <f t="shared" si="199"/>
        <v>0</v>
      </c>
      <c r="L415" s="445">
        <f t="shared" si="199"/>
        <v>17775</v>
      </c>
      <c r="M415" s="445">
        <f t="shared" si="199"/>
        <v>192592</v>
      </c>
      <c r="N415" s="445">
        <f t="shared" si="199"/>
        <v>0</v>
      </c>
      <c r="O415" s="445">
        <f t="shared" si="199"/>
        <v>192592</v>
      </c>
      <c r="P415" s="781"/>
    </row>
    <row r="416" spans="1:16" s="804" customFormat="1" ht="16.5" hidden="1" thickTop="1" x14ac:dyDescent="0.25">
      <c r="A416" s="791" t="s">
        <v>50</v>
      </c>
      <c r="B416" s="446" t="s">
        <v>569</v>
      </c>
      <c r="C416" s="447"/>
      <c r="D416" s="448"/>
      <c r="E416" s="440"/>
      <c r="F416" s="449"/>
      <c r="G416" s="448"/>
      <c r="H416" s="792"/>
      <c r="I416" s="809"/>
      <c r="J416" s="449"/>
      <c r="K416" s="449"/>
      <c r="L416" s="792"/>
      <c r="M416" s="810"/>
      <c r="N416" s="810"/>
      <c r="O416" s="810"/>
      <c r="P416" s="781"/>
    </row>
    <row r="417" spans="1:16" s="804" customFormat="1" ht="16.5" hidden="1" thickTop="1" x14ac:dyDescent="0.25">
      <c r="A417" s="791"/>
      <c r="B417" s="442" t="s">
        <v>1125</v>
      </c>
      <c r="C417" s="447">
        <v>464191</v>
      </c>
      <c r="D417" s="448">
        <v>125541</v>
      </c>
      <c r="E417" s="440">
        <v>558411</v>
      </c>
      <c r="F417" s="449"/>
      <c r="G417" s="448">
        <v>400</v>
      </c>
      <c r="H417" s="792">
        <f>SUM(C417:G417)</f>
        <v>1148543</v>
      </c>
      <c r="I417" s="793">
        <v>53298</v>
      </c>
      <c r="J417" s="441"/>
      <c r="K417" s="441"/>
      <c r="L417" s="792">
        <f>SUM(I417:K417)</f>
        <v>53298</v>
      </c>
      <c r="M417" s="794">
        <f>SUM(H417+L417)</f>
        <v>1201841</v>
      </c>
      <c r="N417" s="794"/>
      <c r="O417" s="794">
        <f>SUM(M417+N417)</f>
        <v>1201841</v>
      </c>
      <c r="P417" s="781"/>
    </row>
    <row r="418" spans="1:16" s="804" customFormat="1" ht="16.5" thickTop="1" x14ac:dyDescent="0.25">
      <c r="A418" s="791"/>
      <c r="B418" s="796" t="s">
        <v>1160</v>
      </c>
      <c r="C418" s="839">
        <v>464191</v>
      </c>
      <c r="D418" s="840">
        <v>125541</v>
      </c>
      <c r="E418" s="798">
        <v>558411</v>
      </c>
      <c r="F418" s="842"/>
      <c r="G418" s="840">
        <v>400</v>
      </c>
      <c r="H418" s="800">
        <f>SUM(C418:G418)</f>
        <v>1148543</v>
      </c>
      <c r="I418" s="808">
        <v>53298</v>
      </c>
      <c r="J418" s="799"/>
      <c r="K418" s="799"/>
      <c r="L418" s="800">
        <f>SUM(I418:K418)</f>
        <v>53298</v>
      </c>
      <c r="M418" s="803">
        <f>SUM(H418+L418)</f>
        <v>1201841</v>
      </c>
      <c r="N418" s="803"/>
      <c r="O418" s="803">
        <f>SUM(M418+N418)</f>
        <v>1201841</v>
      </c>
      <c r="P418" s="780"/>
    </row>
    <row r="419" spans="1:16" s="804" customFormat="1" x14ac:dyDescent="0.25">
      <c r="A419" s="791"/>
      <c r="B419" s="796" t="s">
        <v>244</v>
      </c>
      <c r="C419" s="447"/>
      <c r="D419" s="448"/>
      <c r="E419" s="440"/>
      <c r="F419" s="449"/>
      <c r="G419" s="448"/>
      <c r="H419" s="792"/>
      <c r="I419" s="793"/>
      <c r="J419" s="441"/>
      <c r="K419" s="441"/>
      <c r="L419" s="792"/>
      <c r="M419" s="794"/>
      <c r="N419" s="794"/>
      <c r="O419" s="794"/>
    </row>
    <row r="420" spans="1:16" s="804" customFormat="1" x14ac:dyDescent="0.25">
      <c r="A420" s="791"/>
      <c r="B420" s="813" t="s">
        <v>1426</v>
      </c>
      <c r="C420" s="447">
        <v>594</v>
      </c>
      <c r="D420" s="448">
        <v>160</v>
      </c>
      <c r="E420" s="440"/>
      <c r="F420" s="449"/>
      <c r="G420" s="448"/>
      <c r="H420" s="792">
        <f t="shared" ref="H420:H423" si="200">SUM(C420:G420)</f>
        <v>754</v>
      </c>
      <c r="I420" s="793"/>
      <c r="J420" s="441"/>
      <c r="K420" s="441"/>
      <c r="L420" s="792">
        <f t="shared" ref="L420:L423" si="201">SUM(I420:K420)</f>
        <v>0</v>
      </c>
      <c r="M420" s="794">
        <f t="shared" ref="M420:M423" si="202">SUM(H420+L420)</f>
        <v>754</v>
      </c>
      <c r="N420" s="794"/>
      <c r="O420" s="794">
        <f t="shared" ref="O420:O423" si="203">SUM(M420+N420)</f>
        <v>754</v>
      </c>
      <c r="P420" s="781"/>
    </row>
    <row r="421" spans="1:16" s="804" customFormat="1" x14ac:dyDescent="0.25">
      <c r="A421" s="791"/>
      <c r="B421" s="813" t="s">
        <v>1427</v>
      </c>
      <c r="C421" s="447">
        <v>1620</v>
      </c>
      <c r="D421" s="448">
        <v>560</v>
      </c>
      <c r="E421" s="440"/>
      <c r="F421" s="449"/>
      <c r="G421" s="448"/>
      <c r="H421" s="792">
        <f t="shared" si="200"/>
        <v>2180</v>
      </c>
      <c r="I421" s="793"/>
      <c r="J421" s="441"/>
      <c r="K421" s="441"/>
      <c r="L421" s="792">
        <f t="shared" si="201"/>
        <v>0</v>
      </c>
      <c r="M421" s="794">
        <f t="shared" si="202"/>
        <v>2180</v>
      </c>
      <c r="N421" s="794"/>
      <c r="O421" s="794">
        <f t="shared" si="203"/>
        <v>2180</v>
      </c>
    </row>
    <row r="422" spans="1:16" s="804" customFormat="1" ht="31.5" x14ac:dyDescent="0.25">
      <c r="A422" s="791"/>
      <c r="B422" s="813" t="s">
        <v>1262</v>
      </c>
      <c r="C422" s="447"/>
      <c r="D422" s="448"/>
      <c r="E422" s="440">
        <f>33942+28000</f>
        <v>61942</v>
      </c>
      <c r="F422" s="449"/>
      <c r="G422" s="448"/>
      <c r="H422" s="792">
        <f t="shared" si="200"/>
        <v>61942</v>
      </c>
      <c r="I422" s="793">
        <f>4457+1</f>
        <v>4458</v>
      </c>
      <c r="J422" s="441"/>
      <c r="K422" s="441"/>
      <c r="L422" s="792">
        <f t="shared" ref="L422" si="204">SUM(I422:K422)</f>
        <v>4458</v>
      </c>
      <c r="M422" s="794">
        <f t="shared" si="202"/>
        <v>66400</v>
      </c>
      <c r="N422" s="794"/>
      <c r="O422" s="794">
        <f t="shared" si="203"/>
        <v>66400</v>
      </c>
      <c r="P422" s="781"/>
    </row>
    <row r="423" spans="1:16" s="804" customFormat="1" ht="32.25" thickBot="1" x14ac:dyDescent="0.3">
      <c r="A423" s="791"/>
      <c r="B423" s="813" t="s">
        <v>1315</v>
      </c>
      <c r="C423" s="447">
        <v>8446</v>
      </c>
      <c r="D423" s="448">
        <v>-8446</v>
      </c>
      <c r="E423" s="440"/>
      <c r="F423" s="449"/>
      <c r="G423" s="448"/>
      <c r="H423" s="792">
        <f t="shared" si="200"/>
        <v>0</v>
      </c>
      <c r="I423" s="793"/>
      <c r="J423" s="441"/>
      <c r="K423" s="441"/>
      <c r="L423" s="792">
        <f t="shared" si="201"/>
        <v>0</v>
      </c>
      <c r="M423" s="794">
        <f t="shared" si="202"/>
        <v>0</v>
      </c>
      <c r="N423" s="794"/>
      <c r="O423" s="794">
        <f t="shared" si="203"/>
        <v>0</v>
      </c>
      <c r="P423" s="821"/>
    </row>
    <row r="424" spans="1:16" ht="17.25" thickTop="1" thickBot="1" x14ac:dyDescent="0.3">
      <c r="A424" s="807"/>
      <c r="B424" s="444" t="s">
        <v>1157</v>
      </c>
      <c r="C424" s="445">
        <f>+C417+C420+C421+C423+C422</f>
        <v>474851</v>
      </c>
      <c r="D424" s="445">
        <f t="shared" ref="D424:O424" si="205">+D417+D420+D421+D423+D422</f>
        <v>117815</v>
      </c>
      <c r="E424" s="445">
        <f t="shared" si="205"/>
        <v>620353</v>
      </c>
      <c r="F424" s="445">
        <f t="shared" si="205"/>
        <v>0</v>
      </c>
      <c r="G424" s="445">
        <f t="shared" si="205"/>
        <v>400</v>
      </c>
      <c r="H424" s="445">
        <f t="shared" si="205"/>
        <v>1213419</v>
      </c>
      <c r="I424" s="445">
        <f t="shared" si="205"/>
        <v>57756</v>
      </c>
      <c r="J424" s="445">
        <f t="shared" si="205"/>
        <v>0</v>
      </c>
      <c r="K424" s="445">
        <f t="shared" si="205"/>
        <v>0</v>
      </c>
      <c r="L424" s="445">
        <f t="shared" si="205"/>
        <v>57756</v>
      </c>
      <c r="M424" s="445">
        <f t="shared" si="205"/>
        <v>1271175</v>
      </c>
      <c r="N424" s="445">
        <f t="shared" si="205"/>
        <v>0</v>
      </c>
      <c r="O424" s="445">
        <f t="shared" si="205"/>
        <v>1271175</v>
      </c>
      <c r="P424" s="1116"/>
    </row>
    <row r="425" spans="1:16" ht="17.25" thickTop="1" thickBot="1" x14ac:dyDescent="0.3">
      <c r="A425" s="807"/>
      <c r="B425" s="444" t="s">
        <v>1161</v>
      </c>
      <c r="C425" s="445">
        <f>+C418+C420+C421+C423+C422</f>
        <v>474851</v>
      </c>
      <c r="D425" s="445">
        <f t="shared" ref="D425:O425" si="206">+D418+D420+D421+D423+D422</f>
        <v>117815</v>
      </c>
      <c r="E425" s="445">
        <f t="shared" si="206"/>
        <v>620353</v>
      </c>
      <c r="F425" s="445">
        <f t="shared" si="206"/>
        <v>0</v>
      </c>
      <c r="G425" s="445">
        <f t="shared" si="206"/>
        <v>400</v>
      </c>
      <c r="H425" s="445">
        <f t="shared" si="206"/>
        <v>1213419</v>
      </c>
      <c r="I425" s="445">
        <f t="shared" si="206"/>
        <v>57756</v>
      </c>
      <c r="J425" s="445">
        <f t="shared" si="206"/>
        <v>0</v>
      </c>
      <c r="K425" s="445">
        <f t="shared" si="206"/>
        <v>0</v>
      </c>
      <c r="L425" s="445">
        <f t="shared" si="206"/>
        <v>57756</v>
      </c>
      <c r="M425" s="445">
        <f t="shared" si="206"/>
        <v>1271175</v>
      </c>
      <c r="N425" s="445">
        <f t="shared" si="206"/>
        <v>0</v>
      </c>
      <c r="O425" s="445">
        <f t="shared" si="206"/>
        <v>1271175</v>
      </c>
    </row>
    <row r="426" spans="1:16" ht="16.5" thickTop="1" x14ac:dyDescent="0.25">
      <c r="A426" s="791" t="s">
        <v>52</v>
      </c>
      <c r="B426" s="446" t="s">
        <v>570</v>
      </c>
      <c r="C426" s="854"/>
      <c r="D426" s="440"/>
      <c r="E426" s="440"/>
      <c r="F426" s="441"/>
      <c r="G426" s="448"/>
      <c r="H426" s="792"/>
      <c r="I426" s="809"/>
      <c r="J426" s="449"/>
      <c r="K426" s="449"/>
      <c r="L426" s="792"/>
      <c r="M426" s="810"/>
      <c r="N426" s="810"/>
      <c r="O426" s="810"/>
    </row>
    <row r="427" spans="1:16" x14ac:dyDescent="0.25">
      <c r="A427" s="791"/>
      <c r="B427" s="442" t="s">
        <v>1125</v>
      </c>
      <c r="C427" s="854">
        <v>55954</v>
      </c>
      <c r="D427" s="440">
        <v>15491</v>
      </c>
      <c r="E427" s="440">
        <v>60580</v>
      </c>
      <c r="F427" s="441"/>
      <c r="G427" s="448"/>
      <c r="H427" s="792">
        <f>SUM(C427:G427)</f>
        <v>132025</v>
      </c>
      <c r="I427" s="793">
        <v>270</v>
      </c>
      <c r="J427" s="441"/>
      <c r="K427" s="441"/>
      <c r="L427" s="792">
        <f>SUM(I427:K427)</f>
        <v>270</v>
      </c>
      <c r="M427" s="794">
        <f>SUM(H427+L427)</f>
        <v>132295</v>
      </c>
      <c r="N427" s="794"/>
      <c r="O427" s="794">
        <f>SUM(M427+N427)</f>
        <v>132295</v>
      </c>
    </row>
    <row r="428" spans="1:16" x14ac:dyDescent="0.25">
      <c r="A428" s="795"/>
      <c r="B428" s="796" t="s">
        <v>1263</v>
      </c>
      <c r="C428" s="855">
        <v>53910</v>
      </c>
      <c r="D428" s="798">
        <v>14759</v>
      </c>
      <c r="E428" s="798">
        <v>53406</v>
      </c>
      <c r="F428" s="799"/>
      <c r="G428" s="840"/>
      <c r="H428" s="800">
        <f>SUM(C428:G428)</f>
        <v>122075</v>
      </c>
      <c r="I428" s="808">
        <v>270</v>
      </c>
      <c r="J428" s="799"/>
      <c r="K428" s="799"/>
      <c r="L428" s="800">
        <f>SUM(I428:K428)</f>
        <v>270</v>
      </c>
      <c r="M428" s="803">
        <f>SUM(H428+L428)</f>
        <v>122345</v>
      </c>
      <c r="N428" s="803"/>
      <c r="O428" s="803">
        <f>SUM(M428+N428)</f>
        <v>122345</v>
      </c>
    </row>
    <row r="429" spans="1:16" s="804" customFormat="1" x14ac:dyDescent="0.25">
      <c r="A429" s="795"/>
      <c r="B429" s="796" t="s">
        <v>1156</v>
      </c>
      <c r="C429" s="855">
        <v>2044</v>
      </c>
      <c r="D429" s="798">
        <v>732</v>
      </c>
      <c r="E429" s="798">
        <v>7174</v>
      </c>
      <c r="F429" s="799"/>
      <c r="G429" s="840"/>
      <c r="H429" s="800">
        <f>SUM(C429:G429)</f>
        <v>9950</v>
      </c>
      <c r="I429" s="808"/>
      <c r="J429" s="799"/>
      <c r="K429" s="799"/>
      <c r="L429" s="800">
        <f>SUM(I429:K429)</f>
        <v>0</v>
      </c>
      <c r="M429" s="803">
        <f>SUM(H429+L429)</f>
        <v>9950</v>
      </c>
      <c r="N429" s="803"/>
      <c r="O429" s="803">
        <f>SUM(M429+N429)</f>
        <v>9950</v>
      </c>
    </row>
    <row r="430" spans="1:16" s="804" customFormat="1" x14ac:dyDescent="0.25">
      <c r="A430" s="795"/>
      <c r="B430" s="796" t="s">
        <v>243</v>
      </c>
      <c r="C430" s="855"/>
      <c r="D430" s="798"/>
      <c r="E430" s="798"/>
      <c r="F430" s="799"/>
      <c r="G430" s="840"/>
      <c r="H430" s="817"/>
      <c r="I430" s="853"/>
      <c r="J430" s="816"/>
      <c r="K430" s="816"/>
      <c r="L430" s="817"/>
      <c r="M430" s="820"/>
      <c r="N430" s="820"/>
      <c r="O430" s="820"/>
    </row>
    <row r="431" spans="1:16" s="804" customFormat="1" x14ac:dyDescent="0.25">
      <c r="A431" s="795"/>
      <c r="B431" s="813" t="s">
        <v>1426</v>
      </c>
      <c r="C431" s="974">
        <v>40</v>
      </c>
      <c r="D431" s="815">
        <v>11</v>
      </c>
      <c r="E431" s="798"/>
      <c r="F431" s="799"/>
      <c r="G431" s="840"/>
      <c r="H431" s="817">
        <f t="shared" ref="H431:H434" si="207">SUM(C431:G431)</f>
        <v>51</v>
      </c>
      <c r="I431" s="853"/>
      <c r="J431" s="816"/>
      <c r="K431" s="816"/>
      <c r="L431" s="817">
        <f t="shared" ref="L431:L434" si="208">SUM(I431:K431)</f>
        <v>0</v>
      </c>
      <c r="M431" s="820">
        <f t="shared" ref="M431:M434" si="209">SUM(H431+L431)</f>
        <v>51</v>
      </c>
      <c r="N431" s="820"/>
      <c r="O431" s="820">
        <f t="shared" ref="O431:O434" si="210">SUM(M431+N431)</f>
        <v>51</v>
      </c>
    </row>
    <row r="432" spans="1:16" s="821" customFormat="1" x14ac:dyDescent="0.25">
      <c r="A432" s="795"/>
      <c r="B432" s="796" t="s">
        <v>244</v>
      </c>
      <c r="C432" s="855"/>
      <c r="D432" s="798"/>
      <c r="E432" s="798"/>
      <c r="F432" s="799"/>
      <c r="G432" s="840"/>
      <c r="H432" s="817"/>
      <c r="I432" s="853"/>
      <c r="J432" s="816"/>
      <c r="K432" s="816"/>
      <c r="L432" s="817"/>
      <c r="M432" s="820"/>
      <c r="N432" s="820"/>
      <c r="O432" s="820"/>
    </row>
    <row r="433" spans="1:16" s="821" customFormat="1" x14ac:dyDescent="0.25">
      <c r="A433" s="830"/>
      <c r="B433" s="813" t="s">
        <v>1427</v>
      </c>
      <c r="C433" s="1108">
        <v>382</v>
      </c>
      <c r="D433" s="815">
        <v>132</v>
      </c>
      <c r="E433" s="815"/>
      <c r="F433" s="799"/>
      <c r="G433" s="798"/>
      <c r="H433" s="817">
        <f t="shared" si="207"/>
        <v>514</v>
      </c>
      <c r="I433" s="853"/>
      <c r="J433" s="816"/>
      <c r="K433" s="816"/>
      <c r="L433" s="817">
        <f t="shared" si="208"/>
        <v>0</v>
      </c>
      <c r="M433" s="817">
        <f t="shared" si="209"/>
        <v>514</v>
      </c>
      <c r="N433" s="817"/>
      <c r="O433" s="817">
        <f t="shared" si="210"/>
        <v>514</v>
      </c>
      <c r="P433" s="781"/>
    </row>
    <row r="434" spans="1:16" s="821" customFormat="1" ht="79.5" thickBot="1" x14ac:dyDescent="0.3">
      <c r="A434" s="830"/>
      <c r="B434" s="813" t="s">
        <v>1419</v>
      </c>
      <c r="C434" s="975"/>
      <c r="D434" s="798"/>
      <c r="E434" s="815">
        <v>400</v>
      </c>
      <c r="F434" s="799"/>
      <c r="G434" s="798"/>
      <c r="H434" s="817">
        <f t="shared" si="207"/>
        <v>400</v>
      </c>
      <c r="I434" s="853"/>
      <c r="J434" s="816"/>
      <c r="K434" s="816"/>
      <c r="L434" s="817">
        <f t="shared" si="208"/>
        <v>0</v>
      </c>
      <c r="M434" s="817">
        <f t="shared" si="209"/>
        <v>400</v>
      </c>
      <c r="N434" s="817"/>
      <c r="O434" s="817">
        <f t="shared" si="210"/>
        <v>400</v>
      </c>
      <c r="P434" s="781"/>
    </row>
    <row r="435" spans="1:16" s="804" customFormat="1" ht="17.25" hidden="1" thickTop="1" thickBot="1" x14ac:dyDescent="0.3">
      <c r="A435" s="807"/>
      <c r="B435" s="444" t="s">
        <v>1157</v>
      </c>
      <c r="C435" s="445">
        <f>+C427+C431+C433+C434</f>
        <v>56376</v>
      </c>
      <c r="D435" s="445">
        <f t="shared" ref="D435:O435" si="211">+D427+D431+D433+D434</f>
        <v>15634</v>
      </c>
      <c r="E435" s="445">
        <f t="shared" si="211"/>
        <v>60980</v>
      </c>
      <c r="F435" s="445">
        <f t="shared" si="211"/>
        <v>0</v>
      </c>
      <c r="G435" s="445">
        <f t="shared" si="211"/>
        <v>0</v>
      </c>
      <c r="H435" s="445">
        <f t="shared" si="211"/>
        <v>132990</v>
      </c>
      <c r="I435" s="445">
        <f t="shared" si="211"/>
        <v>270</v>
      </c>
      <c r="J435" s="445">
        <f t="shared" si="211"/>
        <v>0</v>
      </c>
      <c r="K435" s="445">
        <f t="shared" si="211"/>
        <v>0</v>
      </c>
      <c r="L435" s="445">
        <f t="shared" si="211"/>
        <v>270</v>
      </c>
      <c r="M435" s="445">
        <f t="shared" si="211"/>
        <v>133260</v>
      </c>
      <c r="N435" s="445">
        <f t="shared" si="211"/>
        <v>0</v>
      </c>
      <c r="O435" s="445">
        <f t="shared" si="211"/>
        <v>133260</v>
      </c>
      <c r="P435" s="781"/>
    </row>
    <row r="436" spans="1:16" s="821" customFormat="1" ht="17.25" thickTop="1" thickBot="1" x14ac:dyDescent="0.3">
      <c r="A436" s="807"/>
      <c r="B436" s="444" t="s">
        <v>1158</v>
      </c>
      <c r="C436" s="445">
        <f>+C428+C431</f>
        <v>53950</v>
      </c>
      <c r="D436" s="445">
        <f t="shared" ref="D436:O436" si="212">+D428+D431</f>
        <v>14770</v>
      </c>
      <c r="E436" s="445">
        <f t="shared" si="212"/>
        <v>53406</v>
      </c>
      <c r="F436" s="445">
        <f t="shared" si="212"/>
        <v>0</v>
      </c>
      <c r="G436" s="445">
        <f t="shared" si="212"/>
        <v>0</v>
      </c>
      <c r="H436" s="445">
        <f t="shared" si="212"/>
        <v>122126</v>
      </c>
      <c r="I436" s="445">
        <f t="shared" si="212"/>
        <v>270</v>
      </c>
      <c r="J436" s="445">
        <f t="shared" si="212"/>
        <v>0</v>
      </c>
      <c r="K436" s="445">
        <f t="shared" si="212"/>
        <v>0</v>
      </c>
      <c r="L436" s="445">
        <f t="shared" si="212"/>
        <v>270</v>
      </c>
      <c r="M436" s="445">
        <f t="shared" si="212"/>
        <v>122396</v>
      </c>
      <c r="N436" s="445">
        <f t="shared" si="212"/>
        <v>0</v>
      </c>
      <c r="O436" s="445">
        <f t="shared" si="212"/>
        <v>122396</v>
      </c>
      <c r="P436" s="781"/>
    </row>
    <row r="437" spans="1:16" s="821" customFormat="1" ht="17.25" thickTop="1" thickBot="1" x14ac:dyDescent="0.3">
      <c r="A437" s="807"/>
      <c r="B437" s="444" t="s">
        <v>1159</v>
      </c>
      <c r="C437" s="445">
        <f>+C429+C433+C434</f>
        <v>2426</v>
      </c>
      <c r="D437" s="445">
        <f t="shared" ref="D437:O437" si="213">+D429+D433+D434</f>
        <v>864</v>
      </c>
      <c r="E437" s="445">
        <f t="shared" si="213"/>
        <v>7574</v>
      </c>
      <c r="F437" s="445">
        <f t="shared" si="213"/>
        <v>0</v>
      </c>
      <c r="G437" s="445">
        <f t="shared" si="213"/>
        <v>0</v>
      </c>
      <c r="H437" s="445">
        <f t="shared" si="213"/>
        <v>10864</v>
      </c>
      <c r="I437" s="445">
        <f t="shared" si="213"/>
        <v>0</v>
      </c>
      <c r="J437" s="445">
        <f t="shared" si="213"/>
        <v>0</v>
      </c>
      <c r="K437" s="445">
        <f t="shared" si="213"/>
        <v>0</v>
      </c>
      <c r="L437" s="445">
        <f t="shared" si="213"/>
        <v>0</v>
      </c>
      <c r="M437" s="445">
        <f t="shared" si="213"/>
        <v>10864</v>
      </c>
      <c r="N437" s="445">
        <f t="shared" si="213"/>
        <v>0</v>
      </c>
      <c r="O437" s="445">
        <f t="shared" si="213"/>
        <v>10864</v>
      </c>
      <c r="P437" s="781"/>
    </row>
    <row r="438" spans="1:16" ht="17.25" thickTop="1" thickBot="1" x14ac:dyDescent="0.3">
      <c r="A438" s="807"/>
      <c r="B438" s="444" t="s">
        <v>1162</v>
      </c>
      <c r="C438" s="450">
        <f t="shared" ref="C438:O438" si="214">SUM(C369+C375+C390+C404+C414+C424+C435)</f>
        <v>1114192</v>
      </c>
      <c r="D438" s="450">
        <f t="shared" si="214"/>
        <v>291184</v>
      </c>
      <c r="E438" s="450">
        <f t="shared" si="214"/>
        <v>1255717</v>
      </c>
      <c r="F438" s="450">
        <f t="shared" si="214"/>
        <v>0</v>
      </c>
      <c r="G438" s="450">
        <f t="shared" si="214"/>
        <v>8621</v>
      </c>
      <c r="H438" s="450">
        <f t="shared" si="214"/>
        <v>2669714</v>
      </c>
      <c r="I438" s="450">
        <f t="shared" si="214"/>
        <v>141775</v>
      </c>
      <c r="J438" s="450">
        <f t="shared" si="214"/>
        <v>23874</v>
      </c>
      <c r="K438" s="450">
        <f t="shared" si="214"/>
        <v>0</v>
      </c>
      <c r="L438" s="450">
        <f t="shared" si="214"/>
        <v>165649</v>
      </c>
      <c r="M438" s="450">
        <f t="shared" si="214"/>
        <v>2835363</v>
      </c>
      <c r="N438" s="450">
        <f t="shared" si="214"/>
        <v>0</v>
      </c>
      <c r="O438" s="450">
        <f t="shared" si="214"/>
        <v>2835363</v>
      </c>
    </row>
    <row r="439" spans="1:16" ht="17.25" thickTop="1" thickBot="1" x14ac:dyDescent="0.3">
      <c r="A439" s="807"/>
      <c r="B439" s="444" t="s">
        <v>572</v>
      </c>
      <c r="C439" s="450">
        <f t="shared" ref="C439:O439" si="215">SUM(C295+C345+C357+C438)</f>
        <v>4979944</v>
      </c>
      <c r="D439" s="450">
        <f t="shared" si="215"/>
        <v>1398828</v>
      </c>
      <c r="E439" s="450">
        <f t="shared" si="215"/>
        <v>4605014</v>
      </c>
      <c r="F439" s="450">
        <f t="shared" si="215"/>
        <v>1787</v>
      </c>
      <c r="G439" s="450">
        <f t="shared" si="215"/>
        <v>8621</v>
      </c>
      <c r="H439" s="450">
        <f t="shared" si="215"/>
        <v>10994194</v>
      </c>
      <c r="I439" s="450">
        <f t="shared" si="215"/>
        <v>224199</v>
      </c>
      <c r="J439" s="450">
        <f t="shared" si="215"/>
        <v>28823</v>
      </c>
      <c r="K439" s="450">
        <f t="shared" si="215"/>
        <v>0</v>
      </c>
      <c r="L439" s="450">
        <f t="shared" si="215"/>
        <v>253022</v>
      </c>
      <c r="M439" s="450">
        <f t="shared" si="215"/>
        <v>11247216</v>
      </c>
      <c r="N439" s="450">
        <f t="shared" si="215"/>
        <v>0</v>
      </c>
      <c r="O439" s="450">
        <f t="shared" si="215"/>
        <v>11247216</v>
      </c>
    </row>
    <row r="440" spans="1:16" ht="16.5" thickTop="1" x14ac:dyDescent="0.25">
      <c r="A440" s="791" t="s">
        <v>777</v>
      </c>
      <c r="B440" s="446" t="s">
        <v>94</v>
      </c>
      <c r="C440" s="854"/>
      <c r="D440" s="440"/>
      <c r="E440" s="440"/>
      <c r="F440" s="441"/>
      <c r="G440" s="448"/>
      <c r="H440" s="792"/>
      <c r="I440" s="809"/>
      <c r="J440" s="449"/>
      <c r="K440" s="449"/>
      <c r="L440" s="792"/>
      <c r="M440" s="810"/>
      <c r="N440" s="810"/>
      <c r="O440" s="810"/>
    </row>
    <row r="441" spans="1:16" x14ac:dyDescent="0.25">
      <c r="A441" s="791"/>
      <c r="B441" s="442" t="s">
        <v>1125</v>
      </c>
      <c r="C441" s="447">
        <v>1621084</v>
      </c>
      <c r="D441" s="448">
        <v>453850</v>
      </c>
      <c r="E441" s="440">
        <v>365209</v>
      </c>
      <c r="F441" s="449">
        <v>11184</v>
      </c>
      <c r="G441" s="448"/>
      <c r="H441" s="792">
        <f>SUM(C441:G441)</f>
        <v>2451327</v>
      </c>
      <c r="I441" s="793">
        <v>80746</v>
      </c>
      <c r="J441" s="441">
        <v>34100</v>
      </c>
      <c r="K441" s="441">
        <v>0</v>
      </c>
      <c r="L441" s="792">
        <f>SUM(I441:K441)</f>
        <v>114846</v>
      </c>
      <c r="M441" s="794">
        <f>SUM(H441+L441)</f>
        <v>2566173</v>
      </c>
      <c r="N441" s="794"/>
      <c r="O441" s="794">
        <f>SUM(M441+N441)</f>
        <v>2566173</v>
      </c>
    </row>
    <row r="442" spans="1:16" x14ac:dyDescent="0.25">
      <c r="A442" s="795"/>
      <c r="B442" s="796" t="s">
        <v>1155</v>
      </c>
      <c r="C442" s="839">
        <v>752573</v>
      </c>
      <c r="D442" s="840">
        <v>218487</v>
      </c>
      <c r="E442" s="798">
        <v>203621</v>
      </c>
      <c r="F442" s="842">
        <v>11184</v>
      </c>
      <c r="G442" s="840"/>
      <c r="H442" s="800">
        <f>SUM(C442:G442)</f>
        <v>1185865</v>
      </c>
      <c r="I442" s="808">
        <v>44011</v>
      </c>
      <c r="J442" s="799">
        <v>19846</v>
      </c>
      <c r="K442" s="799">
        <v>0</v>
      </c>
      <c r="L442" s="800">
        <f>SUM(I442:K442)</f>
        <v>63857</v>
      </c>
      <c r="M442" s="803">
        <f>SUM(H442+L442)</f>
        <v>1249722</v>
      </c>
      <c r="N442" s="803"/>
      <c r="O442" s="803">
        <f>SUM(M442+N442)</f>
        <v>1249722</v>
      </c>
      <c r="P442" s="1117"/>
    </row>
    <row r="443" spans="1:16" s="804" customFormat="1" x14ac:dyDescent="0.25">
      <c r="A443" s="795"/>
      <c r="B443" s="796" t="s">
        <v>1156</v>
      </c>
      <c r="C443" s="839">
        <v>362102</v>
      </c>
      <c r="D443" s="840">
        <v>93045</v>
      </c>
      <c r="E443" s="798">
        <v>26739</v>
      </c>
      <c r="F443" s="842"/>
      <c r="G443" s="840"/>
      <c r="H443" s="800">
        <f>SUM(C443:G443)</f>
        <v>481886</v>
      </c>
      <c r="I443" s="808">
        <v>7964</v>
      </c>
      <c r="J443" s="799">
        <v>0</v>
      </c>
      <c r="K443" s="799">
        <v>0</v>
      </c>
      <c r="L443" s="800">
        <f>SUM(I443:K443)</f>
        <v>7964</v>
      </c>
      <c r="M443" s="803">
        <f>SUM(H443+L443)</f>
        <v>489850</v>
      </c>
      <c r="N443" s="803"/>
      <c r="O443" s="803">
        <f>SUM(M443+N443)</f>
        <v>489850</v>
      </c>
    </row>
    <row r="444" spans="1:16" s="804" customFormat="1" x14ac:dyDescent="0.25">
      <c r="A444" s="795"/>
      <c r="B444" s="796" t="s">
        <v>1163</v>
      </c>
      <c r="C444" s="839">
        <v>506409</v>
      </c>
      <c r="D444" s="840">
        <v>142318</v>
      </c>
      <c r="E444" s="798">
        <v>134849</v>
      </c>
      <c r="F444" s="842"/>
      <c r="G444" s="840"/>
      <c r="H444" s="800">
        <f>SUM(C444:G444)</f>
        <v>783576</v>
      </c>
      <c r="I444" s="808">
        <v>28771</v>
      </c>
      <c r="J444" s="799">
        <v>14254</v>
      </c>
      <c r="K444" s="799">
        <v>0</v>
      </c>
      <c r="L444" s="800">
        <f>SUM(I444:K444)</f>
        <v>43025</v>
      </c>
      <c r="M444" s="803">
        <f>SUM(H444+L444)</f>
        <v>826601</v>
      </c>
      <c r="N444" s="803"/>
      <c r="O444" s="803">
        <f>SUM(M444+N444)</f>
        <v>826601</v>
      </c>
    </row>
    <row r="445" spans="1:16" s="804" customFormat="1" x14ac:dyDescent="0.25">
      <c r="A445" s="795"/>
      <c r="B445" s="796" t="s">
        <v>243</v>
      </c>
      <c r="C445" s="839"/>
      <c r="D445" s="840"/>
      <c r="E445" s="798"/>
      <c r="F445" s="842"/>
      <c r="G445" s="840"/>
      <c r="H445" s="800"/>
      <c r="I445" s="808"/>
      <c r="J445" s="799"/>
      <c r="K445" s="799"/>
      <c r="L445" s="800"/>
      <c r="M445" s="803"/>
      <c r="N445" s="803"/>
      <c r="O445" s="803"/>
    </row>
    <row r="446" spans="1:16" s="804" customFormat="1" x14ac:dyDescent="0.25">
      <c r="A446" s="830"/>
      <c r="B446" s="852" t="s">
        <v>1426</v>
      </c>
      <c r="C446" s="814">
        <v>447</v>
      </c>
      <c r="D446" s="815">
        <v>121</v>
      </c>
      <c r="E446" s="798"/>
      <c r="F446" s="799"/>
      <c r="G446" s="798"/>
      <c r="H446" s="817">
        <f t="shared" ref="H446:H452" si="216">SUM(C446:G446)</f>
        <v>568</v>
      </c>
      <c r="I446" s="808"/>
      <c r="J446" s="799"/>
      <c r="K446" s="799"/>
      <c r="L446" s="800">
        <f t="shared" ref="L446:L448" si="217">SUM(I446:K446)</f>
        <v>0</v>
      </c>
      <c r="M446" s="817">
        <f t="shared" ref="M446:M452" si="218">SUM(H446+L446)</f>
        <v>568</v>
      </c>
      <c r="N446" s="817"/>
      <c r="O446" s="817">
        <f t="shared" ref="O446:O452" si="219">SUM(M446+N446)</f>
        <v>568</v>
      </c>
    </row>
    <row r="447" spans="1:16" s="804" customFormat="1" ht="31.5" x14ac:dyDescent="0.25">
      <c r="A447" s="830"/>
      <c r="B447" s="438" t="s">
        <v>1262</v>
      </c>
      <c r="C447" s="814"/>
      <c r="D447" s="815">
        <v>373</v>
      </c>
      <c r="E447" s="815"/>
      <c r="F447" s="799"/>
      <c r="G447" s="798"/>
      <c r="H447" s="817">
        <f t="shared" si="216"/>
        <v>373</v>
      </c>
      <c r="I447" s="808"/>
      <c r="J447" s="799"/>
      <c r="K447" s="799"/>
      <c r="L447" s="800">
        <f t="shared" si="217"/>
        <v>0</v>
      </c>
      <c r="M447" s="817">
        <f t="shared" si="218"/>
        <v>373</v>
      </c>
      <c r="N447" s="817"/>
      <c r="O447" s="817">
        <f t="shared" si="219"/>
        <v>373</v>
      </c>
    </row>
    <row r="448" spans="1:16" s="804" customFormat="1" ht="31.5" x14ac:dyDescent="0.25">
      <c r="A448" s="795"/>
      <c r="B448" s="813" t="s">
        <v>1315</v>
      </c>
      <c r="C448" s="974">
        <f>60-58-582-44+2</f>
        <v>-622</v>
      </c>
      <c r="D448" s="815">
        <f>14+1+1+1</f>
        <v>17</v>
      </c>
      <c r="E448" s="815">
        <f>-74-545-1-1-466+58-1+44-45+102</f>
        <v>-929</v>
      </c>
      <c r="F448" s="799"/>
      <c r="G448" s="840"/>
      <c r="H448" s="817">
        <f t="shared" si="216"/>
        <v>-1534</v>
      </c>
      <c r="I448" s="853">
        <f>545+466-102</f>
        <v>909</v>
      </c>
      <c r="J448" s="816"/>
      <c r="K448" s="816"/>
      <c r="L448" s="817">
        <f t="shared" si="217"/>
        <v>909</v>
      </c>
      <c r="M448" s="820">
        <f t="shared" si="218"/>
        <v>-625</v>
      </c>
      <c r="N448" s="820"/>
      <c r="O448" s="820">
        <f t="shared" si="219"/>
        <v>-625</v>
      </c>
    </row>
    <row r="449" spans="1:16" x14ac:dyDescent="0.25">
      <c r="A449" s="830"/>
      <c r="B449" s="831" t="s">
        <v>244</v>
      </c>
      <c r="C449" s="797"/>
      <c r="D449" s="798"/>
      <c r="E449" s="798"/>
      <c r="F449" s="799"/>
      <c r="G449" s="798"/>
      <c r="H449" s="817">
        <f t="shared" si="216"/>
        <v>0</v>
      </c>
      <c r="I449" s="808"/>
      <c r="J449" s="799"/>
      <c r="K449" s="799"/>
      <c r="L449" s="817">
        <f t="shared" ref="L449:L452" si="220">SUM(I449:K449)</f>
        <v>0</v>
      </c>
      <c r="M449" s="817">
        <f t="shared" si="218"/>
        <v>0</v>
      </c>
      <c r="N449" s="817"/>
      <c r="O449" s="817">
        <f t="shared" si="219"/>
        <v>0</v>
      </c>
      <c r="P449" s="804"/>
    </row>
    <row r="450" spans="1:16" ht="31.5" x14ac:dyDescent="0.25">
      <c r="A450" s="851"/>
      <c r="B450" s="852" t="s">
        <v>1315</v>
      </c>
      <c r="C450" s="814">
        <v>-161</v>
      </c>
      <c r="D450" s="815">
        <v>1</v>
      </c>
      <c r="E450" s="815">
        <v>1235</v>
      </c>
      <c r="F450" s="816"/>
      <c r="G450" s="815"/>
      <c r="H450" s="817">
        <f t="shared" si="216"/>
        <v>1075</v>
      </c>
      <c r="I450" s="853"/>
      <c r="J450" s="816"/>
      <c r="K450" s="816"/>
      <c r="L450" s="817">
        <f t="shared" si="220"/>
        <v>0</v>
      </c>
      <c r="M450" s="817">
        <f t="shared" si="218"/>
        <v>1075</v>
      </c>
      <c r="N450" s="817"/>
      <c r="O450" s="817">
        <f t="shared" si="219"/>
        <v>1075</v>
      </c>
      <c r="P450" s="804"/>
    </row>
    <row r="451" spans="1:16" x14ac:dyDescent="0.25">
      <c r="A451" s="795"/>
      <c r="B451" s="796" t="s">
        <v>962</v>
      </c>
      <c r="C451" s="839"/>
      <c r="D451" s="840"/>
      <c r="E451" s="798"/>
      <c r="F451" s="842"/>
      <c r="G451" s="840"/>
      <c r="H451" s="817">
        <f t="shared" si="216"/>
        <v>0</v>
      </c>
      <c r="I451" s="808"/>
      <c r="J451" s="799"/>
      <c r="K451" s="799"/>
      <c r="L451" s="817">
        <f t="shared" si="220"/>
        <v>0</v>
      </c>
      <c r="M451" s="820">
        <f t="shared" si="218"/>
        <v>0</v>
      </c>
      <c r="N451" s="820"/>
      <c r="O451" s="820">
        <f t="shared" si="219"/>
        <v>0</v>
      </c>
      <c r="P451" s="804"/>
    </row>
    <row r="452" spans="1:16" ht="32.25" thickBot="1" x14ac:dyDescent="0.3">
      <c r="A452" s="795"/>
      <c r="B452" s="813" t="s">
        <v>1315</v>
      </c>
      <c r="C452" s="962">
        <f>-42-418-32+1</f>
        <v>-491</v>
      </c>
      <c r="D452" s="963">
        <v>2</v>
      </c>
      <c r="E452" s="815">
        <f>-392-1-334+42-1+32-33+73</f>
        <v>-614</v>
      </c>
      <c r="F452" s="842"/>
      <c r="G452" s="840"/>
      <c r="H452" s="817">
        <f t="shared" si="216"/>
        <v>-1103</v>
      </c>
      <c r="I452" s="853">
        <f>392+334-73</f>
        <v>653</v>
      </c>
      <c r="J452" s="799"/>
      <c r="K452" s="799"/>
      <c r="L452" s="817">
        <f t="shared" si="220"/>
        <v>653</v>
      </c>
      <c r="M452" s="820">
        <f t="shared" si="218"/>
        <v>-450</v>
      </c>
      <c r="N452" s="820"/>
      <c r="O452" s="820">
        <f t="shared" si="219"/>
        <v>-450</v>
      </c>
      <c r="P452" s="804"/>
    </row>
    <row r="453" spans="1:16" ht="17.25" thickTop="1" thickBot="1" x14ac:dyDescent="0.3">
      <c r="A453" s="807"/>
      <c r="B453" s="444" t="s">
        <v>1157</v>
      </c>
      <c r="C453" s="445">
        <f>+C441+C446+C452+C448+C450+C447</f>
        <v>1620257</v>
      </c>
      <c r="D453" s="445">
        <f t="shared" ref="D453:O453" si="221">+D441+D446+D452+D448+D450+D447</f>
        <v>454364</v>
      </c>
      <c r="E453" s="445">
        <f t="shared" si="221"/>
        <v>364901</v>
      </c>
      <c r="F453" s="445">
        <f t="shared" si="221"/>
        <v>11184</v>
      </c>
      <c r="G453" s="445">
        <f t="shared" si="221"/>
        <v>0</v>
      </c>
      <c r="H453" s="445">
        <f t="shared" si="221"/>
        <v>2450706</v>
      </c>
      <c r="I453" s="445">
        <f t="shared" si="221"/>
        <v>82308</v>
      </c>
      <c r="J453" s="445">
        <f t="shared" si="221"/>
        <v>34100</v>
      </c>
      <c r="K453" s="445">
        <f t="shared" si="221"/>
        <v>0</v>
      </c>
      <c r="L453" s="445">
        <f t="shared" si="221"/>
        <v>116408</v>
      </c>
      <c r="M453" s="445">
        <f t="shared" si="221"/>
        <v>2567114</v>
      </c>
      <c r="N453" s="445">
        <f t="shared" si="221"/>
        <v>0</v>
      </c>
      <c r="O453" s="445">
        <f t="shared" si="221"/>
        <v>2567114</v>
      </c>
      <c r="P453" s="804"/>
    </row>
    <row r="454" spans="1:16" ht="17.25" thickTop="1" thickBot="1" x14ac:dyDescent="0.3">
      <c r="A454" s="807"/>
      <c r="B454" s="444" t="s">
        <v>1158</v>
      </c>
      <c r="C454" s="445">
        <f>+C442+C446+C448+C447</f>
        <v>752398</v>
      </c>
      <c r="D454" s="445">
        <f t="shared" ref="D454:O454" si="222">+D442+D446+D448+D447</f>
        <v>218998</v>
      </c>
      <c r="E454" s="445">
        <f t="shared" si="222"/>
        <v>202692</v>
      </c>
      <c r="F454" s="445">
        <f t="shared" si="222"/>
        <v>11184</v>
      </c>
      <c r="G454" s="445">
        <f t="shared" si="222"/>
        <v>0</v>
      </c>
      <c r="H454" s="445">
        <f t="shared" si="222"/>
        <v>1185272</v>
      </c>
      <c r="I454" s="445">
        <f t="shared" si="222"/>
        <v>44920</v>
      </c>
      <c r="J454" s="445">
        <f t="shared" si="222"/>
        <v>19846</v>
      </c>
      <c r="K454" s="445">
        <f t="shared" si="222"/>
        <v>0</v>
      </c>
      <c r="L454" s="445">
        <f t="shared" si="222"/>
        <v>64766</v>
      </c>
      <c r="M454" s="445">
        <f t="shared" si="222"/>
        <v>1250038</v>
      </c>
      <c r="N454" s="445">
        <f t="shared" si="222"/>
        <v>0</v>
      </c>
      <c r="O454" s="445">
        <f t="shared" si="222"/>
        <v>1250038</v>
      </c>
      <c r="P454" s="804"/>
    </row>
    <row r="455" spans="1:16" ht="17.25" thickTop="1" thickBot="1" x14ac:dyDescent="0.3">
      <c r="A455" s="807"/>
      <c r="B455" s="444" t="s">
        <v>1159</v>
      </c>
      <c r="C455" s="445">
        <f t="shared" ref="C455:O455" si="223">+C443+C450</f>
        <v>361941</v>
      </c>
      <c r="D455" s="445">
        <f t="shared" si="223"/>
        <v>93046</v>
      </c>
      <c r="E455" s="445">
        <f t="shared" si="223"/>
        <v>27974</v>
      </c>
      <c r="F455" s="445">
        <f t="shared" si="223"/>
        <v>0</v>
      </c>
      <c r="G455" s="445">
        <f t="shared" si="223"/>
        <v>0</v>
      </c>
      <c r="H455" s="445">
        <f t="shared" si="223"/>
        <v>482961</v>
      </c>
      <c r="I455" s="445">
        <f t="shared" si="223"/>
        <v>7964</v>
      </c>
      <c r="J455" s="445">
        <f t="shared" si="223"/>
        <v>0</v>
      </c>
      <c r="K455" s="445">
        <f t="shared" si="223"/>
        <v>0</v>
      </c>
      <c r="L455" s="445">
        <f t="shared" si="223"/>
        <v>7964</v>
      </c>
      <c r="M455" s="445">
        <f t="shared" si="223"/>
        <v>490925</v>
      </c>
      <c r="N455" s="445">
        <f t="shared" si="223"/>
        <v>0</v>
      </c>
      <c r="O455" s="445">
        <f t="shared" si="223"/>
        <v>490925</v>
      </c>
    </row>
    <row r="456" spans="1:16" ht="33" thickTop="1" thickBot="1" x14ac:dyDescent="0.3">
      <c r="A456" s="807"/>
      <c r="B456" s="444" t="s">
        <v>1164</v>
      </c>
      <c r="C456" s="445">
        <f t="shared" ref="C456:O456" si="224">+C444+C452</f>
        <v>505918</v>
      </c>
      <c r="D456" s="445">
        <f t="shared" si="224"/>
        <v>142320</v>
      </c>
      <c r="E456" s="445">
        <f t="shared" si="224"/>
        <v>134235</v>
      </c>
      <c r="F456" s="445">
        <f t="shared" si="224"/>
        <v>0</v>
      </c>
      <c r="G456" s="445">
        <f t="shared" si="224"/>
        <v>0</v>
      </c>
      <c r="H456" s="445">
        <f t="shared" si="224"/>
        <v>782473</v>
      </c>
      <c r="I456" s="445">
        <f t="shared" si="224"/>
        <v>29424</v>
      </c>
      <c r="J456" s="445">
        <f t="shared" si="224"/>
        <v>14254</v>
      </c>
      <c r="K456" s="445">
        <f t="shared" si="224"/>
        <v>0</v>
      </c>
      <c r="L456" s="445">
        <f t="shared" si="224"/>
        <v>43678</v>
      </c>
      <c r="M456" s="445">
        <f t="shared" si="224"/>
        <v>826151</v>
      </c>
      <c r="N456" s="445">
        <f t="shared" si="224"/>
        <v>0</v>
      </c>
      <c r="O456" s="445">
        <f t="shared" si="224"/>
        <v>826151</v>
      </c>
    </row>
    <row r="457" spans="1:16" ht="17.25" thickTop="1" thickBot="1" x14ac:dyDescent="0.3">
      <c r="A457" s="807"/>
      <c r="B457" s="444" t="s">
        <v>265</v>
      </c>
      <c r="C457" s="450">
        <f t="shared" ref="C457:O457" si="225">SUM(C439+C453)</f>
        <v>6600201</v>
      </c>
      <c r="D457" s="450">
        <f t="shared" si="225"/>
        <v>1853192</v>
      </c>
      <c r="E457" s="450">
        <f t="shared" si="225"/>
        <v>4969915</v>
      </c>
      <c r="F457" s="450">
        <f t="shared" si="225"/>
        <v>12971</v>
      </c>
      <c r="G457" s="450">
        <f t="shared" si="225"/>
        <v>8621</v>
      </c>
      <c r="H457" s="450">
        <f t="shared" si="225"/>
        <v>13444900</v>
      </c>
      <c r="I457" s="450">
        <f t="shared" si="225"/>
        <v>306507</v>
      </c>
      <c r="J457" s="450">
        <f t="shared" si="225"/>
        <v>62923</v>
      </c>
      <c r="K457" s="450">
        <f t="shared" si="225"/>
        <v>0</v>
      </c>
      <c r="L457" s="450">
        <f t="shared" si="225"/>
        <v>369430</v>
      </c>
      <c r="M457" s="450">
        <f t="shared" si="225"/>
        <v>13814330</v>
      </c>
      <c r="N457" s="450">
        <f t="shared" si="225"/>
        <v>0</v>
      </c>
      <c r="O457" s="450">
        <f t="shared" si="225"/>
        <v>13814330</v>
      </c>
    </row>
    <row r="458" spans="1:16" ht="17.25" thickTop="1" thickBot="1" x14ac:dyDescent="0.3">
      <c r="A458" s="807"/>
      <c r="B458" s="444" t="s">
        <v>1125</v>
      </c>
      <c r="C458" s="450">
        <f t="shared" ref="C458:O458" si="226">SUM(C8+C21+C37+C54+C70+C85+C101+C117+C134+C147+C160+C174+C188+C201+C214+C228+C241+C255+C268+C281+C297+C314+C330+C347+C361+C372+C378+C394+C408+C417+C427+C441)</f>
        <v>6454704</v>
      </c>
      <c r="D458" s="450">
        <f t="shared" si="226"/>
        <v>1813994</v>
      </c>
      <c r="E458" s="450">
        <f t="shared" si="226"/>
        <v>4623312</v>
      </c>
      <c r="F458" s="450">
        <f t="shared" si="226"/>
        <v>12271</v>
      </c>
      <c r="G458" s="450">
        <f t="shared" si="226"/>
        <v>8621</v>
      </c>
      <c r="H458" s="450">
        <f t="shared" si="226"/>
        <v>12912902</v>
      </c>
      <c r="I458" s="450">
        <f t="shared" si="226"/>
        <v>237910</v>
      </c>
      <c r="J458" s="450">
        <f t="shared" si="226"/>
        <v>49479</v>
      </c>
      <c r="K458" s="450">
        <f t="shared" si="226"/>
        <v>0</v>
      </c>
      <c r="L458" s="450">
        <f t="shared" si="226"/>
        <v>287389</v>
      </c>
      <c r="M458" s="450">
        <f t="shared" si="226"/>
        <v>13200291</v>
      </c>
      <c r="N458" s="450">
        <f t="shared" si="226"/>
        <v>0</v>
      </c>
      <c r="O458" s="450">
        <f t="shared" si="226"/>
        <v>13200291</v>
      </c>
    </row>
    <row r="459" spans="1:16" ht="16.5" thickTop="1" x14ac:dyDescent="0.25">
      <c r="A459" s="857"/>
      <c r="B459" s="778" t="s">
        <v>243</v>
      </c>
      <c r="C459" s="858"/>
      <c r="D459" s="858"/>
      <c r="E459" s="858"/>
      <c r="F459" s="858"/>
      <c r="G459" s="859"/>
      <c r="H459" s="856"/>
      <c r="I459" s="858"/>
      <c r="J459" s="858"/>
      <c r="K459" s="859"/>
      <c r="L459" s="856"/>
      <c r="M459" s="856"/>
      <c r="N459" s="856"/>
      <c r="O459" s="856"/>
      <c r="P459" s="780"/>
    </row>
    <row r="460" spans="1:16" x14ac:dyDescent="0.25">
      <c r="A460" s="857"/>
      <c r="B460" s="778" t="s">
        <v>1426</v>
      </c>
      <c r="C460" s="858">
        <f t="shared" ref="C460:O460" si="227">C12+C25+C41+C58+C74+C89+C105+C121+C138+C151+C164+C178+C192+C205+C218+C232+C245+C259+C272+C285+C301+C318+C334+C351+C382+C398+C431+C446</f>
        <v>5037</v>
      </c>
      <c r="D460" s="858">
        <f t="shared" si="227"/>
        <v>1360</v>
      </c>
      <c r="E460" s="858">
        <f t="shared" si="227"/>
        <v>0</v>
      </c>
      <c r="F460" s="858">
        <f t="shared" si="227"/>
        <v>0</v>
      </c>
      <c r="G460" s="859">
        <f t="shared" si="227"/>
        <v>0</v>
      </c>
      <c r="H460" s="856">
        <f t="shared" si="227"/>
        <v>6397</v>
      </c>
      <c r="I460" s="858">
        <f t="shared" si="227"/>
        <v>0</v>
      </c>
      <c r="J460" s="858">
        <f t="shared" si="227"/>
        <v>0</v>
      </c>
      <c r="K460" s="859">
        <f t="shared" si="227"/>
        <v>0</v>
      </c>
      <c r="L460" s="856">
        <f t="shared" si="227"/>
        <v>0</v>
      </c>
      <c r="M460" s="856">
        <f t="shared" si="227"/>
        <v>6397</v>
      </c>
      <c r="N460" s="856">
        <f t="shared" si="227"/>
        <v>0</v>
      </c>
      <c r="O460" s="856">
        <f t="shared" si="227"/>
        <v>6397</v>
      </c>
    </row>
    <row r="461" spans="1:16" ht="31.5" x14ac:dyDescent="0.25">
      <c r="A461" s="857"/>
      <c r="B461" s="778" t="s">
        <v>1428</v>
      </c>
      <c r="C461" s="858">
        <f t="shared" ref="C461:O461" si="228">C26+C42+C59+C75+C90+C106+C122+C302+C319+C335</f>
        <v>6058</v>
      </c>
      <c r="D461" s="858">
        <f t="shared" si="228"/>
        <v>1636</v>
      </c>
      <c r="E461" s="858">
        <f t="shared" si="228"/>
        <v>0</v>
      </c>
      <c r="F461" s="858">
        <f t="shared" si="228"/>
        <v>0</v>
      </c>
      <c r="G461" s="859">
        <f t="shared" si="228"/>
        <v>0</v>
      </c>
      <c r="H461" s="856">
        <f t="shared" si="228"/>
        <v>7694</v>
      </c>
      <c r="I461" s="858">
        <f t="shared" si="228"/>
        <v>0</v>
      </c>
      <c r="J461" s="858">
        <f t="shared" si="228"/>
        <v>0</v>
      </c>
      <c r="K461" s="859">
        <f t="shared" si="228"/>
        <v>0</v>
      </c>
      <c r="L461" s="856">
        <f t="shared" si="228"/>
        <v>0</v>
      </c>
      <c r="M461" s="856">
        <f t="shared" si="228"/>
        <v>7694</v>
      </c>
      <c r="N461" s="856">
        <f t="shared" si="228"/>
        <v>0</v>
      </c>
      <c r="O461" s="856">
        <f t="shared" si="228"/>
        <v>7694</v>
      </c>
    </row>
    <row r="462" spans="1:16" ht="31.5" x14ac:dyDescent="0.25">
      <c r="A462" s="857"/>
      <c r="B462" s="778" t="s">
        <v>1429</v>
      </c>
      <c r="C462" s="858">
        <f t="shared" ref="C462:O462" si="229">C43+C60+C76+C91+C107+C123+C27+C303+C336+C320</f>
        <v>-79</v>
      </c>
      <c r="D462" s="858">
        <f t="shared" si="229"/>
        <v>-21</v>
      </c>
      <c r="E462" s="858">
        <f t="shared" si="229"/>
        <v>0</v>
      </c>
      <c r="F462" s="858">
        <f t="shared" si="229"/>
        <v>0</v>
      </c>
      <c r="G462" s="859">
        <f t="shared" si="229"/>
        <v>0</v>
      </c>
      <c r="H462" s="856">
        <f t="shared" si="229"/>
        <v>-100</v>
      </c>
      <c r="I462" s="858">
        <f t="shared" si="229"/>
        <v>0</v>
      </c>
      <c r="J462" s="858">
        <f t="shared" si="229"/>
        <v>0</v>
      </c>
      <c r="K462" s="859">
        <f t="shared" si="229"/>
        <v>0</v>
      </c>
      <c r="L462" s="856">
        <f t="shared" si="229"/>
        <v>0</v>
      </c>
      <c r="M462" s="856">
        <f t="shared" si="229"/>
        <v>-100</v>
      </c>
      <c r="N462" s="856">
        <f t="shared" si="229"/>
        <v>0</v>
      </c>
      <c r="O462" s="856">
        <f t="shared" si="229"/>
        <v>-100</v>
      </c>
    </row>
    <row r="463" spans="1:16" ht="47.25" x14ac:dyDescent="0.25">
      <c r="A463" s="857"/>
      <c r="B463" s="778" t="s">
        <v>1314</v>
      </c>
      <c r="C463" s="858">
        <f t="shared" ref="C463:O463" si="230">C383</f>
        <v>0</v>
      </c>
      <c r="D463" s="858">
        <f t="shared" si="230"/>
        <v>0</v>
      </c>
      <c r="E463" s="858">
        <f t="shared" si="230"/>
        <v>11656</v>
      </c>
      <c r="F463" s="858">
        <f t="shared" si="230"/>
        <v>0</v>
      </c>
      <c r="G463" s="859">
        <f t="shared" si="230"/>
        <v>0</v>
      </c>
      <c r="H463" s="856">
        <f t="shared" si="230"/>
        <v>11656</v>
      </c>
      <c r="I463" s="858">
        <f t="shared" si="230"/>
        <v>10630</v>
      </c>
      <c r="J463" s="858">
        <f t="shared" si="230"/>
        <v>0</v>
      </c>
      <c r="K463" s="859">
        <f t="shared" si="230"/>
        <v>0</v>
      </c>
      <c r="L463" s="856">
        <f t="shared" si="230"/>
        <v>10630</v>
      </c>
      <c r="M463" s="856">
        <f t="shared" si="230"/>
        <v>22286</v>
      </c>
      <c r="N463" s="856">
        <f t="shared" si="230"/>
        <v>0</v>
      </c>
      <c r="O463" s="856">
        <f t="shared" si="230"/>
        <v>22286</v>
      </c>
      <c r="P463" s="804"/>
    </row>
    <row r="464" spans="1:16" ht="94.5" x14ac:dyDescent="0.25">
      <c r="A464" s="857"/>
      <c r="B464" s="778" t="s">
        <v>1430</v>
      </c>
      <c r="C464" s="858">
        <f t="shared" ref="C464:O464" si="231">C44+C61+C77+C108+C92+C124</f>
        <v>9521</v>
      </c>
      <c r="D464" s="858">
        <f t="shared" si="231"/>
        <v>2571</v>
      </c>
      <c r="E464" s="858">
        <f t="shared" si="231"/>
        <v>0</v>
      </c>
      <c r="F464" s="858">
        <f t="shared" si="231"/>
        <v>0</v>
      </c>
      <c r="G464" s="859">
        <f t="shared" si="231"/>
        <v>0</v>
      </c>
      <c r="H464" s="856">
        <f t="shared" si="231"/>
        <v>12092</v>
      </c>
      <c r="I464" s="858">
        <f t="shared" si="231"/>
        <v>0</v>
      </c>
      <c r="J464" s="858">
        <f t="shared" si="231"/>
        <v>0</v>
      </c>
      <c r="K464" s="859">
        <f t="shared" si="231"/>
        <v>0</v>
      </c>
      <c r="L464" s="856">
        <f t="shared" si="231"/>
        <v>0</v>
      </c>
      <c r="M464" s="856">
        <f t="shared" si="231"/>
        <v>12092</v>
      </c>
      <c r="N464" s="856">
        <f t="shared" si="231"/>
        <v>0</v>
      </c>
      <c r="O464" s="856">
        <f t="shared" si="231"/>
        <v>12092</v>
      </c>
      <c r="P464" s="804"/>
    </row>
    <row r="465" spans="1:16" ht="31.5" x14ac:dyDescent="0.25">
      <c r="A465" s="857"/>
      <c r="B465" s="778" t="s">
        <v>1209</v>
      </c>
      <c r="C465" s="858">
        <f t="shared" ref="C465:O465" si="232">C45+C165+C179+C219+C246+C286+C304+C321+C352</f>
        <v>2524</v>
      </c>
      <c r="D465" s="858">
        <f t="shared" si="232"/>
        <v>683</v>
      </c>
      <c r="E465" s="858">
        <f t="shared" si="232"/>
        <v>0</v>
      </c>
      <c r="F465" s="858">
        <f t="shared" si="232"/>
        <v>0</v>
      </c>
      <c r="G465" s="859">
        <f t="shared" si="232"/>
        <v>0</v>
      </c>
      <c r="H465" s="856">
        <f t="shared" si="232"/>
        <v>3207</v>
      </c>
      <c r="I465" s="858">
        <f t="shared" si="232"/>
        <v>0</v>
      </c>
      <c r="J465" s="858">
        <f t="shared" si="232"/>
        <v>0</v>
      </c>
      <c r="K465" s="859">
        <f t="shared" si="232"/>
        <v>0</v>
      </c>
      <c r="L465" s="856">
        <f t="shared" si="232"/>
        <v>0</v>
      </c>
      <c r="M465" s="856">
        <f t="shared" si="232"/>
        <v>3207</v>
      </c>
      <c r="N465" s="856">
        <f t="shared" si="232"/>
        <v>0</v>
      </c>
      <c r="O465" s="856">
        <f t="shared" si="232"/>
        <v>3207</v>
      </c>
      <c r="P465" s="804"/>
    </row>
    <row r="466" spans="1:16" ht="31.5" x14ac:dyDescent="0.25">
      <c r="A466" s="857"/>
      <c r="B466" s="778" t="s">
        <v>1417</v>
      </c>
      <c r="C466" s="858">
        <f t="shared" ref="C466:O466" si="233">C384</f>
        <v>0</v>
      </c>
      <c r="D466" s="858">
        <f t="shared" si="233"/>
        <v>0</v>
      </c>
      <c r="E466" s="858">
        <f t="shared" si="233"/>
        <v>2730</v>
      </c>
      <c r="F466" s="858">
        <f t="shared" si="233"/>
        <v>0</v>
      </c>
      <c r="G466" s="859">
        <f t="shared" si="233"/>
        <v>0</v>
      </c>
      <c r="H466" s="856">
        <f t="shared" si="233"/>
        <v>2730</v>
      </c>
      <c r="I466" s="858">
        <f t="shared" si="233"/>
        <v>0</v>
      </c>
      <c r="J466" s="858">
        <f t="shared" si="233"/>
        <v>0</v>
      </c>
      <c r="K466" s="859">
        <f t="shared" si="233"/>
        <v>0</v>
      </c>
      <c r="L466" s="856">
        <f t="shared" si="233"/>
        <v>0</v>
      </c>
      <c r="M466" s="856">
        <f t="shared" si="233"/>
        <v>2730</v>
      </c>
      <c r="N466" s="856">
        <f t="shared" si="233"/>
        <v>0</v>
      </c>
      <c r="O466" s="856">
        <f t="shared" si="233"/>
        <v>2730</v>
      </c>
      <c r="P466" s="821"/>
    </row>
    <row r="467" spans="1:16" ht="63" x14ac:dyDescent="0.25">
      <c r="A467" s="857"/>
      <c r="B467" s="778" t="s">
        <v>1431</v>
      </c>
      <c r="C467" s="858">
        <f t="shared" ref="C467:O467" si="234">C125</f>
        <v>229</v>
      </c>
      <c r="D467" s="858">
        <f t="shared" si="234"/>
        <v>62</v>
      </c>
      <c r="E467" s="858">
        <f t="shared" si="234"/>
        <v>0</v>
      </c>
      <c r="F467" s="858">
        <f t="shared" si="234"/>
        <v>0</v>
      </c>
      <c r="G467" s="859">
        <f t="shared" si="234"/>
        <v>0</v>
      </c>
      <c r="H467" s="856">
        <f t="shared" si="234"/>
        <v>291</v>
      </c>
      <c r="I467" s="858">
        <f t="shared" si="234"/>
        <v>0</v>
      </c>
      <c r="J467" s="858">
        <f t="shared" si="234"/>
        <v>0</v>
      </c>
      <c r="K467" s="859">
        <f t="shared" si="234"/>
        <v>0</v>
      </c>
      <c r="L467" s="856">
        <f t="shared" si="234"/>
        <v>0</v>
      </c>
      <c r="M467" s="856">
        <f t="shared" si="234"/>
        <v>291</v>
      </c>
      <c r="N467" s="856">
        <f t="shared" si="234"/>
        <v>0</v>
      </c>
      <c r="O467" s="856">
        <f t="shared" si="234"/>
        <v>291</v>
      </c>
      <c r="P467" s="821"/>
    </row>
    <row r="468" spans="1:16" ht="31.5" x14ac:dyDescent="0.25">
      <c r="A468" s="857"/>
      <c r="B468" s="778" t="s">
        <v>1315</v>
      </c>
      <c r="C468" s="858">
        <f>C13+C28+C46+C62+C78+C109+C139+C152+C166+C180+C193+C206+C220+C233+C247+C260+C273+C287+C305+C322+C337+C353+C385+C399+C448</f>
        <v>6782</v>
      </c>
      <c r="D468" s="858">
        <f t="shared" ref="D468:O468" si="235">D13+D28+D46+D62+D78+D109+D139+D152+D166+D180+D193+D206+D220+D233+D247+D260+D273+D287+D305+D322+D337+D353+D385+D399+D448</f>
        <v>6186</v>
      </c>
      <c r="E468" s="858">
        <f t="shared" si="235"/>
        <v>-65399</v>
      </c>
      <c r="F468" s="858">
        <f t="shared" si="235"/>
        <v>0</v>
      </c>
      <c r="G468" s="858">
        <f t="shared" si="235"/>
        <v>0</v>
      </c>
      <c r="H468" s="856">
        <f t="shared" si="235"/>
        <v>-52431</v>
      </c>
      <c r="I468" s="858">
        <f t="shared" si="235"/>
        <v>38362</v>
      </c>
      <c r="J468" s="858">
        <f t="shared" si="235"/>
        <v>13444</v>
      </c>
      <c r="K468" s="858">
        <f t="shared" si="235"/>
        <v>0</v>
      </c>
      <c r="L468" s="856">
        <f t="shared" si="235"/>
        <v>51806</v>
      </c>
      <c r="M468" s="856">
        <f t="shared" si="235"/>
        <v>-625</v>
      </c>
      <c r="N468" s="856">
        <f t="shared" si="235"/>
        <v>0</v>
      </c>
      <c r="O468" s="856">
        <f t="shared" si="235"/>
        <v>-625</v>
      </c>
      <c r="P468" s="821"/>
    </row>
    <row r="469" spans="1:16" ht="31.5" x14ac:dyDescent="0.25">
      <c r="A469" s="857"/>
      <c r="B469" s="778" t="s">
        <v>1262</v>
      </c>
      <c r="C469" s="858">
        <f t="shared" ref="C469:O469" si="236">C14+C29+C47+C63+C93+C110+C126+C140+C153+C167+C181+C194+C207+C221+C234+C248+C261+C274+C288+C306+C323+C338+C354+C386+C400+C447</f>
        <v>70452</v>
      </c>
      <c r="D469" s="858">
        <f t="shared" si="236"/>
        <v>24238</v>
      </c>
      <c r="E469" s="858">
        <f t="shared" si="236"/>
        <v>339821</v>
      </c>
      <c r="F469" s="858">
        <f t="shared" si="236"/>
        <v>700</v>
      </c>
      <c r="G469" s="858">
        <f t="shared" si="236"/>
        <v>0</v>
      </c>
      <c r="H469" s="856">
        <f t="shared" si="236"/>
        <v>435211</v>
      </c>
      <c r="I469" s="858">
        <f t="shared" si="236"/>
        <v>2364</v>
      </c>
      <c r="J469" s="858">
        <f t="shared" si="236"/>
        <v>0</v>
      </c>
      <c r="K469" s="858">
        <f t="shared" si="236"/>
        <v>0</v>
      </c>
      <c r="L469" s="856">
        <f t="shared" si="236"/>
        <v>2364</v>
      </c>
      <c r="M469" s="856">
        <f t="shared" si="236"/>
        <v>437575</v>
      </c>
      <c r="N469" s="856">
        <f t="shared" si="236"/>
        <v>0</v>
      </c>
      <c r="O469" s="856">
        <f t="shared" si="236"/>
        <v>437575</v>
      </c>
      <c r="P469" s="804"/>
    </row>
    <row r="470" spans="1:16" x14ac:dyDescent="0.25">
      <c r="A470" s="857"/>
      <c r="B470" s="860" t="s">
        <v>244</v>
      </c>
      <c r="C470" s="858"/>
      <c r="D470" s="858"/>
      <c r="E470" s="858"/>
      <c r="F470" s="858"/>
      <c r="G470" s="861"/>
      <c r="H470" s="856"/>
      <c r="I470" s="858"/>
      <c r="J470" s="858"/>
      <c r="K470" s="859"/>
      <c r="L470" s="856"/>
      <c r="M470" s="856"/>
      <c r="N470" s="856"/>
      <c r="O470" s="856"/>
      <c r="P470" s="821"/>
    </row>
    <row r="471" spans="1:16" x14ac:dyDescent="0.25">
      <c r="A471" s="857"/>
      <c r="B471" s="778" t="s">
        <v>1426</v>
      </c>
      <c r="C471" s="858">
        <f t="shared" ref="C471:O471" si="237">C364+C420</f>
        <v>615</v>
      </c>
      <c r="D471" s="858">
        <f t="shared" si="237"/>
        <v>166</v>
      </c>
      <c r="E471" s="858">
        <f t="shared" si="237"/>
        <v>0</v>
      </c>
      <c r="F471" s="858">
        <f t="shared" si="237"/>
        <v>0</v>
      </c>
      <c r="G471" s="859">
        <f t="shared" si="237"/>
        <v>0</v>
      </c>
      <c r="H471" s="856">
        <f t="shared" si="237"/>
        <v>781</v>
      </c>
      <c r="I471" s="858">
        <f t="shared" si="237"/>
        <v>0</v>
      </c>
      <c r="J471" s="858">
        <f t="shared" si="237"/>
        <v>0</v>
      </c>
      <c r="K471" s="859">
        <f t="shared" si="237"/>
        <v>0</v>
      </c>
      <c r="L471" s="856">
        <f t="shared" si="237"/>
        <v>0</v>
      </c>
      <c r="M471" s="856">
        <f t="shared" si="237"/>
        <v>781</v>
      </c>
      <c r="N471" s="856">
        <f t="shared" si="237"/>
        <v>0</v>
      </c>
      <c r="O471" s="856">
        <f t="shared" si="237"/>
        <v>781</v>
      </c>
      <c r="P471" s="1116"/>
    </row>
    <row r="472" spans="1:16" x14ac:dyDescent="0.25">
      <c r="A472" s="857"/>
      <c r="B472" s="778" t="s">
        <v>1427</v>
      </c>
      <c r="C472" s="858">
        <f t="shared" ref="C472:O472" si="238">C16+C31+C49+C65+C80+C96+C112+C128+C142+C155+C169+C183+C196+C209+C223+C236+C250+C263+C276+C290+C308+C325+C340+C356+C365+C388+C402+C411+C421+C433</f>
        <v>25660</v>
      </c>
      <c r="D472" s="858">
        <f t="shared" si="238"/>
        <v>8854</v>
      </c>
      <c r="E472" s="858">
        <f t="shared" si="238"/>
        <v>0</v>
      </c>
      <c r="F472" s="858">
        <f t="shared" si="238"/>
        <v>0</v>
      </c>
      <c r="G472" s="859">
        <f t="shared" si="238"/>
        <v>0</v>
      </c>
      <c r="H472" s="856">
        <f t="shared" si="238"/>
        <v>34514</v>
      </c>
      <c r="I472" s="858">
        <f t="shared" si="238"/>
        <v>0</v>
      </c>
      <c r="J472" s="858">
        <f t="shared" si="238"/>
        <v>0</v>
      </c>
      <c r="K472" s="859">
        <f t="shared" si="238"/>
        <v>0</v>
      </c>
      <c r="L472" s="856">
        <f t="shared" si="238"/>
        <v>0</v>
      </c>
      <c r="M472" s="856">
        <f t="shared" si="238"/>
        <v>34514</v>
      </c>
      <c r="N472" s="856">
        <f t="shared" si="238"/>
        <v>0</v>
      </c>
      <c r="O472" s="856">
        <f t="shared" si="238"/>
        <v>34514</v>
      </c>
    </row>
    <row r="473" spans="1:16" x14ac:dyDescent="0.25">
      <c r="A473" s="857"/>
      <c r="B473" s="778" t="s">
        <v>1420</v>
      </c>
      <c r="C473" s="858">
        <f t="shared" ref="C473:O473" si="239">C309</f>
        <v>0</v>
      </c>
      <c r="D473" s="858">
        <f t="shared" si="239"/>
        <v>0</v>
      </c>
      <c r="E473" s="858">
        <f t="shared" si="239"/>
        <v>200</v>
      </c>
      <c r="F473" s="858">
        <f t="shared" si="239"/>
        <v>0</v>
      </c>
      <c r="G473" s="859">
        <f t="shared" si="239"/>
        <v>0</v>
      </c>
      <c r="H473" s="856">
        <f t="shared" si="239"/>
        <v>200</v>
      </c>
      <c r="I473" s="858">
        <f t="shared" si="239"/>
        <v>0</v>
      </c>
      <c r="J473" s="858">
        <f t="shared" si="239"/>
        <v>0</v>
      </c>
      <c r="K473" s="859">
        <f t="shared" si="239"/>
        <v>0</v>
      </c>
      <c r="L473" s="856">
        <f t="shared" si="239"/>
        <v>0</v>
      </c>
      <c r="M473" s="856">
        <f t="shared" si="239"/>
        <v>200</v>
      </c>
      <c r="N473" s="856">
        <f t="shared" si="239"/>
        <v>0</v>
      </c>
      <c r="O473" s="856">
        <f t="shared" si="239"/>
        <v>200</v>
      </c>
    </row>
    <row r="474" spans="1:16" x14ac:dyDescent="0.25">
      <c r="A474" s="857"/>
      <c r="B474" s="778" t="s">
        <v>1421</v>
      </c>
      <c r="C474" s="858">
        <f t="shared" ref="C474:O474" si="240">C341</f>
        <v>0</v>
      </c>
      <c r="D474" s="858">
        <f t="shared" si="240"/>
        <v>0</v>
      </c>
      <c r="E474" s="858">
        <f t="shared" si="240"/>
        <v>500</v>
      </c>
      <c r="F474" s="858">
        <f t="shared" si="240"/>
        <v>0</v>
      </c>
      <c r="G474" s="859">
        <f t="shared" si="240"/>
        <v>0</v>
      </c>
      <c r="H474" s="856">
        <f t="shared" si="240"/>
        <v>500</v>
      </c>
      <c r="I474" s="858">
        <f t="shared" si="240"/>
        <v>0</v>
      </c>
      <c r="J474" s="858">
        <f t="shared" si="240"/>
        <v>0</v>
      </c>
      <c r="K474" s="859">
        <f t="shared" si="240"/>
        <v>0</v>
      </c>
      <c r="L474" s="856">
        <f t="shared" si="240"/>
        <v>0</v>
      </c>
      <c r="M474" s="856">
        <f t="shared" si="240"/>
        <v>500</v>
      </c>
      <c r="N474" s="856">
        <f t="shared" si="240"/>
        <v>0</v>
      </c>
      <c r="O474" s="856">
        <f t="shared" si="240"/>
        <v>500</v>
      </c>
    </row>
    <row r="475" spans="1:16" ht="31.5" x14ac:dyDescent="0.25">
      <c r="A475" s="857"/>
      <c r="B475" s="778" t="s">
        <v>1434</v>
      </c>
      <c r="C475" s="858">
        <f t="shared" ref="C475:O475" si="241">C366+C389</f>
        <v>0</v>
      </c>
      <c r="D475" s="858">
        <f t="shared" si="241"/>
        <v>0</v>
      </c>
      <c r="E475" s="858">
        <f t="shared" si="241"/>
        <v>1899</v>
      </c>
      <c r="F475" s="858">
        <f t="shared" si="241"/>
        <v>0</v>
      </c>
      <c r="G475" s="859">
        <f t="shared" si="241"/>
        <v>0</v>
      </c>
      <c r="H475" s="856">
        <f t="shared" si="241"/>
        <v>1899</v>
      </c>
      <c r="I475" s="858">
        <f t="shared" si="241"/>
        <v>0</v>
      </c>
      <c r="J475" s="858">
        <f t="shared" si="241"/>
        <v>0</v>
      </c>
      <c r="K475" s="859">
        <f t="shared" si="241"/>
        <v>0</v>
      </c>
      <c r="L475" s="856">
        <f t="shared" si="241"/>
        <v>0</v>
      </c>
      <c r="M475" s="856">
        <f t="shared" si="241"/>
        <v>1899</v>
      </c>
      <c r="N475" s="856">
        <f t="shared" si="241"/>
        <v>0</v>
      </c>
      <c r="O475" s="856">
        <f t="shared" si="241"/>
        <v>1899</v>
      </c>
    </row>
    <row r="476" spans="1:16" x14ac:dyDescent="0.25">
      <c r="A476" s="857"/>
      <c r="B476" s="778" t="s">
        <v>1353</v>
      </c>
      <c r="C476" s="858">
        <f t="shared" ref="C476:O476" si="242">C434</f>
        <v>0</v>
      </c>
      <c r="D476" s="858">
        <f t="shared" si="242"/>
        <v>0</v>
      </c>
      <c r="E476" s="858">
        <f t="shared" si="242"/>
        <v>400</v>
      </c>
      <c r="F476" s="858">
        <f t="shared" si="242"/>
        <v>0</v>
      </c>
      <c r="G476" s="859">
        <f t="shared" si="242"/>
        <v>0</v>
      </c>
      <c r="H476" s="856">
        <f t="shared" si="242"/>
        <v>400</v>
      </c>
      <c r="I476" s="858">
        <f t="shared" si="242"/>
        <v>0</v>
      </c>
      <c r="J476" s="858">
        <f t="shared" si="242"/>
        <v>0</v>
      </c>
      <c r="K476" s="859">
        <f t="shared" si="242"/>
        <v>0</v>
      </c>
      <c r="L476" s="856">
        <f t="shared" si="242"/>
        <v>0</v>
      </c>
      <c r="M476" s="856">
        <f t="shared" si="242"/>
        <v>400</v>
      </c>
      <c r="N476" s="856">
        <f t="shared" si="242"/>
        <v>0</v>
      </c>
      <c r="O476" s="856">
        <f t="shared" si="242"/>
        <v>400</v>
      </c>
    </row>
    <row r="477" spans="1:16" ht="31.5" x14ac:dyDescent="0.25">
      <c r="A477" s="857"/>
      <c r="B477" s="778" t="s">
        <v>1315</v>
      </c>
      <c r="C477" s="858">
        <f>C367+C412+C423+C450</f>
        <v>12487</v>
      </c>
      <c r="D477" s="858">
        <f t="shared" ref="D477:O477" si="243">D367+D412+D423+D450</f>
        <v>-8348</v>
      </c>
      <c r="E477" s="858">
        <f t="shared" si="243"/>
        <v>-15193</v>
      </c>
      <c r="F477" s="858">
        <f t="shared" si="243"/>
        <v>0</v>
      </c>
      <c r="G477" s="858">
        <f t="shared" si="243"/>
        <v>0</v>
      </c>
      <c r="H477" s="856">
        <f t="shared" si="243"/>
        <v>-11054</v>
      </c>
      <c r="I477" s="858">
        <f t="shared" si="243"/>
        <v>12129</v>
      </c>
      <c r="J477" s="858">
        <f t="shared" si="243"/>
        <v>0</v>
      </c>
      <c r="K477" s="858">
        <f t="shared" si="243"/>
        <v>0</v>
      </c>
      <c r="L477" s="856">
        <f t="shared" si="243"/>
        <v>12129</v>
      </c>
      <c r="M477" s="856">
        <f t="shared" si="243"/>
        <v>1075</v>
      </c>
      <c r="N477" s="856">
        <f t="shared" si="243"/>
        <v>0</v>
      </c>
      <c r="O477" s="856">
        <f t="shared" si="243"/>
        <v>1075</v>
      </c>
      <c r="P477" s="804"/>
    </row>
    <row r="478" spans="1:16" ht="31.5" x14ac:dyDescent="0.25">
      <c r="A478" s="857"/>
      <c r="B478" s="778" t="s">
        <v>1262</v>
      </c>
      <c r="C478" s="858">
        <f t="shared" ref="C478:O478" si="244">C368+C403+C413+C422</f>
        <v>6702</v>
      </c>
      <c r="D478" s="858">
        <f t="shared" si="244"/>
        <v>1809</v>
      </c>
      <c r="E478" s="858">
        <f t="shared" si="244"/>
        <v>70604</v>
      </c>
      <c r="F478" s="858">
        <f t="shared" si="244"/>
        <v>0</v>
      </c>
      <c r="G478" s="859">
        <f t="shared" si="244"/>
        <v>0</v>
      </c>
      <c r="H478" s="856">
        <f t="shared" si="244"/>
        <v>79115</v>
      </c>
      <c r="I478" s="858">
        <f t="shared" si="244"/>
        <v>4458</v>
      </c>
      <c r="J478" s="858">
        <f t="shared" si="244"/>
        <v>0</v>
      </c>
      <c r="K478" s="859">
        <f t="shared" si="244"/>
        <v>0</v>
      </c>
      <c r="L478" s="856">
        <f t="shared" si="244"/>
        <v>4458</v>
      </c>
      <c r="M478" s="856">
        <f t="shared" si="244"/>
        <v>83573</v>
      </c>
      <c r="N478" s="856">
        <f t="shared" si="244"/>
        <v>0</v>
      </c>
      <c r="O478" s="856">
        <f t="shared" si="244"/>
        <v>83573</v>
      </c>
      <c r="P478" s="804"/>
    </row>
    <row r="479" spans="1:16" x14ac:dyDescent="0.25">
      <c r="A479" s="857"/>
      <c r="B479" s="860" t="s">
        <v>962</v>
      </c>
      <c r="C479" s="858"/>
      <c r="D479" s="858"/>
      <c r="E479" s="858"/>
      <c r="F479" s="858"/>
      <c r="G479" s="859"/>
      <c r="H479" s="856"/>
      <c r="I479" s="858"/>
      <c r="J479" s="858"/>
      <c r="K479" s="859"/>
      <c r="L479" s="856"/>
      <c r="M479" s="856"/>
      <c r="N479" s="856"/>
      <c r="O479" s="856"/>
      <c r="P479" s="804"/>
    </row>
    <row r="480" spans="1:16" ht="32.25" thickBot="1" x14ac:dyDescent="0.3">
      <c r="A480" s="857"/>
      <c r="B480" s="778" t="s">
        <v>1315</v>
      </c>
      <c r="C480" s="858">
        <f>SUM(C452)</f>
        <v>-491</v>
      </c>
      <c r="D480" s="858">
        <f t="shared" ref="D480:O480" si="245">SUM(D452)</f>
        <v>2</v>
      </c>
      <c r="E480" s="858">
        <f t="shared" si="245"/>
        <v>-614</v>
      </c>
      <c r="F480" s="858">
        <f t="shared" si="245"/>
        <v>0</v>
      </c>
      <c r="G480" s="858">
        <f t="shared" si="245"/>
        <v>0</v>
      </c>
      <c r="H480" s="856">
        <f t="shared" si="245"/>
        <v>-1103</v>
      </c>
      <c r="I480" s="858">
        <f t="shared" si="245"/>
        <v>653</v>
      </c>
      <c r="J480" s="858">
        <f t="shared" si="245"/>
        <v>0</v>
      </c>
      <c r="K480" s="858">
        <f t="shared" si="245"/>
        <v>0</v>
      </c>
      <c r="L480" s="856">
        <f t="shared" si="245"/>
        <v>653</v>
      </c>
      <c r="M480" s="856">
        <f t="shared" si="245"/>
        <v>-450</v>
      </c>
      <c r="N480" s="856">
        <f t="shared" si="245"/>
        <v>0</v>
      </c>
      <c r="O480" s="856">
        <f t="shared" si="245"/>
        <v>-450</v>
      </c>
      <c r="P480" s="804"/>
    </row>
    <row r="481" spans="1:16" ht="17.25" thickTop="1" thickBot="1" x14ac:dyDescent="0.3">
      <c r="A481" s="807"/>
      <c r="B481" s="444" t="s">
        <v>265</v>
      </c>
      <c r="C481" s="450">
        <f t="shared" ref="C481:O481" si="246">SUM(C458:C480)</f>
        <v>6600201</v>
      </c>
      <c r="D481" s="450">
        <f t="shared" si="246"/>
        <v>1853192</v>
      </c>
      <c r="E481" s="450">
        <f t="shared" si="246"/>
        <v>4969916</v>
      </c>
      <c r="F481" s="450">
        <f t="shared" si="246"/>
        <v>12971</v>
      </c>
      <c r="G481" s="450">
        <f t="shared" si="246"/>
        <v>8621</v>
      </c>
      <c r="H481" s="450">
        <f t="shared" si="246"/>
        <v>13444901</v>
      </c>
      <c r="I481" s="450">
        <f t="shared" si="246"/>
        <v>306506</v>
      </c>
      <c r="J481" s="450">
        <f t="shared" si="246"/>
        <v>62923</v>
      </c>
      <c r="K481" s="450">
        <f t="shared" si="246"/>
        <v>0</v>
      </c>
      <c r="L481" s="450">
        <f t="shared" si="246"/>
        <v>369429</v>
      </c>
      <c r="M481" s="450">
        <f t="shared" si="246"/>
        <v>13814330</v>
      </c>
      <c r="N481" s="450">
        <f t="shared" si="246"/>
        <v>0</v>
      </c>
      <c r="O481" s="450">
        <f t="shared" si="246"/>
        <v>13814330</v>
      </c>
      <c r="P481" s="804"/>
    </row>
    <row r="482" spans="1:16" ht="17.25" thickTop="1" thickBot="1" x14ac:dyDescent="0.3">
      <c r="A482" s="807"/>
      <c r="B482" s="444" t="s">
        <v>1158</v>
      </c>
      <c r="C482" s="445">
        <f t="shared" ref="C482:O482" si="247">SUM(C18+C33+C51+C67+C82+C98+C114+C130+C144+C157+C171+C185+C198+C211+C225+C238+C252+C265+C278+C292+C311+C327+C343+C358+C391+C405+C436+C454)</f>
        <v>4814322</v>
      </c>
      <c r="D482" s="445">
        <f t="shared" si="247"/>
        <v>1370018</v>
      </c>
      <c r="E482" s="445">
        <f t="shared" si="247"/>
        <v>3978977</v>
      </c>
      <c r="F482" s="445">
        <f t="shared" si="247"/>
        <v>12971</v>
      </c>
      <c r="G482" s="445">
        <f t="shared" si="247"/>
        <v>6240</v>
      </c>
      <c r="H482" s="445">
        <f t="shared" si="247"/>
        <v>10182528</v>
      </c>
      <c r="I482" s="445">
        <f t="shared" si="247"/>
        <v>193358</v>
      </c>
      <c r="J482" s="445">
        <f t="shared" si="247"/>
        <v>48669</v>
      </c>
      <c r="K482" s="445">
        <f t="shared" si="247"/>
        <v>0</v>
      </c>
      <c r="L482" s="445">
        <f t="shared" si="247"/>
        <v>242027</v>
      </c>
      <c r="M482" s="445">
        <f t="shared" si="247"/>
        <v>10424555</v>
      </c>
      <c r="N482" s="445">
        <f t="shared" si="247"/>
        <v>0</v>
      </c>
      <c r="O482" s="445">
        <f t="shared" si="247"/>
        <v>10424555</v>
      </c>
      <c r="P482" s="804"/>
    </row>
    <row r="483" spans="1:16" ht="17.25" thickTop="1" thickBot="1" x14ac:dyDescent="0.3">
      <c r="A483" s="807"/>
      <c r="B483" s="444" t="s">
        <v>1159</v>
      </c>
      <c r="C483" s="445">
        <f t="shared" ref="C483:O483" si="248">SUM(C19+C34+C52+C68+C83+C99+C115+C131+C145+C158+C172+C186+C199+C212+C226+C239+C253+C266+C279+C293+C312+C328+C344+C359+C370+C376+C392+C406+C415+C425+C437+C455)</f>
        <v>1279961</v>
      </c>
      <c r="D483" s="445">
        <f t="shared" si="248"/>
        <v>340854</v>
      </c>
      <c r="E483" s="445">
        <f t="shared" si="248"/>
        <v>856703</v>
      </c>
      <c r="F483" s="445">
        <f t="shared" si="248"/>
        <v>0</v>
      </c>
      <c r="G483" s="445">
        <f t="shared" si="248"/>
        <v>2381</v>
      </c>
      <c r="H483" s="445">
        <f t="shared" si="248"/>
        <v>2479899</v>
      </c>
      <c r="I483" s="445">
        <f t="shared" si="248"/>
        <v>83725</v>
      </c>
      <c r="J483" s="445">
        <f t="shared" si="248"/>
        <v>0</v>
      </c>
      <c r="K483" s="445">
        <f t="shared" si="248"/>
        <v>0</v>
      </c>
      <c r="L483" s="445">
        <f t="shared" si="248"/>
        <v>83725</v>
      </c>
      <c r="M483" s="445">
        <f t="shared" si="248"/>
        <v>2563624</v>
      </c>
      <c r="N483" s="445">
        <f t="shared" si="248"/>
        <v>0</v>
      </c>
      <c r="O483" s="445">
        <f t="shared" si="248"/>
        <v>2563624</v>
      </c>
      <c r="P483" s="1117"/>
    </row>
    <row r="484" spans="1:16" ht="33" thickTop="1" thickBot="1" x14ac:dyDescent="0.3">
      <c r="A484" s="807"/>
      <c r="B484" s="444" t="s">
        <v>1164</v>
      </c>
      <c r="C484" s="445">
        <f t="shared" ref="C484:O484" si="249">SUM(C456)</f>
        <v>505918</v>
      </c>
      <c r="D484" s="445">
        <f t="shared" si="249"/>
        <v>142320</v>
      </c>
      <c r="E484" s="445">
        <f t="shared" si="249"/>
        <v>134235</v>
      </c>
      <c r="F484" s="445">
        <f t="shared" si="249"/>
        <v>0</v>
      </c>
      <c r="G484" s="445">
        <f t="shared" si="249"/>
        <v>0</v>
      </c>
      <c r="H484" s="445">
        <f t="shared" si="249"/>
        <v>782473</v>
      </c>
      <c r="I484" s="445">
        <f t="shared" si="249"/>
        <v>29424</v>
      </c>
      <c r="J484" s="445">
        <f t="shared" si="249"/>
        <v>14254</v>
      </c>
      <c r="K484" s="445">
        <f t="shared" si="249"/>
        <v>0</v>
      </c>
      <c r="L484" s="445">
        <f t="shared" si="249"/>
        <v>43678</v>
      </c>
      <c r="M484" s="445">
        <f t="shared" si="249"/>
        <v>826151</v>
      </c>
      <c r="N484" s="445">
        <f t="shared" si="249"/>
        <v>0</v>
      </c>
      <c r="O484" s="445">
        <f t="shared" si="249"/>
        <v>826151</v>
      </c>
      <c r="P484" s="804"/>
    </row>
    <row r="485" spans="1:16" ht="16.5" thickTop="1" x14ac:dyDescent="0.25"/>
    <row r="486" spans="1:16" x14ac:dyDescent="0.25">
      <c r="C486" s="780">
        <f>SUM(C481-C458)</f>
        <v>145497</v>
      </c>
      <c r="D486" s="780">
        <f t="shared" ref="D486:O486" si="250">SUM(D481-D458)</f>
        <v>39198</v>
      </c>
      <c r="E486" s="780">
        <f t="shared" si="250"/>
        <v>346604</v>
      </c>
      <c r="F486" s="780">
        <f t="shared" si="250"/>
        <v>700</v>
      </c>
      <c r="G486" s="780">
        <f t="shared" si="250"/>
        <v>0</v>
      </c>
      <c r="H486" s="780">
        <f t="shared" si="250"/>
        <v>531999</v>
      </c>
      <c r="I486" s="780">
        <f t="shared" si="250"/>
        <v>68596</v>
      </c>
      <c r="J486" s="780">
        <f t="shared" si="250"/>
        <v>13444</v>
      </c>
      <c r="K486" s="780">
        <f t="shared" si="250"/>
        <v>0</v>
      </c>
      <c r="L486" s="780">
        <f t="shared" si="250"/>
        <v>82040</v>
      </c>
      <c r="M486" s="780">
        <f t="shared" si="250"/>
        <v>614039</v>
      </c>
      <c r="N486" s="780">
        <f t="shared" si="250"/>
        <v>0</v>
      </c>
      <c r="O486" s="780">
        <f t="shared" si="250"/>
        <v>614039</v>
      </c>
    </row>
    <row r="487" spans="1:16" x14ac:dyDescent="0.25">
      <c r="B487" s="1159" t="s">
        <v>1423</v>
      </c>
      <c r="C487" s="780">
        <f>SUM(C460:C469)</f>
        <v>100524</v>
      </c>
      <c r="D487" s="780">
        <f t="shared" ref="D487:O487" si="251">SUM(D460:D469)</f>
        <v>36715</v>
      </c>
      <c r="E487" s="780">
        <f t="shared" si="251"/>
        <v>288808</v>
      </c>
      <c r="F487" s="780">
        <f t="shared" si="251"/>
        <v>700</v>
      </c>
      <c r="G487" s="780">
        <f t="shared" si="251"/>
        <v>0</v>
      </c>
      <c r="H487" s="780">
        <f t="shared" si="251"/>
        <v>426747</v>
      </c>
      <c r="I487" s="780">
        <f t="shared" si="251"/>
        <v>51356</v>
      </c>
      <c r="J487" s="780">
        <f t="shared" si="251"/>
        <v>13444</v>
      </c>
      <c r="K487" s="780">
        <f t="shared" si="251"/>
        <v>0</v>
      </c>
      <c r="L487" s="780">
        <f t="shared" si="251"/>
        <v>64800</v>
      </c>
      <c r="M487" s="780">
        <f t="shared" si="251"/>
        <v>491547</v>
      </c>
      <c r="N487" s="780">
        <f t="shared" si="251"/>
        <v>0</v>
      </c>
      <c r="O487" s="780">
        <f t="shared" si="251"/>
        <v>491547</v>
      </c>
    </row>
    <row r="488" spans="1:16" x14ac:dyDescent="0.25">
      <c r="B488" s="1159" t="s">
        <v>1424</v>
      </c>
      <c r="C488" s="780">
        <f>SUM(C471:C478)</f>
        <v>45464</v>
      </c>
      <c r="D488" s="780">
        <f t="shared" ref="D488:O488" si="252">SUM(D471:D478)</f>
        <v>2481</v>
      </c>
      <c r="E488" s="780">
        <f t="shared" si="252"/>
        <v>58410</v>
      </c>
      <c r="F488" s="780">
        <f t="shared" si="252"/>
        <v>0</v>
      </c>
      <c r="G488" s="780">
        <f t="shared" si="252"/>
        <v>0</v>
      </c>
      <c r="H488" s="780">
        <f t="shared" si="252"/>
        <v>106355</v>
      </c>
      <c r="I488" s="780">
        <f t="shared" si="252"/>
        <v>16587</v>
      </c>
      <c r="J488" s="780">
        <f t="shared" si="252"/>
        <v>0</v>
      </c>
      <c r="K488" s="780">
        <f t="shared" si="252"/>
        <v>0</v>
      </c>
      <c r="L488" s="780">
        <f t="shared" si="252"/>
        <v>16587</v>
      </c>
      <c r="M488" s="780">
        <f t="shared" si="252"/>
        <v>122942</v>
      </c>
      <c r="N488" s="780">
        <f t="shared" si="252"/>
        <v>0</v>
      </c>
      <c r="O488" s="780">
        <f t="shared" si="252"/>
        <v>122942</v>
      </c>
    </row>
    <row r="489" spans="1:16" x14ac:dyDescent="0.25">
      <c r="B489" s="1159" t="s">
        <v>1425</v>
      </c>
      <c r="C489" s="780">
        <f>SUM(C480)</f>
        <v>-491</v>
      </c>
      <c r="D489" s="780">
        <f t="shared" ref="D489:O489" si="253">SUM(D480)</f>
        <v>2</v>
      </c>
      <c r="E489" s="780">
        <f t="shared" si="253"/>
        <v>-614</v>
      </c>
      <c r="F489" s="780">
        <f t="shared" si="253"/>
        <v>0</v>
      </c>
      <c r="G489" s="780">
        <f t="shared" si="253"/>
        <v>0</v>
      </c>
      <c r="H489" s="780">
        <f t="shared" si="253"/>
        <v>-1103</v>
      </c>
      <c r="I489" s="780">
        <f t="shared" si="253"/>
        <v>653</v>
      </c>
      <c r="J489" s="780">
        <f t="shared" si="253"/>
        <v>0</v>
      </c>
      <c r="K489" s="780">
        <f t="shared" si="253"/>
        <v>0</v>
      </c>
      <c r="L489" s="780">
        <f t="shared" si="253"/>
        <v>653</v>
      </c>
      <c r="M489" s="780">
        <f t="shared" si="253"/>
        <v>-450</v>
      </c>
      <c r="N489" s="780">
        <f t="shared" si="253"/>
        <v>0</v>
      </c>
      <c r="O489" s="780">
        <f t="shared" si="253"/>
        <v>-450</v>
      </c>
    </row>
  </sheetData>
  <mergeCells count="1">
    <mergeCell ref="A1:O1"/>
  </mergeCells>
  <pageMargins left="0" right="0" top="0.55118110236220474" bottom="0.74803149606299213" header="0.31496062992125984" footer="0.31496062992125984"/>
  <pageSetup paperSize="9" scale="68" orientation="landscape" r:id="rId1"/>
  <headerFooter>
    <oddHeader>&amp;R&amp;"Times New Roman CE,Dőlt"&amp;10  8. melléklet
 a 3/2016.(II.12.) önkormányzati rendelethez&amp;X7</oddHeader>
    <oddFooter>&amp;L&amp;X7&amp;XMódosította a 6/2017.(II.24.) önkormányzati rendelet 4.§ (7) bekezdése, hatályos 2017. február 24. 12 órától&amp;C&amp;P.oldal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6"/>
  <sheetViews>
    <sheetView zoomScaleNormal="100" workbookViewId="0">
      <selection activeCell="AH33" sqref="AH33"/>
    </sheetView>
  </sheetViews>
  <sheetFormatPr defaultRowHeight="15" x14ac:dyDescent="0.25"/>
  <cols>
    <col min="1" max="1" width="46" style="1160" customWidth="1"/>
    <col min="2" max="3" width="17.375" style="1160" customWidth="1"/>
    <col min="4" max="16384" width="9" style="1160"/>
  </cols>
  <sheetData>
    <row r="1" spans="1:3" ht="40.5" customHeight="1" x14ac:dyDescent="0.25">
      <c r="A1" s="1063"/>
      <c r="B1" s="1063"/>
      <c r="C1" s="1063"/>
    </row>
    <row r="2" spans="1:3" ht="36.75" customHeight="1" x14ac:dyDescent="0.25">
      <c r="A2" s="1266" t="s">
        <v>1210</v>
      </c>
      <c r="B2" s="1267"/>
      <c r="C2" s="1267"/>
    </row>
    <row r="3" spans="1:3" ht="15.75" thickBot="1" x14ac:dyDescent="0.3">
      <c r="A3" s="1063"/>
      <c r="B3" s="1063"/>
      <c r="C3" s="1063"/>
    </row>
    <row r="4" spans="1:3" ht="33" thickTop="1" thickBot="1" x14ac:dyDescent="0.3">
      <c r="A4" s="518" t="s">
        <v>632</v>
      </c>
      <c r="B4" s="468" t="s">
        <v>84</v>
      </c>
      <c r="C4" s="468" t="s">
        <v>1125</v>
      </c>
    </row>
    <row r="5" spans="1:3" ht="16.5" thickTop="1" x14ac:dyDescent="0.25">
      <c r="A5" s="1119" t="s">
        <v>542</v>
      </c>
      <c r="B5" s="1120">
        <f>SUM(B6)</f>
        <v>4200</v>
      </c>
      <c r="C5" s="1120">
        <f>SUM(C6:C7)</f>
        <v>4650</v>
      </c>
    </row>
    <row r="6" spans="1:3" ht="15.75" x14ac:dyDescent="0.25">
      <c r="A6" s="457" t="s">
        <v>807</v>
      </c>
      <c r="B6" s="645">
        <v>4200</v>
      </c>
      <c r="C6" s="645">
        <v>4200</v>
      </c>
    </row>
    <row r="7" spans="1:3" ht="31.5" x14ac:dyDescent="0.25">
      <c r="A7" s="1064" t="s">
        <v>1435</v>
      </c>
      <c r="B7" s="645"/>
      <c r="C7" s="1109">
        <v>450</v>
      </c>
    </row>
    <row r="8" spans="1:3" ht="15.75" x14ac:dyDescent="0.25">
      <c r="A8" s="469" t="s">
        <v>1264</v>
      </c>
      <c r="B8" s="473">
        <f>SUM(B9)</f>
        <v>0</v>
      </c>
      <c r="C8" s="473">
        <f>SUM(C9)</f>
        <v>44</v>
      </c>
    </row>
    <row r="9" spans="1:3" ht="31.5" x14ac:dyDescent="0.25">
      <c r="A9" s="1064" t="s">
        <v>1265</v>
      </c>
      <c r="B9" s="465"/>
      <c r="C9" s="465">
        <v>44</v>
      </c>
    </row>
    <row r="10" spans="1:3" ht="15.75" x14ac:dyDescent="0.25">
      <c r="A10" s="469" t="s">
        <v>545</v>
      </c>
      <c r="B10" s="465"/>
      <c r="C10" s="473">
        <f>SUM(C11:C12)</f>
        <v>125</v>
      </c>
    </row>
    <row r="11" spans="1:3" ht="78.75" x14ac:dyDescent="0.25">
      <c r="A11" s="977" t="s">
        <v>1211</v>
      </c>
      <c r="B11" s="978"/>
      <c r="C11" s="978">
        <v>75</v>
      </c>
    </row>
    <row r="12" spans="1:3" ht="31.5" x14ac:dyDescent="0.25">
      <c r="A12" s="977" t="s">
        <v>1316</v>
      </c>
      <c r="B12" s="978"/>
      <c r="C12" s="978">
        <v>50</v>
      </c>
    </row>
    <row r="13" spans="1:3" ht="15.75" x14ac:dyDescent="0.25">
      <c r="A13" s="469" t="s">
        <v>592</v>
      </c>
      <c r="B13" s="465"/>
      <c r="C13" s="473">
        <f>SUM(C14)</f>
        <v>75</v>
      </c>
    </row>
    <row r="14" spans="1:3" ht="78.75" x14ac:dyDescent="0.25">
      <c r="A14" s="977" t="s">
        <v>1211</v>
      </c>
      <c r="B14" s="978"/>
      <c r="C14" s="978">
        <v>75</v>
      </c>
    </row>
    <row r="15" spans="1:3" ht="15.75" x14ac:dyDescent="0.25">
      <c r="A15" s="469" t="s">
        <v>547</v>
      </c>
      <c r="B15" s="465"/>
      <c r="C15" s="473">
        <f>SUM(C16:C18)</f>
        <v>185</v>
      </c>
    </row>
    <row r="16" spans="1:3" ht="78.75" x14ac:dyDescent="0.25">
      <c r="A16" s="977" t="s">
        <v>1211</v>
      </c>
      <c r="B16" s="978"/>
      <c r="C16" s="978">
        <v>75</v>
      </c>
    </row>
    <row r="17" spans="1:3" ht="31.5" x14ac:dyDescent="0.25">
      <c r="A17" s="977" t="s">
        <v>1316</v>
      </c>
      <c r="B17" s="978"/>
      <c r="C17" s="978">
        <v>50</v>
      </c>
    </row>
    <row r="18" spans="1:3" ht="47.25" x14ac:dyDescent="0.25">
      <c r="A18" s="977" t="s">
        <v>1354</v>
      </c>
      <c r="B18" s="978"/>
      <c r="C18" s="978">
        <v>60</v>
      </c>
    </row>
    <row r="19" spans="1:3" ht="15.75" x14ac:dyDescent="0.25">
      <c r="A19" s="469" t="s">
        <v>548</v>
      </c>
      <c r="B19" s="465"/>
      <c r="C19" s="473">
        <f>SUM(C20:C21)</f>
        <v>125</v>
      </c>
    </row>
    <row r="20" spans="1:3" ht="78.75" x14ac:dyDescent="0.25">
      <c r="A20" s="977" t="s">
        <v>1211</v>
      </c>
      <c r="B20" s="978"/>
      <c r="C20" s="978">
        <v>75</v>
      </c>
    </row>
    <row r="21" spans="1:3" ht="31.5" x14ac:dyDescent="0.25">
      <c r="A21" s="977" t="s">
        <v>1316</v>
      </c>
      <c r="B21" s="978"/>
      <c r="C21" s="978">
        <v>50</v>
      </c>
    </row>
    <row r="22" spans="1:3" ht="15.75" x14ac:dyDescent="0.25">
      <c r="A22" s="469" t="s">
        <v>549</v>
      </c>
      <c r="B22" s="465"/>
      <c r="C22" s="473">
        <f>SUM(C23:C24)</f>
        <v>225</v>
      </c>
    </row>
    <row r="23" spans="1:3" ht="78.75" x14ac:dyDescent="0.25">
      <c r="A23" s="977" t="s">
        <v>1211</v>
      </c>
      <c r="B23" s="978"/>
      <c r="C23" s="978">
        <v>75</v>
      </c>
    </row>
    <row r="24" spans="1:3" ht="63" x14ac:dyDescent="0.25">
      <c r="A24" s="1064" t="s">
        <v>1317</v>
      </c>
      <c r="B24" s="978"/>
      <c r="C24" s="978">
        <v>150</v>
      </c>
    </row>
    <row r="25" spans="1:3" ht="15.75" x14ac:dyDescent="0.25">
      <c r="A25" s="469" t="s">
        <v>550</v>
      </c>
      <c r="B25" s="465"/>
      <c r="C25" s="473">
        <f>SUM(C26)</f>
        <v>75</v>
      </c>
    </row>
    <row r="26" spans="1:3" ht="78.75" x14ac:dyDescent="0.25">
      <c r="A26" s="977" t="s">
        <v>1211</v>
      </c>
      <c r="B26" s="978"/>
      <c r="C26" s="978">
        <v>75</v>
      </c>
    </row>
    <row r="27" spans="1:3" ht="15.75" x14ac:dyDescent="0.25">
      <c r="A27" s="469" t="s">
        <v>552</v>
      </c>
      <c r="B27" s="465"/>
      <c r="C27" s="473">
        <f>SUM(C28:C29)</f>
        <v>160</v>
      </c>
    </row>
    <row r="28" spans="1:3" ht="47.25" x14ac:dyDescent="0.25">
      <c r="A28" s="1064" t="s">
        <v>1212</v>
      </c>
      <c r="B28" s="978"/>
      <c r="C28" s="978">
        <v>100</v>
      </c>
    </row>
    <row r="29" spans="1:3" ht="31.5" x14ac:dyDescent="0.25">
      <c r="A29" s="977" t="s">
        <v>1316</v>
      </c>
      <c r="B29" s="978"/>
      <c r="C29" s="978">
        <v>60</v>
      </c>
    </row>
    <row r="30" spans="1:3" ht="15.75" x14ac:dyDescent="0.25">
      <c r="A30" s="469" t="s">
        <v>593</v>
      </c>
      <c r="B30" s="465"/>
      <c r="C30" s="473">
        <f>SUM(C31:C32)</f>
        <v>150</v>
      </c>
    </row>
    <row r="31" spans="1:3" ht="31.5" x14ac:dyDescent="0.25">
      <c r="A31" s="977" t="s">
        <v>1316</v>
      </c>
      <c r="B31" s="978"/>
      <c r="C31" s="978">
        <v>90</v>
      </c>
    </row>
    <row r="32" spans="1:3" ht="63" x14ac:dyDescent="0.25">
      <c r="A32" s="977" t="s">
        <v>1355</v>
      </c>
      <c r="B32" s="978"/>
      <c r="C32" s="978">
        <v>60</v>
      </c>
    </row>
    <row r="33" spans="1:3" ht="31.5" x14ac:dyDescent="0.25">
      <c r="A33" s="470" t="s">
        <v>554</v>
      </c>
      <c r="B33" s="471"/>
      <c r="C33" s="471"/>
    </row>
    <row r="34" spans="1:3" ht="15.75" x14ac:dyDescent="0.25">
      <c r="A34" s="469" t="s">
        <v>555</v>
      </c>
      <c r="B34" s="465"/>
      <c r="C34" s="473">
        <f>SUM(C35:C36)</f>
        <v>310</v>
      </c>
    </row>
    <row r="35" spans="1:3" ht="63" x14ac:dyDescent="0.25">
      <c r="A35" s="1064" t="s">
        <v>1213</v>
      </c>
      <c r="B35" s="978"/>
      <c r="C35" s="978">
        <v>250</v>
      </c>
    </row>
    <row r="36" spans="1:3" ht="31.5" x14ac:dyDescent="0.25">
      <c r="A36" s="977" t="s">
        <v>1316</v>
      </c>
      <c r="B36" s="978"/>
      <c r="C36" s="978">
        <v>60</v>
      </c>
    </row>
    <row r="37" spans="1:3" ht="15.75" x14ac:dyDescent="0.25">
      <c r="A37" s="469" t="s">
        <v>556</v>
      </c>
      <c r="B37" s="465"/>
      <c r="C37" s="473">
        <f>SUM(C38)</f>
        <v>60</v>
      </c>
    </row>
    <row r="38" spans="1:3" ht="31.5" x14ac:dyDescent="0.25">
      <c r="A38" s="977" t="s">
        <v>1316</v>
      </c>
      <c r="B38" s="465"/>
      <c r="C38" s="978">
        <v>60</v>
      </c>
    </row>
    <row r="39" spans="1:3" ht="15.75" x14ac:dyDescent="0.25">
      <c r="A39" s="469" t="s">
        <v>557</v>
      </c>
      <c r="B39" s="465"/>
      <c r="C39" s="465"/>
    </row>
    <row r="40" spans="1:3" ht="15.75" x14ac:dyDescent="0.25">
      <c r="A40" s="469" t="s">
        <v>91</v>
      </c>
      <c r="B40" s="465"/>
      <c r="C40" s="473">
        <f>SUM(C41)</f>
        <v>60</v>
      </c>
    </row>
    <row r="41" spans="1:3" ht="31.5" x14ac:dyDescent="0.25">
      <c r="A41" s="977" t="s">
        <v>1316</v>
      </c>
      <c r="B41" s="465"/>
      <c r="C41" s="978">
        <v>60</v>
      </c>
    </row>
    <row r="42" spans="1:3" ht="15.75" x14ac:dyDescent="0.25">
      <c r="A42" s="469" t="s">
        <v>803</v>
      </c>
      <c r="B42" s="465"/>
      <c r="C42" s="473">
        <f>SUM(C43:C44)</f>
        <v>210</v>
      </c>
    </row>
    <row r="43" spans="1:3" ht="63" x14ac:dyDescent="0.25">
      <c r="A43" s="1064" t="s">
        <v>1214</v>
      </c>
      <c r="B43" s="978"/>
      <c r="C43" s="978">
        <v>150</v>
      </c>
    </row>
    <row r="44" spans="1:3" ht="31.5" x14ac:dyDescent="0.25">
      <c r="A44" s="977" t="s">
        <v>1316</v>
      </c>
      <c r="B44" s="978"/>
      <c r="C44" s="978">
        <v>60</v>
      </c>
    </row>
    <row r="45" spans="1:3" ht="15.75" x14ac:dyDescent="0.25">
      <c r="A45" s="469" t="s">
        <v>558</v>
      </c>
      <c r="B45" s="465"/>
      <c r="C45" s="473">
        <f>SUM(C46:C47)</f>
        <v>230</v>
      </c>
    </row>
    <row r="46" spans="1:3" ht="31.5" x14ac:dyDescent="0.25">
      <c r="A46" s="977" t="s">
        <v>1316</v>
      </c>
      <c r="B46" s="978"/>
      <c r="C46" s="978">
        <v>30</v>
      </c>
    </row>
    <row r="47" spans="1:3" ht="78.75" x14ac:dyDescent="0.25">
      <c r="A47" s="977" t="s">
        <v>1356</v>
      </c>
      <c r="B47" s="978"/>
      <c r="C47" s="978">
        <v>200</v>
      </c>
    </row>
    <row r="48" spans="1:3" ht="15.75" x14ac:dyDescent="0.25">
      <c r="A48" s="469" t="s">
        <v>804</v>
      </c>
      <c r="B48" s="465"/>
      <c r="C48" s="473">
        <f>SUM(C49)</f>
        <v>90</v>
      </c>
    </row>
    <row r="49" spans="1:3" ht="31.5" x14ac:dyDescent="0.25">
      <c r="A49" s="977" t="s">
        <v>1316</v>
      </c>
      <c r="B49" s="978"/>
      <c r="C49" s="978">
        <v>90</v>
      </c>
    </row>
    <row r="50" spans="1:3" ht="15.75" x14ac:dyDescent="0.25">
      <c r="A50" s="469" t="s">
        <v>560</v>
      </c>
      <c r="B50" s="473">
        <f>SUM(B51)</f>
        <v>0</v>
      </c>
      <c r="C50" s="473">
        <f>SUM(C51:C52)</f>
        <v>110</v>
      </c>
    </row>
    <row r="51" spans="1:3" ht="63" x14ac:dyDescent="0.25">
      <c r="A51" s="1064" t="s">
        <v>1266</v>
      </c>
      <c r="B51" s="465"/>
      <c r="C51" s="978">
        <v>50</v>
      </c>
    </row>
    <row r="52" spans="1:3" ht="31.5" x14ac:dyDescent="0.25">
      <c r="A52" s="977" t="s">
        <v>1316</v>
      </c>
      <c r="B52" s="465"/>
      <c r="C52" s="978">
        <v>60</v>
      </c>
    </row>
    <row r="53" spans="1:3" ht="15.75" x14ac:dyDescent="0.25">
      <c r="A53" s="469" t="s">
        <v>92</v>
      </c>
      <c r="B53" s="465"/>
      <c r="C53" s="473">
        <f>SUM(C54)</f>
        <v>60</v>
      </c>
    </row>
    <row r="54" spans="1:3" ht="31.5" x14ac:dyDescent="0.25">
      <c r="A54" s="977" t="s">
        <v>1316</v>
      </c>
      <c r="B54" s="465"/>
      <c r="C54" s="978">
        <v>60</v>
      </c>
    </row>
    <row r="55" spans="1:3" ht="15.75" x14ac:dyDescent="0.25">
      <c r="A55" s="469" t="s">
        <v>93</v>
      </c>
      <c r="B55" s="465"/>
      <c r="C55" s="465">
        <f>C56</f>
        <v>200</v>
      </c>
    </row>
    <row r="56" spans="1:3" ht="110.25" x14ac:dyDescent="0.25">
      <c r="A56" s="1064" t="s">
        <v>1436</v>
      </c>
      <c r="B56" s="465"/>
      <c r="C56" s="978">
        <v>200</v>
      </c>
    </row>
    <row r="57" spans="1:3" ht="15.75" x14ac:dyDescent="0.25">
      <c r="A57" s="469" t="s">
        <v>1215</v>
      </c>
      <c r="B57" s="465"/>
      <c r="C57" s="465"/>
    </row>
    <row r="58" spans="1:3" ht="15.75" x14ac:dyDescent="0.25">
      <c r="A58" s="472" t="s">
        <v>563</v>
      </c>
      <c r="B58" s="473">
        <f>SUM(B59)</f>
        <v>0</v>
      </c>
      <c r="C58" s="473">
        <f>SUM(C59:C62)</f>
        <v>992</v>
      </c>
    </row>
    <row r="59" spans="1:3" ht="47.25" x14ac:dyDescent="0.25">
      <c r="A59" s="977" t="s">
        <v>1318</v>
      </c>
      <c r="B59" s="465"/>
      <c r="C59" s="978">
        <v>60</v>
      </c>
    </row>
    <row r="60" spans="1:3" ht="78.75" x14ac:dyDescent="0.25">
      <c r="A60" s="977" t="s">
        <v>1319</v>
      </c>
      <c r="B60" s="465"/>
      <c r="C60" s="978">
        <v>50</v>
      </c>
    </row>
    <row r="61" spans="1:3" ht="47.25" x14ac:dyDescent="0.25">
      <c r="A61" s="977" t="s">
        <v>1357</v>
      </c>
      <c r="B61" s="465"/>
      <c r="C61" s="978">
        <v>382</v>
      </c>
    </row>
    <row r="62" spans="1:3" ht="78.75" x14ac:dyDescent="0.25">
      <c r="A62" s="1161" t="s">
        <v>1437</v>
      </c>
      <c r="B62" s="465"/>
      <c r="C62" s="978">
        <v>500</v>
      </c>
    </row>
    <row r="63" spans="1:3" ht="15.75" x14ac:dyDescent="0.25">
      <c r="A63" s="469" t="s">
        <v>595</v>
      </c>
      <c r="B63" s="465"/>
      <c r="C63" s="465"/>
    </row>
    <row r="64" spans="1:3" ht="15.75" x14ac:dyDescent="0.25">
      <c r="A64" s="469" t="s">
        <v>566</v>
      </c>
      <c r="B64" s="473">
        <f>SUM(B65:B73)</f>
        <v>13250</v>
      </c>
      <c r="C64" s="473">
        <f>SUM(C65:C74)</f>
        <v>17920</v>
      </c>
    </row>
    <row r="65" spans="1:3" ht="15.75" x14ac:dyDescent="0.25">
      <c r="A65" s="458" t="s">
        <v>597</v>
      </c>
      <c r="B65" s="465">
        <v>450</v>
      </c>
      <c r="C65" s="465">
        <v>450</v>
      </c>
    </row>
    <row r="66" spans="1:3" ht="15.75" x14ac:dyDescent="0.25">
      <c r="A66" s="458" t="s">
        <v>978</v>
      </c>
      <c r="B66" s="465">
        <v>1800</v>
      </c>
      <c r="C66" s="465">
        <v>1800</v>
      </c>
    </row>
    <row r="67" spans="1:3" ht="15.75" x14ac:dyDescent="0.25">
      <c r="A67" s="460" t="s">
        <v>979</v>
      </c>
      <c r="B67" s="465">
        <v>10000</v>
      </c>
      <c r="C67" s="465">
        <v>10000</v>
      </c>
    </row>
    <row r="68" spans="1:3" ht="15.75" x14ac:dyDescent="0.25">
      <c r="A68" s="460" t="s">
        <v>980</v>
      </c>
      <c r="B68" s="465">
        <v>500</v>
      </c>
      <c r="C68" s="465">
        <v>500</v>
      </c>
    </row>
    <row r="69" spans="1:3" ht="15.75" x14ac:dyDescent="0.25">
      <c r="A69" s="460" t="s">
        <v>981</v>
      </c>
      <c r="B69" s="465">
        <v>500</v>
      </c>
      <c r="C69" s="465">
        <v>500</v>
      </c>
    </row>
    <row r="70" spans="1:3" ht="47.25" x14ac:dyDescent="0.25">
      <c r="A70" s="1064" t="s">
        <v>1267</v>
      </c>
      <c r="B70" s="465"/>
      <c r="C70" s="978">
        <v>58</v>
      </c>
    </row>
    <row r="71" spans="1:3" ht="47.25" x14ac:dyDescent="0.25">
      <c r="A71" s="1064" t="s">
        <v>1320</v>
      </c>
      <c r="B71" s="465"/>
      <c r="C71" s="978">
        <v>531</v>
      </c>
    </row>
    <row r="72" spans="1:3" ht="31.5" x14ac:dyDescent="0.25">
      <c r="A72" s="1064" t="s">
        <v>1358</v>
      </c>
      <c r="B72" s="465"/>
      <c r="C72" s="978">
        <v>1716</v>
      </c>
    </row>
    <row r="73" spans="1:3" ht="47.25" x14ac:dyDescent="0.25">
      <c r="A73" s="1064" t="s">
        <v>1359</v>
      </c>
      <c r="B73" s="465"/>
      <c r="C73" s="978">
        <v>1466</v>
      </c>
    </row>
    <row r="74" spans="1:3" ht="47.25" x14ac:dyDescent="0.25">
      <c r="A74" s="1162" t="s">
        <v>1438</v>
      </c>
      <c r="B74" s="465"/>
      <c r="C74" s="978">
        <v>899</v>
      </c>
    </row>
    <row r="75" spans="1:3" ht="15.75" x14ac:dyDescent="0.25">
      <c r="A75" s="469" t="s">
        <v>567</v>
      </c>
      <c r="B75" s="473">
        <f>SUM(B76:B76)</f>
        <v>300</v>
      </c>
      <c r="C75" s="473">
        <f>SUM(C76:C76)</f>
        <v>300</v>
      </c>
    </row>
    <row r="76" spans="1:3" ht="15.75" x14ac:dyDescent="0.25">
      <c r="A76" s="458" t="s">
        <v>598</v>
      </c>
      <c r="B76" s="465">
        <v>300</v>
      </c>
      <c r="C76" s="465">
        <v>300</v>
      </c>
    </row>
    <row r="77" spans="1:3" ht="15.75" x14ac:dyDescent="0.25">
      <c r="A77" s="469" t="s">
        <v>381</v>
      </c>
      <c r="B77" s="473">
        <f>SUM(B78:B84)</f>
        <v>1000</v>
      </c>
      <c r="C77" s="473">
        <f>SUM(C78:C87)</f>
        <v>2610</v>
      </c>
    </row>
    <row r="78" spans="1:3" ht="15.75" x14ac:dyDescent="0.25">
      <c r="A78" s="458" t="s">
        <v>982</v>
      </c>
      <c r="B78" s="465">
        <v>1000</v>
      </c>
      <c r="C78" s="465">
        <v>1000</v>
      </c>
    </row>
    <row r="79" spans="1:3" ht="78.75" x14ac:dyDescent="0.25">
      <c r="A79" s="977" t="s">
        <v>1439</v>
      </c>
      <c r="B79" s="978"/>
      <c r="C79" s="978">
        <v>60</v>
      </c>
    </row>
    <row r="80" spans="1:3" ht="63" x14ac:dyDescent="0.25">
      <c r="A80" s="1064" t="s">
        <v>1216</v>
      </c>
      <c r="B80" s="978"/>
      <c r="C80" s="978">
        <v>150</v>
      </c>
    </row>
    <row r="81" spans="1:3" ht="63" x14ac:dyDescent="0.25">
      <c r="A81" s="1064" t="s">
        <v>1217</v>
      </c>
      <c r="B81" s="978"/>
      <c r="C81" s="978">
        <v>50</v>
      </c>
    </row>
    <row r="82" spans="1:3" ht="63" x14ac:dyDescent="0.25">
      <c r="A82" s="1064" t="s">
        <v>1218</v>
      </c>
      <c r="B82" s="978"/>
      <c r="C82" s="978">
        <v>50</v>
      </c>
    </row>
    <row r="83" spans="1:3" ht="47.25" x14ac:dyDescent="0.25">
      <c r="A83" s="1064" t="s">
        <v>1268</v>
      </c>
      <c r="B83" s="978"/>
      <c r="C83" s="978">
        <v>50</v>
      </c>
    </row>
    <row r="84" spans="1:3" ht="78.75" x14ac:dyDescent="0.25">
      <c r="A84" s="1064" t="s">
        <v>1321</v>
      </c>
      <c r="B84" s="978"/>
      <c r="C84" s="978">
        <v>100</v>
      </c>
    </row>
    <row r="85" spans="1:3" ht="78.75" x14ac:dyDescent="0.25">
      <c r="A85" s="1064" t="s">
        <v>1360</v>
      </c>
      <c r="B85" s="978"/>
      <c r="C85" s="978">
        <v>80</v>
      </c>
    </row>
    <row r="86" spans="1:3" ht="63" x14ac:dyDescent="0.25">
      <c r="A86" s="1064" t="s">
        <v>1361</v>
      </c>
      <c r="B86" s="978"/>
      <c r="C86" s="978">
        <v>70</v>
      </c>
    </row>
    <row r="87" spans="1:3" ht="47.25" x14ac:dyDescent="0.25">
      <c r="A87" s="1064" t="s">
        <v>1440</v>
      </c>
      <c r="B87" s="978"/>
      <c r="C87" s="978">
        <v>1000</v>
      </c>
    </row>
    <row r="88" spans="1:3" ht="15.75" x14ac:dyDescent="0.25">
      <c r="A88" s="469" t="s">
        <v>568</v>
      </c>
      <c r="B88" s="473">
        <f>SUM(B89:B96)</f>
        <v>66693</v>
      </c>
      <c r="C88" s="473">
        <f>SUM(C89:C96)</f>
        <v>88512</v>
      </c>
    </row>
    <row r="89" spans="1:3" ht="15.75" x14ac:dyDescent="0.25">
      <c r="A89" s="458" t="s">
        <v>808</v>
      </c>
      <c r="B89" s="465">
        <v>500</v>
      </c>
      <c r="C89" s="465">
        <v>500</v>
      </c>
    </row>
    <row r="90" spans="1:3" ht="15.75" x14ac:dyDescent="0.25">
      <c r="A90" s="458" t="s">
        <v>809</v>
      </c>
      <c r="B90" s="465">
        <v>300</v>
      </c>
      <c r="C90" s="465">
        <v>300</v>
      </c>
    </row>
    <row r="91" spans="1:3" ht="15.75" x14ac:dyDescent="0.25">
      <c r="A91" s="458" t="s">
        <v>983</v>
      </c>
      <c r="B91" s="465">
        <v>50000</v>
      </c>
      <c r="C91" s="465">
        <v>50000</v>
      </c>
    </row>
    <row r="92" spans="1:3" ht="15.75" x14ac:dyDescent="0.25">
      <c r="A92" s="460" t="s">
        <v>984</v>
      </c>
      <c r="B92" s="465">
        <v>2200</v>
      </c>
      <c r="C92" s="465">
        <v>2200</v>
      </c>
    </row>
    <row r="93" spans="1:3" ht="47.25" x14ac:dyDescent="0.25">
      <c r="A93" s="460" t="s">
        <v>985</v>
      </c>
      <c r="B93" s="465">
        <v>13693</v>
      </c>
      <c r="C93" s="465">
        <v>13693</v>
      </c>
    </row>
    <row r="94" spans="1:3" ht="15.75" x14ac:dyDescent="0.25">
      <c r="A94" s="977" t="s">
        <v>1322</v>
      </c>
      <c r="B94" s="465"/>
      <c r="C94" s="978">
        <v>713</v>
      </c>
    </row>
    <row r="95" spans="1:3" ht="15.75" x14ac:dyDescent="0.25">
      <c r="A95" s="977" t="s">
        <v>1269</v>
      </c>
      <c r="B95" s="465"/>
      <c r="C95" s="978">
        <v>20000</v>
      </c>
    </row>
    <row r="96" spans="1:3" ht="94.5" x14ac:dyDescent="0.25">
      <c r="A96" s="977" t="s">
        <v>1362</v>
      </c>
      <c r="B96" s="465"/>
      <c r="C96" s="978">
        <v>1106</v>
      </c>
    </row>
    <row r="97" spans="1:3" ht="15.75" x14ac:dyDescent="0.25">
      <c r="A97" s="469" t="s">
        <v>805</v>
      </c>
      <c r="B97" s="473">
        <f>SUM(B98)</f>
        <v>0</v>
      </c>
      <c r="C97" s="473">
        <f>SUM(C98:C99)</f>
        <v>160</v>
      </c>
    </row>
    <row r="98" spans="1:3" ht="47.25" x14ac:dyDescent="0.25">
      <c r="A98" s="977" t="s">
        <v>1219</v>
      </c>
      <c r="B98" s="978"/>
      <c r="C98" s="978">
        <v>100</v>
      </c>
    </row>
    <row r="99" spans="1:3" ht="31.5" x14ac:dyDescent="0.25">
      <c r="A99" s="1064" t="s">
        <v>1323</v>
      </c>
      <c r="B99" s="978"/>
      <c r="C99" s="978">
        <v>60</v>
      </c>
    </row>
    <row r="100" spans="1:3" ht="15.75" x14ac:dyDescent="0.25">
      <c r="A100" s="469" t="s">
        <v>569</v>
      </c>
      <c r="B100" s="473">
        <f>SUM(B101:B106)</f>
        <v>63295</v>
      </c>
      <c r="C100" s="473">
        <f>SUM(C101:C106)</f>
        <v>64021</v>
      </c>
    </row>
    <row r="101" spans="1:3" ht="15.75" x14ac:dyDescent="0.25">
      <c r="A101" s="458" t="s">
        <v>599</v>
      </c>
      <c r="B101" s="465">
        <v>1295</v>
      </c>
      <c r="C101" s="465">
        <v>1295</v>
      </c>
    </row>
    <row r="102" spans="1:3" ht="15.75" x14ac:dyDescent="0.25">
      <c r="A102" s="458" t="s">
        <v>810</v>
      </c>
      <c r="B102" s="465">
        <v>1000</v>
      </c>
      <c r="C102" s="465">
        <v>1000</v>
      </c>
    </row>
    <row r="103" spans="1:3" ht="31.5" x14ac:dyDescent="0.25">
      <c r="A103" s="460" t="s">
        <v>858</v>
      </c>
      <c r="B103" s="465">
        <v>60000</v>
      </c>
      <c r="C103" s="465">
        <v>60000</v>
      </c>
    </row>
    <row r="104" spans="1:3" ht="15.75" x14ac:dyDescent="0.25">
      <c r="A104" s="458" t="s">
        <v>811</v>
      </c>
      <c r="B104" s="465">
        <v>1000</v>
      </c>
      <c r="C104" s="465">
        <v>1000</v>
      </c>
    </row>
    <row r="105" spans="1:3" ht="47.25" x14ac:dyDescent="0.25">
      <c r="A105" s="1064" t="s">
        <v>1270</v>
      </c>
      <c r="B105" s="465"/>
      <c r="C105" s="978">
        <v>482</v>
      </c>
    </row>
    <row r="106" spans="1:3" ht="31.5" x14ac:dyDescent="0.25">
      <c r="A106" s="1064" t="s">
        <v>1271</v>
      </c>
      <c r="B106" s="465"/>
      <c r="C106" s="978">
        <v>244</v>
      </c>
    </row>
    <row r="107" spans="1:3" ht="15.75" x14ac:dyDescent="0.25">
      <c r="A107" s="469" t="s">
        <v>570</v>
      </c>
      <c r="B107" s="473">
        <f>SUM(B108:B133)</f>
        <v>1100</v>
      </c>
      <c r="C107" s="473">
        <f>SUM(C108:C138)</f>
        <v>6909</v>
      </c>
    </row>
    <row r="108" spans="1:3" ht="15.75" x14ac:dyDescent="0.25">
      <c r="A108" s="458" t="s">
        <v>600</v>
      </c>
      <c r="B108" s="465">
        <v>400</v>
      </c>
      <c r="C108" s="465">
        <v>400</v>
      </c>
    </row>
    <row r="109" spans="1:3" ht="15.75" x14ac:dyDescent="0.25">
      <c r="A109" s="458" t="s">
        <v>601</v>
      </c>
      <c r="B109" s="465">
        <v>300</v>
      </c>
      <c r="C109" s="465">
        <v>300</v>
      </c>
    </row>
    <row r="110" spans="1:3" ht="15.75" x14ac:dyDescent="0.25">
      <c r="A110" s="458" t="s">
        <v>602</v>
      </c>
      <c r="B110" s="465">
        <v>400</v>
      </c>
      <c r="C110" s="465">
        <v>400</v>
      </c>
    </row>
    <row r="111" spans="1:3" ht="47.25" x14ac:dyDescent="0.25">
      <c r="A111" s="1064" t="s">
        <v>1220</v>
      </c>
      <c r="B111" s="978"/>
      <c r="C111" s="978">
        <v>60</v>
      </c>
    </row>
    <row r="112" spans="1:3" ht="31.5" x14ac:dyDescent="0.25">
      <c r="A112" s="1064" t="s">
        <v>1221</v>
      </c>
      <c r="B112" s="978"/>
      <c r="C112" s="978">
        <v>270</v>
      </c>
    </row>
    <row r="113" spans="1:3" ht="47.25" x14ac:dyDescent="0.25">
      <c r="A113" s="1064" t="s">
        <v>1222</v>
      </c>
      <c r="B113" s="979"/>
      <c r="C113" s="979">
        <v>275</v>
      </c>
    </row>
    <row r="114" spans="1:3" ht="47.25" x14ac:dyDescent="0.25">
      <c r="A114" s="1064" t="s">
        <v>1223</v>
      </c>
      <c r="B114" s="978"/>
      <c r="C114" s="978">
        <v>500</v>
      </c>
    </row>
    <row r="115" spans="1:3" ht="31.5" x14ac:dyDescent="0.25">
      <c r="A115" s="1064" t="s">
        <v>1224</v>
      </c>
      <c r="B115" s="979"/>
      <c r="C115" s="979">
        <v>80</v>
      </c>
    </row>
    <row r="116" spans="1:3" ht="47.25" x14ac:dyDescent="0.25">
      <c r="A116" s="1064" t="s">
        <v>1225</v>
      </c>
      <c r="B116" s="978"/>
      <c r="C116" s="978">
        <v>150</v>
      </c>
    </row>
    <row r="117" spans="1:3" ht="47.25" x14ac:dyDescent="0.25">
      <c r="A117" s="1064" t="s">
        <v>1226</v>
      </c>
      <c r="B117" s="978"/>
      <c r="C117" s="978">
        <v>100</v>
      </c>
    </row>
    <row r="118" spans="1:3" ht="31.5" x14ac:dyDescent="0.25">
      <c r="A118" s="1064" t="s">
        <v>1227</v>
      </c>
      <c r="B118" s="978"/>
      <c r="C118" s="978">
        <v>350</v>
      </c>
    </row>
    <row r="119" spans="1:3" ht="47.25" x14ac:dyDescent="0.25">
      <c r="A119" s="1064" t="s">
        <v>1228</v>
      </c>
      <c r="B119" s="979"/>
      <c r="C119" s="979">
        <v>150</v>
      </c>
    </row>
    <row r="120" spans="1:3" ht="63" x14ac:dyDescent="0.25">
      <c r="A120" s="1064" t="s">
        <v>1272</v>
      </c>
      <c r="B120" s="978"/>
      <c r="C120" s="978">
        <v>50</v>
      </c>
    </row>
    <row r="121" spans="1:3" ht="31.5" x14ac:dyDescent="0.25">
      <c r="A121" s="1064" t="s">
        <v>1273</v>
      </c>
      <c r="B121" s="978"/>
      <c r="C121" s="978">
        <v>200</v>
      </c>
    </row>
    <row r="122" spans="1:3" ht="31.5" x14ac:dyDescent="0.25">
      <c r="A122" s="1064" t="s">
        <v>1274</v>
      </c>
      <c r="B122" s="978"/>
      <c r="C122" s="978">
        <v>100</v>
      </c>
    </row>
    <row r="123" spans="1:3" ht="31.5" x14ac:dyDescent="0.25">
      <c r="A123" s="1064" t="s">
        <v>1275</v>
      </c>
      <c r="B123" s="979"/>
      <c r="C123" s="979">
        <v>100</v>
      </c>
    </row>
    <row r="124" spans="1:3" ht="63" x14ac:dyDescent="0.25">
      <c r="A124" s="1064" t="s">
        <v>1276</v>
      </c>
      <c r="B124" s="978"/>
      <c r="C124" s="978">
        <v>30</v>
      </c>
    </row>
    <row r="125" spans="1:3" ht="47.25" x14ac:dyDescent="0.25">
      <c r="A125" s="1064" t="s">
        <v>1277</v>
      </c>
      <c r="B125" s="978"/>
      <c r="C125" s="978">
        <v>20</v>
      </c>
    </row>
    <row r="126" spans="1:3" ht="47.25" x14ac:dyDescent="0.25">
      <c r="A126" s="1064" t="s">
        <v>1278</v>
      </c>
      <c r="B126" s="978"/>
      <c r="C126" s="978">
        <v>800</v>
      </c>
    </row>
    <row r="127" spans="1:3" ht="31.5" x14ac:dyDescent="0.25">
      <c r="A127" s="1064" t="s">
        <v>1324</v>
      </c>
      <c r="B127" s="979"/>
      <c r="C127" s="979">
        <v>50</v>
      </c>
    </row>
    <row r="128" spans="1:3" ht="63" x14ac:dyDescent="0.25">
      <c r="A128" s="1064" t="s">
        <v>1325</v>
      </c>
      <c r="B128" s="978"/>
      <c r="C128" s="978">
        <v>20</v>
      </c>
    </row>
    <row r="129" spans="1:3" ht="31.5" x14ac:dyDescent="0.25">
      <c r="A129" s="1064" t="s">
        <v>1326</v>
      </c>
      <c r="B129" s="978"/>
      <c r="C129" s="978">
        <v>60</v>
      </c>
    </row>
    <row r="130" spans="1:3" ht="31.5" x14ac:dyDescent="0.25">
      <c r="A130" s="1064" t="s">
        <v>1327</v>
      </c>
      <c r="B130" s="978"/>
      <c r="C130" s="978">
        <v>394</v>
      </c>
    </row>
    <row r="131" spans="1:3" ht="47.25" x14ac:dyDescent="0.25">
      <c r="A131" s="1064" t="s">
        <v>1328</v>
      </c>
      <c r="B131" s="978"/>
      <c r="C131" s="978">
        <v>150</v>
      </c>
    </row>
    <row r="132" spans="1:3" ht="47.25" x14ac:dyDescent="0.25">
      <c r="A132" s="1121" t="s">
        <v>1329</v>
      </c>
      <c r="B132" s="978"/>
      <c r="C132" s="978">
        <v>200</v>
      </c>
    </row>
    <row r="133" spans="1:3" ht="47.25" x14ac:dyDescent="0.25">
      <c r="A133" s="1064" t="s">
        <v>1363</v>
      </c>
      <c r="B133" s="978"/>
      <c r="C133" s="978">
        <v>400</v>
      </c>
    </row>
    <row r="134" spans="1:3" ht="47.25" x14ac:dyDescent="0.25">
      <c r="A134" s="1064" t="s">
        <v>1364</v>
      </c>
      <c r="B134" s="979"/>
      <c r="C134" s="979">
        <v>400</v>
      </c>
    </row>
    <row r="135" spans="1:3" ht="47.25" x14ac:dyDescent="0.25">
      <c r="A135" s="1064" t="s">
        <v>1365</v>
      </c>
      <c r="B135" s="978"/>
      <c r="C135" s="978">
        <v>200</v>
      </c>
    </row>
    <row r="136" spans="1:3" ht="78.75" x14ac:dyDescent="0.25">
      <c r="A136" s="1064" t="s">
        <v>1366</v>
      </c>
      <c r="B136" s="979"/>
      <c r="C136" s="979">
        <v>200</v>
      </c>
    </row>
    <row r="137" spans="1:3" ht="63" x14ac:dyDescent="0.25">
      <c r="A137" s="1064" t="s">
        <v>1367</v>
      </c>
      <c r="B137" s="978"/>
      <c r="C137" s="978">
        <v>100</v>
      </c>
    </row>
    <row r="138" spans="1:3" ht="63.75" thickBot="1" x14ac:dyDescent="0.3">
      <c r="A138" s="1064" t="s">
        <v>1441</v>
      </c>
      <c r="B138" s="979"/>
      <c r="C138" s="979">
        <v>400</v>
      </c>
    </row>
    <row r="139" spans="1:3" ht="17.25" thickTop="1" thickBot="1" x14ac:dyDescent="0.3">
      <c r="A139" s="459" t="s">
        <v>596</v>
      </c>
      <c r="B139" s="462">
        <f>SUM(B5+B8+B10+B13+B15+B19+B22+B25+B27+B30+B33+B34+B37+B39+B40+B42+B45+B48+B50+B53+B55+B57+B58+B63+B64+B75+B77+B88+B97+B100+B107)</f>
        <v>149838</v>
      </c>
      <c r="C139" s="462">
        <f>SUM(C5+C8+C10+C13+C15+C19+C22+C25+C27+C30+C33+C34+C37+C39+C40+C42+C45+C48+C50+C53+C55+C57+C58+C63+C64+C75+C77+C88+C97+C100+C107)</f>
        <v>188568</v>
      </c>
    </row>
    <row r="140" spans="1:3" ht="16.5" thickTop="1" x14ac:dyDescent="0.25">
      <c r="A140" s="656" t="s">
        <v>94</v>
      </c>
      <c r="B140" s="500">
        <f>SUM(B141:B144)</f>
        <v>1865131</v>
      </c>
      <c r="C140" s="500">
        <f>SUM(C141:C144)</f>
        <v>1937510</v>
      </c>
    </row>
    <row r="141" spans="1:3" ht="15.75" x14ac:dyDescent="0.25">
      <c r="A141" s="657" t="s">
        <v>623</v>
      </c>
      <c r="B141" s="501">
        <v>291900</v>
      </c>
      <c r="C141" s="501">
        <v>291900</v>
      </c>
    </row>
    <row r="142" spans="1:3" ht="15.75" x14ac:dyDescent="0.25">
      <c r="A142" s="657" t="s">
        <v>624</v>
      </c>
      <c r="B142" s="501">
        <v>1369287</v>
      </c>
      <c r="C142" s="501">
        <v>1420282</v>
      </c>
    </row>
    <row r="143" spans="1:3" ht="15.75" x14ac:dyDescent="0.25">
      <c r="A143" s="657" t="s">
        <v>625</v>
      </c>
      <c r="B143" s="501">
        <v>138944</v>
      </c>
      <c r="C143" s="501">
        <v>157828</v>
      </c>
    </row>
    <row r="144" spans="1:3" ht="16.5" thickBot="1" x14ac:dyDescent="0.3">
      <c r="A144" s="657" t="s">
        <v>626</v>
      </c>
      <c r="B144" s="501">
        <v>65000</v>
      </c>
      <c r="C144" s="501">
        <v>67500</v>
      </c>
    </row>
    <row r="145" spans="1:3" ht="17.25" thickTop="1" thickBot="1" x14ac:dyDescent="0.3">
      <c r="A145" s="459" t="s">
        <v>83</v>
      </c>
      <c r="B145" s="462">
        <f>SUM(B139+B140)</f>
        <v>2014969</v>
      </c>
      <c r="C145" s="462">
        <f>SUM(C139+C140)</f>
        <v>2126078</v>
      </c>
    </row>
    <row r="146" spans="1:3" ht="15.75" thickTop="1" x14ac:dyDescent="0.25"/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
&amp;"Times New Roman CE,Dőlt"&amp;10 9. melléklet a 3/2016.(II.12.) önkormányzati rendelethez&amp;X8</oddHeader>
    <oddFooter>&amp;L&amp;X8&amp;XMódosította a 6/2017.(II.24.) önkormányzati rendelet 4.§ (8) bekezdése, hatályos 2017. február 24. 12 órától&amp;C&amp;P</oddFooter>
  </headerFooter>
  <rowBreaks count="5" manualBreakCount="5">
    <brk id="22" max="2" man="1"/>
    <brk id="38" max="2" man="1"/>
    <brk id="54" max="16383" man="1"/>
    <brk id="72" max="2" man="1"/>
    <brk id="85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28</vt:i4>
      </vt:variant>
      <vt:variant>
        <vt:lpstr>Névvel ellátott tartományok</vt:lpstr>
      </vt:variant>
      <vt:variant>
        <vt:i4>28</vt:i4>
      </vt:variant>
    </vt:vector>
  </HeadingPairs>
  <TitlesOfParts>
    <vt:vector size="56" baseType="lpstr">
      <vt:lpstr>1 bevétel (kötelező,önként)</vt:lpstr>
      <vt:lpstr>2 kiadás (kötelező, önként)</vt:lpstr>
      <vt:lpstr>3 bevétel(szűkített)</vt:lpstr>
      <vt:lpstr>4 kiadás(szűkített)</vt:lpstr>
      <vt:lpstr>5 egyenleg</vt:lpstr>
      <vt:lpstr>6 normatíva</vt:lpstr>
      <vt:lpstr>int.bevétel</vt:lpstr>
      <vt:lpstr>int.kiadás </vt:lpstr>
      <vt:lpstr>9 konkrét feladat</vt:lpstr>
      <vt:lpstr>10álláshely</vt:lpstr>
      <vt:lpstr>11 ök kiadás</vt:lpstr>
      <vt:lpstr>12 szakfeladatos</vt:lpstr>
      <vt:lpstr>13 fejlesztés</vt:lpstr>
      <vt:lpstr>14 Lakáselidegenítés</vt:lpstr>
      <vt:lpstr>15 int.felúj</vt:lpstr>
      <vt:lpstr>16 épületek fentartási költs</vt:lpstr>
      <vt:lpstr>17 működési és felhalm</vt:lpstr>
      <vt:lpstr>18előirányzat felhasz.</vt:lpstr>
      <vt:lpstr>19többéves</vt:lpstr>
      <vt:lpstr>20projektek</vt:lpstr>
      <vt:lpstr>21 közvetett támogatások</vt:lpstr>
      <vt:lpstr>22 elengedett bérleti díj</vt:lpstr>
      <vt:lpstr>kiemelt dologi</vt:lpstr>
      <vt:lpstr>24TFA</vt:lpstr>
      <vt:lpstr>25Környezetvédelmi alap</vt:lpstr>
      <vt:lpstr>26Turisztikai Alap</vt:lpstr>
      <vt:lpstr>27Hermann_elszámolás</vt:lpstr>
      <vt:lpstr>28Tópari_elszámolás</vt:lpstr>
      <vt:lpstr>'1 bevétel (kötelező,önként)'!Nyomtatási_cím</vt:lpstr>
      <vt:lpstr>'10álláshely'!Nyomtatási_cím</vt:lpstr>
      <vt:lpstr>'11 ök kiadás'!Nyomtatási_cím</vt:lpstr>
      <vt:lpstr>'12 szakfeladatos'!Nyomtatási_cím</vt:lpstr>
      <vt:lpstr>'13 fejlesztés'!Nyomtatási_cím</vt:lpstr>
      <vt:lpstr>'15 int.felúj'!Nyomtatási_cím</vt:lpstr>
      <vt:lpstr>'2 kiadás (kötelező, önként)'!Nyomtatási_cím</vt:lpstr>
      <vt:lpstr>'20projektek'!Nyomtatási_cím</vt:lpstr>
      <vt:lpstr>'21 közvetett támogatások'!Nyomtatási_cím</vt:lpstr>
      <vt:lpstr>'22 elengedett bérleti díj'!Nyomtatási_cím</vt:lpstr>
      <vt:lpstr>'27Hermann_elszámolás'!Nyomtatási_cím</vt:lpstr>
      <vt:lpstr>'28Tópari_elszámolás'!Nyomtatási_cím</vt:lpstr>
      <vt:lpstr>'3 bevétel(szűkített)'!Nyomtatási_cím</vt:lpstr>
      <vt:lpstr>'6 normatíva'!Nyomtatási_cím</vt:lpstr>
      <vt:lpstr>'9 konkrét feladat'!Nyomtatási_cím</vt:lpstr>
      <vt:lpstr>int.bevétel!Nyomtatási_cím</vt:lpstr>
      <vt:lpstr>'int.kiadás '!Nyomtatási_cím</vt:lpstr>
      <vt:lpstr>'1 bevétel (kötelező,önként)'!Nyomtatási_terület</vt:lpstr>
      <vt:lpstr>'10álláshely'!Nyomtatási_terület</vt:lpstr>
      <vt:lpstr>'11 ök kiadás'!Nyomtatási_terület</vt:lpstr>
      <vt:lpstr>'13 fejlesztés'!Nyomtatási_terület</vt:lpstr>
      <vt:lpstr>'15 int.felúj'!Nyomtatási_terület</vt:lpstr>
      <vt:lpstr>'21 közvetett támogatások'!Nyomtatási_terület</vt:lpstr>
      <vt:lpstr>'27Hermann_elszámolás'!Nyomtatási_terület</vt:lpstr>
      <vt:lpstr>'28Tópari_elszámolás'!Nyomtatási_terület</vt:lpstr>
      <vt:lpstr>'4 kiadás(szűkített)'!Nyomtatási_terület</vt:lpstr>
      <vt:lpstr>int.bevétel!Nyomtatási_terület</vt:lpstr>
      <vt:lpstr>'int.kiadás 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Polgármesteri Hivatal</dc:creator>
  <cp:lastModifiedBy>Windows-felhasználó</cp:lastModifiedBy>
  <cp:lastPrinted>2017-02-24T08:29:15Z</cp:lastPrinted>
  <dcterms:created xsi:type="dcterms:W3CDTF">2003-05-23T09:53:33Z</dcterms:created>
  <dcterms:modified xsi:type="dcterms:W3CDTF">2017-03-06T08:10:31Z</dcterms:modified>
</cp:coreProperties>
</file>