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960" yWindow="1515" windowWidth="11505" windowHeight="6930" tabRatio="899" activeTab="1"/>
  </bookViews>
  <sheets>
    <sheet name="1 bevétel (kötelező,önként)" sheetId="239" r:id="rId1"/>
    <sheet name="2 kiadás (kötelező, önként)" sheetId="240" r:id="rId2"/>
    <sheet name="3 bevétel(szűkített)" sheetId="261" r:id="rId3"/>
    <sheet name="4 kiadás(szűkített)" sheetId="260" r:id="rId4"/>
    <sheet name="5 egyenleg" sheetId="266" r:id="rId5"/>
    <sheet name="7int.bevétel" sheetId="311" r:id="rId6"/>
    <sheet name="8int.kiadás " sheetId="312" r:id="rId7"/>
    <sheet name="10 ök kiadás" sheetId="244" r:id="rId8"/>
    <sheet name="11melléklet" sheetId="302" r:id="rId9"/>
    <sheet name="12 Fejlesztés " sheetId="303" r:id="rId10"/>
    <sheet name="13 Lakáselidegenítés" sheetId="315" r:id="rId11"/>
    <sheet name=" 14 Int.felúj" sheetId="307" r:id="rId12"/>
    <sheet name="16működési és felhalm " sheetId="299" r:id="rId13"/>
    <sheet name="18többéves" sheetId="316" r:id="rId14"/>
    <sheet name="19projektek" sheetId="314" r:id="rId15"/>
    <sheet name="kiemelt" sheetId="313" r:id="rId16"/>
    <sheet name="23Környezetvédelmi alap" sheetId="309" r:id="rId17"/>
  </sheets>
  <externalReferences>
    <externalReference r:id="rId18"/>
    <externalReference r:id="rId19"/>
    <externalReference r:id="rId20"/>
    <externalReference r:id="rId21"/>
  </externalReferences>
  <definedNames>
    <definedName name="_____________b00001" localSheetId="11">[1]Munka3!#REF!</definedName>
    <definedName name="_____________b00001" localSheetId="9">[1]Munka3!#REF!</definedName>
    <definedName name="_____________b00001" localSheetId="10">[2]Munka3!#REF!</definedName>
    <definedName name="_____________b00001" localSheetId="13">[2]Munka3!#REF!</definedName>
    <definedName name="_____________b00001" localSheetId="14">[2]Munka3!#REF!</definedName>
    <definedName name="_____________b00001" localSheetId="16">[2]Munka3!#REF!</definedName>
    <definedName name="_____________b00001">[1]Munka3!#REF!</definedName>
    <definedName name="_____________e00001" localSheetId="11">[1]Munka3!#REF!</definedName>
    <definedName name="_____________e00001" localSheetId="9">[1]Munka3!#REF!</definedName>
    <definedName name="_____________e00001" localSheetId="10">[2]Munka3!#REF!</definedName>
    <definedName name="_____________e00001" localSheetId="13">[2]Munka3!#REF!</definedName>
    <definedName name="_____________e00001" localSheetId="14">[2]Munka3!#REF!</definedName>
    <definedName name="_____________e00001" localSheetId="16">[2]Munka3!#REF!</definedName>
    <definedName name="_____________e00001">[1]Munka3!#REF!</definedName>
    <definedName name="____________b00001" localSheetId="11">[1]Munka3!#REF!</definedName>
    <definedName name="____________b00001" localSheetId="8">[1]Munka3!#REF!</definedName>
    <definedName name="____________b00001" localSheetId="9">[1]Munka3!#REF!</definedName>
    <definedName name="____________b00001" localSheetId="10">[2]Munka3!#REF!</definedName>
    <definedName name="____________b00001" localSheetId="13">[1]Munka3!#REF!</definedName>
    <definedName name="____________b00001" localSheetId="14">[2]Munka3!#REF!</definedName>
    <definedName name="____________b00001" localSheetId="16">[2]Munka3!#REF!</definedName>
    <definedName name="____________b00001">[1]Munka3!#REF!</definedName>
    <definedName name="____________e00001" localSheetId="11">[1]Munka3!#REF!</definedName>
    <definedName name="____________e00001" localSheetId="8">[1]Munka3!#REF!</definedName>
    <definedName name="____________e00001" localSheetId="9">[1]Munka3!#REF!</definedName>
    <definedName name="____________e00001" localSheetId="10">[2]Munka3!#REF!</definedName>
    <definedName name="____________e00001" localSheetId="13">[1]Munka3!#REF!</definedName>
    <definedName name="____________e00001" localSheetId="14">[2]Munka3!#REF!</definedName>
    <definedName name="____________e00001" localSheetId="16">[2]Munka3!#REF!</definedName>
    <definedName name="____________e00001">[1]Munka3!#REF!</definedName>
    <definedName name="___________b00001" localSheetId="11">[1]Munka3!#REF!</definedName>
    <definedName name="___________b00001" localSheetId="8">[1]Munka3!#REF!</definedName>
    <definedName name="___________b00001" localSheetId="9">[1]Munka3!#REF!</definedName>
    <definedName name="___________b00001" localSheetId="10">[2]Munka3!#REF!</definedName>
    <definedName name="___________b00001" localSheetId="13">[1]Munka3!#REF!</definedName>
    <definedName name="___________b00001" localSheetId="14">[2]Munka3!#REF!</definedName>
    <definedName name="___________b00001" localSheetId="16">[2]Munka3!#REF!</definedName>
    <definedName name="___________b00001">[1]Munka3!#REF!</definedName>
    <definedName name="___________e00001" localSheetId="11">[1]Munka3!#REF!</definedName>
    <definedName name="___________e00001" localSheetId="8">[1]Munka3!#REF!</definedName>
    <definedName name="___________e00001" localSheetId="9">[1]Munka3!#REF!</definedName>
    <definedName name="___________e00001" localSheetId="10">[2]Munka3!#REF!</definedName>
    <definedName name="___________e00001" localSheetId="13">[1]Munka3!#REF!</definedName>
    <definedName name="___________e00001" localSheetId="14">[2]Munka3!#REF!</definedName>
    <definedName name="___________e00001" localSheetId="16">[2]Munka3!#REF!</definedName>
    <definedName name="___________e00001">[1]Munka3!#REF!</definedName>
    <definedName name="__________b00001" localSheetId="11">[1]Munka3!#REF!</definedName>
    <definedName name="__________b00001" localSheetId="8">[1]Munka3!#REF!</definedName>
    <definedName name="__________b00001" localSheetId="9">[1]Munka3!#REF!</definedName>
    <definedName name="__________b00001" localSheetId="10">[2]Munka3!#REF!</definedName>
    <definedName name="__________b00001" localSheetId="13">[1]Munka3!#REF!</definedName>
    <definedName name="__________b00001" localSheetId="14">[2]Munka3!#REF!</definedName>
    <definedName name="__________b00001" localSheetId="16">[2]Munka3!#REF!</definedName>
    <definedName name="__________b00001">[1]Munka3!#REF!</definedName>
    <definedName name="__________e00001" localSheetId="11">[1]Munka3!#REF!</definedName>
    <definedName name="__________e00001" localSheetId="8">[1]Munka3!#REF!</definedName>
    <definedName name="__________e00001" localSheetId="9">[1]Munka3!#REF!</definedName>
    <definedName name="__________e00001" localSheetId="10">[2]Munka3!#REF!</definedName>
    <definedName name="__________e00001" localSheetId="13">[2]Munka3!#REF!</definedName>
    <definedName name="__________e00001" localSheetId="14">[2]Munka3!#REF!</definedName>
    <definedName name="__________e00001" localSheetId="16">[2]Munka3!#REF!</definedName>
    <definedName name="__________e00001">[1]Munka3!#REF!</definedName>
    <definedName name="_________b00001" localSheetId="11">[1]Munka3!#REF!</definedName>
    <definedName name="_________b00001" localSheetId="8">[1]Munka3!#REF!</definedName>
    <definedName name="_________b00001" localSheetId="9">[1]Munka3!#REF!</definedName>
    <definedName name="_________b00001" localSheetId="10">[2]Munka3!#REF!</definedName>
    <definedName name="_________b00001" localSheetId="13">[2]Munka3!#REF!</definedName>
    <definedName name="_________b00001" localSheetId="14">[2]Munka3!#REF!</definedName>
    <definedName name="_________b00001" localSheetId="16">[2]Munka3!#REF!</definedName>
    <definedName name="_________b00001">[1]Munka3!#REF!</definedName>
    <definedName name="_________e00001" localSheetId="11">[1]Munka3!#REF!</definedName>
    <definedName name="_________e00001" localSheetId="8">[1]Munka3!#REF!</definedName>
    <definedName name="_________e00001" localSheetId="9">[1]Munka3!#REF!</definedName>
    <definedName name="_________e00001" localSheetId="10">[2]Munka3!#REF!</definedName>
    <definedName name="_________e00001" localSheetId="13">[2]Munka3!#REF!</definedName>
    <definedName name="_________e00001" localSheetId="14">[2]Munka3!#REF!</definedName>
    <definedName name="_________e00001" localSheetId="16">[2]Munka3!#REF!</definedName>
    <definedName name="_________e00001">[1]Munka3!#REF!</definedName>
    <definedName name="________b00001" localSheetId="11">[1]Munka3!#REF!</definedName>
    <definedName name="________b00001" localSheetId="8">[1]Munka3!#REF!</definedName>
    <definedName name="________b00001" localSheetId="9">[1]Munka3!#REF!</definedName>
    <definedName name="________b00001" localSheetId="10">[2]Munka3!#REF!</definedName>
    <definedName name="________b00001" localSheetId="13">[2]Munka3!#REF!</definedName>
    <definedName name="________b00001" localSheetId="14">[2]Munka3!#REF!</definedName>
    <definedName name="________b00001" localSheetId="16">[2]Munka3!#REF!</definedName>
    <definedName name="________b00001" localSheetId="5">[2]Munka3!#REF!</definedName>
    <definedName name="________b00001" localSheetId="6">[2]Munka3!#REF!</definedName>
    <definedName name="________b00001">[1]Munka3!#REF!</definedName>
    <definedName name="________e00001" localSheetId="11">[1]Munka3!#REF!</definedName>
    <definedName name="________e00001" localSheetId="8">[1]Munka3!#REF!</definedName>
    <definedName name="________e00001" localSheetId="9">[1]Munka3!#REF!</definedName>
    <definedName name="________e00001" localSheetId="10">[2]Munka3!#REF!</definedName>
    <definedName name="________e00001" localSheetId="13">[2]Munka3!#REF!</definedName>
    <definedName name="________e00001" localSheetId="14">[2]Munka3!#REF!</definedName>
    <definedName name="________e00001" localSheetId="16">[2]Munka3!#REF!</definedName>
    <definedName name="________e00001" localSheetId="5">[2]Munka3!#REF!</definedName>
    <definedName name="________e00001" localSheetId="6">[2]Munka3!#REF!</definedName>
    <definedName name="________e00001">[1]Munka3!#REF!</definedName>
    <definedName name="_______b00001" localSheetId="11">[1]Munka3!#REF!</definedName>
    <definedName name="_______b00001" localSheetId="8">[1]Munka3!#REF!</definedName>
    <definedName name="_______b00001" localSheetId="9">[1]Munka3!#REF!</definedName>
    <definedName name="_______b00001" localSheetId="10">[2]Munka3!#REF!</definedName>
    <definedName name="_______b00001" localSheetId="13">[2]Munka3!#REF!</definedName>
    <definedName name="_______b00001" localSheetId="14">[2]Munka3!#REF!</definedName>
    <definedName name="_______b00001" localSheetId="16">[2]Munka3!#REF!</definedName>
    <definedName name="_______b00001" localSheetId="5">[2]Munka3!#REF!</definedName>
    <definedName name="_______b00001" localSheetId="6">[2]Munka3!#REF!</definedName>
    <definedName name="_______b00001">[1]Munka3!#REF!</definedName>
    <definedName name="_______e00001" localSheetId="11">[1]Munka3!#REF!</definedName>
    <definedName name="_______e00001" localSheetId="8">[1]Munka3!#REF!</definedName>
    <definedName name="_______e00001" localSheetId="9">[1]Munka3!#REF!</definedName>
    <definedName name="_______e00001" localSheetId="10">[2]Munka3!#REF!</definedName>
    <definedName name="_______e00001" localSheetId="13">[2]Munka3!#REF!</definedName>
    <definedName name="_______e00001" localSheetId="14">[2]Munka3!#REF!</definedName>
    <definedName name="_______e00001" localSheetId="16">[2]Munka3!#REF!</definedName>
    <definedName name="_______e00001" localSheetId="5">[2]Munka3!#REF!</definedName>
    <definedName name="_______e00001" localSheetId="6">[2]Munka3!#REF!</definedName>
    <definedName name="_______e00001">[1]Munka3!#REF!</definedName>
    <definedName name="______b00001" localSheetId="11">[1]Munka3!#REF!</definedName>
    <definedName name="______b00001" localSheetId="8">[1]Munka3!#REF!</definedName>
    <definedName name="______b00001" localSheetId="9">[1]Munka3!#REF!</definedName>
    <definedName name="______b00001" localSheetId="10">[2]Munka3!#REF!</definedName>
    <definedName name="______b00001" localSheetId="13">[2]Munka3!#REF!</definedName>
    <definedName name="______b00001" localSheetId="14">[2]Munka3!#REF!</definedName>
    <definedName name="______b00001" localSheetId="16">[2]Munka3!#REF!</definedName>
    <definedName name="______b00001" localSheetId="5">[2]Munka3!#REF!</definedName>
    <definedName name="______b00001" localSheetId="6">[2]Munka3!#REF!</definedName>
    <definedName name="______b00001">[1]Munka3!#REF!</definedName>
    <definedName name="______e00001" localSheetId="11">[1]Munka3!#REF!</definedName>
    <definedName name="______e00001" localSheetId="8">[1]Munka3!#REF!</definedName>
    <definedName name="______e00001" localSheetId="9">[1]Munka3!#REF!</definedName>
    <definedName name="______e00001" localSheetId="10">[2]Munka3!#REF!</definedName>
    <definedName name="______e00001" localSheetId="13">[2]Munka3!#REF!</definedName>
    <definedName name="______e00001" localSheetId="14">[2]Munka3!#REF!</definedName>
    <definedName name="______e00001" localSheetId="16">[2]Munka3!#REF!</definedName>
    <definedName name="______e00001" localSheetId="5">[2]Munka3!#REF!</definedName>
    <definedName name="______e00001" localSheetId="6">[2]Munka3!#REF!</definedName>
    <definedName name="______e00001">[1]Munka3!#REF!</definedName>
    <definedName name="_____b00001" localSheetId="11">[1]Munka3!#REF!</definedName>
    <definedName name="_____b00001" localSheetId="8">[1]Munka3!#REF!</definedName>
    <definedName name="_____b00001" localSheetId="9">[1]Munka3!#REF!</definedName>
    <definedName name="_____b00001" localSheetId="10">[2]Munka3!#REF!</definedName>
    <definedName name="_____b00001" localSheetId="13">[2]Munka3!#REF!</definedName>
    <definedName name="_____b00001" localSheetId="14">[2]Munka3!#REF!</definedName>
    <definedName name="_____b00001" localSheetId="16">[2]Munka3!#REF!</definedName>
    <definedName name="_____b00001" localSheetId="5">[2]Munka3!#REF!</definedName>
    <definedName name="_____b00001" localSheetId="6">[2]Munka3!#REF!</definedName>
    <definedName name="_____b00001">[1]Munka3!#REF!</definedName>
    <definedName name="_____e00001" localSheetId="11">[1]Munka3!#REF!</definedName>
    <definedName name="_____e00001" localSheetId="8">[1]Munka3!#REF!</definedName>
    <definedName name="_____e00001" localSheetId="9">[1]Munka3!#REF!</definedName>
    <definedName name="_____e00001" localSheetId="10">[2]Munka3!#REF!</definedName>
    <definedName name="_____e00001" localSheetId="13">[2]Munka3!#REF!</definedName>
    <definedName name="_____e00001" localSheetId="14">[2]Munka3!#REF!</definedName>
    <definedName name="_____e00001" localSheetId="16">[2]Munka3!#REF!</definedName>
    <definedName name="_____e00001" localSheetId="5">[2]Munka3!#REF!</definedName>
    <definedName name="_____e00001" localSheetId="6">[2]Munka3!#REF!</definedName>
    <definedName name="_____e00001">[1]Munka3!#REF!</definedName>
    <definedName name="____b00001" localSheetId="11">[1]Munka3!#REF!</definedName>
    <definedName name="____b00001" localSheetId="8">[1]Munka3!#REF!</definedName>
    <definedName name="____b00001" localSheetId="9">[1]Munka3!#REF!</definedName>
    <definedName name="____b00001" localSheetId="10">[2]Munka3!#REF!</definedName>
    <definedName name="____b00001" localSheetId="13">[2]Munka3!#REF!</definedName>
    <definedName name="____b00001" localSheetId="14">[2]Munka3!#REF!</definedName>
    <definedName name="____b00001" localSheetId="16">[2]Munka3!#REF!</definedName>
    <definedName name="____b00001" localSheetId="5">[2]Munka3!#REF!</definedName>
    <definedName name="____b00001" localSheetId="6">[2]Munka3!#REF!</definedName>
    <definedName name="____b00001">[1]Munka3!#REF!</definedName>
    <definedName name="____e00001" localSheetId="11">[1]Munka3!#REF!</definedName>
    <definedName name="____e00001" localSheetId="8">[1]Munka3!#REF!</definedName>
    <definedName name="____e00001" localSheetId="9">[1]Munka3!#REF!</definedName>
    <definedName name="____e00001" localSheetId="10">[2]Munka3!#REF!</definedName>
    <definedName name="____e00001" localSheetId="13">[2]Munka3!#REF!</definedName>
    <definedName name="____e00001" localSheetId="14">[2]Munka3!#REF!</definedName>
    <definedName name="____e00001" localSheetId="16">[2]Munka3!#REF!</definedName>
    <definedName name="____e00001" localSheetId="5">[2]Munka3!#REF!</definedName>
    <definedName name="____e00001" localSheetId="6">[2]Munka3!#REF!</definedName>
    <definedName name="____e00001">[1]Munka3!#REF!</definedName>
    <definedName name="___b00001" localSheetId="11">[1]Munka3!#REF!</definedName>
    <definedName name="___b00001" localSheetId="8">[1]Munka3!#REF!</definedName>
    <definedName name="___b00001" localSheetId="9">[1]Munka3!#REF!</definedName>
    <definedName name="___b00001" localSheetId="10">[2]Munka3!#REF!</definedName>
    <definedName name="___b00001" localSheetId="13">[2]Munka3!#REF!</definedName>
    <definedName name="___b00001" localSheetId="14">[2]Munka3!#REF!</definedName>
    <definedName name="___b00001" localSheetId="16">[2]Munka3!#REF!</definedName>
    <definedName name="___b00001" localSheetId="5">[2]Munka3!#REF!</definedName>
    <definedName name="___b00001" localSheetId="6">[2]Munka3!#REF!</definedName>
    <definedName name="___b00001">[1]Munka3!#REF!</definedName>
    <definedName name="___e00001" localSheetId="11">[1]Munka3!#REF!</definedName>
    <definedName name="___e00001" localSheetId="8">[1]Munka3!#REF!</definedName>
    <definedName name="___e00001" localSheetId="9">[1]Munka3!#REF!</definedName>
    <definedName name="___e00001" localSheetId="10">[2]Munka3!#REF!</definedName>
    <definedName name="___e00001" localSheetId="13">[2]Munka3!#REF!</definedName>
    <definedName name="___e00001" localSheetId="14">[2]Munka3!#REF!</definedName>
    <definedName name="___e00001" localSheetId="16">[2]Munka3!#REF!</definedName>
    <definedName name="___e00001" localSheetId="5">[2]Munka3!#REF!</definedName>
    <definedName name="___e00001" localSheetId="6">[2]Munka3!#REF!</definedName>
    <definedName name="___e00001">[1]Munka3!#REF!</definedName>
    <definedName name="__b00001" localSheetId="11">[1]Munka3!#REF!</definedName>
    <definedName name="__b00001" localSheetId="8">[1]Munka3!#REF!</definedName>
    <definedName name="__b00001" localSheetId="9">[1]Munka3!#REF!</definedName>
    <definedName name="__b00001" localSheetId="10">[2]Munka3!#REF!</definedName>
    <definedName name="__b00001" localSheetId="13">[2]Munka3!#REF!</definedName>
    <definedName name="__b00001" localSheetId="14">[3]Munka3!#REF!</definedName>
    <definedName name="__b00001" localSheetId="16">[2]Munka3!#REF!</definedName>
    <definedName name="__b00001" localSheetId="5">[2]Munka3!#REF!</definedName>
    <definedName name="__b00001" localSheetId="6">[2]Munka3!#REF!</definedName>
    <definedName name="__b00001">[1]Munka3!#REF!</definedName>
    <definedName name="__e00001" localSheetId="11">[1]Munka3!#REF!</definedName>
    <definedName name="__e00001" localSheetId="8">[1]Munka3!#REF!</definedName>
    <definedName name="__e00001" localSheetId="9">[1]Munka3!#REF!</definedName>
    <definedName name="__e00001" localSheetId="10">[2]Munka3!#REF!</definedName>
    <definedName name="__e00001" localSheetId="13">[2]Munka3!#REF!</definedName>
    <definedName name="__e00001" localSheetId="14">[3]Munka3!#REF!</definedName>
    <definedName name="__e00001" localSheetId="16">[2]Munka3!#REF!</definedName>
    <definedName name="__e00001" localSheetId="5">[2]Munka3!#REF!</definedName>
    <definedName name="__e00001" localSheetId="6">[2]Munka3!#REF!</definedName>
    <definedName name="__e00001">[1]Munka3!#REF!</definedName>
    <definedName name="_b00001" localSheetId="11">[1]Munka3!#REF!</definedName>
    <definedName name="_b00001" localSheetId="8">[1]Munka3!#REF!</definedName>
    <definedName name="_b00001" localSheetId="9">[1]Munka3!#REF!</definedName>
    <definedName name="_b00001" localSheetId="10">[2]Munka3!#REF!</definedName>
    <definedName name="_b00001" localSheetId="13">[2]Munka3!#REF!</definedName>
    <definedName name="_b00001" localSheetId="14">[3]Munka3!#REF!</definedName>
    <definedName name="_b00001" localSheetId="16">[2]Munka3!#REF!</definedName>
    <definedName name="_b00001" localSheetId="5">[2]Munka3!#REF!</definedName>
    <definedName name="_b00001" localSheetId="6">[2]Munka3!#REF!</definedName>
    <definedName name="_b00001">[1]Munka3!#REF!</definedName>
    <definedName name="_e00001" localSheetId="11">[1]Munka3!#REF!</definedName>
    <definedName name="_e00001" localSheetId="8">[1]Munka3!#REF!</definedName>
    <definedName name="_e00001" localSheetId="9">[1]Munka3!#REF!</definedName>
    <definedName name="_e00001" localSheetId="10">[2]Munka3!#REF!</definedName>
    <definedName name="_e00001" localSheetId="13">[2]Munka3!#REF!</definedName>
    <definedName name="_e00001" localSheetId="14">[3]Munka3!#REF!</definedName>
    <definedName name="_e00001" localSheetId="16">[2]Munka3!#REF!</definedName>
    <definedName name="_e00001" localSheetId="5">[2]Munka3!#REF!</definedName>
    <definedName name="_e00001" localSheetId="6">[2]Munka3!#REF!</definedName>
    <definedName name="_e00001">[1]Munka3!#REF!</definedName>
    <definedName name="b0000" localSheetId="8">[3]Munka3!#REF!</definedName>
    <definedName name="b0000" localSheetId="10">[3]Munka3!#REF!</definedName>
    <definedName name="b0000" localSheetId="14">[4]Munka3!#REF!</definedName>
    <definedName name="b0000" localSheetId="6">[3]Munka3!#REF!</definedName>
    <definedName name="b0000">[3]Munka3!#REF!</definedName>
    <definedName name="b00000" localSheetId="0">[1]Munka3!#REF!</definedName>
    <definedName name="b00000" localSheetId="7">[1]Munka3!#REF!</definedName>
    <definedName name="b00000" localSheetId="8">[3]Munka3!#REF!</definedName>
    <definedName name="b00000" localSheetId="10">[3]Munka3!#REF!</definedName>
    <definedName name="b00000" localSheetId="12">[1]Munka3!#REF!</definedName>
    <definedName name="b00000" localSheetId="14">[4]Munka3!#REF!</definedName>
    <definedName name="b00000" localSheetId="1">[1]Munka3!#REF!</definedName>
    <definedName name="b00000" localSheetId="6">[3]Munka3!#REF!</definedName>
    <definedName name="b00000">[3]Munka3!#REF!</definedName>
    <definedName name="c00000" localSheetId="8">[3]Munka3!#REF!</definedName>
    <definedName name="c00000" localSheetId="10">[3]Munka3!#REF!</definedName>
    <definedName name="c00000" localSheetId="6">[3]Munka3!#REF!</definedName>
    <definedName name="c00000">[3]Munka3!#REF!</definedName>
    <definedName name="E00000" localSheetId="0">[1]Munka3!#REF!</definedName>
    <definedName name="E00000" localSheetId="7">[1]Munka3!#REF!</definedName>
    <definedName name="E00000" localSheetId="8">[3]Munka3!#REF!</definedName>
    <definedName name="E00000" localSheetId="10">[3]Munka3!#REF!</definedName>
    <definedName name="E00000" localSheetId="12">[1]Munka3!#REF!</definedName>
    <definedName name="E00000" localSheetId="14">[4]Munka3!#REF!</definedName>
    <definedName name="E00000" localSheetId="1">[1]Munka3!#REF!</definedName>
    <definedName name="E00000" localSheetId="6">[3]Munka3!#REF!</definedName>
    <definedName name="E00000">[3]Munka3!#REF!</definedName>
    <definedName name="kiadás" localSheetId="6">[2]Munka3!#REF!</definedName>
    <definedName name="létszám" localSheetId="8">[3]Munka3!#REF!</definedName>
    <definedName name="létszám" localSheetId="10">[3]Munka3!#REF!</definedName>
    <definedName name="létszám" localSheetId="14">[4]Munka3!#REF!</definedName>
    <definedName name="létszám" localSheetId="6">[3]Munka3!#REF!</definedName>
    <definedName name="létszám">[3]Munka3!#REF!</definedName>
    <definedName name="Norm.2014" localSheetId="8">[1]Munka3!#REF!</definedName>
    <definedName name="Norm.2014" localSheetId="14">[3]Munka3!#REF!</definedName>
    <definedName name="Norm.2014">[1]Munka3!#REF!</definedName>
    <definedName name="_xlnm.Print_Titles" localSheetId="11">' 14 Int.felúj'!$1:$4</definedName>
    <definedName name="_xlnm.Print_Titles" localSheetId="0">'1 bevétel (kötelező,önként)'!$A:$B,'1 bevétel (kötelező,önként)'!$1:$8</definedName>
    <definedName name="_xlnm.Print_Titles" localSheetId="7">'10 ök kiadás'!$1:$6</definedName>
    <definedName name="_xlnm.Print_Titles" localSheetId="8">'11melléklet'!$1:$3</definedName>
    <definedName name="_xlnm.Print_Titles" localSheetId="9">'12 Fejlesztés '!$1:$4</definedName>
    <definedName name="_xlnm.Print_Titles" localSheetId="14">'19projektek'!$A:$B,'19projektek'!$1:$5</definedName>
    <definedName name="_xlnm.Print_Titles" localSheetId="1">'2 kiadás (kötelező, önként)'!$A:$B</definedName>
    <definedName name="_xlnm.Print_Titles" localSheetId="2">'3 bevétel(szűkített)'!$1:$8</definedName>
    <definedName name="_xlnm.Print_Titles" localSheetId="5">'7int.bevétel'!$A:$B,'7int.bevétel'!$1:$6</definedName>
    <definedName name="_xlnm.Print_Titles" localSheetId="6">'8int.kiadás '!$1:$6</definedName>
    <definedName name="_xlnm.Print_Area" localSheetId="0">'1 bevétel (kötelező,önként)'!$A$1:$AL$68</definedName>
    <definedName name="_xlnm.Print_Area" localSheetId="7">'10 ök kiadás'!$A$1:$P$288</definedName>
    <definedName name="_xlnm.Print_Area" localSheetId="8">'11melléklet'!$A$1:$N$270</definedName>
    <definedName name="_xlnm.Print_Area" localSheetId="9">'12 Fejlesztés '!$A$1:$D$139</definedName>
    <definedName name="_xlnm.Print_Area" localSheetId="3">'4 kiadás(szűkített)'!$A$1:$K$27</definedName>
    <definedName name="_xlnm.Print_Area" localSheetId="5">'7int.bevétel'!$A$1:$O$504</definedName>
    <definedName name="_xlnm.Print_Area" localSheetId="6">'8int.kiadás '!$A$1:$O$515</definedName>
  </definedNames>
  <calcPr calcId="145621"/>
</workbook>
</file>

<file path=xl/calcChain.xml><?xml version="1.0" encoding="utf-8"?>
<calcChain xmlns="http://schemas.openxmlformats.org/spreadsheetml/2006/main">
  <c r="D227" i="311" l="1"/>
  <c r="E227" i="311"/>
  <c r="F227" i="311"/>
  <c r="G227" i="311"/>
  <c r="H227" i="311"/>
  <c r="I227" i="311"/>
  <c r="M227" i="311"/>
  <c r="N227" i="311"/>
  <c r="P227" i="311"/>
  <c r="D225" i="311"/>
  <c r="E225" i="311"/>
  <c r="F225" i="311"/>
  <c r="G225" i="311"/>
  <c r="H225" i="311"/>
  <c r="I225" i="311"/>
  <c r="M225" i="311"/>
  <c r="N225" i="311"/>
  <c r="P225" i="311"/>
  <c r="C227" i="311"/>
  <c r="C225" i="311"/>
  <c r="D212" i="311"/>
  <c r="E212" i="311"/>
  <c r="F212" i="311"/>
  <c r="G212" i="311"/>
  <c r="H212" i="311"/>
  <c r="I212" i="311"/>
  <c r="M212" i="311"/>
  <c r="N212" i="311"/>
  <c r="D210" i="311"/>
  <c r="E210" i="311"/>
  <c r="F210" i="311"/>
  <c r="G210" i="311"/>
  <c r="H210" i="311"/>
  <c r="I210" i="311"/>
  <c r="M210" i="311"/>
  <c r="N210" i="311"/>
  <c r="C212" i="311"/>
  <c r="C210" i="311"/>
  <c r="D197" i="311"/>
  <c r="E197" i="311"/>
  <c r="F197" i="311"/>
  <c r="G197" i="311"/>
  <c r="H197" i="311"/>
  <c r="I197" i="311"/>
  <c r="M197" i="311"/>
  <c r="N197" i="311"/>
  <c r="D195" i="311"/>
  <c r="E195" i="311"/>
  <c r="F195" i="311"/>
  <c r="G195" i="311"/>
  <c r="H195" i="311"/>
  <c r="I195" i="311"/>
  <c r="M195" i="311"/>
  <c r="N195" i="311"/>
  <c r="P195" i="311"/>
  <c r="C197" i="311"/>
  <c r="C195" i="311"/>
  <c r="D182" i="311"/>
  <c r="E182" i="311"/>
  <c r="F182" i="311"/>
  <c r="G182" i="311"/>
  <c r="H182" i="311"/>
  <c r="I182" i="311"/>
  <c r="M182" i="311"/>
  <c r="N182" i="311"/>
  <c r="D180" i="311"/>
  <c r="E180" i="311"/>
  <c r="G180" i="311"/>
  <c r="H180" i="311"/>
  <c r="I180" i="311"/>
  <c r="M180" i="311"/>
  <c r="N180" i="311"/>
  <c r="C182" i="311"/>
  <c r="C180" i="311"/>
  <c r="D168" i="311"/>
  <c r="E168" i="311"/>
  <c r="F168" i="311"/>
  <c r="G168" i="311"/>
  <c r="H168" i="311"/>
  <c r="I168" i="311"/>
  <c r="M168" i="311"/>
  <c r="N168" i="311"/>
  <c r="D166" i="311"/>
  <c r="E166" i="311"/>
  <c r="F166" i="311"/>
  <c r="G166" i="311"/>
  <c r="H166" i="311"/>
  <c r="I166" i="311"/>
  <c r="M166" i="311"/>
  <c r="N166" i="311"/>
  <c r="P166" i="311"/>
  <c r="C168" i="311"/>
  <c r="C166" i="311"/>
  <c r="D153" i="311"/>
  <c r="E153" i="311"/>
  <c r="F153" i="311"/>
  <c r="G153" i="311"/>
  <c r="H153" i="311"/>
  <c r="I153" i="311"/>
  <c r="M153" i="311"/>
  <c r="N153" i="311"/>
  <c r="P153" i="311"/>
  <c r="D151" i="311"/>
  <c r="E151" i="311"/>
  <c r="F151" i="311"/>
  <c r="G151" i="311"/>
  <c r="H151" i="311"/>
  <c r="I151" i="311"/>
  <c r="M151" i="311"/>
  <c r="N151" i="311"/>
  <c r="C153" i="311"/>
  <c r="C151" i="311"/>
  <c r="D139" i="311"/>
  <c r="E139" i="311"/>
  <c r="F139" i="311"/>
  <c r="G139" i="311"/>
  <c r="H139" i="311"/>
  <c r="I139" i="311"/>
  <c r="M139" i="311"/>
  <c r="N139" i="311"/>
  <c r="P139" i="311"/>
  <c r="C139" i="311"/>
  <c r="D137" i="311"/>
  <c r="E137" i="311"/>
  <c r="F137" i="311"/>
  <c r="G137" i="311"/>
  <c r="H137" i="311"/>
  <c r="I137" i="311"/>
  <c r="M137" i="311"/>
  <c r="N137" i="311"/>
  <c r="C137" i="311"/>
  <c r="D122" i="311"/>
  <c r="E122" i="311"/>
  <c r="F122" i="311"/>
  <c r="G122" i="311"/>
  <c r="H122" i="311"/>
  <c r="I122" i="311"/>
  <c r="M122" i="311"/>
  <c r="N122" i="311"/>
  <c r="P122" i="311"/>
  <c r="C122" i="311"/>
  <c r="D120" i="311"/>
  <c r="E120" i="311"/>
  <c r="F120" i="311"/>
  <c r="G120" i="311"/>
  <c r="H120" i="311"/>
  <c r="I120" i="311"/>
  <c r="M120" i="311"/>
  <c r="N120" i="311"/>
  <c r="C120" i="311"/>
  <c r="D108" i="311"/>
  <c r="E108" i="311"/>
  <c r="F108" i="311"/>
  <c r="G108" i="311"/>
  <c r="H108" i="311"/>
  <c r="I108" i="311"/>
  <c r="M108" i="311"/>
  <c r="N108" i="311"/>
  <c r="D107" i="311"/>
  <c r="E107" i="311"/>
  <c r="F107" i="311"/>
  <c r="G107" i="311"/>
  <c r="H107" i="311"/>
  <c r="I107" i="311"/>
  <c r="M107" i="311"/>
  <c r="N107" i="311"/>
  <c r="P107" i="311"/>
  <c r="D106" i="311"/>
  <c r="E106" i="311"/>
  <c r="F106" i="311"/>
  <c r="G106" i="311"/>
  <c r="H106" i="311"/>
  <c r="I106" i="311"/>
  <c r="M106" i="311"/>
  <c r="N106" i="311"/>
  <c r="P106" i="311"/>
  <c r="C108" i="311"/>
  <c r="C107" i="311"/>
  <c r="C106" i="311"/>
  <c r="D95" i="311"/>
  <c r="E95" i="311"/>
  <c r="F95" i="311"/>
  <c r="G95" i="311"/>
  <c r="H95" i="311"/>
  <c r="I95" i="311"/>
  <c r="M95" i="311"/>
  <c r="N95" i="311"/>
  <c r="C95" i="311"/>
  <c r="D93" i="311"/>
  <c r="E93" i="311"/>
  <c r="F93" i="311"/>
  <c r="G93" i="311"/>
  <c r="H93" i="311"/>
  <c r="I93" i="311"/>
  <c r="M93" i="311"/>
  <c r="N93" i="311"/>
  <c r="C93" i="311"/>
  <c r="D81" i="311"/>
  <c r="E81" i="311"/>
  <c r="F81" i="311"/>
  <c r="G81" i="311"/>
  <c r="H81" i="311"/>
  <c r="I81" i="311"/>
  <c r="M81" i="311"/>
  <c r="N81" i="311"/>
  <c r="P81" i="311"/>
  <c r="C81" i="311"/>
  <c r="D79" i="311"/>
  <c r="E79" i="311"/>
  <c r="F79" i="311"/>
  <c r="G79" i="311"/>
  <c r="H79" i="311"/>
  <c r="I79" i="311"/>
  <c r="M79" i="311"/>
  <c r="N79" i="311"/>
  <c r="P79" i="311"/>
  <c r="C79" i="311"/>
  <c r="D67" i="311"/>
  <c r="E67" i="311"/>
  <c r="F67" i="311"/>
  <c r="G67" i="311"/>
  <c r="H67" i="311"/>
  <c r="I67" i="311"/>
  <c r="M67" i="311"/>
  <c r="N67" i="311"/>
  <c r="P67" i="311"/>
  <c r="C67" i="311"/>
  <c r="D65" i="311"/>
  <c r="E65" i="311"/>
  <c r="F65" i="311"/>
  <c r="G65" i="311"/>
  <c r="H65" i="311"/>
  <c r="I65" i="311"/>
  <c r="M65" i="311"/>
  <c r="N65" i="311"/>
  <c r="P65" i="311"/>
  <c r="C65" i="311"/>
  <c r="D52" i="311" l="1"/>
  <c r="E52" i="311"/>
  <c r="F52" i="311"/>
  <c r="G52" i="311"/>
  <c r="H52" i="311"/>
  <c r="I52" i="311"/>
  <c r="M52" i="311"/>
  <c r="N52" i="311"/>
  <c r="P52" i="311"/>
  <c r="C52" i="311"/>
  <c r="D50" i="311"/>
  <c r="E50" i="311"/>
  <c r="F50" i="311"/>
  <c r="G50" i="311"/>
  <c r="H50" i="311"/>
  <c r="I50" i="311"/>
  <c r="M50" i="311"/>
  <c r="N50" i="311"/>
  <c r="P50" i="311"/>
  <c r="C50" i="311"/>
  <c r="D20" i="311"/>
  <c r="E20" i="311"/>
  <c r="F20" i="311"/>
  <c r="G20" i="311"/>
  <c r="H20" i="311"/>
  <c r="I20" i="311"/>
  <c r="M20" i="311"/>
  <c r="N20" i="311"/>
  <c r="C20" i="311"/>
  <c r="D18" i="311"/>
  <c r="E18" i="311"/>
  <c r="F18" i="311"/>
  <c r="G18" i="311"/>
  <c r="H18" i="311"/>
  <c r="I18" i="311"/>
  <c r="M18" i="311"/>
  <c r="N18" i="311"/>
  <c r="C18" i="311"/>
  <c r="B36" i="299" l="1"/>
  <c r="D31" i="316" l="1"/>
  <c r="E31" i="316"/>
  <c r="F31" i="316"/>
  <c r="B31" i="316"/>
  <c r="C13" i="316"/>
  <c r="C21" i="316"/>
  <c r="C29" i="316"/>
  <c r="G29" i="316" s="1"/>
  <c r="C19" i="316"/>
  <c r="G19" i="316" s="1"/>
  <c r="C17" i="316"/>
  <c r="C28" i="316"/>
  <c r="G28" i="316" s="1"/>
  <c r="C30" i="316"/>
  <c r="G30" i="316" s="1"/>
  <c r="C27" i="316"/>
  <c r="G27" i="316" s="1"/>
  <c r="C26" i="316"/>
  <c r="G26" i="316" s="1"/>
  <c r="C24" i="316"/>
  <c r="C10" i="316"/>
  <c r="G10" i="316" s="1"/>
  <c r="C9" i="316"/>
  <c r="G9" i="316" s="1"/>
  <c r="G13" i="316"/>
  <c r="G12" i="316"/>
  <c r="G11" i="316"/>
  <c r="G8" i="316"/>
  <c r="C20" i="316"/>
  <c r="G20" i="316" s="1"/>
  <c r="C23" i="316"/>
  <c r="G23" i="316" s="1"/>
  <c r="C16" i="316"/>
  <c r="G16" i="316" s="1"/>
  <c r="C18" i="316"/>
  <c r="G18" i="316" s="1"/>
  <c r="C14" i="316"/>
  <c r="G14" i="316" s="1"/>
  <c r="G25" i="316"/>
  <c r="G24" i="316"/>
  <c r="G22" i="316"/>
  <c r="G21" i="316"/>
  <c r="G15" i="316"/>
  <c r="C31" i="316" l="1"/>
  <c r="G17" i="316"/>
  <c r="G31" i="316" s="1"/>
  <c r="F40" i="316"/>
  <c r="E40" i="316"/>
  <c r="D40" i="316"/>
  <c r="C40" i="316"/>
  <c r="B40" i="316"/>
  <c r="G39" i="316"/>
  <c r="G40" i="316" s="1"/>
  <c r="F36" i="316"/>
  <c r="E36" i="316"/>
  <c r="E41" i="316" s="1"/>
  <c r="D36" i="316"/>
  <c r="C36" i="316"/>
  <c r="B36" i="316"/>
  <c r="G35" i="316"/>
  <c r="G34" i="316"/>
  <c r="C41" i="316" l="1"/>
  <c r="G36" i="316"/>
  <c r="G41" i="316" s="1"/>
  <c r="B41" i="316"/>
  <c r="F41" i="316"/>
  <c r="D41" i="316"/>
  <c r="B15" i="315" l="1"/>
  <c r="B6" i="315" l="1"/>
  <c r="G79" i="302" l="1"/>
  <c r="G77" i="302"/>
  <c r="D79" i="302"/>
  <c r="AL63" i="239" l="1"/>
  <c r="AJ63" i="239"/>
  <c r="AI63" i="239"/>
  <c r="AH63" i="239"/>
  <c r="AF63" i="239"/>
  <c r="AE63" i="239"/>
  <c r="AA63" i="239"/>
  <c r="AB63" i="239"/>
  <c r="AC63" i="239"/>
  <c r="AD63" i="239"/>
  <c r="W63" i="239"/>
  <c r="Z63" i="239" s="1"/>
  <c r="X63" i="239"/>
  <c r="Y63" i="239"/>
  <c r="V63" i="239"/>
  <c r="R63" i="239"/>
  <c r="K63" i="239"/>
  <c r="N63" i="239" s="1"/>
  <c r="L63" i="239"/>
  <c r="M63" i="239"/>
  <c r="J63" i="239"/>
  <c r="H50" i="239"/>
  <c r="G50" i="239"/>
  <c r="H49" i="239"/>
  <c r="G44" i="239"/>
  <c r="AA47" i="239"/>
  <c r="AB47" i="239"/>
  <c r="AC47" i="239"/>
  <c r="AD47" i="239"/>
  <c r="AE47" i="239"/>
  <c r="AF47" i="239"/>
  <c r="AG47" i="239"/>
  <c r="AH47" i="239"/>
  <c r="AI47" i="239"/>
  <c r="AJ47" i="239"/>
  <c r="AK47" i="239"/>
  <c r="AL47" i="239"/>
  <c r="W47" i="239"/>
  <c r="Z47" i="239" s="1"/>
  <c r="X47" i="239"/>
  <c r="Y47" i="239"/>
  <c r="V47" i="239"/>
  <c r="R47" i="239"/>
  <c r="K47" i="239"/>
  <c r="N47" i="239" s="1"/>
  <c r="L47" i="239"/>
  <c r="M47" i="239"/>
  <c r="J47" i="239"/>
  <c r="H40" i="239"/>
  <c r="G40" i="239"/>
  <c r="H42" i="239"/>
  <c r="G42" i="239"/>
  <c r="G41" i="239"/>
  <c r="D38" i="239"/>
  <c r="E38" i="239"/>
  <c r="F38" i="239"/>
  <c r="G38" i="239"/>
  <c r="H38" i="239"/>
  <c r="I38" i="239"/>
  <c r="L38" i="239"/>
  <c r="M38" i="239"/>
  <c r="O38" i="239"/>
  <c r="P38" i="239"/>
  <c r="Q38" i="239"/>
  <c r="R38" i="239"/>
  <c r="S38" i="239"/>
  <c r="T38" i="239"/>
  <c r="U38" i="239"/>
  <c r="V38" i="239"/>
  <c r="W38" i="239"/>
  <c r="X38" i="239"/>
  <c r="Y38" i="239"/>
  <c r="Z38" i="239"/>
  <c r="AA38" i="239"/>
  <c r="AB38" i="239"/>
  <c r="AC38" i="239"/>
  <c r="AD38" i="239"/>
  <c r="AF38" i="239"/>
  <c r="AG38" i="239"/>
  <c r="AJ38" i="239"/>
  <c r="AK38" i="239"/>
  <c r="C38" i="239"/>
  <c r="AA37" i="239"/>
  <c r="AD37" i="239" s="1"/>
  <c r="AB37" i="239"/>
  <c r="AC37" i="239"/>
  <c r="AE37" i="239"/>
  <c r="AH37" i="239" s="1"/>
  <c r="AF37" i="239"/>
  <c r="AG37" i="239"/>
  <c r="AJ37" i="239"/>
  <c r="AK37" i="239"/>
  <c r="W37" i="239"/>
  <c r="Z37" i="239" s="1"/>
  <c r="X37" i="239"/>
  <c r="Y37" i="239"/>
  <c r="V37" i="239"/>
  <c r="R37" i="239"/>
  <c r="F37" i="239"/>
  <c r="K37" i="239"/>
  <c r="N37" i="239" s="1"/>
  <c r="L37" i="239"/>
  <c r="M37" i="239"/>
  <c r="J37" i="239"/>
  <c r="K25" i="239"/>
  <c r="AI25" i="239" s="1"/>
  <c r="K23" i="239"/>
  <c r="N23" i="239" s="1"/>
  <c r="L25" i="239"/>
  <c r="AJ25" i="239" s="1"/>
  <c r="M25" i="239"/>
  <c r="L23" i="239"/>
  <c r="AJ23" i="239" s="1"/>
  <c r="M23" i="239"/>
  <c r="AA25" i="239"/>
  <c r="AD25" i="239" s="1"/>
  <c r="AB25" i="239"/>
  <c r="AC25" i="239"/>
  <c r="AE25" i="239"/>
  <c r="AF25" i="239"/>
  <c r="AG25" i="239"/>
  <c r="AK25" i="239"/>
  <c r="AA23" i="239"/>
  <c r="AD23" i="239" s="1"/>
  <c r="AB23" i="239"/>
  <c r="AC23" i="239"/>
  <c r="AE23" i="239"/>
  <c r="AH23" i="239" s="1"/>
  <c r="AF23" i="239"/>
  <c r="AG23" i="239"/>
  <c r="AI23" i="239"/>
  <c r="AK23" i="239"/>
  <c r="W25" i="239"/>
  <c r="Z25" i="239" s="1"/>
  <c r="X25" i="239"/>
  <c r="Y25" i="239"/>
  <c r="W23" i="239"/>
  <c r="Z23" i="239" s="1"/>
  <c r="X23" i="239"/>
  <c r="Y23" i="239"/>
  <c r="V25" i="239"/>
  <c r="V23" i="239"/>
  <c r="R23" i="239"/>
  <c r="R25" i="239"/>
  <c r="J25" i="239"/>
  <c r="J23" i="239"/>
  <c r="H21" i="239"/>
  <c r="G21" i="239"/>
  <c r="H20" i="239"/>
  <c r="H18" i="239"/>
  <c r="G18" i="239"/>
  <c r="G16" i="239"/>
  <c r="G12" i="239"/>
  <c r="G11" i="239"/>
  <c r="AY167" i="244"/>
  <c r="AX167" i="244"/>
  <c r="AW167" i="244"/>
  <c r="AV167" i="244"/>
  <c r="AU167" i="244"/>
  <c r="AT167" i="244"/>
  <c r="AS167" i="244"/>
  <c r="AR167" i="244"/>
  <c r="AQ167" i="244"/>
  <c r="AP167" i="244"/>
  <c r="AN167" i="244"/>
  <c r="AB167" i="244"/>
  <c r="AZ167" i="244" s="1"/>
  <c r="L167" i="244"/>
  <c r="H167" i="244"/>
  <c r="AH50" i="244"/>
  <c r="AF49" i="244"/>
  <c r="G50" i="244"/>
  <c r="E49" i="244"/>
  <c r="R260" i="244"/>
  <c r="S260" i="244"/>
  <c r="T260" i="244"/>
  <c r="U260" i="244"/>
  <c r="V260" i="244"/>
  <c r="W260" i="244"/>
  <c r="X260" i="244"/>
  <c r="Y260" i="244"/>
  <c r="Z260" i="244"/>
  <c r="AA260" i="244"/>
  <c r="AC260" i="244"/>
  <c r="AD260" i="244"/>
  <c r="AE260" i="244"/>
  <c r="AF260" i="244"/>
  <c r="AG260" i="244"/>
  <c r="AH260" i="244"/>
  <c r="AI260" i="244"/>
  <c r="AJ260" i="244"/>
  <c r="AK260" i="244"/>
  <c r="AL260" i="244"/>
  <c r="AM260" i="244"/>
  <c r="AS260" i="244"/>
  <c r="AW260" i="244"/>
  <c r="AY260" i="244" l="1"/>
  <c r="AV260" i="244"/>
  <c r="AI37" i="239"/>
  <c r="AH25" i="239"/>
  <c r="N25" i="239"/>
  <c r="AL25" i="239"/>
  <c r="AL23" i="239"/>
  <c r="AR260" i="244"/>
  <c r="P167" i="244"/>
  <c r="BB167" i="244"/>
  <c r="AU260" i="244"/>
  <c r="AQ260" i="244"/>
  <c r="AX260" i="244"/>
  <c r="AB260" i="244"/>
  <c r="AT260" i="244"/>
  <c r="AN260" i="244"/>
  <c r="AP260" i="244"/>
  <c r="AM288" i="244"/>
  <c r="N293" i="244" s="1"/>
  <c r="AK288" i="244"/>
  <c r="K293" i="244" s="1"/>
  <c r="AI288" i="244"/>
  <c r="I293" i="244" s="1"/>
  <c r="AH288" i="244"/>
  <c r="G293" i="244" s="1"/>
  <c r="AG288" i="244"/>
  <c r="F293" i="244" s="1"/>
  <c r="AF288" i="244"/>
  <c r="E293" i="244" s="1"/>
  <c r="AE288" i="244"/>
  <c r="D293" i="244" s="1"/>
  <c r="S288" i="244"/>
  <c r="D292" i="244" s="1"/>
  <c r="D294" i="244" s="1"/>
  <c r="T288" i="244"/>
  <c r="E292" i="244" s="1"/>
  <c r="U288" i="244"/>
  <c r="F292" i="244" s="1"/>
  <c r="F294" i="244" s="1"/>
  <c r="V288" i="244"/>
  <c r="G292" i="244" s="1"/>
  <c r="X288" i="244"/>
  <c r="J292" i="244" s="1"/>
  <c r="R288" i="244"/>
  <c r="C292" i="244" s="1"/>
  <c r="AL288" i="244"/>
  <c r="M293" i="244" s="1"/>
  <c r="AJ288" i="244"/>
  <c r="J293" i="244" s="1"/>
  <c r="AD288" i="244"/>
  <c r="C293" i="244" s="1"/>
  <c r="Z288" i="244"/>
  <c r="M292" i="244" s="1"/>
  <c r="AA288" i="244"/>
  <c r="N292" i="244" s="1"/>
  <c r="Y288" i="244"/>
  <c r="K292" i="244" s="1"/>
  <c r="K294" i="244" s="1"/>
  <c r="AB16" i="244"/>
  <c r="AN16" i="244"/>
  <c r="AZ16" i="244" s="1"/>
  <c r="AB17" i="244"/>
  <c r="AN17" i="244"/>
  <c r="AB18" i="244"/>
  <c r="AN18" i="244"/>
  <c r="AZ18" i="244" s="1"/>
  <c r="BB18" i="244" s="1"/>
  <c r="AB19" i="244"/>
  <c r="AN19" i="244"/>
  <c r="AB20" i="244"/>
  <c r="AN20" i="244"/>
  <c r="AZ20" i="244" s="1"/>
  <c r="AB21" i="244"/>
  <c r="AN21" i="244"/>
  <c r="AZ21" i="244" s="1"/>
  <c r="AB22" i="244"/>
  <c r="AN22" i="244"/>
  <c r="AZ22" i="244" s="1"/>
  <c r="AB23" i="244"/>
  <c r="AN23" i="244"/>
  <c r="AB24" i="244"/>
  <c r="AN24" i="244"/>
  <c r="AZ24" i="244" s="1"/>
  <c r="BB24" i="244" s="1"/>
  <c r="AB25" i="244"/>
  <c r="AN25" i="244"/>
  <c r="AZ25" i="244" s="1"/>
  <c r="AB26" i="244"/>
  <c r="AN26" i="244"/>
  <c r="AB27" i="244"/>
  <c r="AN27" i="244"/>
  <c r="AB28" i="244"/>
  <c r="AN28" i="244"/>
  <c r="AZ28" i="244" s="1"/>
  <c r="BB28" i="244" s="1"/>
  <c r="AB29" i="244"/>
  <c r="AN29" i="244"/>
  <c r="AZ29" i="244" s="1"/>
  <c r="BB29" i="244" s="1"/>
  <c r="AB30" i="244"/>
  <c r="AN30" i="244"/>
  <c r="AZ30" i="244" s="1"/>
  <c r="AB31" i="244"/>
  <c r="AN31" i="244"/>
  <c r="AB32" i="244"/>
  <c r="AN32" i="244"/>
  <c r="AZ32" i="244" s="1"/>
  <c r="BB32" i="244" s="1"/>
  <c r="AB33" i="244"/>
  <c r="AN33" i="244"/>
  <c r="AZ33" i="244" s="1"/>
  <c r="AB34" i="244"/>
  <c r="AN34" i="244"/>
  <c r="AZ34" i="244" s="1"/>
  <c r="BB34" i="244" s="1"/>
  <c r="AB35" i="244"/>
  <c r="AN35" i="244"/>
  <c r="AB36" i="244"/>
  <c r="AN36" i="244"/>
  <c r="AB37" i="244"/>
  <c r="AN37" i="244"/>
  <c r="AZ37" i="244" s="1"/>
  <c r="AB38" i="244"/>
  <c r="AN38" i="244"/>
  <c r="AZ38" i="244" s="1"/>
  <c r="AB39" i="244"/>
  <c r="AN39" i="244"/>
  <c r="AB40" i="244"/>
  <c r="AN40" i="244"/>
  <c r="AZ40" i="244" s="1"/>
  <c r="AB41" i="244"/>
  <c r="AN41" i="244"/>
  <c r="AZ41" i="244" s="1"/>
  <c r="AB42" i="244"/>
  <c r="AN42" i="244"/>
  <c r="AZ42" i="244" s="1"/>
  <c r="AB43" i="244"/>
  <c r="AN43" i="244"/>
  <c r="AB44" i="244"/>
  <c r="AN44" i="244"/>
  <c r="AZ44" i="244" s="1"/>
  <c r="AB45" i="244"/>
  <c r="AN45" i="244"/>
  <c r="AZ45" i="244" s="1"/>
  <c r="BB45" i="244" s="1"/>
  <c r="AB46" i="244"/>
  <c r="AN46" i="244"/>
  <c r="AZ46" i="244" s="1"/>
  <c r="BB46" i="244" s="1"/>
  <c r="AB47" i="244"/>
  <c r="AN47" i="244"/>
  <c r="AB48" i="244"/>
  <c r="AN48" i="244"/>
  <c r="AZ48" i="244" s="1"/>
  <c r="AB49" i="244"/>
  <c r="AN49" i="244"/>
  <c r="AZ49" i="244" s="1"/>
  <c r="AB50" i="244"/>
  <c r="AN50" i="244"/>
  <c r="AZ50" i="244" s="1"/>
  <c r="AB51" i="244"/>
  <c r="AN51" i="244"/>
  <c r="AB52" i="244"/>
  <c r="AN52" i="244"/>
  <c r="AZ52" i="244" s="1"/>
  <c r="BB52" i="244" s="1"/>
  <c r="AB53" i="244"/>
  <c r="AN53" i="244"/>
  <c r="AZ53" i="244" s="1"/>
  <c r="AB54" i="244"/>
  <c r="AN54" i="244"/>
  <c r="AZ54" i="244" s="1"/>
  <c r="BB54" i="244" s="1"/>
  <c r="AB55" i="244"/>
  <c r="AN55" i="244"/>
  <c r="AB56" i="244"/>
  <c r="AN56" i="244"/>
  <c r="AZ56" i="244" s="1"/>
  <c r="BB56" i="244" s="1"/>
  <c r="AB57" i="244"/>
  <c r="AN57" i="244"/>
  <c r="AZ57" i="244" s="1"/>
  <c r="AB58" i="244"/>
  <c r="AN58" i="244"/>
  <c r="AZ58" i="244" s="1"/>
  <c r="AB59" i="244"/>
  <c r="AN59" i="244"/>
  <c r="AB60" i="244"/>
  <c r="AN60" i="244"/>
  <c r="AZ60" i="244" s="1"/>
  <c r="BB60" i="244" s="1"/>
  <c r="AB61" i="244"/>
  <c r="AN61" i="244"/>
  <c r="AZ61" i="244" s="1"/>
  <c r="BB61" i="244" s="1"/>
  <c r="AB62" i="244"/>
  <c r="AN62" i="244"/>
  <c r="AZ62" i="244" s="1"/>
  <c r="BB62" i="244" s="1"/>
  <c r="AB63" i="244"/>
  <c r="AN63" i="244"/>
  <c r="AB64" i="244"/>
  <c r="AN64" i="244"/>
  <c r="AZ64" i="244" s="1"/>
  <c r="BB64" i="244" s="1"/>
  <c r="AB65" i="244"/>
  <c r="AN65" i="244"/>
  <c r="AZ65" i="244" s="1"/>
  <c r="BB65" i="244" s="1"/>
  <c r="AB66" i="244"/>
  <c r="AN66" i="244"/>
  <c r="AZ66" i="244" s="1"/>
  <c r="BB66" i="244" s="1"/>
  <c r="AB67" i="244"/>
  <c r="AN67" i="244"/>
  <c r="AB68" i="244"/>
  <c r="AN68" i="244"/>
  <c r="AZ68" i="244" s="1"/>
  <c r="AB69" i="244"/>
  <c r="AN69" i="244"/>
  <c r="AB70" i="244"/>
  <c r="AN70" i="244"/>
  <c r="AZ70" i="244" s="1"/>
  <c r="AB71" i="244"/>
  <c r="AN71" i="244"/>
  <c r="AB72" i="244"/>
  <c r="AN72" i="244"/>
  <c r="AZ72" i="244" s="1"/>
  <c r="AB73" i="244"/>
  <c r="AN73" i="244"/>
  <c r="AZ73" i="244" s="1"/>
  <c r="AB74" i="244"/>
  <c r="AN74" i="244"/>
  <c r="AZ74" i="244" s="1"/>
  <c r="AB75" i="244"/>
  <c r="AN75" i="244"/>
  <c r="AB76" i="244"/>
  <c r="AN76" i="244"/>
  <c r="AZ76" i="244" s="1"/>
  <c r="BB76" i="244" s="1"/>
  <c r="AB77" i="244"/>
  <c r="AN77" i="244"/>
  <c r="AZ77" i="244" s="1"/>
  <c r="AB78" i="244"/>
  <c r="AN78" i="244"/>
  <c r="AB79" i="244"/>
  <c r="AN79" i="244"/>
  <c r="AB80" i="244"/>
  <c r="AN80" i="244"/>
  <c r="AZ80" i="244" s="1"/>
  <c r="AB81" i="244"/>
  <c r="AN81" i="244"/>
  <c r="AZ81" i="244" s="1"/>
  <c r="AB82" i="244"/>
  <c r="AN82" i="244"/>
  <c r="AZ82" i="244" s="1"/>
  <c r="AB83" i="244"/>
  <c r="AN83" i="244"/>
  <c r="AB84" i="244"/>
  <c r="AN84" i="244"/>
  <c r="AZ84" i="244" s="1"/>
  <c r="BB84" i="244" s="1"/>
  <c r="AB85" i="244"/>
  <c r="AN85" i="244"/>
  <c r="AZ85" i="244" s="1"/>
  <c r="AB86" i="244"/>
  <c r="AN86" i="244"/>
  <c r="AZ86" i="244" s="1"/>
  <c r="BB86" i="244" s="1"/>
  <c r="AB87" i="244"/>
  <c r="AN87" i="244"/>
  <c r="AB88" i="244"/>
  <c r="AN88" i="244"/>
  <c r="AZ88" i="244" s="1"/>
  <c r="AB89" i="244"/>
  <c r="AN89" i="244"/>
  <c r="AZ89" i="244" s="1"/>
  <c r="BB89" i="244" s="1"/>
  <c r="AB90" i="244"/>
  <c r="AN90" i="244"/>
  <c r="AZ90" i="244" s="1"/>
  <c r="BB90" i="244" s="1"/>
  <c r="AB91" i="244"/>
  <c r="AN91" i="244"/>
  <c r="AB92" i="244"/>
  <c r="AN92" i="244"/>
  <c r="AZ92" i="244" s="1"/>
  <c r="AB93" i="244"/>
  <c r="AN93" i="244"/>
  <c r="AB94" i="244"/>
  <c r="AN94" i="244"/>
  <c r="AZ94" i="244" s="1"/>
  <c r="AB95" i="244"/>
  <c r="AN95" i="244"/>
  <c r="AB96" i="244"/>
  <c r="AN96" i="244"/>
  <c r="AZ96" i="244" s="1"/>
  <c r="BB96" i="244" s="1"/>
  <c r="AB97" i="244"/>
  <c r="AN97" i="244"/>
  <c r="AZ97" i="244" s="1"/>
  <c r="BB97" i="244" s="1"/>
  <c r="AB98" i="244"/>
  <c r="AN98" i="244"/>
  <c r="AZ98" i="244" s="1"/>
  <c r="BB98" i="244" s="1"/>
  <c r="AB99" i="244"/>
  <c r="AN99" i="244"/>
  <c r="AB100" i="244"/>
  <c r="AN100" i="244"/>
  <c r="AZ100" i="244" s="1"/>
  <c r="AB101" i="244"/>
  <c r="AN101" i="244"/>
  <c r="AZ101" i="244" s="1"/>
  <c r="BB101" i="244" s="1"/>
  <c r="AB102" i="244"/>
  <c r="AN102" i="244"/>
  <c r="AZ102" i="244" s="1"/>
  <c r="BB102" i="244" s="1"/>
  <c r="AB103" i="244"/>
  <c r="AN103" i="244"/>
  <c r="AB104" i="244"/>
  <c r="AN104" i="244"/>
  <c r="AZ104" i="244" s="1"/>
  <c r="AB105" i="244"/>
  <c r="AN105" i="244"/>
  <c r="AB106" i="244"/>
  <c r="AN106" i="244"/>
  <c r="AZ106" i="244" s="1"/>
  <c r="AB107" i="244"/>
  <c r="AN107" i="244"/>
  <c r="AB108" i="244"/>
  <c r="AN108" i="244"/>
  <c r="AZ108" i="244" s="1"/>
  <c r="AB109" i="244"/>
  <c r="AN109" i="244"/>
  <c r="AZ109" i="244" s="1"/>
  <c r="AB110" i="244"/>
  <c r="AN110" i="244"/>
  <c r="AZ110" i="244" s="1"/>
  <c r="AB111" i="244"/>
  <c r="AN111" i="244"/>
  <c r="AB112" i="244"/>
  <c r="AN112" i="244"/>
  <c r="AZ112" i="244" s="1"/>
  <c r="AB113" i="244"/>
  <c r="AN113" i="244"/>
  <c r="AB114" i="244"/>
  <c r="AN114" i="244"/>
  <c r="AZ114" i="244" s="1"/>
  <c r="AB115" i="244"/>
  <c r="AN115" i="244"/>
  <c r="AB116" i="244"/>
  <c r="AN116" i="244"/>
  <c r="AZ116" i="244" s="1"/>
  <c r="AB117" i="244"/>
  <c r="AN117" i="244"/>
  <c r="AB118" i="244"/>
  <c r="AN118" i="244"/>
  <c r="AZ118" i="244" s="1"/>
  <c r="AB119" i="244"/>
  <c r="AN119" i="244"/>
  <c r="AB120" i="244"/>
  <c r="AN120" i="244"/>
  <c r="AZ120" i="244" s="1"/>
  <c r="AB121" i="244"/>
  <c r="AN121" i="244"/>
  <c r="AZ121" i="244" s="1"/>
  <c r="AB122" i="244"/>
  <c r="AN122" i="244"/>
  <c r="AZ122" i="244" s="1"/>
  <c r="AB123" i="244"/>
  <c r="AN123" i="244"/>
  <c r="AB124" i="244"/>
  <c r="AN124" i="244"/>
  <c r="AZ124" i="244" s="1"/>
  <c r="AB125" i="244"/>
  <c r="AN125" i="244"/>
  <c r="AZ125" i="244" s="1"/>
  <c r="AB126" i="244"/>
  <c r="AN126" i="244"/>
  <c r="AZ126" i="244" s="1"/>
  <c r="AB127" i="244"/>
  <c r="AN127" i="244"/>
  <c r="AB128" i="244"/>
  <c r="AN128" i="244"/>
  <c r="AZ128" i="244" s="1"/>
  <c r="BB128" i="244" s="1"/>
  <c r="AB129" i="244"/>
  <c r="AN129" i="244"/>
  <c r="AZ129" i="244" s="1"/>
  <c r="AB130" i="244"/>
  <c r="AN130" i="244"/>
  <c r="AZ130" i="244" s="1"/>
  <c r="AB131" i="244"/>
  <c r="AN131" i="244"/>
  <c r="AB132" i="244"/>
  <c r="AN132" i="244"/>
  <c r="AZ132" i="244" s="1"/>
  <c r="AB133" i="244"/>
  <c r="AN133" i="244"/>
  <c r="AZ133" i="244" s="1"/>
  <c r="AB134" i="244"/>
  <c r="AN134" i="244"/>
  <c r="AB135" i="244"/>
  <c r="AN135" i="244"/>
  <c r="AB136" i="244"/>
  <c r="AN136" i="244"/>
  <c r="AB137" i="244"/>
  <c r="AN137" i="244"/>
  <c r="AZ137" i="244" s="1"/>
  <c r="AB138" i="244"/>
  <c r="AN138" i="244"/>
  <c r="AZ138" i="244" s="1"/>
  <c r="AB139" i="244"/>
  <c r="AN139" i="244"/>
  <c r="AB140" i="244"/>
  <c r="AN140" i="244"/>
  <c r="AZ140" i="244" s="1"/>
  <c r="AB141" i="244"/>
  <c r="AN141" i="244"/>
  <c r="AB142" i="244"/>
  <c r="AN142" i="244"/>
  <c r="AB143" i="244"/>
  <c r="AN143" i="244"/>
  <c r="AB144" i="244"/>
  <c r="AN144" i="244"/>
  <c r="AZ144" i="244" s="1"/>
  <c r="AB145" i="244"/>
  <c r="AN145" i="244"/>
  <c r="AZ145" i="244" s="1"/>
  <c r="AB146" i="244"/>
  <c r="AN146" i="244"/>
  <c r="AB147" i="244"/>
  <c r="AN147" i="244"/>
  <c r="AZ147" i="244" s="1"/>
  <c r="AB148" i="244"/>
  <c r="AN148" i="244"/>
  <c r="AZ148" i="244" s="1"/>
  <c r="AB149" i="244"/>
  <c r="AN149" i="244"/>
  <c r="AB150" i="244"/>
  <c r="AN150" i="244"/>
  <c r="AB151" i="244"/>
  <c r="AN151" i="244"/>
  <c r="AB152" i="244"/>
  <c r="AN152" i="244"/>
  <c r="AZ152" i="244" s="1"/>
  <c r="BB152" i="244" s="1"/>
  <c r="AB153" i="244"/>
  <c r="AN153" i="244"/>
  <c r="AZ153" i="244" s="1"/>
  <c r="AB154" i="244"/>
  <c r="AN154" i="244"/>
  <c r="AB155" i="244"/>
  <c r="AN155" i="244"/>
  <c r="AZ155" i="244" s="1"/>
  <c r="AB156" i="244"/>
  <c r="AN156" i="244"/>
  <c r="AZ156" i="244" s="1"/>
  <c r="AB157" i="244"/>
  <c r="AN157" i="244"/>
  <c r="AB158" i="244"/>
  <c r="AN158" i="244"/>
  <c r="AB159" i="244"/>
  <c r="AN159" i="244"/>
  <c r="AZ159" i="244" s="1"/>
  <c r="AB160" i="244"/>
  <c r="AN160" i="244"/>
  <c r="AB161" i="244"/>
  <c r="AN161" i="244"/>
  <c r="AZ161" i="244" s="1"/>
  <c r="AB162" i="244"/>
  <c r="AN162" i="244"/>
  <c r="AB163" i="244"/>
  <c r="AN163" i="244"/>
  <c r="AZ163" i="244" s="1"/>
  <c r="AB164" i="244"/>
  <c r="AN164" i="244"/>
  <c r="AB165" i="244"/>
  <c r="AN165" i="244"/>
  <c r="AB166" i="244"/>
  <c r="AN166" i="244"/>
  <c r="AB168" i="244"/>
  <c r="AN168" i="244"/>
  <c r="AZ168" i="244" s="1"/>
  <c r="BB168" i="244" s="1"/>
  <c r="AB169" i="244"/>
  <c r="AN169" i="244"/>
  <c r="AZ169" i="244" s="1"/>
  <c r="BB169" i="244" s="1"/>
  <c r="AB170" i="244"/>
  <c r="AN170" i="244"/>
  <c r="AZ170" i="244" s="1"/>
  <c r="BB170" i="244" s="1"/>
  <c r="AB171" i="244"/>
  <c r="AN171" i="244"/>
  <c r="AB172" i="244"/>
  <c r="AN172" i="244"/>
  <c r="AZ172" i="244" s="1"/>
  <c r="AB173" i="244"/>
  <c r="AN173" i="244"/>
  <c r="AZ173" i="244" s="1"/>
  <c r="AB174" i="244"/>
  <c r="AN174" i="244"/>
  <c r="AZ174" i="244" s="1"/>
  <c r="BB174" i="244" s="1"/>
  <c r="AB175" i="244"/>
  <c r="AN175" i="244"/>
  <c r="AB176" i="244"/>
  <c r="AN176" i="244"/>
  <c r="AZ176" i="244" s="1"/>
  <c r="AB177" i="244"/>
  <c r="AN177" i="244"/>
  <c r="AZ177" i="244" s="1"/>
  <c r="BB177" i="244" s="1"/>
  <c r="AB178" i="244"/>
  <c r="AN178" i="244"/>
  <c r="AZ178" i="244" s="1"/>
  <c r="AB179" i="244"/>
  <c r="AN179" i="244"/>
  <c r="AB180" i="244"/>
  <c r="AN180" i="244"/>
  <c r="AZ180" i="244" s="1"/>
  <c r="BB180" i="244" s="1"/>
  <c r="AB181" i="244"/>
  <c r="AN181" i="244"/>
  <c r="AZ181" i="244" s="1"/>
  <c r="BB181" i="244" s="1"/>
  <c r="AB182" i="244"/>
  <c r="AN182" i="244"/>
  <c r="AZ182" i="244" s="1"/>
  <c r="AB183" i="244"/>
  <c r="AN183" i="244"/>
  <c r="AB184" i="244"/>
  <c r="AN184" i="244"/>
  <c r="AZ184" i="244" s="1"/>
  <c r="BB184" i="244" s="1"/>
  <c r="AB185" i="244"/>
  <c r="AN185" i="244"/>
  <c r="AZ185" i="244" s="1"/>
  <c r="BB185" i="244" s="1"/>
  <c r="AB186" i="244"/>
  <c r="AN186" i="244"/>
  <c r="AZ186" i="244" s="1"/>
  <c r="BB186" i="244" s="1"/>
  <c r="AB187" i="244"/>
  <c r="AN187" i="244"/>
  <c r="AB188" i="244"/>
  <c r="AN188" i="244"/>
  <c r="AZ188" i="244" s="1"/>
  <c r="AB189" i="244"/>
  <c r="AN189" i="244"/>
  <c r="AZ189" i="244" s="1"/>
  <c r="AB190" i="244"/>
  <c r="AN190" i="244"/>
  <c r="AZ190" i="244" s="1"/>
  <c r="BB190" i="244" s="1"/>
  <c r="AB191" i="244"/>
  <c r="AN191" i="244"/>
  <c r="AB192" i="244"/>
  <c r="AN192" i="244"/>
  <c r="AZ192" i="244" s="1"/>
  <c r="AB193" i="244"/>
  <c r="AN193" i="244"/>
  <c r="AZ193" i="244" s="1"/>
  <c r="BB193" i="244" s="1"/>
  <c r="AB194" i="244"/>
  <c r="AN194" i="244"/>
  <c r="AZ194" i="244" s="1"/>
  <c r="BB194" i="244" s="1"/>
  <c r="AB195" i="244"/>
  <c r="AN195" i="244"/>
  <c r="AB196" i="244"/>
  <c r="AN196" i="244"/>
  <c r="AZ196" i="244" s="1"/>
  <c r="BB196" i="244" s="1"/>
  <c r="AB197" i="244"/>
  <c r="AN197" i="244"/>
  <c r="AZ197" i="244" s="1"/>
  <c r="AB198" i="244"/>
  <c r="AN198" i="244"/>
  <c r="AZ198" i="244" s="1"/>
  <c r="BB198" i="244" s="1"/>
  <c r="AB199" i="244"/>
  <c r="AN199" i="244"/>
  <c r="AB200" i="244"/>
  <c r="AN200" i="244"/>
  <c r="AZ200" i="244" s="1"/>
  <c r="BB200" i="244" s="1"/>
  <c r="AB201" i="244"/>
  <c r="AN201" i="244"/>
  <c r="AZ201" i="244" s="1"/>
  <c r="BB201" i="244" s="1"/>
  <c r="AB202" i="244"/>
  <c r="AN202" i="244"/>
  <c r="AZ202" i="244" s="1"/>
  <c r="AB203" i="244"/>
  <c r="AN203" i="244"/>
  <c r="AB204" i="244"/>
  <c r="AN204" i="244"/>
  <c r="AZ204" i="244" s="1"/>
  <c r="BB204" i="244" s="1"/>
  <c r="AB205" i="244"/>
  <c r="AN205" i="244"/>
  <c r="AZ205" i="244" s="1"/>
  <c r="BB205" i="244" s="1"/>
  <c r="AB206" i="244"/>
  <c r="AN206" i="244"/>
  <c r="AZ206" i="244" s="1"/>
  <c r="BB206" i="244" s="1"/>
  <c r="AB207" i="244"/>
  <c r="AN207" i="244"/>
  <c r="AB208" i="244"/>
  <c r="AN208" i="244"/>
  <c r="AZ208" i="244" s="1"/>
  <c r="BB208" i="244" s="1"/>
  <c r="AB209" i="244"/>
  <c r="AN209" i="244"/>
  <c r="AZ209" i="244" s="1"/>
  <c r="BB209" i="244" s="1"/>
  <c r="AB210" i="244"/>
  <c r="AN210" i="244"/>
  <c r="AB211" i="244"/>
  <c r="AN211" i="244"/>
  <c r="AB212" i="244"/>
  <c r="AN212" i="244"/>
  <c r="AZ212" i="244" s="1"/>
  <c r="BB212" i="244" s="1"/>
  <c r="AB213" i="244"/>
  <c r="AN213" i="244"/>
  <c r="AZ213" i="244" s="1"/>
  <c r="AB214" i="244"/>
  <c r="AN214" i="244"/>
  <c r="AZ214" i="244" s="1"/>
  <c r="BB214" i="244" s="1"/>
  <c r="AB215" i="244"/>
  <c r="AN215" i="244"/>
  <c r="AB216" i="244"/>
  <c r="AN216" i="244"/>
  <c r="AZ216" i="244" s="1"/>
  <c r="BB216" i="244" s="1"/>
  <c r="AB217" i="244"/>
  <c r="AN217" i="244"/>
  <c r="AZ217" i="244" s="1"/>
  <c r="AB218" i="244"/>
  <c r="AN218" i="244"/>
  <c r="AZ218" i="244" s="1"/>
  <c r="BB218" i="244" s="1"/>
  <c r="AB219" i="244"/>
  <c r="AN219" i="244"/>
  <c r="AB220" i="244"/>
  <c r="AN220" i="244"/>
  <c r="AB221" i="244"/>
  <c r="AN221" i="244"/>
  <c r="AZ221" i="244" s="1"/>
  <c r="AB222" i="244"/>
  <c r="AN222" i="244"/>
  <c r="AZ222" i="244" s="1"/>
  <c r="AB223" i="244"/>
  <c r="AN223" i="244"/>
  <c r="AB224" i="244"/>
  <c r="AN224" i="244"/>
  <c r="AZ224" i="244" s="1"/>
  <c r="BB224" i="244" s="1"/>
  <c r="AB225" i="244"/>
  <c r="AN225" i="244"/>
  <c r="AZ225" i="244" s="1"/>
  <c r="AB226" i="244"/>
  <c r="AN226" i="244"/>
  <c r="AB227" i="244"/>
  <c r="AN227" i="244"/>
  <c r="AB228" i="244"/>
  <c r="AN228" i="244"/>
  <c r="AZ228" i="244" s="1"/>
  <c r="BB228" i="244" s="1"/>
  <c r="AB229" i="244"/>
  <c r="AN229" i="244"/>
  <c r="AZ229" i="244" s="1"/>
  <c r="BB229" i="244" s="1"/>
  <c r="AB230" i="244"/>
  <c r="AN230" i="244"/>
  <c r="AZ230" i="244" s="1"/>
  <c r="AB231" i="244"/>
  <c r="AN231" i="244"/>
  <c r="AB232" i="244"/>
  <c r="AN232" i="244"/>
  <c r="AZ232" i="244" s="1"/>
  <c r="BB232" i="244" s="1"/>
  <c r="AB233" i="244"/>
  <c r="AN233" i="244"/>
  <c r="AZ233" i="244" s="1"/>
  <c r="AB234" i="244"/>
  <c r="AN234" i="244"/>
  <c r="AZ234" i="244" s="1"/>
  <c r="BB234" i="244" s="1"/>
  <c r="AB235" i="244"/>
  <c r="AN235" i="244"/>
  <c r="AB236" i="244"/>
  <c r="AN236" i="244"/>
  <c r="AB237" i="244"/>
  <c r="AN237" i="244"/>
  <c r="AZ237" i="244" s="1"/>
  <c r="AB238" i="244"/>
  <c r="AN238" i="244"/>
  <c r="AZ238" i="244" s="1"/>
  <c r="BB238" i="244" s="1"/>
  <c r="AB239" i="244"/>
  <c r="AN239" i="244"/>
  <c r="AB240" i="244"/>
  <c r="AN240" i="244"/>
  <c r="AZ240" i="244" s="1"/>
  <c r="BB240" i="244" s="1"/>
  <c r="AB241" i="244"/>
  <c r="AN241" i="244"/>
  <c r="AZ241" i="244" s="1"/>
  <c r="BB241" i="244" s="1"/>
  <c r="AB242" i="244"/>
  <c r="AN242" i="244"/>
  <c r="AB243" i="244"/>
  <c r="AN243" i="244"/>
  <c r="AB244" i="244"/>
  <c r="AN244" i="244"/>
  <c r="AZ244" i="244" s="1"/>
  <c r="AB245" i="244"/>
  <c r="AN245" i="244"/>
  <c r="AZ245" i="244" s="1"/>
  <c r="AB246" i="244"/>
  <c r="AN246" i="244"/>
  <c r="AZ246" i="244" s="1"/>
  <c r="AB247" i="244"/>
  <c r="AN247" i="244"/>
  <c r="AB248" i="244"/>
  <c r="AN248" i="244"/>
  <c r="AZ248" i="244" s="1"/>
  <c r="AB249" i="244"/>
  <c r="AN249" i="244"/>
  <c r="AZ249" i="244" s="1"/>
  <c r="AB250" i="244"/>
  <c r="AN250" i="244"/>
  <c r="AZ250" i="244" s="1"/>
  <c r="AB251" i="244"/>
  <c r="AN251" i="244"/>
  <c r="AB252" i="244"/>
  <c r="AN252" i="244"/>
  <c r="AB253" i="244"/>
  <c r="AN253" i="244"/>
  <c r="AZ253" i="244" s="1"/>
  <c r="AB254" i="244"/>
  <c r="AN254" i="244"/>
  <c r="AZ254" i="244" s="1"/>
  <c r="AB255" i="244"/>
  <c r="AN255" i="244"/>
  <c r="AB256" i="244"/>
  <c r="AN256" i="244"/>
  <c r="AZ256" i="244" s="1"/>
  <c r="BB256" i="244" s="1"/>
  <c r="AB257" i="244"/>
  <c r="AN257" i="244"/>
  <c r="AZ257" i="244" s="1"/>
  <c r="BB257" i="244" s="1"/>
  <c r="AB258" i="244"/>
  <c r="AN258" i="244"/>
  <c r="AB259" i="244"/>
  <c r="AN259" i="244"/>
  <c r="AB261" i="244"/>
  <c r="AN261" i="244"/>
  <c r="AZ261" i="244" s="1"/>
  <c r="BB261" i="244" s="1"/>
  <c r="AB262" i="244"/>
  <c r="AN262" i="244"/>
  <c r="AB263" i="244"/>
  <c r="AN263" i="244"/>
  <c r="AZ263" i="244" s="1"/>
  <c r="AB264" i="244"/>
  <c r="AN264" i="244"/>
  <c r="AB265" i="244"/>
  <c r="AN265" i="244"/>
  <c r="AZ265" i="244" s="1"/>
  <c r="AB266" i="244"/>
  <c r="AN266" i="244"/>
  <c r="AB267" i="244"/>
  <c r="AN267" i="244"/>
  <c r="AZ267" i="244" s="1"/>
  <c r="AB268" i="244"/>
  <c r="AN268" i="244"/>
  <c r="AB269" i="244"/>
  <c r="AN269" i="244"/>
  <c r="AZ269" i="244" s="1"/>
  <c r="AB270" i="244"/>
  <c r="AN270" i="244"/>
  <c r="AB271" i="244"/>
  <c r="AN271" i="244"/>
  <c r="AZ271" i="244" s="1"/>
  <c r="AB272" i="244"/>
  <c r="AN272" i="244"/>
  <c r="AB273" i="244"/>
  <c r="AN273" i="244"/>
  <c r="AZ273" i="244" s="1"/>
  <c r="AB274" i="244"/>
  <c r="AN274" i="244"/>
  <c r="AB275" i="244"/>
  <c r="AN275" i="244"/>
  <c r="AB276" i="244"/>
  <c r="AN276" i="244"/>
  <c r="AB277" i="244"/>
  <c r="AN277" i="244"/>
  <c r="AZ277" i="244" s="1"/>
  <c r="AB278" i="244"/>
  <c r="AN278" i="244"/>
  <c r="AB279" i="244"/>
  <c r="AN279" i="244"/>
  <c r="AZ279" i="244" s="1"/>
  <c r="AB280" i="244"/>
  <c r="AN280" i="244"/>
  <c r="AB281" i="244"/>
  <c r="AN281" i="244"/>
  <c r="AZ281" i="244" s="1"/>
  <c r="AB282" i="244"/>
  <c r="AN282" i="244"/>
  <c r="AB283" i="244"/>
  <c r="AN283" i="244"/>
  <c r="AZ283" i="244" s="1"/>
  <c r="AB284" i="244"/>
  <c r="AN284" i="244"/>
  <c r="AB285" i="244"/>
  <c r="AN285" i="244"/>
  <c r="AZ285" i="244" s="1"/>
  <c r="BB285" i="244" s="1"/>
  <c r="AB286" i="244"/>
  <c r="AN286" i="244"/>
  <c r="AB287" i="244"/>
  <c r="AN287" i="244"/>
  <c r="AZ287" i="244" s="1"/>
  <c r="AB15" i="244"/>
  <c r="AN15" i="244"/>
  <c r="AP16" i="244"/>
  <c r="AQ16" i="244"/>
  <c r="AR16" i="244"/>
  <c r="AS16" i="244"/>
  <c r="AT16" i="244"/>
  <c r="AU16" i="244"/>
  <c r="AV16" i="244"/>
  <c r="AW16" i="244"/>
  <c r="AX16" i="244"/>
  <c r="AY16" i="244"/>
  <c r="AP17" i="244"/>
  <c r="AQ17" i="244"/>
  <c r="AR17" i="244"/>
  <c r="AS17" i="244"/>
  <c r="AT17" i="244"/>
  <c r="AU17" i="244"/>
  <c r="AV17" i="244"/>
  <c r="AW17" i="244"/>
  <c r="AX17" i="244"/>
  <c r="AY17" i="244"/>
  <c r="AP18" i="244"/>
  <c r="AQ18" i="244"/>
  <c r="AR18" i="244"/>
  <c r="AS18" i="244"/>
  <c r="AT18" i="244"/>
  <c r="AU18" i="244"/>
  <c r="AV18" i="244"/>
  <c r="AW18" i="244"/>
  <c r="AX18" i="244"/>
  <c r="AY18" i="244"/>
  <c r="AP19" i="244"/>
  <c r="AQ19" i="244"/>
  <c r="AR19" i="244"/>
  <c r="AS19" i="244"/>
  <c r="AT19" i="244"/>
  <c r="AU19" i="244"/>
  <c r="AV19" i="244"/>
  <c r="AW19" i="244"/>
  <c r="AX19" i="244"/>
  <c r="AY19" i="244"/>
  <c r="AZ19" i="244"/>
  <c r="BB19" i="244" s="1"/>
  <c r="AP20" i="244"/>
  <c r="AQ20" i="244"/>
  <c r="AR20" i="244"/>
  <c r="AS20" i="244"/>
  <c r="AT20" i="244"/>
  <c r="AU20" i="244"/>
  <c r="AV20" i="244"/>
  <c r="AW20" i="244"/>
  <c r="AX20" i="244"/>
  <c r="AY20" i="244"/>
  <c r="AP21" i="244"/>
  <c r="AQ21" i="244"/>
  <c r="AR21" i="244"/>
  <c r="AS21" i="244"/>
  <c r="AT21" i="244"/>
  <c r="AU21" i="244"/>
  <c r="AV21" i="244"/>
  <c r="AW21" i="244"/>
  <c r="AX21" i="244"/>
  <c r="AY21" i="244"/>
  <c r="AP22" i="244"/>
  <c r="AQ22" i="244"/>
  <c r="AR22" i="244"/>
  <c r="AS22" i="244"/>
  <c r="AT22" i="244"/>
  <c r="AU22" i="244"/>
  <c r="AV22" i="244"/>
  <c r="AW22" i="244"/>
  <c r="AX22" i="244"/>
  <c r="AY22" i="244"/>
  <c r="AP23" i="244"/>
  <c r="AQ23" i="244"/>
  <c r="AR23" i="244"/>
  <c r="AS23" i="244"/>
  <c r="AT23" i="244"/>
  <c r="AU23" i="244"/>
  <c r="AV23" i="244"/>
  <c r="AW23" i="244"/>
  <c r="AX23" i="244"/>
  <c r="AY23" i="244"/>
  <c r="AZ23" i="244"/>
  <c r="BB23" i="244" s="1"/>
  <c r="AP24" i="244"/>
  <c r="AQ24" i="244"/>
  <c r="AR24" i="244"/>
  <c r="AS24" i="244"/>
  <c r="AT24" i="244"/>
  <c r="AU24" i="244"/>
  <c r="AV24" i="244"/>
  <c r="AW24" i="244"/>
  <c r="AX24" i="244"/>
  <c r="AY24" i="244"/>
  <c r="AP25" i="244"/>
  <c r="AQ25" i="244"/>
  <c r="AR25" i="244"/>
  <c r="AS25" i="244"/>
  <c r="AT25" i="244"/>
  <c r="AU25" i="244"/>
  <c r="AV25" i="244"/>
  <c r="AW25" i="244"/>
  <c r="AX25" i="244"/>
  <c r="AY25" i="244"/>
  <c r="AP26" i="244"/>
  <c r="AQ26" i="244"/>
  <c r="AR26" i="244"/>
  <c r="AS26" i="244"/>
  <c r="AT26" i="244"/>
  <c r="AU26" i="244"/>
  <c r="AV26" i="244"/>
  <c r="AW26" i="244"/>
  <c r="AX26" i="244"/>
  <c r="AY26" i="244"/>
  <c r="AZ26" i="244"/>
  <c r="BB26" i="244" s="1"/>
  <c r="AP27" i="244"/>
  <c r="AQ27" i="244"/>
  <c r="AR27" i="244"/>
  <c r="AS27" i="244"/>
  <c r="AT27" i="244"/>
  <c r="AU27" i="244"/>
  <c r="AV27" i="244"/>
  <c r="AW27" i="244"/>
  <c r="AX27" i="244"/>
  <c r="AY27" i="244"/>
  <c r="AZ27" i="244"/>
  <c r="BB27" i="244" s="1"/>
  <c r="AP28" i="244"/>
  <c r="AQ28" i="244"/>
  <c r="AR28" i="244"/>
  <c r="AS28" i="244"/>
  <c r="AT28" i="244"/>
  <c r="AU28" i="244"/>
  <c r="AV28" i="244"/>
  <c r="AW28" i="244"/>
  <c r="AX28" i="244"/>
  <c r="AY28" i="244"/>
  <c r="AP29" i="244"/>
  <c r="AQ29" i="244"/>
  <c r="AR29" i="244"/>
  <c r="AS29" i="244"/>
  <c r="AT29" i="244"/>
  <c r="AU29" i="244"/>
  <c r="AV29" i="244"/>
  <c r="AW29" i="244"/>
  <c r="AX29" i="244"/>
  <c r="AY29" i="244"/>
  <c r="AP30" i="244"/>
  <c r="AQ30" i="244"/>
  <c r="AR30" i="244"/>
  <c r="AS30" i="244"/>
  <c r="AT30" i="244"/>
  <c r="AU30" i="244"/>
  <c r="AV30" i="244"/>
  <c r="AW30" i="244"/>
  <c r="AX30" i="244"/>
  <c r="AY30" i="244"/>
  <c r="AP31" i="244"/>
  <c r="AQ31" i="244"/>
  <c r="AR31" i="244"/>
  <c r="AS31" i="244"/>
  <c r="AT31" i="244"/>
  <c r="AU31" i="244"/>
  <c r="AV31" i="244"/>
  <c r="AW31" i="244"/>
  <c r="AX31" i="244"/>
  <c r="AY31" i="244"/>
  <c r="AZ31" i="244"/>
  <c r="BB31" i="244" s="1"/>
  <c r="AP32" i="244"/>
  <c r="AQ32" i="244"/>
  <c r="AR32" i="244"/>
  <c r="AS32" i="244"/>
  <c r="AT32" i="244"/>
  <c r="AU32" i="244"/>
  <c r="AV32" i="244"/>
  <c r="AW32" i="244"/>
  <c r="AX32" i="244"/>
  <c r="AY32" i="244"/>
  <c r="AP33" i="244"/>
  <c r="AQ33" i="244"/>
  <c r="AR33" i="244"/>
  <c r="AS33" i="244"/>
  <c r="AT33" i="244"/>
  <c r="AU33" i="244"/>
  <c r="AV33" i="244"/>
  <c r="AW33" i="244"/>
  <c r="AX33" i="244"/>
  <c r="AY33" i="244"/>
  <c r="AP34" i="244"/>
  <c r="AQ34" i="244"/>
  <c r="AR34" i="244"/>
  <c r="AS34" i="244"/>
  <c r="AT34" i="244"/>
  <c r="AU34" i="244"/>
  <c r="AV34" i="244"/>
  <c r="AW34" i="244"/>
  <c r="AX34" i="244"/>
  <c r="AY34" i="244"/>
  <c r="AP35" i="244"/>
  <c r="AQ35" i="244"/>
  <c r="AR35" i="244"/>
  <c r="AS35" i="244"/>
  <c r="AT35" i="244"/>
  <c r="AU35" i="244"/>
  <c r="AV35" i="244"/>
  <c r="AW35" i="244"/>
  <c r="AX35" i="244"/>
  <c r="AY35" i="244"/>
  <c r="AZ35" i="244"/>
  <c r="BB35" i="244" s="1"/>
  <c r="AP36" i="244"/>
  <c r="AQ36" i="244"/>
  <c r="AR36" i="244"/>
  <c r="AS36" i="244"/>
  <c r="AT36" i="244"/>
  <c r="AU36" i="244"/>
  <c r="AV36" i="244"/>
  <c r="AW36" i="244"/>
  <c r="AX36" i="244"/>
  <c r="AY36" i="244"/>
  <c r="AZ36" i="244"/>
  <c r="AP37" i="244"/>
  <c r="AQ37" i="244"/>
  <c r="AR37" i="244"/>
  <c r="AS37" i="244"/>
  <c r="AT37" i="244"/>
  <c r="AU37" i="244"/>
  <c r="AV37" i="244"/>
  <c r="AW37" i="244"/>
  <c r="AX37" i="244"/>
  <c r="AY37" i="244"/>
  <c r="AP38" i="244"/>
  <c r="AQ38" i="244"/>
  <c r="AR38" i="244"/>
  <c r="AS38" i="244"/>
  <c r="AT38" i="244"/>
  <c r="AU38" i="244"/>
  <c r="AV38" i="244"/>
  <c r="AW38" i="244"/>
  <c r="AX38" i="244"/>
  <c r="AY38" i="244"/>
  <c r="AP39" i="244"/>
  <c r="AQ39" i="244"/>
  <c r="AR39" i="244"/>
  <c r="AS39" i="244"/>
  <c r="AT39" i="244"/>
  <c r="AU39" i="244"/>
  <c r="AV39" i="244"/>
  <c r="AW39" i="244"/>
  <c r="AX39" i="244"/>
  <c r="AY39" i="244"/>
  <c r="AZ39" i="244"/>
  <c r="AP40" i="244"/>
  <c r="AQ40" i="244"/>
  <c r="AR40" i="244"/>
  <c r="AS40" i="244"/>
  <c r="AT40" i="244"/>
  <c r="AU40" i="244"/>
  <c r="AV40" i="244"/>
  <c r="AW40" i="244"/>
  <c r="AX40" i="244"/>
  <c r="AY40" i="244"/>
  <c r="AP41" i="244"/>
  <c r="AQ41" i="244"/>
  <c r="AR41" i="244"/>
  <c r="AS41" i="244"/>
  <c r="AT41" i="244"/>
  <c r="AU41" i="244"/>
  <c r="AV41" i="244"/>
  <c r="AW41" i="244"/>
  <c r="AX41" i="244"/>
  <c r="AY41" i="244"/>
  <c r="AP42" i="244"/>
  <c r="AQ42" i="244"/>
  <c r="AR42" i="244"/>
  <c r="AS42" i="244"/>
  <c r="AT42" i="244"/>
  <c r="AU42" i="244"/>
  <c r="AV42" i="244"/>
  <c r="AW42" i="244"/>
  <c r="AX42" i="244"/>
  <c r="AY42" i="244"/>
  <c r="AP43" i="244"/>
  <c r="AQ43" i="244"/>
  <c r="AR43" i="244"/>
  <c r="AS43" i="244"/>
  <c r="AT43" i="244"/>
  <c r="AU43" i="244"/>
  <c r="AV43" i="244"/>
  <c r="AW43" i="244"/>
  <c r="AX43" i="244"/>
  <c r="AY43" i="244"/>
  <c r="AZ43" i="244"/>
  <c r="AP44" i="244"/>
  <c r="AQ44" i="244"/>
  <c r="AR44" i="244"/>
  <c r="AS44" i="244"/>
  <c r="AT44" i="244"/>
  <c r="AU44" i="244"/>
  <c r="AV44" i="244"/>
  <c r="AW44" i="244"/>
  <c r="AX44" i="244"/>
  <c r="AY44" i="244"/>
  <c r="AP45" i="244"/>
  <c r="AQ45" i="244"/>
  <c r="AR45" i="244"/>
  <c r="AS45" i="244"/>
  <c r="AT45" i="244"/>
  <c r="AU45" i="244"/>
  <c r="AV45" i="244"/>
  <c r="AW45" i="244"/>
  <c r="AX45" i="244"/>
  <c r="AY45" i="244"/>
  <c r="AP46" i="244"/>
  <c r="AQ46" i="244"/>
  <c r="AR46" i="244"/>
  <c r="AS46" i="244"/>
  <c r="AT46" i="244"/>
  <c r="AU46" i="244"/>
  <c r="AV46" i="244"/>
  <c r="AW46" i="244"/>
  <c r="AX46" i="244"/>
  <c r="AY46" i="244"/>
  <c r="AP47" i="244"/>
  <c r="AQ47" i="244"/>
  <c r="AR47" i="244"/>
  <c r="AS47" i="244"/>
  <c r="AT47" i="244"/>
  <c r="AU47" i="244"/>
  <c r="AV47" i="244"/>
  <c r="AW47" i="244"/>
  <c r="AX47" i="244"/>
  <c r="AY47" i="244"/>
  <c r="AZ47" i="244"/>
  <c r="BB47" i="244" s="1"/>
  <c r="AP48" i="244"/>
  <c r="AQ48" i="244"/>
  <c r="AR48" i="244"/>
  <c r="AS48" i="244"/>
  <c r="AT48" i="244"/>
  <c r="AU48" i="244"/>
  <c r="AV48" i="244"/>
  <c r="AW48" i="244"/>
  <c r="AX48" i="244"/>
  <c r="AY48" i="244"/>
  <c r="AP49" i="244"/>
  <c r="AQ49" i="244"/>
  <c r="AR49" i="244"/>
  <c r="AS49" i="244"/>
  <c r="AT49" i="244"/>
  <c r="AU49" i="244"/>
  <c r="AV49" i="244"/>
  <c r="AW49" i="244"/>
  <c r="AX49" i="244"/>
  <c r="AY49" i="244"/>
  <c r="AP50" i="244"/>
  <c r="AQ50" i="244"/>
  <c r="AR50" i="244"/>
  <c r="AS50" i="244"/>
  <c r="AT50" i="244"/>
  <c r="AU50" i="244"/>
  <c r="AV50" i="244"/>
  <c r="AW50" i="244"/>
  <c r="AX50" i="244"/>
  <c r="AY50" i="244"/>
  <c r="AP51" i="244"/>
  <c r="AQ51" i="244"/>
  <c r="AR51" i="244"/>
  <c r="AS51" i="244"/>
  <c r="AT51" i="244"/>
  <c r="AU51" i="244"/>
  <c r="AV51" i="244"/>
  <c r="AW51" i="244"/>
  <c r="AX51" i="244"/>
  <c r="AY51" i="244"/>
  <c r="AZ51" i="244"/>
  <c r="BB51" i="244" s="1"/>
  <c r="AP52" i="244"/>
  <c r="AQ52" i="244"/>
  <c r="AR52" i="244"/>
  <c r="AS52" i="244"/>
  <c r="AT52" i="244"/>
  <c r="AU52" i="244"/>
  <c r="AV52" i="244"/>
  <c r="AW52" i="244"/>
  <c r="AX52" i="244"/>
  <c r="AY52" i="244"/>
  <c r="AP53" i="244"/>
  <c r="AQ53" i="244"/>
  <c r="AR53" i="244"/>
  <c r="AS53" i="244"/>
  <c r="AT53" i="244"/>
  <c r="AU53" i="244"/>
  <c r="AV53" i="244"/>
  <c r="AW53" i="244"/>
  <c r="AX53" i="244"/>
  <c r="AY53" i="244"/>
  <c r="AP54" i="244"/>
  <c r="AQ54" i="244"/>
  <c r="AR54" i="244"/>
  <c r="AS54" i="244"/>
  <c r="AT54" i="244"/>
  <c r="AU54" i="244"/>
  <c r="AV54" i="244"/>
  <c r="AW54" i="244"/>
  <c r="AX54" i="244"/>
  <c r="AY54" i="244"/>
  <c r="AP55" i="244"/>
  <c r="AQ55" i="244"/>
  <c r="AR55" i="244"/>
  <c r="AS55" i="244"/>
  <c r="AT55" i="244"/>
  <c r="AU55" i="244"/>
  <c r="AV55" i="244"/>
  <c r="AW55" i="244"/>
  <c r="AX55" i="244"/>
  <c r="AY55" i="244"/>
  <c r="AZ55" i="244"/>
  <c r="BB55" i="244" s="1"/>
  <c r="AP56" i="244"/>
  <c r="AQ56" i="244"/>
  <c r="AR56" i="244"/>
  <c r="AS56" i="244"/>
  <c r="AT56" i="244"/>
  <c r="AU56" i="244"/>
  <c r="AV56" i="244"/>
  <c r="AW56" i="244"/>
  <c r="AX56" i="244"/>
  <c r="AY56" i="244"/>
  <c r="AP57" i="244"/>
  <c r="AQ57" i="244"/>
  <c r="AR57" i="244"/>
  <c r="AS57" i="244"/>
  <c r="AT57" i="244"/>
  <c r="AU57" i="244"/>
  <c r="AV57" i="244"/>
  <c r="AW57" i="244"/>
  <c r="AX57" i="244"/>
  <c r="AY57" i="244"/>
  <c r="AP58" i="244"/>
  <c r="AQ58" i="244"/>
  <c r="AR58" i="244"/>
  <c r="AS58" i="244"/>
  <c r="AT58" i="244"/>
  <c r="AU58" i="244"/>
  <c r="AV58" i="244"/>
  <c r="AW58" i="244"/>
  <c r="AX58" i="244"/>
  <c r="AY58" i="244"/>
  <c r="AP59" i="244"/>
  <c r="AQ59" i="244"/>
  <c r="AR59" i="244"/>
  <c r="AS59" i="244"/>
  <c r="AT59" i="244"/>
  <c r="AU59" i="244"/>
  <c r="AV59" i="244"/>
  <c r="AW59" i="244"/>
  <c r="AX59" i="244"/>
  <c r="AY59" i="244"/>
  <c r="AZ59" i="244"/>
  <c r="BB59" i="244" s="1"/>
  <c r="AP60" i="244"/>
  <c r="AQ60" i="244"/>
  <c r="AR60" i="244"/>
  <c r="AS60" i="244"/>
  <c r="AT60" i="244"/>
  <c r="AU60" i="244"/>
  <c r="AV60" i="244"/>
  <c r="AW60" i="244"/>
  <c r="AX60" i="244"/>
  <c r="AY60" i="244"/>
  <c r="AP61" i="244"/>
  <c r="AQ61" i="244"/>
  <c r="AR61" i="244"/>
  <c r="AS61" i="244"/>
  <c r="AT61" i="244"/>
  <c r="AU61" i="244"/>
  <c r="AV61" i="244"/>
  <c r="AW61" i="244"/>
  <c r="AX61" i="244"/>
  <c r="AY61" i="244"/>
  <c r="AP62" i="244"/>
  <c r="AQ62" i="244"/>
  <c r="AR62" i="244"/>
  <c r="AS62" i="244"/>
  <c r="AT62" i="244"/>
  <c r="AU62" i="244"/>
  <c r="AV62" i="244"/>
  <c r="AW62" i="244"/>
  <c r="AX62" i="244"/>
  <c r="AY62" i="244"/>
  <c r="AP63" i="244"/>
  <c r="AQ63" i="244"/>
  <c r="AR63" i="244"/>
  <c r="AS63" i="244"/>
  <c r="AT63" i="244"/>
  <c r="AU63" i="244"/>
  <c r="AV63" i="244"/>
  <c r="AW63" i="244"/>
  <c r="AX63" i="244"/>
  <c r="AY63" i="244"/>
  <c r="AZ63" i="244"/>
  <c r="AP64" i="244"/>
  <c r="AQ64" i="244"/>
  <c r="AR64" i="244"/>
  <c r="AS64" i="244"/>
  <c r="AT64" i="244"/>
  <c r="AU64" i="244"/>
  <c r="AV64" i="244"/>
  <c r="AW64" i="244"/>
  <c r="AX64" i="244"/>
  <c r="AY64" i="244"/>
  <c r="AP65" i="244"/>
  <c r="AQ65" i="244"/>
  <c r="AR65" i="244"/>
  <c r="AS65" i="244"/>
  <c r="AT65" i="244"/>
  <c r="AU65" i="244"/>
  <c r="AV65" i="244"/>
  <c r="AW65" i="244"/>
  <c r="AX65" i="244"/>
  <c r="AY65" i="244"/>
  <c r="AP66" i="244"/>
  <c r="AQ66" i="244"/>
  <c r="AR66" i="244"/>
  <c r="AS66" i="244"/>
  <c r="AT66" i="244"/>
  <c r="AU66" i="244"/>
  <c r="AV66" i="244"/>
  <c r="AW66" i="244"/>
  <c r="AX66" i="244"/>
  <c r="AY66" i="244"/>
  <c r="AP67" i="244"/>
  <c r="AQ67" i="244"/>
  <c r="AR67" i="244"/>
  <c r="AS67" i="244"/>
  <c r="AT67" i="244"/>
  <c r="AU67" i="244"/>
  <c r="AV67" i="244"/>
  <c r="AW67" i="244"/>
  <c r="AX67" i="244"/>
  <c r="AY67" i="244"/>
  <c r="AZ67" i="244"/>
  <c r="BB67" i="244" s="1"/>
  <c r="AP68" i="244"/>
  <c r="AQ68" i="244"/>
  <c r="AR68" i="244"/>
  <c r="AS68" i="244"/>
  <c r="AT68" i="244"/>
  <c r="AU68" i="244"/>
  <c r="AV68" i="244"/>
  <c r="AW68" i="244"/>
  <c r="AX68" i="244"/>
  <c r="AY68" i="244"/>
  <c r="AP69" i="244"/>
  <c r="AQ69" i="244"/>
  <c r="AR69" i="244"/>
  <c r="AS69" i="244"/>
  <c r="AT69" i="244"/>
  <c r="AU69" i="244"/>
  <c r="AV69" i="244"/>
  <c r="AW69" i="244"/>
  <c r="AX69" i="244"/>
  <c r="AY69" i="244"/>
  <c r="AP70" i="244"/>
  <c r="AQ70" i="244"/>
  <c r="AR70" i="244"/>
  <c r="AS70" i="244"/>
  <c r="AT70" i="244"/>
  <c r="AU70" i="244"/>
  <c r="AV70" i="244"/>
  <c r="AW70" i="244"/>
  <c r="AX70" i="244"/>
  <c r="AY70" i="244"/>
  <c r="AP71" i="244"/>
  <c r="AQ71" i="244"/>
  <c r="AR71" i="244"/>
  <c r="AS71" i="244"/>
  <c r="AT71" i="244"/>
  <c r="AU71" i="244"/>
  <c r="AV71" i="244"/>
  <c r="AW71" i="244"/>
  <c r="AX71" i="244"/>
  <c r="AY71" i="244"/>
  <c r="AZ71" i="244"/>
  <c r="AP72" i="244"/>
  <c r="AQ72" i="244"/>
  <c r="AR72" i="244"/>
  <c r="AS72" i="244"/>
  <c r="AT72" i="244"/>
  <c r="AU72" i="244"/>
  <c r="AV72" i="244"/>
  <c r="AW72" i="244"/>
  <c r="AX72" i="244"/>
  <c r="AY72" i="244"/>
  <c r="AP73" i="244"/>
  <c r="AQ73" i="244"/>
  <c r="AR73" i="244"/>
  <c r="AS73" i="244"/>
  <c r="AT73" i="244"/>
  <c r="AU73" i="244"/>
  <c r="AV73" i="244"/>
  <c r="AW73" i="244"/>
  <c r="AX73" i="244"/>
  <c r="AY73" i="244"/>
  <c r="AP74" i="244"/>
  <c r="AQ74" i="244"/>
  <c r="AR74" i="244"/>
  <c r="AS74" i="244"/>
  <c r="AT74" i="244"/>
  <c r="AU74" i="244"/>
  <c r="AV74" i="244"/>
  <c r="AW74" i="244"/>
  <c r="AX74" i="244"/>
  <c r="AY74" i="244"/>
  <c r="AP75" i="244"/>
  <c r="AQ75" i="244"/>
  <c r="AR75" i="244"/>
  <c r="AS75" i="244"/>
  <c r="AT75" i="244"/>
  <c r="AU75" i="244"/>
  <c r="AV75" i="244"/>
  <c r="AW75" i="244"/>
  <c r="AX75" i="244"/>
  <c r="AY75" i="244"/>
  <c r="AZ75" i="244"/>
  <c r="BB75" i="244" s="1"/>
  <c r="AP76" i="244"/>
  <c r="AQ76" i="244"/>
  <c r="AR76" i="244"/>
  <c r="AS76" i="244"/>
  <c r="AT76" i="244"/>
  <c r="AU76" i="244"/>
  <c r="AV76" i="244"/>
  <c r="AW76" i="244"/>
  <c r="AX76" i="244"/>
  <c r="AY76" i="244"/>
  <c r="AP77" i="244"/>
  <c r="AQ77" i="244"/>
  <c r="AR77" i="244"/>
  <c r="AS77" i="244"/>
  <c r="AT77" i="244"/>
  <c r="AU77" i="244"/>
  <c r="AV77" i="244"/>
  <c r="AW77" i="244"/>
  <c r="AX77" i="244"/>
  <c r="AY77" i="244"/>
  <c r="AP78" i="244"/>
  <c r="AQ78" i="244"/>
  <c r="AR78" i="244"/>
  <c r="AS78" i="244"/>
  <c r="AT78" i="244"/>
  <c r="AU78" i="244"/>
  <c r="AV78" i="244"/>
  <c r="AW78" i="244"/>
  <c r="AX78" i="244"/>
  <c r="AY78" i="244"/>
  <c r="AP79" i="244"/>
  <c r="AQ79" i="244"/>
  <c r="AR79" i="244"/>
  <c r="AS79" i="244"/>
  <c r="AT79" i="244"/>
  <c r="AU79" i="244"/>
  <c r="AV79" i="244"/>
  <c r="AW79" i="244"/>
  <c r="AX79" i="244"/>
  <c r="AY79" i="244"/>
  <c r="AZ79" i="244"/>
  <c r="AP80" i="244"/>
  <c r="AQ80" i="244"/>
  <c r="AR80" i="244"/>
  <c r="AS80" i="244"/>
  <c r="AT80" i="244"/>
  <c r="AU80" i="244"/>
  <c r="AV80" i="244"/>
  <c r="AW80" i="244"/>
  <c r="AX80" i="244"/>
  <c r="AY80" i="244"/>
  <c r="AP81" i="244"/>
  <c r="AQ81" i="244"/>
  <c r="AR81" i="244"/>
  <c r="AS81" i="244"/>
  <c r="AT81" i="244"/>
  <c r="AU81" i="244"/>
  <c r="AV81" i="244"/>
  <c r="AW81" i="244"/>
  <c r="AX81" i="244"/>
  <c r="AY81" i="244"/>
  <c r="AP82" i="244"/>
  <c r="AQ82" i="244"/>
  <c r="AR82" i="244"/>
  <c r="AS82" i="244"/>
  <c r="AT82" i="244"/>
  <c r="AU82" i="244"/>
  <c r="AV82" i="244"/>
  <c r="AW82" i="244"/>
  <c r="AX82" i="244"/>
  <c r="AY82" i="244"/>
  <c r="AP83" i="244"/>
  <c r="AQ83" i="244"/>
  <c r="AR83" i="244"/>
  <c r="AS83" i="244"/>
  <c r="AT83" i="244"/>
  <c r="AU83" i="244"/>
  <c r="AV83" i="244"/>
  <c r="AW83" i="244"/>
  <c r="AX83" i="244"/>
  <c r="AY83" i="244"/>
  <c r="AZ83" i="244"/>
  <c r="BB83" i="244" s="1"/>
  <c r="AP84" i="244"/>
  <c r="AQ84" i="244"/>
  <c r="AR84" i="244"/>
  <c r="AS84" i="244"/>
  <c r="AT84" i="244"/>
  <c r="AU84" i="244"/>
  <c r="AV84" i="244"/>
  <c r="AW84" i="244"/>
  <c r="AX84" i="244"/>
  <c r="AY84" i="244"/>
  <c r="AP85" i="244"/>
  <c r="AQ85" i="244"/>
  <c r="AR85" i="244"/>
  <c r="AS85" i="244"/>
  <c r="AT85" i="244"/>
  <c r="AU85" i="244"/>
  <c r="AV85" i="244"/>
  <c r="AW85" i="244"/>
  <c r="AX85" i="244"/>
  <c r="AY85" i="244"/>
  <c r="AP86" i="244"/>
  <c r="AQ86" i="244"/>
  <c r="AR86" i="244"/>
  <c r="AS86" i="244"/>
  <c r="AT86" i="244"/>
  <c r="AU86" i="244"/>
  <c r="AV86" i="244"/>
  <c r="AW86" i="244"/>
  <c r="AX86" i="244"/>
  <c r="AY86" i="244"/>
  <c r="AP87" i="244"/>
  <c r="AQ87" i="244"/>
  <c r="AR87" i="244"/>
  <c r="AS87" i="244"/>
  <c r="AT87" i="244"/>
  <c r="AU87" i="244"/>
  <c r="AV87" i="244"/>
  <c r="AW87" i="244"/>
  <c r="AX87" i="244"/>
  <c r="AY87" i="244"/>
  <c r="AZ87" i="244"/>
  <c r="BB87" i="244" s="1"/>
  <c r="AP88" i="244"/>
  <c r="AQ88" i="244"/>
  <c r="AR88" i="244"/>
  <c r="AS88" i="244"/>
  <c r="AT88" i="244"/>
  <c r="AU88" i="244"/>
  <c r="AV88" i="244"/>
  <c r="AW88" i="244"/>
  <c r="AX88" i="244"/>
  <c r="AY88" i="244"/>
  <c r="AP89" i="244"/>
  <c r="AQ89" i="244"/>
  <c r="AR89" i="244"/>
  <c r="AS89" i="244"/>
  <c r="AT89" i="244"/>
  <c r="AU89" i="244"/>
  <c r="AV89" i="244"/>
  <c r="AW89" i="244"/>
  <c r="AX89" i="244"/>
  <c r="AY89" i="244"/>
  <c r="AP90" i="244"/>
  <c r="AQ90" i="244"/>
  <c r="AR90" i="244"/>
  <c r="AS90" i="244"/>
  <c r="AT90" i="244"/>
  <c r="AU90" i="244"/>
  <c r="AV90" i="244"/>
  <c r="AW90" i="244"/>
  <c r="AX90" i="244"/>
  <c r="AY90" i="244"/>
  <c r="AP91" i="244"/>
  <c r="AQ91" i="244"/>
  <c r="AR91" i="244"/>
  <c r="AS91" i="244"/>
  <c r="AT91" i="244"/>
  <c r="AU91" i="244"/>
  <c r="AV91" i="244"/>
  <c r="AW91" i="244"/>
  <c r="AX91" i="244"/>
  <c r="AY91" i="244"/>
  <c r="AZ91" i="244"/>
  <c r="AP92" i="244"/>
  <c r="AQ92" i="244"/>
  <c r="AR92" i="244"/>
  <c r="AS92" i="244"/>
  <c r="AT92" i="244"/>
  <c r="AU92" i="244"/>
  <c r="AV92" i="244"/>
  <c r="AW92" i="244"/>
  <c r="AX92" i="244"/>
  <c r="AY92" i="244"/>
  <c r="AP93" i="244"/>
  <c r="AQ93" i="244"/>
  <c r="AR93" i="244"/>
  <c r="AS93" i="244"/>
  <c r="AT93" i="244"/>
  <c r="AU93" i="244"/>
  <c r="AV93" i="244"/>
  <c r="AW93" i="244"/>
  <c r="AX93" i="244"/>
  <c r="AY93" i="244"/>
  <c r="AP94" i="244"/>
  <c r="AQ94" i="244"/>
  <c r="AR94" i="244"/>
  <c r="AS94" i="244"/>
  <c r="AT94" i="244"/>
  <c r="AU94" i="244"/>
  <c r="AV94" i="244"/>
  <c r="AW94" i="244"/>
  <c r="AX94" i="244"/>
  <c r="AY94" i="244"/>
  <c r="AP95" i="244"/>
  <c r="AQ95" i="244"/>
  <c r="AR95" i="244"/>
  <c r="AS95" i="244"/>
  <c r="AT95" i="244"/>
  <c r="AU95" i="244"/>
  <c r="AV95" i="244"/>
  <c r="AW95" i="244"/>
  <c r="AX95" i="244"/>
  <c r="AY95" i="244"/>
  <c r="AZ95" i="244"/>
  <c r="AP96" i="244"/>
  <c r="AQ96" i="244"/>
  <c r="AR96" i="244"/>
  <c r="AS96" i="244"/>
  <c r="AT96" i="244"/>
  <c r="AU96" i="244"/>
  <c r="AV96" i="244"/>
  <c r="AW96" i="244"/>
  <c r="AX96" i="244"/>
  <c r="AY96" i="244"/>
  <c r="AP97" i="244"/>
  <c r="AQ97" i="244"/>
  <c r="AR97" i="244"/>
  <c r="AS97" i="244"/>
  <c r="AT97" i="244"/>
  <c r="AU97" i="244"/>
  <c r="AV97" i="244"/>
  <c r="AW97" i="244"/>
  <c r="AX97" i="244"/>
  <c r="AY97" i="244"/>
  <c r="AP98" i="244"/>
  <c r="AQ98" i="244"/>
  <c r="AR98" i="244"/>
  <c r="AS98" i="244"/>
  <c r="AT98" i="244"/>
  <c r="AU98" i="244"/>
  <c r="AV98" i="244"/>
  <c r="AW98" i="244"/>
  <c r="AX98" i="244"/>
  <c r="AY98" i="244"/>
  <c r="AP99" i="244"/>
  <c r="AQ99" i="244"/>
  <c r="AR99" i="244"/>
  <c r="AS99" i="244"/>
  <c r="AT99" i="244"/>
  <c r="AU99" i="244"/>
  <c r="AV99" i="244"/>
  <c r="AW99" i="244"/>
  <c r="AX99" i="244"/>
  <c r="AY99" i="244"/>
  <c r="AZ99" i="244"/>
  <c r="AP100" i="244"/>
  <c r="AQ100" i="244"/>
  <c r="AR100" i="244"/>
  <c r="AS100" i="244"/>
  <c r="AT100" i="244"/>
  <c r="AU100" i="244"/>
  <c r="AV100" i="244"/>
  <c r="AW100" i="244"/>
  <c r="AX100" i="244"/>
  <c r="AY100" i="244"/>
  <c r="AP101" i="244"/>
  <c r="AQ101" i="244"/>
  <c r="AR101" i="244"/>
  <c r="AS101" i="244"/>
  <c r="AT101" i="244"/>
  <c r="AU101" i="244"/>
  <c r="AV101" i="244"/>
  <c r="AW101" i="244"/>
  <c r="AX101" i="244"/>
  <c r="AY101" i="244"/>
  <c r="AP102" i="244"/>
  <c r="AQ102" i="244"/>
  <c r="AR102" i="244"/>
  <c r="AS102" i="244"/>
  <c r="AT102" i="244"/>
  <c r="AU102" i="244"/>
  <c r="AV102" i="244"/>
  <c r="AW102" i="244"/>
  <c r="AX102" i="244"/>
  <c r="AY102" i="244"/>
  <c r="AP103" i="244"/>
  <c r="AQ103" i="244"/>
  <c r="AR103" i="244"/>
  <c r="AS103" i="244"/>
  <c r="AT103" i="244"/>
  <c r="AU103" i="244"/>
  <c r="AV103" i="244"/>
  <c r="AW103" i="244"/>
  <c r="AX103" i="244"/>
  <c r="AY103" i="244"/>
  <c r="AZ103" i="244"/>
  <c r="AP104" i="244"/>
  <c r="AQ104" i="244"/>
  <c r="AR104" i="244"/>
  <c r="AS104" i="244"/>
  <c r="AT104" i="244"/>
  <c r="AU104" i="244"/>
  <c r="AV104" i="244"/>
  <c r="AW104" i="244"/>
  <c r="AX104" i="244"/>
  <c r="AY104" i="244"/>
  <c r="AP105" i="244"/>
  <c r="AQ105" i="244"/>
  <c r="AR105" i="244"/>
  <c r="AS105" i="244"/>
  <c r="AT105" i="244"/>
  <c r="AU105" i="244"/>
  <c r="AV105" i="244"/>
  <c r="AW105" i="244"/>
  <c r="AX105" i="244"/>
  <c r="AY105" i="244"/>
  <c r="AP106" i="244"/>
  <c r="AQ106" i="244"/>
  <c r="AR106" i="244"/>
  <c r="AS106" i="244"/>
  <c r="AT106" i="244"/>
  <c r="AU106" i="244"/>
  <c r="AV106" i="244"/>
  <c r="AW106" i="244"/>
  <c r="AX106" i="244"/>
  <c r="AY106" i="244"/>
  <c r="AP107" i="244"/>
  <c r="AQ107" i="244"/>
  <c r="AR107" i="244"/>
  <c r="AS107" i="244"/>
  <c r="AT107" i="244"/>
  <c r="AU107" i="244"/>
  <c r="AV107" i="244"/>
  <c r="AW107" i="244"/>
  <c r="AX107" i="244"/>
  <c r="AY107" i="244"/>
  <c r="AZ107" i="244"/>
  <c r="AP108" i="244"/>
  <c r="AQ108" i="244"/>
  <c r="AR108" i="244"/>
  <c r="AS108" i="244"/>
  <c r="AT108" i="244"/>
  <c r="AU108" i="244"/>
  <c r="AV108" i="244"/>
  <c r="AW108" i="244"/>
  <c r="AX108" i="244"/>
  <c r="AY108" i="244"/>
  <c r="AP109" i="244"/>
  <c r="AQ109" i="244"/>
  <c r="AR109" i="244"/>
  <c r="AS109" i="244"/>
  <c r="AT109" i="244"/>
  <c r="AU109" i="244"/>
  <c r="AV109" i="244"/>
  <c r="AW109" i="244"/>
  <c r="AX109" i="244"/>
  <c r="AY109" i="244"/>
  <c r="AP110" i="244"/>
  <c r="AQ110" i="244"/>
  <c r="AR110" i="244"/>
  <c r="AS110" i="244"/>
  <c r="AT110" i="244"/>
  <c r="AU110" i="244"/>
  <c r="AV110" i="244"/>
  <c r="AW110" i="244"/>
  <c r="AX110" i="244"/>
  <c r="AY110" i="244"/>
  <c r="AP111" i="244"/>
  <c r="AQ111" i="244"/>
  <c r="AR111" i="244"/>
  <c r="AS111" i="244"/>
  <c r="AT111" i="244"/>
  <c r="AU111" i="244"/>
  <c r="AV111" i="244"/>
  <c r="AW111" i="244"/>
  <c r="AX111" i="244"/>
  <c r="AY111" i="244"/>
  <c r="AZ111" i="244"/>
  <c r="AP112" i="244"/>
  <c r="AQ112" i="244"/>
  <c r="AR112" i="244"/>
  <c r="AS112" i="244"/>
  <c r="AT112" i="244"/>
  <c r="AU112" i="244"/>
  <c r="AV112" i="244"/>
  <c r="AW112" i="244"/>
  <c r="AX112" i="244"/>
  <c r="AY112" i="244"/>
  <c r="AP113" i="244"/>
  <c r="AQ113" i="244"/>
  <c r="AR113" i="244"/>
  <c r="AS113" i="244"/>
  <c r="AT113" i="244"/>
  <c r="AU113" i="244"/>
  <c r="AV113" i="244"/>
  <c r="AW113" i="244"/>
  <c r="AX113" i="244"/>
  <c r="AY113" i="244"/>
  <c r="AP114" i="244"/>
  <c r="AQ114" i="244"/>
  <c r="AR114" i="244"/>
  <c r="AS114" i="244"/>
  <c r="AT114" i="244"/>
  <c r="AU114" i="244"/>
  <c r="AV114" i="244"/>
  <c r="AW114" i="244"/>
  <c r="AX114" i="244"/>
  <c r="AY114" i="244"/>
  <c r="AP115" i="244"/>
  <c r="AQ115" i="244"/>
  <c r="AR115" i="244"/>
  <c r="AS115" i="244"/>
  <c r="AT115" i="244"/>
  <c r="AU115" i="244"/>
  <c r="AV115" i="244"/>
  <c r="AW115" i="244"/>
  <c r="AX115" i="244"/>
  <c r="AY115" i="244"/>
  <c r="AZ115" i="244"/>
  <c r="AP116" i="244"/>
  <c r="AQ116" i="244"/>
  <c r="AR116" i="244"/>
  <c r="AS116" i="244"/>
  <c r="AT116" i="244"/>
  <c r="AU116" i="244"/>
  <c r="AV116" i="244"/>
  <c r="AW116" i="244"/>
  <c r="AX116" i="244"/>
  <c r="AY116" i="244"/>
  <c r="AP117" i="244"/>
  <c r="AQ117" i="244"/>
  <c r="AR117" i="244"/>
  <c r="AS117" i="244"/>
  <c r="AT117" i="244"/>
  <c r="AU117" i="244"/>
  <c r="AV117" i="244"/>
  <c r="AW117" i="244"/>
  <c r="AX117" i="244"/>
  <c r="AY117" i="244"/>
  <c r="AP118" i="244"/>
  <c r="AQ118" i="244"/>
  <c r="AR118" i="244"/>
  <c r="AS118" i="244"/>
  <c r="AT118" i="244"/>
  <c r="AU118" i="244"/>
  <c r="AV118" i="244"/>
  <c r="AW118" i="244"/>
  <c r="AX118" i="244"/>
  <c r="AY118" i="244"/>
  <c r="AP119" i="244"/>
  <c r="AQ119" i="244"/>
  <c r="AR119" i="244"/>
  <c r="AS119" i="244"/>
  <c r="AT119" i="244"/>
  <c r="AU119" i="244"/>
  <c r="AV119" i="244"/>
  <c r="AW119" i="244"/>
  <c r="AX119" i="244"/>
  <c r="AY119" i="244"/>
  <c r="AZ119" i="244"/>
  <c r="AP120" i="244"/>
  <c r="AQ120" i="244"/>
  <c r="AR120" i="244"/>
  <c r="AS120" i="244"/>
  <c r="AT120" i="244"/>
  <c r="AU120" i="244"/>
  <c r="AV120" i="244"/>
  <c r="AW120" i="244"/>
  <c r="AX120" i="244"/>
  <c r="AY120" i="244"/>
  <c r="AP121" i="244"/>
  <c r="AQ121" i="244"/>
  <c r="AR121" i="244"/>
  <c r="AS121" i="244"/>
  <c r="AT121" i="244"/>
  <c r="AU121" i="244"/>
  <c r="AV121" i="244"/>
  <c r="AW121" i="244"/>
  <c r="AX121" i="244"/>
  <c r="AY121" i="244"/>
  <c r="AP122" i="244"/>
  <c r="AQ122" i="244"/>
  <c r="AR122" i="244"/>
  <c r="AS122" i="244"/>
  <c r="AT122" i="244"/>
  <c r="AU122" i="244"/>
  <c r="AV122" i="244"/>
  <c r="AW122" i="244"/>
  <c r="AX122" i="244"/>
  <c r="AY122" i="244"/>
  <c r="AP123" i="244"/>
  <c r="AQ123" i="244"/>
  <c r="AR123" i="244"/>
  <c r="AS123" i="244"/>
  <c r="AT123" i="244"/>
  <c r="AU123" i="244"/>
  <c r="AV123" i="244"/>
  <c r="AW123" i="244"/>
  <c r="AX123" i="244"/>
  <c r="AY123" i="244"/>
  <c r="AZ123" i="244"/>
  <c r="AP124" i="244"/>
  <c r="AQ124" i="244"/>
  <c r="AR124" i="244"/>
  <c r="AS124" i="244"/>
  <c r="AT124" i="244"/>
  <c r="AU124" i="244"/>
  <c r="AV124" i="244"/>
  <c r="AW124" i="244"/>
  <c r="AX124" i="244"/>
  <c r="AY124" i="244"/>
  <c r="AP125" i="244"/>
  <c r="AQ125" i="244"/>
  <c r="AR125" i="244"/>
  <c r="AS125" i="244"/>
  <c r="AT125" i="244"/>
  <c r="AU125" i="244"/>
  <c r="AV125" i="244"/>
  <c r="AW125" i="244"/>
  <c r="AX125" i="244"/>
  <c r="AY125" i="244"/>
  <c r="AP126" i="244"/>
  <c r="AQ126" i="244"/>
  <c r="AR126" i="244"/>
  <c r="AS126" i="244"/>
  <c r="AT126" i="244"/>
  <c r="AU126" i="244"/>
  <c r="AV126" i="244"/>
  <c r="AW126" i="244"/>
  <c r="AX126" i="244"/>
  <c r="AY126" i="244"/>
  <c r="AP127" i="244"/>
  <c r="AQ127" i="244"/>
  <c r="AR127" i="244"/>
  <c r="AS127" i="244"/>
  <c r="AT127" i="244"/>
  <c r="AU127" i="244"/>
  <c r="AV127" i="244"/>
  <c r="AW127" i="244"/>
  <c r="AX127" i="244"/>
  <c r="AY127" i="244"/>
  <c r="AZ127" i="244"/>
  <c r="BB127" i="244" s="1"/>
  <c r="AP128" i="244"/>
  <c r="AQ128" i="244"/>
  <c r="AR128" i="244"/>
  <c r="AS128" i="244"/>
  <c r="AT128" i="244"/>
  <c r="AU128" i="244"/>
  <c r="AV128" i="244"/>
  <c r="AW128" i="244"/>
  <c r="AX128" i="244"/>
  <c r="AY128" i="244"/>
  <c r="AP129" i="244"/>
  <c r="AQ129" i="244"/>
  <c r="AR129" i="244"/>
  <c r="AS129" i="244"/>
  <c r="AT129" i="244"/>
  <c r="AU129" i="244"/>
  <c r="AV129" i="244"/>
  <c r="AW129" i="244"/>
  <c r="AX129" i="244"/>
  <c r="AY129" i="244"/>
  <c r="AP130" i="244"/>
  <c r="AQ130" i="244"/>
  <c r="AR130" i="244"/>
  <c r="AS130" i="244"/>
  <c r="AT130" i="244"/>
  <c r="AU130" i="244"/>
  <c r="AV130" i="244"/>
  <c r="AW130" i="244"/>
  <c r="AX130" i="244"/>
  <c r="AY130" i="244"/>
  <c r="AP131" i="244"/>
  <c r="AQ131" i="244"/>
  <c r="AR131" i="244"/>
  <c r="AS131" i="244"/>
  <c r="AT131" i="244"/>
  <c r="AU131" i="244"/>
  <c r="AV131" i="244"/>
  <c r="AW131" i="244"/>
  <c r="AX131" i="244"/>
  <c r="AY131" i="244"/>
  <c r="AZ131" i="244"/>
  <c r="AP132" i="244"/>
  <c r="AQ132" i="244"/>
  <c r="AR132" i="244"/>
  <c r="AS132" i="244"/>
  <c r="AT132" i="244"/>
  <c r="AU132" i="244"/>
  <c r="AV132" i="244"/>
  <c r="AW132" i="244"/>
  <c r="AX132" i="244"/>
  <c r="AY132" i="244"/>
  <c r="AP133" i="244"/>
  <c r="AQ133" i="244"/>
  <c r="AR133" i="244"/>
  <c r="AS133" i="244"/>
  <c r="AT133" i="244"/>
  <c r="AU133" i="244"/>
  <c r="AV133" i="244"/>
  <c r="AW133" i="244"/>
  <c r="AX133" i="244"/>
  <c r="AY133" i="244"/>
  <c r="AP134" i="244"/>
  <c r="AQ134" i="244"/>
  <c r="AR134" i="244"/>
  <c r="AS134" i="244"/>
  <c r="AT134" i="244"/>
  <c r="AU134" i="244"/>
  <c r="AV134" i="244"/>
  <c r="AW134" i="244"/>
  <c r="AX134" i="244"/>
  <c r="AY134" i="244"/>
  <c r="AZ134" i="244"/>
  <c r="AP135" i="244"/>
  <c r="AQ135" i="244"/>
  <c r="AR135" i="244"/>
  <c r="AS135" i="244"/>
  <c r="AT135" i="244"/>
  <c r="AU135" i="244"/>
  <c r="AV135" i="244"/>
  <c r="AW135" i="244"/>
  <c r="AX135" i="244"/>
  <c r="AY135" i="244"/>
  <c r="AZ135" i="244"/>
  <c r="AP136" i="244"/>
  <c r="AQ136" i="244"/>
  <c r="AR136" i="244"/>
  <c r="AS136" i="244"/>
  <c r="AT136" i="244"/>
  <c r="AU136" i="244"/>
  <c r="AV136" i="244"/>
  <c r="AW136" i="244"/>
  <c r="AX136" i="244"/>
  <c r="AY136" i="244"/>
  <c r="AZ136" i="244"/>
  <c r="AP137" i="244"/>
  <c r="AQ137" i="244"/>
  <c r="AR137" i="244"/>
  <c r="AS137" i="244"/>
  <c r="AT137" i="244"/>
  <c r="AU137" i="244"/>
  <c r="AV137" i="244"/>
  <c r="AW137" i="244"/>
  <c r="AX137" i="244"/>
  <c r="AY137" i="244"/>
  <c r="AP138" i="244"/>
  <c r="AQ138" i="244"/>
  <c r="AR138" i="244"/>
  <c r="AS138" i="244"/>
  <c r="AT138" i="244"/>
  <c r="AU138" i="244"/>
  <c r="AV138" i="244"/>
  <c r="AW138" i="244"/>
  <c r="AX138" i="244"/>
  <c r="AY138" i="244"/>
  <c r="AP139" i="244"/>
  <c r="AQ139" i="244"/>
  <c r="AR139" i="244"/>
  <c r="AS139" i="244"/>
  <c r="AT139" i="244"/>
  <c r="AU139" i="244"/>
  <c r="AV139" i="244"/>
  <c r="AW139" i="244"/>
  <c r="AX139" i="244"/>
  <c r="AY139" i="244"/>
  <c r="AZ139" i="244"/>
  <c r="AP140" i="244"/>
  <c r="AQ140" i="244"/>
  <c r="AR140" i="244"/>
  <c r="AS140" i="244"/>
  <c r="AT140" i="244"/>
  <c r="AU140" i="244"/>
  <c r="AV140" i="244"/>
  <c r="AW140" i="244"/>
  <c r="AX140" i="244"/>
  <c r="AY140" i="244"/>
  <c r="AP141" i="244"/>
  <c r="AQ141" i="244"/>
  <c r="AR141" i="244"/>
  <c r="AS141" i="244"/>
  <c r="AT141" i="244"/>
  <c r="AU141" i="244"/>
  <c r="AV141" i="244"/>
  <c r="AW141" i="244"/>
  <c r="AX141" i="244"/>
  <c r="AY141" i="244"/>
  <c r="AZ141" i="244"/>
  <c r="BB141" i="244" s="1"/>
  <c r="AP142" i="244"/>
  <c r="AQ142" i="244"/>
  <c r="AR142" i="244"/>
  <c r="AS142" i="244"/>
  <c r="AT142" i="244"/>
  <c r="AU142" i="244"/>
  <c r="AV142" i="244"/>
  <c r="AW142" i="244"/>
  <c r="AX142" i="244"/>
  <c r="AY142" i="244"/>
  <c r="AZ142" i="244"/>
  <c r="BB142" i="244" s="1"/>
  <c r="AP143" i="244"/>
  <c r="AQ143" i="244"/>
  <c r="AR143" i="244"/>
  <c r="AS143" i="244"/>
  <c r="AT143" i="244"/>
  <c r="AU143" i="244"/>
  <c r="AV143" i="244"/>
  <c r="AW143" i="244"/>
  <c r="AX143" i="244"/>
  <c r="AY143" i="244"/>
  <c r="AZ143" i="244"/>
  <c r="AP144" i="244"/>
  <c r="AQ144" i="244"/>
  <c r="AR144" i="244"/>
  <c r="AS144" i="244"/>
  <c r="AT144" i="244"/>
  <c r="AU144" i="244"/>
  <c r="AV144" i="244"/>
  <c r="AW144" i="244"/>
  <c r="AX144" i="244"/>
  <c r="AY144" i="244"/>
  <c r="AP145" i="244"/>
  <c r="AQ145" i="244"/>
  <c r="AR145" i="244"/>
  <c r="AS145" i="244"/>
  <c r="AT145" i="244"/>
  <c r="AU145" i="244"/>
  <c r="AV145" i="244"/>
  <c r="AW145" i="244"/>
  <c r="AX145" i="244"/>
  <c r="AY145" i="244"/>
  <c r="AP146" i="244"/>
  <c r="AQ146" i="244"/>
  <c r="AR146" i="244"/>
  <c r="AS146" i="244"/>
  <c r="AT146" i="244"/>
  <c r="AU146" i="244"/>
  <c r="AV146" i="244"/>
  <c r="AW146" i="244"/>
  <c r="AX146" i="244"/>
  <c r="AY146" i="244"/>
  <c r="AZ146" i="244"/>
  <c r="AP147" i="244"/>
  <c r="AQ147" i="244"/>
  <c r="AR147" i="244"/>
  <c r="AS147" i="244"/>
  <c r="AT147" i="244"/>
  <c r="AU147" i="244"/>
  <c r="AV147" i="244"/>
  <c r="AW147" i="244"/>
  <c r="AX147" i="244"/>
  <c r="AY147" i="244"/>
  <c r="AP148" i="244"/>
  <c r="AQ148" i="244"/>
  <c r="AR148" i="244"/>
  <c r="AS148" i="244"/>
  <c r="AT148" i="244"/>
  <c r="AU148" i="244"/>
  <c r="AV148" i="244"/>
  <c r="AW148" i="244"/>
  <c r="AX148" i="244"/>
  <c r="AY148" i="244"/>
  <c r="AP149" i="244"/>
  <c r="AQ149" i="244"/>
  <c r="AR149" i="244"/>
  <c r="AS149" i="244"/>
  <c r="AT149" i="244"/>
  <c r="AU149" i="244"/>
  <c r="AV149" i="244"/>
  <c r="AW149" i="244"/>
  <c r="AX149" i="244"/>
  <c r="AY149" i="244"/>
  <c r="AZ149" i="244"/>
  <c r="AP150" i="244"/>
  <c r="AQ150" i="244"/>
  <c r="AR150" i="244"/>
  <c r="AS150" i="244"/>
  <c r="AT150" i="244"/>
  <c r="AU150" i="244"/>
  <c r="AV150" i="244"/>
  <c r="AW150" i="244"/>
  <c r="AX150" i="244"/>
  <c r="AY150" i="244"/>
  <c r="AZ150" i="244"/>
  <c r="AP151" i="244"/>
  <c r="AQ151" i="244"/>
  <c r="AR151" i="244"/>
  <c r="AS151" i="244"/>
  <c r="AT151" i="244"/>
  <c r="AU151" i="244"/>
  <c r="AV151" i="244"/>
  <c r="AW151" i="244"/>
  <c r="AX151" i="244"/>
  <c r="AY151" i="244"/>
  <c r="AZ151" i="244"/>
  <c r="BB151" i="244" s="1"/>
  <c r="AP152" i="244"/>
  <c r="AQ152" i="244"/>
  <c r="AR152" i="244"/>
  <c r="AS152" i="244"/>
  <c r="AT152" i="244"/>
  <c r="AU152" i="244"/>
  <c r="AV152" i="244"/>
  <c r="AW152" i="244"/>
  <c r="AX152" i="244"/>
  <c r="AY152" i="244"/>
  <c r="AP153" i="244"/>
  <c r="AQ153" i="244"/>
  <c r="AR153" i="244"/>
  <c r="AS153" i="244"/>
  <c r="AT153" i="244"/>
  <c r="AU153" i="244"/>
  <c r="AV153" i="244"/>
  <c r="AW153" i="244"/>
  <c r="AX153" i="244"/>
  <c r="AY153" i="244"/>
  <c r="AP154" i="244"/>
  <c r="AQ154" i="244"/>
  <c r="AR154" i="244"/>
  <c r="AS154" i="244"/>
  <c r="AT154" i="244"/>
  <c r="AU154" i="244"/>
  <c r="AV154" i="244"/>
  <c r="AW154" i="244"/>
  <c r="AX154" i="244"/>
  <c r="AY154" i="244"/>
  <c r="AZ154" i="244"/>
  <c r="AP155" i="244"/>
  <c r="AQ155" i="244"/>
  <c r="AR155" i="244"/>
  <c r="AS155" i="244"/>
  <c r="AT155" i="244"/>
  <c r="AU155" i="244"/>
  <c r="AV155" i="244"/>
  <c r="AW155" i="244"/>
  <c r="AX155" i="244"/>
  <c r="AY155" i="244"/>
  <c r="AP156" i="244"/>
  <c r="AQ156" i="244"/>
  <c r="AR156" i="244"/>
  <c r="AS156" i="244"/>
  <c r="AT156" i="244"/>
  <c r="AU156" i="244"/>
  <c r="AV156" i="244"/>
  <c r="AW156" i="244"/>
  <c r="AX156" i="244"/>
  <c r="AY156" i="244"/>
  <c r="AP157" i="244"/>
  <c r="AQ157" i="244"/>
  <c r="AR157" i="244"/>
  <c r="AS157" i="244"/>
  <c r="AT157" i="244"/>
  <c r="AU157" i="244"/>
  <c r="AV157" i="244"/>
  <c r="AW157" i="244"/>
  <c r="AX157" i="244"/>
  <c r="AY157" i="244"/>
  <c r="AP158" i="244"/>
  <c r="AQ158" i="244"/>
  <c r="AR158" i="244"/>
  <c r="AS158" i="244"/>
  <c r="AT158" i="244"/>
  <c r="AU158" i="244"/>
  <c r="AV158" i="244"/>
  <c r="AW158" i="244"/>
  <c r="AX158" i="244"/>
  <c r="AY158" i="244"/>
  <c r="AZ158" i="244"/>
  <c r="AP159" i="244"/>
  <c r="AQ159" i="244"/>
  <c r="AR159" i="244"/>
  <c r="AS159" i="244"/>
  <c r="AT159" i="244"/>
  <c r="AU159" i="244"/>
  <c r="AV159" i="244"/>
  <c r="AW159" i="244"/>
  <c r="AX159" i="244"/>
  <c r="AY159" i="244"/>
  <c r="AP160" i="244"/>
  <c r="AQ160" i="244"/>
  <c r="AR160" i="244"/>
  <c r="AS160" i="244"/>
  <c r="AT160" i="244"/>
  <c r="AU160" i="244"/>
  <c r="AV160" i="244"/>
  <c r="AW160" i="244"/>
  <c r="AX160" i="244"/>
  <c r="AY160" i="244"/>
  <c r="AP161" i="244"/>
  <c r="AQ161" i="244"/>
  <c r="AR161" i="244"/>
  <c r="AS161" i="244"/>
  <c r="AT161" i="244"/>
  <c r="AU161" i="244"/>
  <c r="AV161" i="244"/>
  <c r="AW161" i="244"/>
  <c r="AX161" i="244"/>
  <c r="AY161" i="244"/>
  <c r="AP162" i="244"/>
  <c r="AQ162" i="244"/>
  <c r="AR162" i="244"/>
  <c r="AS162" i="244"/>
  <c r="AT162" i="244"/>
  <c r="AU162" i="244"/>
  <c r="AV162" i="244"/>
  <c r="AW162" i="244"/>
  <c r="AX162" i="244"/>
  <c r="AY162" i="244"/>
  <c r="AZ162" i="244"/>
  <c r="AP163" i="244"/>
  <c r="AQ163" i="244"/>
  <c r="AR163" i="244"/>
  <c r="AS163" i="244"/>
  <c r="AT163" i="244"/>
  <c r="AU163" i="244"/>
  <c r="AV163" i="244"/>
  <c r="AW163" i="244"/>
  <c r="AX163" i="244"/>
  <c r="AY163" i="244"/>
  <c r="AP164" i="244"/>
  <c r="AQ164" i="244"/>
  <c r="AR164" i="244"/>
  <c r="AS164" i="244"/>
  <c r="AT164" i="244"/>
  <c r="AU164" i="244"/>
  <c r="AV164" i="244"/>
  <c r="AW164" i="244"/>
  <c r="AX164" i="244"/>
  <c r="AY164" i="244"/>
  <c r="AP165" i="244"/>
  <c r="AQ165" i="244"/>
  <c r="AR165" i="244"/>
  <c r="AS165" i="244"/>
  <c r="AT165" i="244"/>
  <c r="AU165" i="244"/>
  <c r="AV165" i="244"/>
  <c r="AW165" i="244"/>
  <c r="AX165" i="244"/>
  <c r="AY165" i="244"/>
  <c r="AP166" i="244"/>
  <c r="AQ166" i="244"/>
  <c r="AR166" i="244"/>
  <c r="AS166" i="244"/>
  <c r="AT166" i="244"/>
  <c r="AU166" i="244"/>
  <c r="AV166" i="244"/>
  <c r="AW166" i="244"/>
  <c r="AX166" i="244"/>
  <c r="AY166" i="244"/>
  <c r="AZ166" i="244"/>
  <c r="AP168" i="244"/>
  <c r="AQ168" i="244"/>
  <c r="AR168" i="244"/>
  <c r="AS168" i="244"/>
  <c r="AT168" i="244"/>
  <c r="AU168" i="244"/>
  <c r="AV168" i="244"/>
  <c r="AW168" i="244"/>
  <c r="AX168" i="244"/>
  <c r="AY168" i="244"/>
  <c r="AP169" i="244"/>
  <c r="AQ169" i="244"/>
  <c r="AR169" i="244"/>
  <c r="AS169" i="244"/>
  <c r="AT169" i="244"/>
  <c r="AU169" i="244"/>
  <c r="AV169" i="244"/>
  <c r="AW169" i="244"/>
  <c r="AX169" i="244"/>
  <c r="AY169" i="244"/>
  <c r="AP170" i="244"/>
  <c r="AQ170" i="244"/>
  <c r="AR170" i="244"/>
  <c r="AS170" i="244"/>
  <c r="AT170" i="244"/>
  <c r="AU170" i="244"/>
  <c r="AV170" i="244"/>
  <c r="AW170" i="244"/>
  <c r="AX170" i="244"/>
  <c r="AY170" i="244"/>
  <c r="AP171" i="244"/>
  <c r="AQ171" i="244"/>
  <c r="AR171" i="244"/>
  <c r="AS171" i="244"/>
  <c r="AT171" i="244"/>
  <c r="AU171" i="244"/>
  <c r="AV171" i="244"/>
  <c r="AW171" i="244"/>
  <c r="AX171" i="244"/>
  <c r="AY171" i="244"/>
  <c r="AZ171" i="244"/>
  <c r="AP172" i="244"/>
  <c r="AQ172" i="244"/>
  <c r="AR172" i="244"/>
  <c r="AS172" i="244"/>
  <c r="AT172" i="244"/>
  <c r="AU172" i="244"/>
  <c r="AV172" i="244"/>
  <c r="AW172" i="244"/>
  <c r="AX172" i="244"/>
  <c r="AY172" i="244"/>
  <c r="AP173" i="244"/>
  <c r="AQ173" i="244"/>
  <c r="AR173" i="244"/>
  <c r="AS173" i="244"/>
  <c r="AT173" i="244"/>
  <c r="AU173" i="244"/>
  <c r="AV173" i="244"/>
  <c r="AW173" i="244"/>
  <c r="AX173" i="244"/>
  <c r="AY173" i="244"/>
  <c r="AP174" i="244"/>
  <c r="AQ174" i="244"/>
  <c r="AR174" i="244"/>
  <c r="AS174" i="244"/>
  <c r="AT174" i="244"/>
  <c r="AU174" i="244"/>
  <c r="AV174" i="244"/>
  <c r="AW174" i="244"/>
  <c r="AX174" i="244"/>
  <c r="AY174" i="244"/>
  <c r="AP175" i="244"/>
  <c r="AQ175" i="244"/>
  <c r="AR175" i="244"/>
  <c r="AS175" i="244"/>
  <c r="AT175" i="244"/>
  <c r="AU175" i="244"/>
  <c r="AV175" i="244"/>
  <c r="AW175" i="244"/>
  <c r="AX175" i="244"/>
  <c r="AY175" i="244"/>
  <c r="AZ175" i="244"/>
  <c r="BB175" i="244" s="1"/>
  <c r="AP176" i="244"/>
  <c r="AQ176" i="244"/>
  <c r="AR176" i="244"/>
  <c r="AS176" i="244"/>
  <c r="AT176" i="244"/>
  <c r="AU176" i="244"/>
  <c r="AV176" i="244"/>
  <c r="AW176" i="244"/>
  <c r="AX176" i="244"/>
  <c r="AY176" i="244"/>
  <c r="AP177" i="244"/>
  <c r="AQ177" i="244"/>
  <c r="AR177" i="244"/>
  <c r="AS177" i="244"/>
  <c r="AT177" i="244"/>
  <c r="AU177" i="244"/>
  <c r="AV177" i="244"/>
  <c r="AW177" i="244"/>
  <c r="AX177" i="244"/>
  <c r="AY177" i="244"/>
  <c r="AP178" i="244"/>
  <c r="AQ178" i="244"/>
  <c r="AR178" i="244"/>
  <c r="AS178" i="244"/>
  <c r="AT178" i="244"/>
  <c r="AU178" i="244"/>
  <c r="AV178" i="244"/>
  <c r="AW178" i="244"/>
  <c r="AX178" i="244"/>
  <c r="AY178" i="244"/>
  <c r="AP179" i="244"/>
  <c r="AQ179" i="244"/>
  <c r="AR179" i="244"/>
  <c r="AS179" i="244"/>
  <c r="AT179" i="244"/>
  <c r="AU179" i="244"/>
  <c r="AV179" i="244"/>
  <c r="AW179" i="244"/>
  <c r="AX179" i="244"/>
  <c r="AY179" i="244"/>
  <c r="AZ179" i="244"/>
  <c r="BB179" i="244" s="1"/>
  <c r="AP180" i="244"/>
  <c r="AQ180" i="244"/>
  <c r="AR180" i="244"/>
  <c r="AS180" i="244"/>
  <c r="AT180" i="244"/>
  <c r="AU180" i="244"/>
  <c r="AV180" i="244"/>
  <c r="AW180" i="244"/>
  <c r="AX180" i="244"/>
  <c r="AY180" i="244"/>
  <c r="AP181" i="244"/>
  <c r="AQ181" i="244"/>
  <c r="AR181" i="244"/>
  <c r="AS181" i="244"/>
  <c r="AT181" i="244"/>
  <c r="AU181" i="244"/>
  <c r="AV181" i="244"/>
  <c r="AW181" i="244"/>
  <c r="AX181" i="244"/>
  <c r="AY181" i="244"/>
  <c r="AP182" i="244"/>
  <c r="AQ182" i="244"/>
  <c r="AR182" i="244"/>
  <c r="AS182" i="244"/>
  <c r="AT182" i="244"/>
  <c r="AU182" i="244"/>
  <c r="AV182" i="244"/>
  <c r="AW182" i="244"/>
  <c r="AX182" i="244"/>
  <c r="AY182" i="244"/>
  <c r="AP183" i="244"/>
  <c r="AQ183" i="244"/>
  <c r="AR183" i="244"/>
  <c r="AS183" i="244"/>
  <c r="AT183" i="244"/>
  <c r="AU183" i="244"/>
  <c r="AV183" i="244"/>
  <c r="AW183" i="244"/>
  <c r="AX183" i="244"/>
  <c r="AY183" i="244"/>
  <c r="AZ183" i="244"/>
  <c r="BB183" i="244" s="1"/>
  <c r="AP184" i="244"/>
  <c r="AQ184" i="244"/>
  <c r="AR184" i="244"/>
  <c r="AS184" i="244"/>
  <c r="AT184" i="244"/>
  <c r="AU184" i="244"/>
  <c r="AV184" i="244"/>
  <c r="AW184" i="244"/>
  <c r="AX184" i="244"/>
  <c r="AY184" i="244"/>
  <c r="AP185" i="244"/>
  <c r="AQ185" i="244"/>
  <c r="AR185" i="244"/>
  <c r="AS185" i="244"/>
  <c r="AT185" i="244"/>
  <c r="AU185" i="244"/>
  <c r="AV185" i="244"/>
  <c r="AW185" i="244"/>
  <c r="AX185" i="244"/>
  <c r="AY185" i="244"/>
  <c r="AP186" i="244"/>
  <c r="AQ186" i="244"/>
  <c r="AR186" i="244"/>
  <c r="AS186" i="244"/>
  <c r="AT186" i="244"/>
  <c r="AU186" i="244"/>
  <c r="AV186" i="244"/>
  <c r="AW186" i="244"/>
  <c r="AX186" i="244"/>
  <c r="AY186" i="244"/>
  <c r="AP187" i="244"/>
  <c r="AQ187" i="244"/>
  <c r="AR187" i="244"/>
  <c r="AS187" i="244"/>
  <c r="AT187" i="244"/>
  <c r="AU187" i="244"/>
  <c r="AV187" i="244"/>
  <c r="AW187" i="244"/>
  <c r="AX187" i="244"/>
  <c r="AY187" i="244"/>
  <c r="AZ187" i="244"/>
  <c r="AP188" i="244"/>
  <c r="AQ188" i="244"/>
  <c r="AR188" i="244"/>
  <c r="AS188" i="244"/>
  <c r="AT188" i="244"/>
  <c r="AU188" i="244"/>
  <c r="AV188" i="244"/>
  <c r="AW188" i="244"/>
  <c r="AX188" i="244"/>
  <c r="AY188" i="244"/>
  <c r="AP189" i="244"/>
  <c r="AQ189" i="244"/>
  <c r="AR189" i="244"/>
  <c r="AS189" i="244"/>
  <c r="AT189" i="244"/>
  <c r="AU189" i="244"/>
  <c r="AV189" i="244"/>
  <c r="AW189" i="244"/>
  <c r="AX189" i="244"/>
  <c r="AY189" i="244"/>
  <c r="AP190" i="244"/>
  <c r="AQ190" i="244"/>
  <c r="AR190" i="244"/>
  <c r="AS190" i="244"/>
  <c r="AT190" i="244"/>
  <c r="AU190" i="244"/>
  <c r="AV190" i="244"/>
  <c r="AW190" i="244"/>
  <c r="AX190" i="244"/>
  <c r="AY190" i="244"/>
  <c r="AP191" i="244"/>
  <c r="AQ191" i="244"/>
  <c r="AR191" i="244"/>
  <c r="AS191" i="244"/>
  <c r="AT191" i="244"/>
  <c r="AU191" i="244"/>
  <c r="AV191" i="244"/>
  <c r="AW191" i="244"/>
  <c r="AX191" i="244"/>
  <c r="AY191" i="244"/>
  <c r="AZ191" i="244"/>
  <c r="BB191" i="244" s="1"/>
  <c r="AP192" i="244"/>
  <c r="AQ192" i="244"/>
  <c r="AR192" i="244"/>
  <c r="AS192" i="244"/>
  <c r="AT192" i="244"/>
  <c r="AU192" i="244"/>
  <c r="AV192" i="244"/>
  <c r="AW192" i="244"/>
  <c r="AX192" i="244"/>
  <c r="AY192" i="244"/>
  <c r="AP193" i="244"/>
  <c r="AQ193" i="244"/>
  <c r="AR193" i="244"/>
  <c r="AS193" i="244"/>
  <c r="AT193" i="244"/>
  <c r="AU193" i="244"/>
  <c r="AV193" i="244"/>
  <c r="AW193" i="244"/>
  <c r="AX193" i="244"/>
  <c r="AY193" i="244"/>
  <c r="AP194" i="244"/>
  <c r="AQ194" i="244"/>
  <c r="AR194" i="244"/>
  <c r="AS194" i="244"/>
  <c r="AT194" i="244"/>
  <c r="AU194" i="244"/>
  <c r="AV194" i="244"/>
  <c r="AW194" i="244"/>
  <c r="AX194" i="244"/>
  <c r="AY194" i="244"/>
  <c r="AP195" i="244"/>
  <c r="AQ195" i="244"/>
  <c r="AR195" i="244"/>
  <c r="AS195" i="244"/>
  <c r="AT195" i="244"/>
  <c r="AU195" i="244"/>
  <c r="AV195" i="244"/>
  <c r="AW195" i="244"/>
  <c r="AX195" i="244"/>
  <c r="AY195" i="244"/>
  <c r="AZ195" i="244"/>
  <c r="BB195" i="244" s="1"/>
  <c r="AP196" i="244"/>
  <c r="AQ196" i="244"/>
  <c r="AR196" i="244"/>
  <c r="AS196" i="244"/>
  <c r="AT196" i="244"/>
  <c r="AU196" i="244"/>
  <c r="AV196" i="244"/>
  <c r="AW196" i="244"/>
  <c r="AX196" i="244"/>
  <c r="AY196" i="244"/>
  <c r="AP197" i="244"/>
  <c r="AQ197" i="244"/>
  <c r="AR197" i="244"/>
  <c r="AS197" i="244"/>
  <c r="AT197" i="244"/>
  <c r="AU197" i="244"/>
  <c r="AV197" i="244"/>
  <c r="AW197" i="244"/>
  <c r="AX197" i="244"/>
  <c r="AY197" i="244"/>
  <c r="AP198" i="244"/>
  <c r="AQ198" i="244"/>
  <c r="AR198" i="244"/>
  <c r="AS198" i="244"/>
  <c r="AT198" i="244"/>
  <c r="AU198" i="244"/>
  <c r="AV198" i="244"/>
  <c r="AW198" i="244"/>
  <c r="AX198" i="244"/>
  <c r="AY198" i="244"/>
  <c r="AP199" i="244"/>
  <c r="AQ199" i="244"/>
  <c r="AR199" i="244"/>
  <c r="AS199" i="244"/>
  <c r="AT199" i="244"/>
  <c r="AU199" i="244"/>
  <c r="AV199" i="244"/>
  <c r="AW199" i="244"/>
  <c r="AX199" i="244"/>
  <c r="AY199" i="244"/>
  <c r="AZ199" i="244"/>
  <c r="BB199" i="244" s="1"/>
  <c r="AP200" i="244"/>
  <c r="AQ200" i="244"/>
  <c r="AR200" i="244"/>
  <c r="AS200" i="244"/>
  <c r="AT200" i="244"/>
  <c r="AU200" i="244"/>
  <c r="AV200" i="244"/>
  <c r="AW200" i="244"/>
  <c r="AX200" i="244"/>
  <c r="AY200" i="244"/>
  <c r="AP201" i="244"/>
  <c r="AQ201" i="244"/>
  <c r="AR201" i="244"/>
  <c r="AS201" i="244"/>
  <c r="AT201" i="244"/>
  <c r="AU201" i="244"/>
  <c r="AV201" i="244"/>
  <c r="AW201" i="244"/>
  <c r="AX201" i="244"/>
  <c r="AY201" i="244"/>
  <c r="AP202" i="244"/>
  <c r="AQ202" i="244"/>
  <c r="AR202" i="244"/>
  <c r="AS202" i="244"/>
  <c r="AT202" i="244"/>
  <c r="AU202" i="244"/>
  <c r="AV202" i="244"/>
  <c r="AW202" i="244"/>
  <c r="AX202" i="244"/>
  <c r="AY202" i="244"/>
  <c r="AP203" i="244"/>
  <c r="AQ203" i="244"/>
  <c r="AR203" i="244"/>
  <c r="AS203" i="244"/>
  <c r="AT203" i="244"/>
  <c r="AU203" i="244"/>
  <c r="AV203" i="244"/>
  <c r="AW203" i="244"/>
  <c r="AX203" i="244"/>
  <c r="AY203" i="244"/>
  <c r="AZ203" i="244"/>
  <c r="AP204" i="244"/>
  <c r="AQ204" i="244"/>
  <c r="AR204" i="244"/>
  <c r="AS204" i="244"/>
  <c r="AT204" i="244"/>
  <c r="AU204" i="244"/>
  <c r="AV204" i="244"/>
  <c r="AW204" i="244"/>
  <c r="AX204" i="244"/>
  <c r="AY204" i="244"/>
  <c r="AP205" i="244"/>
  <c r="AQ205" i="244"/>
  <c r="AR205" i="244"/>
  <c r="AS205" i="244"/>
  <c r="AT205" i="244"/>
  <c r="AU205" i="244"/>
  <c r="AV205" i="244"/>
  <c r="AW205" i="244"/>
  <c r="AX205" i="244"/>
  <c r="AY205" i="244"/>
  <c r="AP206" i="244"/>
  <c r="AQ206" i="244"/>
  <c r="AR206" i="244"/>
  <c r="AS206" i="244"/>
  <c r="AT206" i="244"/>
  <c r="AU206" i="244"/>
  <c r="AV206" i="244"/>
  <c r="AW206" i="244"/>
  <c r="AX206" i="244"/>
  <c r="AY206" i="244"/>
  <c r="AP207" i="244"/>
  <c r="AQ207" i="244"/>
  <c r="AR207" i="244"/>
  <c r="AS207" i="244"/>
  <c r="AT207" i="244"/>
  <c r="AU207" i="244"/>
  <c r="AV207" i="244"/>
  <c r="AW207" i="244"/>
  <c r="AX207" i="244"/>
  <c r="AY207" i="244"/>
  <c r="AZ207" i="244"/>
  <c r="AP208" i="244"/>
  <c r="AQ208" i="244"/>
  <c r="AR208" i="244"/>
  <c r="AS208" i="244"/>
  <c r="AT208" i="244"/>
  <c r="AU208" i="244"/>
  <c r="AV208" i="244"/>
  <c r="AW208" i="244"/>
  <c r="AX208" i="244"/>
  <c r="AY208" i="244"/>
  <c r="AP209" i="244"/>
  <c r="AQ209" i="244"/>
  <c r="AR209" i="244"/>
  <c r="AS209" i="244"/>
  <c r="AT209" i="244"/>
  <c r="AU209" i="244"/>
  <c r="AV209" i="244"/>
  <c r="AW209" i="244"/>
  <c r="AX209" i="244"/>
  <c r="AY209" i="244"/>
  <c r="AP210" i="244"/>
  <c r="AQ210" i="244"/>
  <c r="AR210" i="244"/>
  <c r="AS210" i="244"/>
  <c r="AT210" i="244"/>
  <c r="AU210" i="244"/>
  <c r="AV210" i="244"/>
  <c r="AW210" i="244"/>
  <c r="AX210" i="244"/>
  <c r="AY210" i="244"/>
  <c r="AZ210" i="244"/>
  <c r="AP211" i="244"/>
  <c r="AQ211" i="244"/>
  <c r="AR211" i="244"/>
  <c r="AS211" i="244"/>
  <c r="AT211" i="244"/>
  <c r="AU211" i="244"/>
  <c r="AV211" i="244"/>
  <c r="AW211" i="244"/>
  <c r="AX211" i="244"/>
  <c r="AY211" i="244"/>
  <c r="AZ211" i="244"/>
  <c r="BB211" i="244" s="1"/>
  <c r="AP212" i="244"/>
  <c r="AQ212" i="244"/>
  <c r="AR212" i="244"/>
  <c r="AS212" i="244"/>
  <c r="AT212" i="244"/>
  <c r="AU212" i="244"/>
  <c r="AV212" i="244"/>
  <c r="AW212" i="244"/>
  <c r="AX212" i="244"/>
  <c r="AY212" i="244"/>
  <c r="AP213" i="244"/>
  <c r="AQ213" i="244"/>
  <c r="AR213" i="244"/>
  <c r="AS213" i="244"/>
  <c r="AT213" i="244"/>
  <c r="AU213" i="244"/>
  <c r="AV213" i="244"/>
  <c r="AW213" i="244"/>
  <c r="AX213" i="244"/>
  <c r="AY213" i="244"/>
  <c r="AP214" i="244"/>
  <c r="AQ214" i="244"/>
  <c r="AR214" i="244"/>
  <c r="AS214" i="244"/>
  <c r="AT214" i="244"/>
  <c r="AU214" i="244"/>
  <c r="AV214" i="244"/>
  <c r="AW214" i="244"/>
  <c r="AX214" i="244"/>
  <c r="AY214" i="244"/>
  <c r="AP215" i="244"/>
  <c r="AQ215" i="244"/>
  <c r="AR215" i="244"/>
  <c r="AS215" i="244"/>
  <c r="AT215" i="244"/>
  <c r="AU215" i="244"/>
  <c r="AV215" i="244"/>
  <c r="AW215" i="244"/>
  <c r="AX215" i="244"/>
  <c r="AY215" i="244"/>
  <c r="AZ215" i="244"/>
  <c r="BB215" i="244" s="1"/>
  <c r="AP216" i="244"/>
  <c r="AQ216" i="244"/>
  <c r="AR216" i="244"/>
  <c r="AS216" i="244"/>
  <c r="AT216" i="244"/>
  <c r="AU216" i="244"/>
  <c r="AV216" i="244"/>
  <c r="AW216" i="244"/>
  <c r="AX216" i="244"/>
  <c r="AY216" i="244"/>
  <c r="AP217" i="244"/>
  <c r="AQ217" i="244"/>
  <c r="AR217" i="244"/>
  <c r="AS217" i="244"/>
  <c r="AT217" i="244"/>
  <c r="AU217" i="244"/>
  <c r="AV217" i="244"/>
  <c r="AW217" i="244"/>
  <c r="AX217" i="244"/>
  <c r="AY217" i="244"/>
  <c r="AP218" i="244"/>
  <c r="AQ218" i="244"/>
  <c r="AR218" i="244"/>
  <c r="AS218" i="244"/>
  <c r="AT218" i="244"/>
  <c r="AU218" i="244"/>
  <c r="AV218" i="244"/>
  <c r="AW218" i="244"/>
  <c r="AX218" i="244"/>
  <c r="AY218" i="244"/>
  <c r="AP219" i="244"/>
  <c r="AQ219" i="244"/>
  <c r="AR219" i="244"/>
  <c r="AS219" i="244"/>
  <c r="AT219" i="244"/>
  <c r="AU219" i="244"/>
  <c r="AV219" i="244"/>
  <c r="AW219" i="244"/>
  <c r="AX219" i="244"/>
  <c r="AY219" i="244"/>
  <c r="AZ219" i="244"/>
  <c r="BB219" i="244" s="1"/>
  <c r="AP220" i="244"/>
  <c r="AQ220" i="244"/>
  <c r="AR220" i="244"/>
  <c r="AS220" i="244"/>
  <c r="AT220" i="244"/>
  <c r="AU220" i="244"/>
  <c r="AV220" i="244"/>
  <c r="AW220" i="244"/>
  <c r="AX220" i="244"/>
  <c r="AY220" i="244"/>
  <c r="AZ220" i="244"/>
  <c r="AP221" i="244"/>
  <c r="AQ221" i="244"/>
  <c r="AR221" i="244"/>
  <c r="AS221" i="244"/>
  <c r="AT221" i="244"/>
  <c r="AU221" i="244"/>
  <c r="AV221" i="244"/>
  <c r="AW221" i="244"/>
  <c r="AX221" i="244"/>
  <c r="AY221" i="244"/>
  <c r="AP222" i="244"/>
  <c r="AQ222" i="244"/>
  <c r="AR222" i="244"/>
  <c r="AS222" i="244"/>
  <c r="AT222" i="244"/>
  <c r="AU222" i="244"/>
  <c r="AV222" i="244"/>
  <c r="AW222" i="244"/>
  <c r="AX222" i="244"/>
  <c r="AY222" i="244"/>
  <c r="AP223" i="244"/>
  <c r="AQ223" i="244"/>
  <c r="AR223" i="244"/>
  <c r="AS223" i="244"/>
  <c r="AT223" i="244"/>
  <c r="AU223" i="244"/>
  <c r="AV223" i="244"/>
  <c r="AW223" i="244"/>
  <c r="AX223" i="244"/>
  <c r="AY223" i="244"/>
  <c r="AZ223" i="244"/>
  <c r="BB223" i="244" s="1"/>
  <c r="AP224" i="244"/>
  <c r="AQ224" i="244"/>
  <c r="AR224" i="244"/>
  <c r="AS224" i="244"/>
  <c r="AT224" i="244"/>
  <c r="AU224" i="244"/>
  <c r="AV224" i="244"/>
  <c r="AW224" i="244"/>
  <c r="AX224" i="244"/>
  <c r="AY224" i="244"/>
  <c r="AP225" i="244"/>
  <c r="AQ225" i="244"/>
  <c r="AR225" i="244"/>
  <c r="AS225" i="244"/>
  <c r="AT225" i="244"/>
  <c r="AU225" i="244"/>
  <c r="AV225" i="244"/>
  <c r="AW225" i="244"/>
  <c r="AX225" i="244"/>
  <c r="AY225" i="244"/>
  <c r="AP226" i="244"/>
  <c r="AQ226" i="244"/>
  <c r="AR226" i="244"/>
  <c r="AS226" i="244"/>
  <c r="AT226" i="244"/>
  <c r="AU226" i="244"/>
  <c r="AV226" i="244"/>
  <c r="AW226" i="244"/>
  <c r="AX226" i="244"/>
  <c r="AY226" i="244"/>
  <c r="AZ226" i="244"/>
  <c r="AP227" i="244"/>
  <c r="AQ227" i="244"/>
  <c r="AR227" i="244"/>
  <c r="AS227" i="244"/>
  <c r="AT227" i="244"/>
  <c r="AU227" i="244"/>
  <c r="AV227" i="244"/>
  <c r="AW227" i="244"/>
  <c r="AX227" i="244"/>
  <c r="AY227" i="244"/>
  <c r="AZ227" i="244"/>
  <c r="BB227" i="244" s="1"/>
  <c r="AP228" i="244"/>
  <c r="AQ228" i="244"/>
  <c r="AR228" i="244"/>
  <c r="AS228" i="244"/>
  <c r="AT228" i="244"/>
  <c r="AU228" i="244"/>
  <c r="AV228" i="244"/>
  <c r="AW228" i="244"/>
  <c r="AX228" i="244"/>
  <c r="AY228" i="244"/>
  <c r="AP229" i="244"/>
  <c r="AQ229" i="244"/>
  <c r="AR229" i="244"/>
  <c r="AS229" i="244"/>
  <c r="AT229" i="244"/>
  <c r="AU229" i="244"/>
  <c r="AV229" i="244"/>
  <c r="AW229" i="244"/>
  <c r="AX229" i="244"/>
  <c r="AY229" i="244"/>
  <c r="AP230" i="244"/>
  <c r="AQ230" i="244"/>
  <c r="AR230" i="244"/>
  <c r="AS230" i="244"/>
  <c r="AT230" i="244"/>
  <c r="AU230" i="244"/>
  <c r="AV230" i="244"/>
  <c r="AW230" i="244"/>
  <c r="AX230" i="244"/>
  <c r="AY230" i="244"/>
  <c r="AP231" i="244"/>
  <c r="AQ231" i="244"/>
  <c r="AR231" i="244"/>
  <c r="AS231" i="244"/>
  <c r="AT231" i="244"/>
  <c r="AU231" i="244"/>
  <c r="AV231" i="244"/>
  <c r="AW231" i="244"/>
  <c r="AX231" i="244"/>
  <c r="AY231" i="244"/>
  <c r="AZ231" i="244"/>
  <c r="BB231" i="244" s="1"/>
  <c r="AP232" i="244"/>
  <c r="AQ232" i="244"/>
  <c r="AR232" i="244"/>
  <c r="AS232" i="244"/>
  <c r="AT232" i="244"/>
  <c r="AU232" i="244"/>
  <c r="AV232" i="244"/>
  <c r="AW232" i="244"/>
  <c r="AX232" i="244"/>
  <c r="AY232" i="244"/>
  <c r="AP233" i="244"/>
  <c r="AQ233" i="244"/>
  <c r="AR233" i="244"/>
  <c r="AS233" i="244"/>
  <c r="AT233" i="244"/>
  <c r="AU233" i="244"/>
  <c r="AV233" i="244"/>
  <c r="AW233" i="244"/>
  <c r="AX233" i="244"/>
  <c r="AY233" i="244"/>
  <c r="AP234" i="244"/>
  <c r="AQ234" i="244"/>
  <c r="AR234" i="244"/>
  <c r="AS234" i="244"/>
  <c r="AT234" i="244"/>
  <c r="AU234" i="244"/>
  <c r="AV234" i="244"/>
  <c r="AW234" i="244"/>
  <c r="AX234" i="244"/>
  <c r="AY234" i="244"/>
  <c r="AP235" i="244"/>
  <c r="AQ235" i="244"/>
  <c r="AR235" i="244"/>
  <c r="AS235" i="244"/>
  <c r="AT235" i="244"/>
  <c r="AU235" i="244"/>
  <c r="AV235" i="244"/>
  <c r="AW235" i="244"/>
  <c r="AX235" i="244"/>
  <c r="AY235" i="244"/>
  <c r="AZ235" i="244"/>
  <c r="BB235" i="244" s="1"/>
  <c r="AP236" i="244"/>
  <c r="AQ236" i="244"/>
  <c r="AR236" i="244"/>
  <c r="AS236" i="244"/>
  <c r="AT236" i="244"/>
  <c r="AU236" i="244"/>
  <c r="AV236" i="244"/>
  <c r="AW236" i="244"/>
  <c r="AX236" i="244"/>
  <c r="AY236" i="244"/>
  <c r="AZ236" i="244"/>
  <c r="BB236" i="244" s="1"/>
  <c r="AP237" i="244"/>
  <c r="AQ237" i="244"/>
  <c r="AR237" i="244"/>
  <c r="AS237" i="244"/>
  <c r="AT237" i="244"/>
  <c r="AU237" i="244"/>
  <c r="AV237" i="244"/>
  <c r="AW237" i="244"/>
  <c r="AX237" i="244"/>
  <c r="AY237" i="244"/>
  <c r="AP238" i="244"/>
  <c r="AQ238" i="244"/>
  <c r="AR238" i="244"/>
  <c r="AS238" i="244"/>
  <c r="AT238" i="244"/>
  <c r="AU238" i="244"/>
  <c r="AV238" i="244"/>
  <c r="AW238" i="244"/>
  <c r="AX238" i="244"/>
  <c r="AY238" i="244"/>
  <c r="AP239" i="244"/>
  <c r="AQ239" i="244"/>
  <c r="AR239" i="244"/>
  <c r="AS239" i="244"/>
  <c r="AT239" i="244"/>
  <c r="AU239" i="244"/>
  <c r="AV239" i="244"/>
  <c r="AW239" i="244"/>
  <c r="AX239" i="244"/>
  <c r="AY239" i="244"/>
  <c r="AZ239" i="244"/>
  <c r="AP240" i="244"/>
  <c r="AQ240" i="244"/>
  <c r="AR240" i="244"/>
  <c r="AS240" i="244"/>
  <c r="AT240" i="244"/>
  <c r="AU240" i="244"/>
  <c r="AV240" i="244"/>
  <c r="AW240" i="244"/>
  <c r="AX240" i="244"/>
  <c r="AY240" i="244"/>
  <c r="AP241" i="244"/>
  <c r="AQ241" i="244"/>
  <c r="AR241" i="244"/>
  <c r="AS241" i="244"/>
  <c r="AT241" i="244"/>
  <c r="AU241" i="244"/>
  <c r="AV241" i="244"/>
  <c r="AW241" i="244"/>
  <c r="AX241" i="244"/>
  <c r="AY241" i="244"/>
  <c r="AP242" i="244"/>
  <c r="AQ242" i="244"/>
  <c r="AR242" i="244"/>
  <c r="AS242" i="244"/>
  <c r="AT242" i="244"/>
  <c r="AU242" i="244"/>
  <c r="AV242" i="244"/>
  <c r="AW242" i="244"/>
  <c r="AX242" i="244"/>
  <c r="AY242" i="244"/>
  <c r="AZ242" i="244"/>
  <c r="BB242" i="244" s="1"/>
  <c r="AP243" i="244"/>
  <c r="AQ243" i="244"/>
  <c r="AR243" i="244"/>
  <c r="AS243" i="244"/>
  <c r="AT243" i="244"/>
  <c r="AU243" i="244"/>
  <c r="AV243" i="244"/>
  <c r="AW243" i="244"/>
  <c r="AX243" i="244"/>
  <c r="AY243" i="244"/>
  <c r="AZ243" i="244"/>
  <c r="AP244" i="244"/>
  <c r="AQ244" i="244"/>
  <c r="AR244" i="244"/>
  <c r="AS244" i="244"/>
  <c r="AT244" i="244"/>
  <c r="AU244" i="244"/>
  <c r="AV244" i="244"/>
  <c r="AW244" i="244"/>
  <c r="AX244" i="244"/>
  <c r="AY244" i="244"/>
  <c r="AP245" i="244"/>
  <c r="AQ245" i="244"/>
  <c r="AR245" i="244"/>
  <c r="AS245" i="244"/>
  <c r="AT245" i="244"/>
  <c r="AU245" i="244"/>
  <c r="AV245" i="244"/>
  <c r="AW245" i="244"/>
  <c r="AX245" i="244"/>
  <c r="AY245" i="244"/>
  <c r="AP246" i="244"/>
  <c r="AQ246" i="244"/>
  <c r="AR246" i="244"/>
  <c r="AS246" i="244"/>
  <c r="AT246" i="244"/>
  <c r="AU246" i="244"/>
  <c r="AV246" i="244"/>
  <c r="AW246" i="244"/>
  <c r="AX246" i="244"/>
  <c r="AY246" i="244"/>
  <c r="AP247" i="244"/>
  <c r="AQ247" i="244"/>
  <c r="AR247" i="244"/>
  <c r="AS247" i="244"/>
  <c r="AT247" i="244"/>
  <c r="AU247" i="244"/>
  <c r="AV247" i="244"/>
  <c r="AW247" i="244"/>
  <c r="AX247" i="244"/>
  <c r="AY247" i="244"/>
  <c r="AZ247" i="244"/>
  <c r="AP248" i="244"/>
  <c r="AQ248" i="244"/>
  <c r="AR248" i="244"/>
  <c r="AS248" i="244"/>
  <c r="AT248" i="244"/>
  <c r="AU248" i="244"/>
  <c r="AV248" i="244"/>
  <c r="AW248" i="244"/>
  <c r="AX248" i="244"/>
  <c r="AY248" i="244"/>
  <c r="AP249" i="244"/>
  <c r="AQ249" i="244"/>
  <c r="AR249" i="244"/>
  <c r="AS249" i="244"/>
  <c r="AT249" i="244"/>
  <c r="AU249" i="244"/>
  <c r="AV249" i="244"/>
  <c r="AW249" i="244"/>
  <c r="AX249" i="244"/>
  <c r="AY249" i="244"/>
  <c r="AP250" i="244"/>
  <c r="AQ250" i="244"/>
  <c r="AR250" i="244"/>
  <c r="AS250" i="244"/>
  <c r="AT250" i="244"/>
  <c r="AU250" i="244"/>
  <c r="AV250" i="244"/>
  <c r="AW250" i="244"/>
  <c r="AX250" i="244"/>
  <c r="AY250" i="244"/>
  <c r="AP251" i="244"/>
  <c r="AQ251" i="244"/>
  <c r="AR251" i="244"/>
  <c r="AS251" i="244"/>
  <c r="AT251" i="244"/>
  <c r="AU251" i="244"/>
  <c r="AV251" i="244"/>
  <c r="AW251" i="244"/>
  <c r="AX251" i="244"/>
  <c r="AY251" i="244"/>
  <c r="AZ251" i="244"/>
  <c r="AP252" i="244"/>
  <c r="AQ252" i="244"/>
  <c r="AR252" i="244"/>
  <c r="AS252" i="244"/>
  <c r="AT252" i="244"/>
  <c r="AU252" i="244"/>
  <c r="AV252" i="244"/>
  <c r="AW252" i="244"/>
  <c r="AX252" i="244"/>
  <c r="AY252" i="244"/>
  <c r="AZ252" i="244"/>
  <c r="AP253" i="244"/>
  <c r="AQ253" i="244"/>
  <c r="AR253" i="244"/>
  <c r="AS253" i="244"/>
  <c r="AT253" i="244"/>
  <c r="AU253" i="244"/>
  <c r="AV253" i="244"/>
  <c r="AW253" i="244"/>
  <c r="AX253" i="244"/>
  <c r="AY253" i="244"/>
  <c r="AP254" i="244"/>
  <c r="AQ254" i="244"/>
  <c r="AR254" i="244"/>
  <c r="AS254" i="244"/>
  <c r="AT254" i="244"/>
  <c r="AU254" i="244"/>
  <c r="AV254" i="244"/>
  <c r="AW254" i="244"/>
  <c r="AX254" i="244"/>
  <c r="AY254" i="244"/>
  <c r="AP255" i="244"/>
  <c r="AQ255" i="244"/>
  <c r="AR255" i="244"/>
  <c r="AS255" i="244"/>
  <c r="AT255" i="244"/>
  <c r="AU255" i="244"/>
  <c r="AV255" i="244"/>
  <c r="AW255" i="244"/>
  <c r="AX255" i="244"/>
  <c r="AY255" i="244"/>
  <c r="AZ255" i="244"/>
  <c r="AP256" i="244"/>
  <c r="AQ256" i="244"/>
  <c r="AR256" i="244"/>
  <c r="AS256" i="244"/>
  <c r="AT256" i="244"/>
  <c r="AU256" i="244"/>
  <c r="AV256" i="244"/>
  <c r="AW256" i="244"/>
  <c r="AX256" i="244"/>
  <c r="AY256" i="244"/>
  <c r="AP257" i="244"/>
  <c r="AQ257" i="244"/>
  <c r="AR257" i="244"/>
  <c r="AS257" i="244"/>
  <c r="AT257" i="244"/>
  <c r="AU257" i="244"/>
  <c r="AV257" i="244"/>
  <c r="AW257" i="244"/>
  <c r="AX257" i="244"/>
  <c r="AY257" i="244"/>
  <c r="AP258" i="244"/>
  <c r="AQ258" i="244"/>
  <c r="AR258" i="244"/>
  <c r="AS258" i="244"/>
  <c r="AT258" i="244"/>
  <c r="AU258" i="244"/>
  <c r="AV258" i="244"/>
  <c r="AW258" i="244"/>
  <c r="AX258" i="244"/>
  <c r="AY258" i="244"/>
  <c r="AZ258" i="244"/>
  <c r="AP259" i="244"/>
  <c r="AQ259" i="244"/>
  <c r="AR259" i="244"/>
  <c r="AS259" i="244"/>
  <c r="AT259" i="244"/>
  <c r="AU259" i="244"/>
  <c r="AV259" i="244"/>
  <c r="AW259" i="244"/>
  <c r="AX259" i="244"/>
  <c r="AY259" i="244"/>
  <c r="AZ259" i="244"/>
  <c r="BB259" i="244" s="1"/>
  <c r="AP261" i="244"/>
  <c r="AQ261" i="244"/>
  <c r="AR261" i="244"/>
  <c r="AS261" i="244"/>
  <c r="AT261" i="244"/>
  <c r="AU261" i="244"/>
  <c r="AV261" i="244"/>
  <c r="AW261" i="244"/>
  <c r="AX261" i="244"/>
  <c r="AY261" i="244"/>
  <c r="AP262" i="244"/>
  <c r="AQ262" i="244"/>
  <c r="AR262" i="244"/>
  <c r="AS262" i="244"/>
  <c r="AT262" i="244"/>
  <c r="AU262" i="244"/>
  <c r="AV262" i="244"/>
  <c r="AW262" i="244"/>
  <c r="AX262" i="244"/>
  <c r="AY262" i="244"/>
  <c r="AZ262" i="244"/>
  <c r="BB262" i="244" s="1"/>
  <c r="AP263" i="244"/>
  <c r="AQ263" i="244"/>
  <c r="AR263" i="244"/>
  <c r="AS263" i="244"/>
  <c r="AT263" i="244"/>
  <c r="AU263" i="244"/>
  <c r="AV263" i="244"/>
  <c r="AW263" i="244"/>
  <c r="AX263" i="244"/>
  <c r="AY263" i="244"/>
  <c r="AP264" i="244"/>
  <c r="AQ264" i="244"/>
  <c r="AR264" i="244"/>
  <c r="AS264" i="244"/>
  <c r="AT264" i="244"/>
  <c r="AU264" i="244"/>
  <c r="AV264" i="244"/>
  <c r="AW264" i="244"/>
  <c r="AX264" i="244"/>
  <c r="AY264" i="244"/>
  <c r="AZ264" i="244"/>
  <c r="AP265" i="244"/>
  <c r="AQ265" i="244"/>
  <c r="AR265" i="244"/>
  <c r="AS265" i="244"/>
  <c r="AT265" i="244"/>
  <c r="AU265" i="244"/>
  <c r="AV265" i="244"/>
  <c r="AW265" i="244"/>
  <c r="AX265" i="244"/>
  <c r="AY265" i="244"/>
  <c r="AP266" i="244"/>
  <c r="AQ266" i="244"/>
  <c r="AR266" i="244"/>
  <c r="AS266" i="244"/>
  <c r="AT266" i="244"/>
  <c r="AU266" i="244"/>
  <c r="AV266" i="244"/>
  <c r="AW266" i="244"/>
  <c r="AX266" i="244"/>
  <c r="AY266" i="244"/>
  <c r="AZ266" i="244"/>
  <c r="AP267" i="244"/>
  <c r="AQ267" i="244"/>
  <c r="AR267" i="244"/>
  <c r="AS267" i="244"/>
  <c r="AT267" i="244"/>
  <c r="AU267" i="244"/>
  <c r="AV267" i="244"/>
  <c r="AW267" i="244"/>
  <c r="AX267" i="244"/>
  <c r="AY267" i="244"/>
  <c r="AP268" i="244"/>
  <c r="AQ268" i="244"/>
  <c r="AR268" i="244"/>
  <c r="AS268" i="244"/>
  <c r="AT268" i="244"/>
  <c r="AU268" i="244"/>
  <c r="AV268" i="244"/>
  <c r="AW268" i="244"/>
  <c r="AX268" i="244"/>
  <c r="AY268" i="244"/>
  <c r="AZ268" i="244"/>
  <c r="AP269" i="244"/>
  <c r="AQ269" i="244"/>
  <c r="AR269" i="244"/>
  <c r="AS269" i="244"/>
  <c r="AT269" i="244"/>
  <c r="AU269" i="244"/>
  <c r="AV269" i="244"/>
  <c r="AW269" i="244"/>
  <c r="AX269" i="244"/>
  <c r="AY269" i="244"/>
  <c r="AP270" i="244"/>
  <c r="AQ270" i="244"/>
  <c r="AR270" i="244"/>
  <c r="AS270" i="244"/>
  <c r="AT270" i="244"/>
  <c r="AU270" i="244"/>
  <c r="AV270" i="244"/>
  <c r="AW270" i="244"/>
  <c r="AX270" i="244"/>
  <c r="AY270" i="244"/>
  <c r="AZ270" i="244"/>
  <c r="BB270" i="244" s="1"/>
  <c r="AP271" i="244"/>
  <c r="AQ271" i="244"/>
  <c r="AR271" i="244"/>
  <c r="AS271" i="244"/>
  <c r="AT271" i="244"/>
  <c r="AU271" i="244"/>
  <c r="AV271" i="244"/>
  <c r="AW271" i="244"/>
  <c r="AX271" i="244"/>
  <c r="AY271" i="244"/>
  <c r="AP272" i="244"/>
  <c r="AQ272" i="244"/>
  <c r="AR272" i="244"/>
  <c r="AS272" i="244"/>
  <c r="AT272" i="244"/>
  <c r="AU272" i="244"/>
  <c r="AV272" i="244"/>
  <c r="AW272" i="244"/>
  <c r="AX272" i="244"/>
  <c r="AY272" i="244"/>
  <c r="AZ272" i="244"/>
  <c r="AP273" i="244"/>
  <c r="AQ273" i="244"/>
  <c r="AR273" i="244"/>
  <c r="AS273" i="244"/>
  <c r="AT273" i="244"/>
  <c r="AU273" i="244"/>
  <c r="AV273" i="244"/>
  <c r="AW273" i="244"/>
  <c r="AX273" i="244"/>
  <c r="AY273" i="244"/>
  <c r="AP274" i="244"/>
  <c r="AQ274" i="244"/>
  <c r="AR274" i="244"/>
  <c r="AS274" i="244"/>
  <c r="AT274" i="244"/>
  <c r="AU274" i="244"/>
  <c r="AV274" i="244"/>
  <c r="AW274" i="244"/>
  <c r="AX274" i="244"/>
  <c r="AY274" i="244"/>
  <c r="AZ274" i="244"/>
  <c r="BB274" i="244" s="1"/>
  <c r="AP275" i="244"/>
  <c r="AQ275" i="244"/>
  <c r="AR275" i="244"/>
  <c r="AS275" i="244"/>
  <c r="AT275" i="244"/>
  <c r="AU275" i="244"/>
  <c r="AV275" i="244"/>
  <c r="AW275" i="244"/>
  <c r="AX275" i="244"/>
  <c r="AY275" i="244"/>
  <c r="AZ275" i="244"/>
  <c r="AP276" i="244"/>
  <c r="AQ276" i="244"/>
  <c r="AR276" i="244"/>
  <c r="AS276" i="244"/>
  <c r="AT276" i="244"/>
  <c r="AU276" i="244"/>
  <c r="AV276" i="244"/>
  <c r="AW276" i="244"/>
  <c r="AX276" i="244"/>
  <c r="AY276" i="244"/>
  <c r="AZ276" i="244"/>
  <c r="BB276" i="244" s="1"/>
  <c r="AP277" i="244"/>
  <c r="AQ277" i="244"/>
  <c r="AR277" i="244"/>
  <c r="AS277" i="244"/>
  <c r="AT277" i="244"/>
  <c r="AU277" i="244"/>
  <c r="AV277" i="244"/>
  <c r="AW277" i="244"/>
  <c r="AX277" i="244"/>
  <c r="AY277" i="244"/>
  <c r="AP278" i="244"/>
  <c r="AQ278" i="244"/>
  <c r="AR278" i="244"/>
  <c r="AS278" i="244"/>
  <c r="AT278" i="244"/>
  <c r="AU278" i="244"/>
  <c r="AV278" i="244"/>
  <c r="AW278" i="244"/>
  <c r="AX278" i="244"/>
  <c r="AY278" i="244"/>
  <c r="AZ278" i="244"/>
  <c r="AP279" i="244"/>
  <c r="AQ279" i="244"/>
  <c r="AR279" i="244"/>
  <c r="AS279" i="244"/>
  <c r="AT279" i="244"/>
  <c r="AU279" i="244"/>
  <c r="AV279" i="244"/>
  <c r="AW279" i="244"/>
  <c r="AX279" i="244"/>
  <c r="AY279" i="244"/>
  <c r="AP280" i="244"/>
  <c r="AQ280" i="244"/>
  <c r="AR280" i="244"/>
  <c r="AS280" i="244"/>
  <c r="AT280" i="244"/>
  <c r="AU280" i="244"/>
  <c r="AV280" i="244"/>
  <c r="AW280" i="244"/>
  <c r="AX280" i="244"/>
  <c r="AY280" i="244"/>
  <c r="AZ280" i="244"/>
  <c r="AP281" i="244"/>
  <c r="AQ281" i="244"/>
  <c r="AR281" i="244"/>
  <c r="AS281" i="244"/>
  <c r="AT281" i="244"/>
  <c r="AU281" i="244"/>
  <c r="AV281" i="244"/>
  <c r="AW281" i="244"/>
  <c r="AX281" i="244"/>
  <c r="AY281" i="244"/>
  <c r="AP282" i="244"/>
  <c r="AQ282" i="244"/>
  <c r="AR282" i="244"/>
  <c r="AS282" i="244"/>
  <c r="AT282" i="244"/>
  <c r="AU282" i="244"/>
  <c r="AV282" i="244"/>
  <c r="AW282" i="244"/>
  <c r="AX282" i="244"/>
  <c r="AY282" i="244"/>
  <c r="AZ282" i="244"/>
  <c r="AP283" i="244"/>
  <c r="AQ283" i="244"/>
  <c r="AR283" i="244"/>
  <c r="AS283" i="244"/>
  <c r="AT283" i="244"/>
  <c r="AU283" i="244"/>
  <c r="AV283" i="244"/>
  <c r="AW283" i="244"/>
  <c r="AX283" i="244"/>
  <c r="AY283" i="244"/>
  <c r="AP284" i="244"/>
  <c r="AQ284" i="244"/>
  <c r="AR284" i="244"/>
  <c r="AS284" i="244"/>
  <c r="AT284" i="244"/>
  <c r="AU284" i="244"/>
  <c r="AV284" i="244"/>
  <c r="AW284" i="244"/>
  <c r="AX284" i="244"/>
  <c r="AY284" i="244"/>
  <c r="AZ284" i="244"/>
  <c r="AP285" i="244"/>
  <c r="AQ285" i="244"/>
  <c r="AR285" i="244"/>
  <c r="AS285" i="244"/>
  <c r="AT285" i="244"/>
  <c r="AU285" i="244"/>
  <c r="AV285" i="244"/>
  <c r="AW285" i="244"/>
  <c r="AX285" i="244"/>
  <c r="AY285" i="244"/>
  <c r="AP286" i="244"/>
  <c r="AQ286" i="244"/>
  <c r="AR286" i="244"/>
  <c r="AS286" i="244"/>
  <c r="AT286" i="244"/>
  <c r="AU286" i="244"/>
  <c r="AV286" i="244"/>
  <c r="AW286" i="244"/>
  <c r="AX286" i="244"/>
  <c r="AY286" i="244"/>
  <c r="AZ286" i="244"/>
  <c r="AP287" i="244"/>
  <c r="AQ287" i="244"/>
  <c r="AR287" i="244"/>
  <c r="AS287" i="244"/>
  <c r="AT287" i="244"/>
  <c r="AU287" i="244"/>
  <c r="AV287" i="244"/>
  <c r="AW287" i="244"/>
  <c r="AX287" i="244"/>
  <c r="AY287" i="244"/>
  <c r="AQ15" i="244"/>
  <c r="AR15" i="244"/>
  <c r="AS15" i="244"/>
  <c r="AT15" i="244"/>
  <c r="AU15" i="244"/>
  <c r="AV15" i="244"/>
  <c r="AW15" i="244"/>
  <c r="AX15" i="244"/>
  <c r="AY15" i="244"/>
  <c r="AZ15" i="244"/>
  <c r="AP15" i="244"/>
  <c r="E294" i="244" l="1"/>
  <c r="C294" i="244"/>
  <c r="J294" i="244"/>
  <c r="G294" i="244"/>
  <c r="AZ78" i="244"/>
  <c r="AL37" i="239"/>
  <c r="AZ260" i="244"/>
  <c r="AZ165" i="244"/>
  <c r="AZ157" i="244"/>
  <c r="AZ164" i="244"/>
  <c r="AZ160" i="244"/>
  <c r="AZ117" i="244"/>
  <c r="AZ113" i="244"/>
  <c r="AZ105" i="244"/>
  <c r="AZ93" i="244"/>
  <c r="W288" i="244"/>
  <c r="AZ69" i="244"/>
  <c r="AS288" i="244"/>
  <c r="AQ288" i="244"/>
  <c r="AR288" i="244"/>
  <c r="AV288" i="244"/>
  <c r="AW288" i="244"/>
  <c r="AN288" i="244"/>
  <c r="P293" i="244" s="1"/>
  <c r="AP288" i="244"/>
  <c r="AX288" i="244"/>
  <c r="M294" i="244" s="1"/>
  <c r="AT288" i="244"/>
  <c r="AY288" i="244"/>
  <c r="N294" i="244" s="1"/>
  <c r="AZ17" i="244"/>
  <c r="AB288" i="244" l="1"/>
  <c r="P292" i="244" s="1"/>
  <c r="P294" i="244" s="1"/>
  <c r="I292" i="244"/>
  <c r="I294" i="244" s="1"/>
  <c r="AU288" i="244"/>
  <c r="AZ288" i="244" l="1"/>
  <c r="B16" i="299"/>
  <c r="E35" i="299"/>
  <c r="E17" i="299"/>
  <c r="G269" i="302" l="1"/>
  <c r="G264" i="302"/>
  <c r="H264" i="302"/>
  <c r="D264" i="302"/>
  <c r="H267" i="302"/>
  <c r="G267" i="302"/>
  <c r="D267" i="302"/>
  <c r="H266" i="302"/>
  <c r="G266" i="302"/>
  <c r="D266" i="302"/>
  <c r="H265" i="302"/>
  <c r="G265" i="302"/>
  <c r="D265" i="302"/>
  <c r="H269" i="302"/>
  <c r="D269" i="302"/>
  <c r="H259" i="302"/>
  <c r="H258" i="302"/>
  <c r="D258" i="302"/>
  <c r="G258" i="302"/>
  <c r="G257" i="302"/>
  <c r="H257" i="302"/>
  <c r="D257" i="302"/>
  <c r="H252" i="302"/>
  <c r="H251" i="302"/>
  <c r="G250" i="302"/>
  <c r="G246" i="302"/>
  <c r="H184" i="302"/>
  <c r="G186" i="302"/>
  <c r="H186" i="302"/>
  <c r="D186" i="302"/>
  <c r="G143" i="302"/>
  <c r="H143" i="302"/>
  <c r="G142" i="302"/>
  <c r="G127" i="302"/>
  <c r="G108" i="302"/>
  <c r="G99" i="302"/>
  <c r="G97" i="302"/>
  <c r="G96" i="302"/>
  <c r="G95" i="302"/>
  <c r="G94" i="302"/>
  <c r="H79" i="302"/>
  <c r="G33" i="302"/>
  <c r="G10" i="302"/>
  <c r="G6" i="302"/>
  <c r="C101" i="303" l="1"/>
  <c r="C129" i="303"/>
  <c r="C128" i="303"/>
  <c r="C123" i="303"/>
  <c r="C121" i="303"/>
  <c r="C69" i="303"/>
  <c r="C70" i="303"/>
  <c r="C76" i="303"/>
  <c r="C136" i="303"/>
  <c r="C133" i="303"/>
  <c r="C131" i="303"/>
  <c r="C127" i="303"/>
  <c r="C126" i="303"/>
  <c r="C125" i="303"/>
  <c r="C122" i="303"/>
  <c r="C120" i="303"/>
  <c r="C119" i="303"/>
  <c r="C118" i="303"/>
  <c r="D112" i="303"/>
  <c r="D101" i="307"/>
  <c r="D104" i="307"/>
  <c r="D98" i="307"/>
  <c r="D95" i="307"/>
  <c r="D92" i="307"/>
  <c r="D89" i="307"/>
  <c r="D86" i="307"/>
  <c r="AA49" i="314"/>
  <c r="Z49" i="314"/>
  <c r="X49" i="314"/>
  <c r="W49" i="314"/>
  <c r="U49" i="314"/>
  <c r="T49" i="314"/>
  <c r="Q49" i="314"/>
  <c r="O49" i="314"/>
  <c r="N49" i="314"/>
  <c r="L49" i="314"/>
  <c r="K49" i="314"/>
  <c r="I49" i="314"/>
  <c r="H49" i="314"/>
  <c r="F49" i="314"/>
  <c r="E49" i="314"/>
  <c r="D49" i="314"/>
  <c r="AB48" i="314"/>
  <c r="Y48" i="314"/>
  <c r="V48" i="314"/>
  <c r="S48" i="314"/>
  <c r="P48" i="314"/>
  <c r="M48" i="314"/>
  <c r="J48" i="314"/>
  <c r="G48" i="314"/>
  <c r="AB47" i="314"/>
  <c r="Y47" i="314"/>
  <c r="V47" i="314"/>
  <c r="S47" i="314"/>
  <c r="P47" i="314"/>
  <c r="M47" i="314"/>
  <c r="J47" i="314"/>
  <c r="G47" i="314"/>
  <c r="AB46" i="314"/>
  <c r="Y46" i="314"/>
  <c r="V46" i="314"/>
  <c r="S46" i="314"/>
  <c r="P46" i="314"/>
  <c r="M46" i="314"/>
  <c r="J46" i="314"/>
  <c r="G46" i="314"/>
  <c r="AB45" i="314"/>
  <c r="Y45" i="314"/>
  <c r="V45" i="314"/>
  <c r="S45" i="314"/>
  <c r="P45" i="314"/>
  <c r="M45" i="314"/>
  <c r="J45" i="314"/>
  <c r="G45" i="314"/>
  <c r="AB44" i="314"/>
  <c r="Y44" i="314"/>
  <c r="V44" i="314"/>
  <c r="S44" i="314"/>
  <c r="P44" i="314"/>
  <c r="M44" i="314"/>
  <c r="J44" i="314"/>
  <c r="G44" i="314"/>
  <c r="AB43" i="314"/>
  <c r="Y43" i="314"/>
  <c r="V43" i="314"/>
  <c r="S43" i="314"/>
  <c r="P43" i="314"/>
  <c r="M43" i="314"/>
  <c r="J43" i="314"/>
  <c r="G43" i="314"/>
  <c r="AB42" i="314"/>
  <c r="Y42" i="314"/>
  <c r="V42" i="314"/>
  <c r="S42" i="314"/>
  <c r="P42" i="314"/>
  <c r="M42" i="314"/>
  <c r="J42" i="314"/>
  <c r="G42" i="314"/>
  <c r="AB41" i="314"/>
  <c r="Y41" i="314"/>
  <c r="V41" i="314"/>
  <c r="S41" i="314"/>
  <c r="P41" i="314"/>
  <c r="M41" i="314"/>
  <c r="J41" i="314"/>
  <c r="G41" i="314"/>
  <c r="AB40" i="314"/>
  <c r="Y40" i="314"/>
  <c r="V40" i="314"/>
  <c r="S40" i="314"/>
  <c r="P40" i="314"/>
  <c r="M40" i="314"/>
  <c r="J40" i="314"/>
  <c r="G40" i="314"/>
  <c r="AB39" i="314"/>
  <c r="Y39" i="314"/>
  <c r="V39" i="314"/>
  <c r="S39" i="314"/>
  <c r="P39" i="314"/>
  <c r="M39" i="314"/>
  <c r="J39" i="314"/>
  <c r="G39" i="314"/>
  <c r="AB38" i="314"/>
  <c r="Y38" i="314"/>
  <c r="V38" i="314"/>
  <c r="S38" i="314"/>
  <c r="P38" i="314"/>
  <c r="M38" i="314"/>
  <c r="J38" i="314"/>
  <c r="G38" i="314"/>
  <c r="AB37" i="314"/>
  <c r="Y37" i="314"/>
  <c r="V37" i="314"/>
  <c r="S37" i="314"/>
  <c r="P37" i="314"/>
  <c r="M37" i="314"/>
  <c r="J37" i="314"/>
  <c r="G37" i="314"/>
  <c r="AB36" i="314"/>
  <c r="Y36" i="314"/>
  <c r="V36" i="314"/>
  <c r="S36" i="314"/>
  <c r="P36" i="314"/>
  <c r="M36" i="314"/>
  <c r="J36" i="314"/>
  <c r="G36" i="314"/>
  <c r="AB35" i="314"/>
  <c r="Y35" i="314"/>
  <c r="V35" i="314"/>
  <c r="S35" i="314"/>
  <c r="P35" i="314"/>
  <c r="M35" i="314"/>
  <c r="J35" i="314"/>
  <c r="G35" i="314"/>
  <c r="AB34" i="314"/>
  <c r="Y34" i="314"/>
  <c r="V34" i="314"/>
  <c r="S34" i="314"/>
  <c r="P34" i="314"/>
  <c r="M34" i="314"/>
  <c r="J34" i="314"/>
  <c r="G34" i="314"/>
  <c r="AB33" i="314"/>
  <c r="Y33" i="314"/>
  <c r="V33" i="314"/>
  <c r="S33" i="314"/>
  <c r="P33" i="314"/>
  <c r="M33" i="314"/>
  <c r="J33" i="314"/>
  <c r="G33" i="314"/>
  <c r="AB32" i="314"/>
  <c r="Y32" i="314"/>
  <c r="V32" i="314"/>
  <c r="S32" i="314"/>
  <c r="P32" i="314"/>
  <c r="M32" i="314"/>
  <c r="J32" i="314"/>
  <c r="G32" i="314"/>
  <c r="AB31" i="314"/>
  <c r="Y31" i="314"/>
  <c r="V31" i="314"/>
  <c r="S31" i="314"/>
  <c r="P31" i="314"/>
  <c r="M31" i="314"/>
  <c r="J31" i="314"/>
  <c r="G31" i="314"/>
  <c r="AB30" i="314"/>
  <c r="Y30" i="314"/>
  <c r="V30" i="314"/>
  <c r="S30" i="314"/>
  <c r="P30" i="314"/>
  <c r="M30" i="314"/>
  <c r="J30" i="314"/>
  <c r="G30" i="314"/>
  <c r="AB29" i="314"/>
  <c r="Y29" i="314"/>
  <c r="V29" i="314"/>
  <c r="S29" i="314"/>
  <c r="P29" i="314"/>
  <c r="M29" i="314"/>
  <c r="J29" i="314"/>
  <c r="G29" i="314"/>
  <c r="AB28" i="314"/>
  <c r="Y28" i="314"/>
  <c r="V28" i="314"/>
  <c r="S28" i="314"/>
  <c r="P28" i="314"/>
  <c r="M28" i="314"/>
  <c r="J28" i="314"/>
  <c r="G28" i="314"/>
  <c r="AB27" i="314"/>
  <c r="Y27" i="314"/>
  <c r="V27" i="314"/>
  <c r="S27" i="314"/>
  <c r="P27" i="314"/>
  <c r="M27" i="314"/>
  <c r="J27" i="314"/>
  <c r="G27" i="314"/>
  <c r="AB26" i="314"/>
  <c r="Y26" i="314"/>
  <c r="V26" i="314"/>
  <c r="S26" i="314"/>
  <c r="P26" i="314"/>
  <c r="M26" i="314"/>
  <c r="J26" i="314"/>
  <c r="G26" i="314"/>
  <c r="AB25" i="314"/>
  <c r="Y25" i="314"/>
  <c r="V25" i="314"/>
  <c r="S25" i="314"/>
  <c r="P25" i="314"/>
  <c r="M25" i="314"/>
  <c r="J25" i="314"/>
  <c r="G25" i="314"/>
  <c r="AB24" i="314"/>
  <c r="Y24" i="314"/>
  <c r="V24" i="314"/>
  <c r="S24" i="314"/>
  <c r="P24" i="314"/>
  <c r="M24" i="314"/>
  <c r="J24" i="314"/>
  <c r="G24" i="314"/>
  <c r="AB23" i="314"/>
  <c r="Y23" i="314"/>
  <c r="V23" i="314"/>
  <c r="S23" i="314"/>
  <c r="P23" i="314"/>
  <c r="M23" i="314"/>
  <c r="J23" i="314"/>
  <c r="G23" i="314"/>
  <c r="AB22" i="314"/>
  <c r="Y22" i="314"/>
  <c r="V22" i="314"/>
  <c r="S22" i="314"/>
  <c r="P22" i="314"/>
  <c r="M22" i="314"/>
  <c r="J22" i="314"/>
  <c r="G22" i="314"/>
  <c r="AB21" i="314"/>
  <c r="Y21" i="314"/>
  <c r="V21" i="314"/>
  <c r="S21" i="314"/>
  <c r="P21" i="314"/>
  <c r="M21" i="314"/>
  <c r="J21" i="314"/>
  <c r="G21" i="314"/>
  <c r="AB20" i="314"/>
  <c r="Y20" i="314"/>
  <c r="V20" i="314"/>
  <c r="S20" i="314"/>
  <c r="R20" i="314"/>
  <c r="R49" i="314" s="1"/>
  <c r="P20" i="314"/>
  <c r="M20" i="314"/>
  <c r="J20" i="314"/>
  <c r="G20" i="314"/>
  <c r="AB19" i="314"/>
  <c r="Y19" i="314"/>
  <c r="V19" i="314"/>
  <c r="S19" i="314"/>
  <c r="P19" i="314"/>
  <c r="M19" i="314"/>
  <c r="J19" i="314"/>
  <c r="G19" i="314"/>
  <c r="AB18" i="314"/>
  <c r="Y18" i="314"/>
  <c r="V18" i="314"/>
  <c r="S18" i="314"/>
  <c r="P18" i="314"/>
  <c r="M18" i="314"/>
  <c r="J18" i="314"/>
  <c r="G18" i="314"/>
  <c r="AB17" i="314"/>
  <c r="Y17" i="314"/>
  <c r="V17" i="314"/>
  <c r="S17" i="314"/>
  <c r="P17" i="314"/>
  <c r="M17" i="314"/>
  <c r="J17" i="314"/>
  <c r="G17" i="314"/>
  <c r="AB16" i="314"/>
  <c r="Y16" i="314"/>
  <c r="V16" i="314"/>
  <c r="S16" i="314"/>
  <c r="P16" i="314"/>
  <c r="M16" i="314"/>
  <c r="J16" i="314"/>
  <c r="G16" i="314"/>
  <c r="AB15" i="314"/>
  <c r="Y15" i="314"/>
  <c r="V15" i="314"/>
  <c r="S15" i="314"/>
  <c r="P15" i="314"/>
  <c r="M15" i="314"/>
  <c r="J15" i="314"/>
  <c r="G15" i="314"/>
  <c r="AB14" i="314"/>
  <c r="Y14" i="314"/>
  <c r="V14" i="314"/>
  <c r="S14" i="314"/>
  <c r="P14" i="314"/>
  <c r="M14" i="314"/>
  <c r="J14" i="314"/>
  <c r="G14" i="314"/>
  <c r="AB13" i="314"/>
  <c r="Y13" i="314"/>
  <c r="V13" i="314"/>
  <c r="S13" i="314"/>
  <c r="P13" i="314"/>
  <c r="M13" i="314"/>
  <c r="J13" i="314"/>
  <c r="G13" i="314"/>
  <c r="AB12" i="314"/>
  <c r="Y12" i="314"/>
  <c r="V12" i="314"/>
  <c r="S12" i="314"/>
  <c r="P12" i="314"/>
  <c r="M12" i="314"/>
  <c r="J12" i="314"/>
  <c r="G12" i="314"/>
  <c r="AB11" i="314"/>
  <c r="Y11" i="314"/>
  <c r="V11" i="314"/>
  <c r="S11" i="314"/>
  <c r="P11" i="314"/>
  <c r="M11" i="314"/>
  <c r="J11" i="314"/>
  <c r="G11" i="314"/>
  <c r="AB10" i="314"/>
  <c r="Y10" i="314"/>
  <c r="V10" i="314"/>
  <c r="S10" i="314"/>
  <c r="P10" i="314"/>
  <c r="M10" i="314"/>
  <c r="J10" i="314"/>
  <c r="G10" i="314"/>
  <c r="AB9" i="314"/>
  <c r="Y9" i="314"/>
  <c r="V9" i="314"/>
  <c r="S9" i="314"/>
  <c r="P9" i="314"/>
  <c r="M9" i="314"/>
  <c r="J9" i="314"/>
  <c r="G9" i="314"/>
  <c r="AB8" i="314"/>
  <c r="Y8" i="314"/>
  <c r="V8" i="314"/>
  <c r="S8" i="314"/>
  <c r="P8" i="314"/>
  <c r="M8" i="314"/>
  <c r="J8" i="314"/>
  <c r="G8" i="314"/>
  <c r="AB7" i="314"/>
  <c r="Y7" i="314"/>
  <c r="V7" i="314"/>
  <c r="S7" i="314"/>
  <c r="P7" i="314"/>
  <c r="M7" i="314"/>
  <c r="J7" i="314"/>
  <c r="G7" i="314"/>
  <c r="AB6" i="314"/>
  <c r="AB49" i="314" s="1"/>
  <c r="Y6" i="314"/>
  <c r="Y49" i="314" s="1"/>
  <c r="V6" i="314"/>
  <c r="V49" i="314" s="1"/>
  <c r="S6" i="314"/>
  <c r="S49" i="314" s="1"/>
  <c r="P6" i="314"/>
  <c r="P49" i="314" s="1"/>
  <c r="M6" i="314"/>
  <c r="M49" i="314" s="1"/>
  <c r="J6" i="314"/>
  <c r="J49" i="314" s="1"/>
  <c r="G6" i="314"/>
  <c r="G49" i="314" s="1"/>
  <c r="B7" i="309" l="1"/>
  <c r="E42" i="313"/>
  <c r="D42" i="313"/>
  <c r="C42" i="313"/>
  <c r="B42" i="313"/>
  <c r="E33" i="313"/>
  <c r="E32" i="313"/>
  <c r="D32" i="313"/>
  <c r="C32" i="313"/>
  <c r="B32" i="313"/>
  <c r="D27" i="313"/>
  <c r="C27" i="313"/>
  <c r="B27" i="313"/>
  <c r="E26" i="313"/>
  <c r="E25" i="313"/>
  <c r="E24" i="313"/>
  <c r="E23" i="313"/>
  <c r="E22" i="313"/>
  <c r="E21" i="313"/>
  <c r="E20" i="313"/>
  <c r="E19" i="313"/>
  <c r="E18" i="313"/>
  <c r="E17" i="313"/>
  <c r="E16" i="313"/>
  <c r="E15" i="313"/>
  <c r="E14" i="313"/>
  <c r="D14" i="313"/>
  <c r="C14" i="313"/>
  <c r="B14" i="313"/>
  <c r="D7" i="313"/>
  <c r="C7" i="313"/>
  <c r="B7" i="313"/>
  <c r="E6" i="313"/>
  <c r="E7" i="313" s="1"/>
  <c r="C28" i="313" l="1"/>
  <c r="D28" i="313"/>
  <c r="E27" i="313"/>
  <c r="E28" i="313" s="1"/>
  <c r="E43" i="313" s="1"/>
  <c r="E45" i="313" s="1"/>
  <c r="B28" i="313"/>
  <c r="B43" i="313" s="1"/>
  <c r="B45" i="313" s="1"/>
  <c r="C43" i="313"/>
  <c r="C45" i="313" s="1"/>
  <c r="D43" i="313"/>
  <c r="D45" i="313" s="1"/>
  <c r="N503" i="312" l="1"/>
  <c r="N519" i="312" s="1"/>
  <c r="K503" i="312"/>
  <c r="K519" i="312" s="1"/>
  <c r="J503" i="312"/>
  <c r="J519" i="312" s="1"/>
  <c r="G503" i="312"/>
  <c r="G519" i="312" s="1"/>
  <c r="F503" i="312"/>
  <c r="F519" i="312" s="1"/>
  <c r="N501" i="312"/>
  <c r="K501" i="312"/>
  <c r="J501" i="312"/>
  <c r="I501" i="312"/>
  <c r="G501" i="312"/>
  <c r="F501" i="312"/>
  <c r="N500" i="312"/>
  <c r="K500" i="312"/>
  <c r="J500" i="312"/>
  <c r="G500" i="312"/>
  <c r="F500" i="312"/>
  <c r="D500" i="312"/>
  <c r="N499" i="312"/>
  <c r="K499" i="312"/>
  <c r="J499" i="312"/>
  <c r="I499" i="312"/>
  <c r="G499" i="312"/>
  <c r="F499" i="312"/>
  <c r="E499" i="312"/>
  <c r="D499" i="312"/>
  <c r="C499" i="312"/>
  <c r="N498" i="312"/>
  <c r="K498" i="312"/>
  <c r="J498" i="312"/>
  <c r="I498" i="312"/>
  <c r="G498" i="312"/>
  <c r="F498" i="312"/>
  <c r="E498" i="312"/>
  <c r="D498" i="312"/>
  <c r="C498" i="312"/>
  <c r="N497" i="312"/>
  <c r="K497" i="312"/>
  <c r="J497" i="312"/>
  <c r="I497" i="312"/>
  <c r="G497" i="312"/>
  <c r="F497" i="312"/>
  <c r="E497" i="312"/>
  <c r="D497" i="312"/>
  <c r="C497" i="312"/>
  <c r="N496" i="312"/>
  <c r="K496" i="312"/>
  <c r="J496" i="312"/>
  <c r="I496" i="312"/>
  <c r="G496" i="312"/>
  <c r="F496" i="312"/>
  <c r="E496" i="312"/>
  <c r="D496" i="312"/>
  <c r="C496" i="312"/>
  <c r="N495" i="312"/>
  <c r="K495" i="312"/>
  <c r="J495" i="312"/>
  <c r="I495" i="312"/>
  <c r="G495" i="312"/>
  <c r="F495" i="312"/>
  <c r="E495" i="312"/>
  <c r="D495" i="312"/>
  <c r="C495" i="312"/>
  <c r="N494" i="312"/>
  <c r="K494" i="312"/>
  <c r="J494" i="312"/>
  <c r="I494" i="312"/>
  <c r="G494" i="312"/>
  <c r="F494" i="312"/>
  <c r="E494" i="312"/>
  <c r="D494" i="312"/>
  <c r="C494" i="312"/>
  <c r="N493" i="312"/>
  <c r="K493" i="312"/>
  <c r="J493" i="312"/>
  <c r="I493" i="312"/>
  <c r="G493" i="312"/>
  <c r="F493" i="312"/>
  <c r="E493" i="312"/>
  <c r="D493" i="312"/>
  <c r="C493" i="312"/>
  <c r="N492" i="312"/>
  <c r="K492" i="312"/>
  <c r="J492" i="312"/>
  <c r="J518" i="312" s="1"/>
  <c r="I492" i="312"/>
  <c r="G492" i="312"/>
  <c r="G518" i="312" s="1"/>
  <c r="F492" i="312"/>
  <c r="E492" i="312"/>
  <c r="D492" i="312"/>
  <c r="C492" i="312"/>
  <c r="N490" i="312"/>
  <c r="K490" i="312"/>
  <c r="J490" i="312"/>
  <c r="I490" i="312"/>
  <c r="G490" i="312"/>
  <c r="F490" i="312"/>
  <c r="D490" i="312"/>
  <c r="C490" i="312"/>
  <c r="N489" i="312"/>
  <c r="K489" i="312"/>
  <c r="J489" i="312"/>
  <c r="I489" i="312"/>
  <c r="G489" i="312"/>
  <c r="F489" i="312"/>
  <c r="E489" i="312"/>
  <c r="D489" i="312"/>
  <c r="C489" i="312"/>
  <c r="N488" i="312"/>
  <c r="K488" i="312"/>
  <c r="J488" i="312"/>
  <c r="G488" i="312"/>
  <c r="F488" i="312"/>
  <c r="N487" i="312"/>
  <c r="K487" i="312"/>
  <c r="J487" i="312"/>
  <c r="I487" i="312"/>
  <c r="G487" i="312"/>
  <c r="F487" i="312"/>
  <c r="E487" i="312"/>
  <c r="D487" i="312"/>
  <c r="C487" i="312"/>
  <c r="N486" i="312"/>
  <c r="K486" i="312"/>
  <c r="J486" i="312"/>
  <c r="I486" i="312"/>
  <c r="G486" i="312"/>
  <c r="F486" i="312"/>
  <c r="E486" i="312"/>
  <c r="D486" i="312"/>
  <c r="C486" i="312"/>
  <c r="N485" i="312"/>
  <c r="K485" i="312"/>
  <c r="J485" i="312"/>
  <c r="I485" i="312"/>
  <c r="G485" i="312"/>
  <c r="F485" i="312"/>
  <c r="E485" i="312"/>
  <c r="D485" i="312"/>
  <c r="C485" i="312"/>
  <c r="N484" i="312"/>
  <c r="K484" i="312"/>
  <c r="J484" i="312"/>
  <c r="I484" i="312"/>
  <c r="G484" i="312"/>
  <c r="F484" i="312"/>
  <c r="E484" i="312"/>
  <c r="D484" i="312"/>
  <c r="C484" i="312"/>
  <c r="N483" i="312"/>
  <c r="K483" i="312"/>
  <c r="J483" i="312"/>
  <c r="I483" i="312"/>
  <c r="G483" i="312"/>
  <c r="F483" i="312"/>
  <c r="E483" i="312"/>
  <c r="D483" i="312"/>
  <c r="C483" i="312"/>
  <c r="N482" i="312"/>
  <c r="K482" i="312"/>
  <c r="J482" i="312"/>
  <c r="J517" i="312" s="1"/>
  <c r="I482" i="312"/>
  <c r="G482" i="312"/>
  <c r="G517" i="312" s="1"/>
  <c r="F482" i="312"/>
  <c r="E482" i="312"/>
  <c r="D482" i="312"/>
  <c r="C482" i="312"/>
  <c r="N480" i="312"/>
  <c r="K480" i="312"/>
  <c r="K504" i="312" s="1"/>
  <c r="J480" i="312"/>
  <c r="I480" i="312"/>
  <c r="G480" i="312"/>
  <c r="F480" i="312"/>
  <c r="E480" i="312"/>
  <c r="D480" i="312"/>
  <c r="C480" i="312"/>
  <c r="N478" i="312"/>
  <c r="N507" i="312" s="1"/>
  <c r="N514" i="312" s="1"/>
  <c r="N523" i="312" s="1"/>
  <c r="K478" i="312"/>
  <c r="K507" i="312" s="1"/>
  <c r="K514" i="312" s="1"/>
  <c r="K523" i="312" s="1"/>
  <c r="J478" i="312"/>
  <c r="J507" i="312" s="1"/>
  <c r="J514" i="312" s="1"/>
  <c r="G478" i="312"/>
  <c r="G507" i="312" s="1"/>
  <c r="G514" i="312" s="1"/>
  <c r="F478" i="312"/>
  <c r="F507" i="312" s="1"/>
  <c r="F514" i="312" s="1"/>
  <c r="F523" i="312" s="1"/>
  <c r="N477" i="312"/>
  <c r="K477" i="312"/>
  <c r="J477" i="312"/>
  <c r="I477" i="312"/>
  <c r="G477" i="312"/>
  <c r="F477" i="312"/>
  <c r="E477" i="312"/>
  <c r="D477" i="312"/>
  <c r="C477" i="312"/>
  <c r="N476" i="312"/>
  <c r="K476" i="312"/>
  <c r="J476" i="312"/>
  <c r="G476" i="312"/>
  <c r="F476" i="312"/>
  <c r="N475" i="312"/>
  <c r="K475" i="312"/>
  <c r="J475" i="312"/>
  <c r="G475" i="312"/>
  <c r="F475" i="312"/>
  <c r="I474" i="312"/>
  <c r="I503" i="312" s="1"/>
  <c r="I519" i="312" s="1"/>
  <c r="E474" i="312"/>
  <c r="E503" i="312" s="1"/>
  <c r="E519" i="312" s="1"/>
  <c r="D474" i="312"/>
  <c r="D503" i="312" s="1"/>
  <c r="D519" i="312" s="1"/>
  <c r="C474" i="312"/>
  <c r="C503" i="312" s="1"/>
  <c r="C519" i="312" s="1"/>
  <c r="L472" i="312"/>
  <c r="M472" i="312" s="1"/>
  <c r="O472" i="312" s="1"/>
  <c r="H472" i="312"/>
  <c r="I470" i="312"/>
  <c r="I488" i="312" s="1"/>
  <c r="E470" i="312"/>
  <c r="E488" i="312" s="1"/>
  <c r="D470" i="312"/>
  <c r="D488" i="312" s="1"/>
  <c r="C470" i="312"/>
  <c r="C488" i="312" s="1"/>
  <c r="L469" i="312"/>
  <c r="H469" i="312"/>
  <c r="L468" i="312"/>
  <c r="M468" i="312" s="1"/>
  <c r="O468" i="312" s="1"/>
  <c r="H468" i="312"/>
  <c r="L466" i="312"/>
  <c r="H466" i="312"/>
  <c r="L465" i="312"/>
  <c r="L477" i="312" s="1"/>
  <c r="H465" i="312"/>
  <c r="H477" i="312" s="1"/>
  <c r="L464" i="312"/>
  <c r="H464" i="312"/>
  <c r="L463" i="312"/>
  <c r="H463" i="312"/>
  <c r="N459" i="312"/>
  <c r="K459" i="312"/>
  <c r="J459" i="312"/>
  <c r="I459" i="312"/>
  <c r="G459" i="312"/>
  <c r="F459" i="312"/>
  <c r="E459" i="312"/>
  <c r="D459" i="312"/>
  <c r="C459" i="312"/>
  <c r="N458" i="312"/>
  <c r="K458" i="312"/>
  <c r="J458" i="312"/>
  <c r="I458" i="312"/>
  <c r="G458" i="312"/>
  <c r="F458" i="312"/>
  <c r="E458" i="312"/>
  <c r="D458" i="312"/>
  <c r="C458" i="312"/>
  <c r="N457" i="312"/>
  <c r="K457" i="312"/>
  <c r="J457" i="312"/>
  <c r="I457" i="312"/>
  <c r="G457" i="312"/>
  <c r="F457" i="312"/>
  <c r="E457" i="312"/>
  <c r="D457" i="312"/>
  <c r="C457" i="312"/>
  <c r="L456" i="312"/>
  <c r="H456" i="312"/>
  <c r="L455" i="312"/>
  <c r="H455" i="312"/>
  <c r="L454" i="312"/>
  <c r="L498" i="312" s="1"/>
  <c r="H454" i="312"/>
  <c r="H498" i="312" s="1"/>
  <c r="L453" i="312"/>
  <c r="H453" i="312"/>
  <c r="L452" i="312"/>
  <c r="H452" i="312"/>
  <c r="M452" i="312" s="1"/>
  <c r="O452" i="312" s="1"/>
  <c r="L451" i="312"/>
  <c r="H451" i="312"/>
  <c r="L450" i="312"/>
  <c r="H450" i="312"/>
  <c r="L449" i="312"/>
  <c r="H449" i="312"/>
  <c r="L448" i="312"/>
  <c r="H448" i="312"/>
  <c r="L447" i="312"/>
  <c r="H447" i="312"/>
  <c r="L446" i="312"/>
  <c r="H446" i="312"/>
  <c r="M446" i="312" s="1"/>
  <c r="O446" i="312" s="1"/>
  <c r="L445" i="312"/>
  <c r="H445" i="312"/>
  <c r="L443" i="312"/>
  <c r="H443" i="312"/>
  <c r="M443" i="312" s="1"/>
  <c r="O443" i="312" s="1"/>
  <c r="L442" i="312"/>
  <c r="H442" i="312"/>
  <c r="L440" i="312"/>
  <c r="H440" i="312"/>
  <c r="H459" i="312" s="1"/>
  <c r="L439" i="312"/>
  <c r="L458" i="312" s="1"/>
  <c r="H439" i="312"/>
  <c r="H458" i="312" s="1"/>
  <c r="L438" i="312"/>
  <c r="H438" i="312"/>
  <c r="M438" i="312" s="1"/>
  <c r="N436" i="312"/>
  <c r="K436" i="312"/>
  <c r="J436" i="312"/>
  <c r="I436" i="312"/>
  <c r="G436" i="312"/>
  <c r="F436" i="312"/>
  <c r="E436" i="312"/>
  <c r="D436" i="312"/>
  <c r="C436" i="312"/>
  <c r="N435" i="312"/>
  <c r="K435" i="312"/>
  <c r="J435" i="312"/>
  <c r="I435" i="312"/>
  <c r="G435" i="312"/>
  <c r="F435" i="312"/>
  <c r="E435" i="312"/>
  <c r="D435" i="312"/>
  <c r="C435" i="312"/>
  <c r="L434" i="312"/>
  <c r="H434" i="312"/>
  <c r="L433" i="312"/>
  <c r="H433" i="312"/>
  <c r="L432" i="312"/>
  <c r="H432" i="312"/>
  <c r="L430" i="312"/>
  <c r="H430" i="312"/>
  <c r="L429" i="312"/>
  <c r="H429" i="312"/>
  <c r="H435" i="312" s="1"/>
  <c r="N427" i="312"/>
  <c r="K427" i="312"/>
  <c r="J427" i="312"/>
  <c r="I427" i="312"/>
  <c r="G427" i="312"/>
  <c r="F427" i="312"/>
  <c r="E427" i="312"/>
  <c r="N426" i="312"/>
  <c r="K426" i="312"/>
  <c r="J426" i="312"/>
  <c r="I426" i="312"/>
  <c r="G426" i="312"/>
  <c r="F426" i="312"/>
  <c r="E426" i="312"/>
  <c r="L425" i="312"/>
  <c r="D425" i="312"/>
  <c r="C425" i="312"/>
  <c r="C501" i="312" s="1"/>
  <c r="L424" i="312"/>
  <c r="H424" i="312"/>
  <c r="L423" i="312"/>
  <c r="H423" i="312"/>
  <c r="H497" i="312" s="1"/>
  <c r="L422" i="312"/>
  <c r="H422" i="312"/>
  <c r="L421" i="312"/>
  <c r="H421" i="312"/>
  <c r="L420" i="312"/>
  <c r="H420" i="312"/>
  <c r="L418" i="312"/>
  <c r="H418" i="312"/>
  <c r="L417" i="312"/>
  <c r="H417" i="312"/>
  <c r="N415" i="312"/>
  <c r="K415" i="312"/>
  <c r="J415" i="312"/>
  <c r="G415" i="312"/>
  <c r="F415" i="312"/>
  <c r="D415" i="312"/>
  <c r="C415" i="312"/>
  <c r="N414" i="312"/>
  <c r="K414" i="312"/>
  <c r="J414" i="312"/>
  <c r="G414" i="312"/>
  <c r="F414" i="312"/>
  <c r="D414" i="312"/>
  <c r="C414" i="312"/>
  <c r="L413" i="312"/>
  <c r="E413" i="312"/>
  <c r="I412" i="312"/>
  <c r="E412" i="312"/>
  <c r="E415" i="312" s="1"/>
  <c r="L411" i="312"/>
  <c r="H411" i="312"/>
  <c r="L410" i="312"/>
  <c r="H410" i="312"/>
  <c r="L408" i="312"/>
  <c r="H408" i="312"/>
  <c r="L407" i="312"/>
  <c r="H407" i="312"/>
  <c r="N405" i="312"/>
  <c r="K405" i="312"/>
  <c r="J405" i="312"/>
  <c r="I405" i="312"/>
  <c r="G405" i="312"/>
  <c r="F405" i="312"/>
  <c r="E405" i="312"/>
  <c r="D405" i="312"/>
  <c r="C405" i="312"/>
  <c r="N404" i="312"/>
  <c r="K404" i="312"/>
  <c r="J404" i="312"/>
  <c r="I404" i="312"/>
  <c r="G404" i="312"/>
  <c r="F404" i="312"/>
  <c r="E404" i="312"/>
  <c r="D404" i="312"/>
  <c r="C404" i="312"/>
  <c r="L403" i="312"/>
  <c r="H403" i="312"/>
  <c r="L402" i="312"/>
  <c r="H402" i="312"/>
  <c r="L400" i="312"/>
  <c r="H400" i="312"/>
  <c r="L399" i="312"/>
  <c r="H399" i="312"/>
  <c r="N397" i="312"/>
  <c r="K397" i="312"/>
  <c r="J397" i="312"/>
  <c r="I397" i="312"/>
  <c r="G397" i="312"/>
  <c r="F397" i="312"/>
  <c r="E397" i="312"/>
  <c r="D397" i="312"/>
  <c r="C397" i="312"/>
  <c r="N396" i="312"/>
  <c r="K396" i="312"/>
  <c r="J396" i="312"/>
  <c r="I396" i="312"/>
  <c r="G396" i="312"/>
  <c r="F396" i="312"/>
  <c r="E396" i="312"/>
  <c r="D396" i="312"/>
  <c r="C396" i="312"/>
  <c r="N395" i="312"/>
  <c r="K395" i="312"/>
  <c r="J395" i="312"/>
  <c r="I395" i="312"/>
  <c r="G395" i="312"/>
  <c r="F395" i="312"/>
  <c r="E395" i="312"/>
  <c r="D395" i="312"/>
  <c r="C395" i="312"/>
  <c r="L394" i="312"/>
  <c r="H394" i="312"/>
  <c r="L393" i="312"/>
  <c r="L499" i="312" s="1"/>
  <c r="H393" i="312"/>
  <c r="H499" i="312" s="1"/>
  <c r="L392" i="312"/>
  <c r="H392" i="312"/>
  <c r="L391" i="312"/>
  <c r="H391" i="312"/>
  <c r="M391" i="312" s="1"/>
  <c r="O391" i="312" s="1"/>
  <c r="L390" i="312"/>
  <c r="H390" i="312"/>
  <c r="L389" i="312"/>
  <c r="H389" i="312"/>
  <c r="L388" i="312"/>
  <c r="H388" i="312"/>
  <c r="L387" i="312"/>
  <c r="H387" i="312"/>
  <c r="L386" i="312"/>
  <c r="H386" i="312"/>
  <c r="L385" i="312"/>
  <c r="H385" i="312"/>
  <c r="L384" i="312"/>
  <c r="H384" i="312"/>
  <c r="L383" i="312"/>
  <c r="H383" i="312"/>
  <c r="N381" i="312"/>
  <c r="K381" i="312"/>
  <c r="J381" i="312"/>
  <c r="I381" i="312"/>
  <c r="G381" i="312"/>
  <c r="F381" i="312"/>
  <c r="E381" i="312"/>
  <c r="D381" i="312"/>
  <c r="C381" i="312"/>
  <c r="N380" i="312"/>
  <c r="K380" i="312"/>
  <c r="J380" i="312"/>
  <c r="I380" i="312"/>
  <c r="G380" i="312"/>
  <c r="F380" i="312"/>
  <c r="D380" i="312"/>
  <c r="C380" i="312"/>
  <c r="N379" i="312"/>
  <c r="K379" i="312"/>
  <c r="J379" i="312"/>
  <c r="I379" i="312"/>
  <c r="G379" i="312"/>
  <c r="F379" i="312"/>
  <c r="D379" i="312"/>
  <c r="C379" i="312"/>
  <c r="L378" i="312"/>
  <c r="H378" i="312"/>
  <c r="L377" i="312"/>
  <c r="M377" i="312" s="1"/>
  <c r="O377" i="312" s="1"/>
  <c r="H377" i="312"/>
  <c r="L376" i="312"/>
  <c r="H376" i="312"/>
  <c r="L374" i="312"/>
  <c r="E374" i="312"/>
  <c r="E380" i="312" s="1"/>
  <c r="L373" i="312"/>
  <c r="H373" i="312"/>
  <c r="L372" i="312"/>
  <c r="M372" i="312" s="1"/>
  <c r="H372" i="312"/>
  <c r="H485" i="312" s="1"/>
  <c r="L371" i="312"/>
  <c r="H371" i="312"/>
  <c r="L369" i="312"/>
  <c r="L381" i="312" s="1"/>
  <c r="H369" i="312"/>
  <c r="H381" i="312" s="1"/>
  <c r="L368" i="312"/>
  <c r="H368" i="312"/>
  <c r="M368" i="312" s="1"/>
  <c r="L367" i="312"/>
  <c r="L379" i="312" s="1"/>
  <c r="H367" i="312"/>
  <c r="N365" i="312"/>
  <c r="K365" i="312"/>
  <c r="J365" i="312"/>
  <c r="I365" i="312"/>
  <c r="G365" i="312"/>
  <c r="F365" i="312"/>
  <c r="D365" i="312"/>
  <c r="N364" i="312"/>
  <c r="N460" i="312" s="1"/>
  <c r="K364" i="312"/>
  <c r="J364" i="312"/>
  <c r="J460" i="312" s="1"/>
  <c r="I364" i="312"/>
  <c r="G364" i="312"/>
  <c r="G460" i="312" s="1"/>
  <c r="F364" i="312"/>
  <c r="F460" i="312" s="1"/>
  <c r="D364" i="312"/>
  <c r="L363" i="312"/>
  <c r="H363" i="312"/>
  <c r="L362" i="312"/>
  <c r="E362" i="312"/>
  <c r="E500" i="312" s="1"/>
  <c r="C362" i="312"/>
  <c r="C500" i="312" s="1"/>
  <c r="L361" i="312"/>
  <c r="H361" i="312"/>
  <c r="L360" i="312"/>
  <c r="H360" i="312"/>
  <c r="H493" i="312" s="1"/>
  <c r="L359" i="312"/>
  <c r="H359" i="312"/>
  <c r="H492" i="312" s="1"/>
  <c r="L357" i="312"/>
  <c r="L365" i="312" s="1"/>
  <c r="H357" i="312"/>
  <c r="L356" i="312"/>
  <c r="H356" i="312"/>
  <c r="N354" i="312"/>
  <c r="K354" i="312"/>
  <c r="J354" i="312"/>
  <c r="I354" i="312"/>
  <c r="G354" i="312"/>
  <c r="F354" i="312"/>
  <c r="E354" i="312"/>
  <c r="D354" i="312"/>
  <c r="C354" i="312"/>
  <c r="N353" i="312"/>
  <c r="K353" i="312"/>
  <c r="J353" i="312"/>
  <c r="I353" i="312"/>
  <c r="G353" i="312"/>
  <c r="F353" i="312"/>
  <c r="E353" i="312"/>
  <c r="D353" i="312"/>
  <c r="C353" i="312"/>
  <c r="N352" i="312"/>
  <c r="K352" i="312"/>
  <c r="J352" i="312"/>
  <c r="I352" i="312"/>
  <c r="G352" i="312"/>
  <c r="F352" i="312"/>
  <c r="E352" i="312"/>
  <c r="D352" i="312"/>
  <c r="C352" i="312"/>
  <c r="L351" i="312"/>
  <c r="H351" i="312"/>
  <c r="M351" i="312" s="1"/>
  <c r="O351" i="312" s="1"/>
  <c r="L349" i="312"/>
  <c r="H349" i="312"/>
  <c r="L348" i="312"/>
  <c r="H348" i="312"/>
  <c r="L347" i="312"/>
  <c r="H347" i="312"/>
  <c r="L345" i="312"/>
  <c r="L354" i="312" s="1"/>
  <c r="H345" i="312"/>
  <c r="H354" i="312" s="1"/>
  <c r="L344" i="312"/>
  <c r="H344" i="312"/>
  <c r="L343" i="312"/>
  <c r="H343" i="312"/>
  <c r="N340" i="312"/>
  <c r="K340" i="312"/>
  <c r="J340" i="312"/>
  <c r="I340" i="312"/>
  <c r="G340" i="312"/>
  <c r="F340" i="312"/>
  <c r="E340" i="312"/>
  <c r="D340" i="312"/>
  <c r="C340" i="312"/>
  <c r="N339" i="312"/>
  <c r="K339" i="312"/>
  <c r="J339" i="312"/>
  <c r="I339" i="312"/>
  <c r="G339" i="312"/>
  <c r="F339" i="312"/>
  <c r="E339" i="312"/>
  <c r="D339" i="312"/>
  <c r="C339" i="312"/>
  <c r="N338" i="312"/>
  <c r="K338" i="312"/>
  <c r="J338" i="312"/>
  <c r="I338" i="312"/>
  <c r="G338" i="312"/>
  <c r="F338" i="312"/>
  <c r="E338" i="312"/>
  <c r="D338" i="312"/>
  <c r="C338" i="312"/>
  <c r="L337" i="312"/>
  <c r="H337" i="312"/>
  <c r="L336" i="312"/>
  <c r="H336" i="312"/>
  <c r="L334" i="312"/>
  <c r="H334" i="312"/>
  <c r="L333" i="312"/>
  <c r="H333" i="312"/>
  <c r="L332" i="312"/>
  <c r="H332" i="312"/>
  <c r="L331" i="312"/>
  <c r="H331" i="312"/>
  <c r="L329" i="312"/>
  <c r="H329" i="312"/>
  <c r="L328" i="312"/>
  <c r="H328" i="312"/>
  <c r="L327" i="312"/>
  <c r="L338" i="312" s="1"/>
  <c r="H327" i="312"/>
  <c r="H338" i="312" s="1"/>
  <c r="N325" i="312"/>
  <c r="K325" i="312"/>
  <c r="J325" i="312"/>
  <c r="I325" i="312"/>
  <c r="G325" i="312"/>
  <c r="F325" i="312"/>
  <c r="E325" i="312"/>
  <c r="D325" i="312"/>
  <c r="C325" i="312"/>
  <c r="N324" i="312"/>
  <c r="K324" i="312"/>
  <c r="J324" i="312"/>
  <c r="I324" i="312"/>
  <c r="G324" i="312"/>
  <c r="F324" i="312"/>
  <c r="E324" i="312"/>
  <c r="D324" i="312"/>
  <c r="C324" i="312"/>
  <c r="N323" i="312"/>
  <c r="K323" i="312"/>
  <c r="J323" i="312"/>
  <c r="I323" i="312"/>
  <c r="G323" i="312"/>
  <c r="F323" i="312"/>
  <c r="E323" i="312"/>
  <c r="D323" i="312"/>
  <c r="C323" i="312"/>
  <c r="L322" i="312"/>
  <c r="H322" i="312"/>
  <c r="L320" i="312"/>
  <c r="H320" i="312"/>
  <c r="L319" i="312"/>
  <c r="H319" i="312"/>
  <c r="L318" i="312"/>
  <c r="H318" i="312"/>
  <c r="L317" i="312"/>
  <c r="H317" i="312"/>
  <c r="L316" i="312"/>
  <c r="H316" i="312"/>
  <c r="L314" i="312"/>
  <c r="H314" i="312"/>
  <c r="L313" i="312"/>
  <c r="H313" i="312"/>
  <c r="L312" i="312"/>
  <c r="H312" i="312"/>
  <c r="N310" i="312"/>
  <c r="K310" i="312"/>
  <c r="J310" i="312"/>
  <c r="I310" i="312"/>
  <c r="G310" i="312"/>
  <c r="F310" i="312"/>
  <c r="E310" i="312"/>
  <c r="D310" i="312"/>
  <c r="C310" i="312"/>
  <c r="N309" i="312"/>
  <c r="K309" i="312"/>
  <c r="J309" i="312"/>
  <c r="I309" i="312"/>
  <c r="G309" i="312"/>
  <c r="F309" i="312"/>
  <c r="D309" i="312"/>
  <c r="C309" i="312"/>
  <c r="N308" i="312"/>
  <c r="N341" i="312" s="1"/>
  <c r="K308" i="312"/>
  <c r="K341" i="312" s="1"/>
  <c r="J308" i="312"/>
  <c r="J341" i="312" s="1"/>
  <c r="I308" i="312"/>
  <c r="I341" i="312" s="1"/>
  <c r="G308" i="312"/>
  <c r="G341" i="312" s="1"/>
  <c r="F308" i="312"/>
  <c r="D308" i="312"/>
  <c r="D341" i="312" s="1"/>
  <c r="C308" i="312"/>
  <c r="C341" i="312" s="1"/>
  <c r="L307" i="312"/>
  <c r="H307" i="312"/>
  <c r="L306" i="312"/>
  <c r="H306" i="312"/>
  <c r="L304" i="312"/>
  <c r="E304" i="312"/>
  <c r="L303" i="312"/>
  <c r="H303" i="312"/>
  <c r="L302" i="312"/>
  <c r="H302" i="312"/>
  <c r="L301" i="312"/>
  <c r="L484" i="312" s="1"/>
  <c r="H301" i="312"/>
  <c r="H484" i="312" s="1"/>
  <c r="L300" i="312"/>
  <c r="H300" i="312"/>
  <c r="L299" i="312"/>
  <c r="H299" i="312"/>
  <c r="M299" i="312" s="1"/>
  <c r="O299" i="312" s="1"/>
  <c r="L297" i="312"/>
  <c r="H297" i="312"/>
  <c r="L296" i="312"/>
  <c r="H296" i="312"/>
  <c r="M296" i="312" s="1"/>
  <c r="L295" i="312"/>
  <c r="H295" i="312"/>
  <c r="N291" i="312"/>
  <c r="K291" i="312"/>
  <c r="J291" i="312"/>
  <c r="I291" i="312"/>
  <c r="G291" i="312"/>
  <c r="F291" i="312"/>
  <c r="E291" i="312"/>
  <c r="D291" i="312"/>
  <c r="C291" i="312"/>
  <c r="N290" i="312"/>
  <c r="K290" i="312"/>
  <c r="J290" i="312"/>
  <c r="I290" i="312"/>
  <c r="G290" i="312"/>
  <c r="F290" i="312"/>
  <c r="E290" i="312"/>
  <c r="D290" i="312"/>
  <c r="C290" i="312"/>
  <c r="N289" i="312"/>
  <c r="K289" i="312"/>
  <c r="J289" i="312"/>
  <c r="I289" i="312"/>
  <c r="G289" i="312"/>
  <c r="F289" i="312"/>
  <c r="E289" i="312"/>
  <c r="D289" i="312"/>
  <c r="C289" i="312"/>
  <c r="L288" i="312"/>
  <c r="H288" i="312"/>
  <c r="M288" i="312" s="1"/>
  <c r="O288" i="312" s="1"/>
  <c r="L286" i="312"/>
  <c r="H286" i="312"/>
  <c r="L285" i="312"/>
  <c r="H285" i="312"/>
  <c r="M285" i="312" s="1"/>
  <c r="O285" i="312" s="1"/>
  <c r="L284" i="312"/>
  <c r="H284" i="312"/>
  <c r="L283" i="312"/>
  <c r="H283" i="312"/>
  <c r="M283" i="312" s="1"/>
  <c r="O283" i="312" s="1"/>
  <c r="L281" i="312"/>
  <c r="L291" i="312" s="1"/>
  <c r="H281" i="312"/>
  <c r="H291" i="312" s="1"/>
  <c r="L280" i="312"/>
  <c r="H280" i="312"/>
  <c r="L279" i="312"/>
  <c r="H279" i="312"/>
  <c r="N277" i="312"/>
  <c r="K277" i="312"/>
  <c r="J277" i="312"/>
  <c r="I277" i="312"/>
  <c r="G277" i="312"/>
  <c r="F277" i="312"/>
  <c r="E277" i="312"/>
  <c r="D277" i="312"/>
  <c r="C277" i="312"/>
  <c r="N276" i="312"/>
  <c r="K276" i="312"/>
  <c r="J276" i="312"/>
  <c r="I276" i="312"/>
  <c r="G276" i="312"/>
  <c r="F276" i="312"/>
  <c r="E276" i="312"/>
  <c r="D276" i="312"/>
  <c r="C276" i="312"/>
  <c r="N275" i="312"/>
  <c r="K275" i="312"/>
  <c r="J275" i="312"/>
  <c r="I275" i="312"/>
  <c r="G275" i="312"/>
  <c r="F275" i="312"/>
  <c r="E275" i="312"/>
  <c r="D275" i="312"/>
  <c r="C275" i="312"/>
  <c r="L274" i="312"/>
  <c r="H274" i="312"/>
  <c r="L272" i="312"/>
  <c r="H272" i="312"/>
  <c r="L271" i="312"/>
  <c r="H271" i="312"/>
  <c r="L270" i="312"/>
  <c r="H270" i="312"/>
  <c r="L268" i="312"/>
  <c r="L277" i="312" s="1"/>
  <c r="H268" i="312"/>
  <c r="L267" i="312"/>
  <c r="H267" i="312"/>
  <c r="L266" i="312"/>
  <c r="H266" i="312"/>
  <c r="N264" i="312"/>
  <c r="K264" i="312"/>
  <c r="J264" i="312"/>
  <c r="I264" i="312"/>
  <c r="G264" i="312"/>
  <c r="F264" i="312"/>
  <c r="E264" i="312"/>
  <c r="D264" i="312"/>
  <c r="C264" i="312"/>
  <c r="N263" i="312"/>
  <c r="K263" i="312"/>
  <c r="J263" i="312"/>
  <c r="I263" i="312"/>
  <c r="G263" i="312"/>
  <c r="F263" i="312"/>
  <c r="D263" i="312"/>
  <c r="C263" i="312"/>
  <c r="N262" i="312"/>
  <c r="K262" i="312"/>
  <c r="J262" i="312"/>
  <c r="I262" i="312"/>
  <c r="G262" i="312"/>
  <c r="F262" i="312"/>
  <c r="D262" i="312"/>
  <c r="C262" i="312"/>
  <c r="L261" i="312"/>
  <c r="H261" i="312"/>
  <c r="L259" i="312"/>
  <c r="E259" i="312"/>
  <c r="E263" i="312" s="1"/>
  <c r="L258" i="312"/>
  <c r="H258" i="312"/>
  <c r="L257" i="312"/>
  <c r="H257" i="312"/>
  <c r="L255" i="312"/>
  <c r="L264" i="312" s="1"/>
  <c r="H255" i="312"/>
  <c r="H264" i="312" s="1"/>
  <c r="L254" i="312"/>
  <c r="H254" i="312"/>
  <c r="L253" i="312"/>
  <c r="H253" i="312"/>
  <c r="N251" i="312"/>
  <c r="K251" i="312"/>
  <c r="J251" i="312"/>
  <c r="I251" i="312"/>
  <c r="G251" i="312"/>
  <c r="F251" i="312"/>
  <c r="E251" i="312"/>
  <c r="D251" i="312"/>
  <c r="C251" i="312"/>
  <c r="N250" i="312"/>
  <c r="K250" i="312"/>
  <c r="J250" i="312"/>
  <c r="I250" i="312"/>
  <c r="G250" i="312"/>
  <c r="F250" i="312"/>
  <c r="E250" i="312"/>
  <c r="D250" i="312"/>
  <c r="C250" i="312"/>
  <c r="N249" i="312"/>
  <c r="K249" i="312"/>
  <c r="J249" i="312"/>
  <c r="I249" i="312"/>
  <c r="G249" i="312"/>
  <c r="F249" i="312"/>
  <c r="E249" i="312"/>
  <c r="D249" i="312"/>
  <c r="C249" i="312"/>
  <c r="L248" i="312"/>
  <c r="L495" i="312" s="1"/>
  <c r="H248" i="312"/>
  <c r="L247" i="312"/>
  <c r="H247" i="312"/>
  <c r="L245" i="312"/>
  <c r="H245" i="312"/>
  <c r="L244" i="312"/>
  <c r="H244" i="312"/>
  <c r="L243" i="312"/>
  <c r="H243" i="312"/>
  <c r="L241" i="312"/>
  <c r="H241" i="312"/>
  <c r="L240" i="312"/>
  <c r="H240" i="312"/>
  <c r="L239" i="312"/>
  <c r="H239" i="312"/>
  <c r="H249" i="312" s="1"/>
  <c r="N237" i="312"/>
  <c r="K237" i="312"/>
  <c r="J237" i="312"/>
  <c r="I237" i="312"/>
  <c r="G237" i="312"/>
  <c r="F237" i="312"/>
  <c r="E237" i="312"/>
  <c r="D237" i="312"/>
  <c r="C237" i="312"/>
  <c r="N236" i="312"/>
  <c r="K236" i="312"/>
  <c r="J236" i="312"/>
  <c r="I236" i="312"/>
  <c r="G236" i="312"/>
  <c r="F236" i="312"/>
  <c r="D236" i="312"/>
  <c r="C236" i="312"/>
  <c r="N235" i="312"/>
  <c r="K235" i="312"/>
  <c r="J235" i="312"/>
  <c r="I235" i="312"/>
  <c r="G235" i="312"/>
  <c r="F235" i="312"/>
  <c r="D235" i="312"/>
  <c r="C235" i="312"/>
  <c r="L234" i="312"/>
  <c r="H234" i="312"/>
  <c r="L232" i="312"/>
  <c r="H232" i="312"/>
  <c r="L231" i="312"/>
  <c r="E231" i="312"/>
  <c r="L230" i="312"/>
  <c r="H230" i="312"/>
  <c r="L229" i="312"/>
  <c r="H229" i="312"/>
  <c r="M229" i="312" s="1"/>
  <c r="O229" i="312" s="1"/>
  <c r="L228" i="312"/>
  <c r="H228" i="312"/>
  <c r="L226" i="312"/>
  <c r="H226" i="312"/>
  <c r="L225" i="312"/>
  <c r="H225" i="312"/>
  <c r="L224" i="312"/>
  <c r="H224" i="312"/>
  <c r="N222" i="312"/>
  <c r="K222" i="312"/>
  <c r="J222" i="312"/>
  <c r="I222" i="312"/>
  <c r="G222" i="312"/>
  <c r="F222" i="312"/>
  <c r="E222" i="312"/>
  <c r="D222" i="312"/>
  <c r="C222" i="312"/>
  <c r="N221" i="312"/>
  <c r="K221" i="312"/>
  <c r="J221" i="312"/>
  <c r="I221" i="312"/>
  <c r="G221" i="312"/>
  <c r="F221" i="312"/>
  <c r="E221" i="312"/>
  <c r="D221" i="312"/>
  <c r="C221" i="312"/>
  <c r="N220" i="312"/>
  <c r="K220" i="312"/>
  <c r="J220" i="312"/>
  <c r="I220" i="312"/>
  <c r="G220" i="312"/>
  <c r="F220" i="312"/>
  <c r="E220" i="312"/>
  <c r="D220" i="312"/>
  <c r="C220" i="312"/>
  <c r="L219" i="312"/>
  <c r="H219" i="312"/>
  <c r="L217" i="312"/>
  <c r="H217" i="312"/>
  <c r="L216" i="312"/>
  <c r="H216" i="312"/>
  <c r="L215" i="312"/>
  <c r="H215" i="312"/>
  <c r="L214" i="312"/>
  <c r="H214" i="312"/>
  <c r="L212" i="312"/>
  <c r="L222" i="312" s="1"/>
  <c r="H212" i="312"/>
  <c r="L211" i="312"/>
  <c r="H211" i="312"/>
  <c r="L210" i="312"/>
  <c r="H210" i="312"/>
  <c r="N208" i="312"/>
  <c r="K208" i="312"/>
  <c r="J208" i="312"/>
  <c r="I208" i="312"/>
  <c r="G208" i="312"/>
  <c r="F208" i="312"/>
  <c r="E208" i="312"/>
  <c r="D208" i="312"/>
  <c r="C208" i="312"/>
  <c r="N207" i="312"/>
  <c r="K207" i="312"/>
  <c r="J207" i="312"/>
  <c r="I207" i="312"/>
  <c r="G207" i="312"/>
  <c r="F207" i="312"/>
  <c r="E207" i="312"/>
  <c r="D207" i="312"/>
  <c r="C207" i="312"/>
  <c r="N206" i="312"/>
  <c r="K206" i="312"/>
  <c r="J206" i="312"/>
  <c r="I206" i="312"/>
  <c r="G206" i="312"/>
  <c r="F206" i="312"/>
  <c r="E206" i="312"/>
  <c r="D206" i="312"/>
  <c r="C206" i="312"/>
  <c r="L205" i="312"/>
  <c r="H205" i="312"/>
  <c r="L203" i="312"/>
  <c r="H203" i="312"/>
  <c r="L202" i="312"/>
  <c r="H202" i="312"/>
  <c r="L201" i="312"/>
  <c r="H201" i="312"/>
  <c r="L200" i="312"/>
  <c r="H200" i="312"/>
  <c r="L198" i="312"/>
  <c r="H198" i="312"/>
  <c r="L197" i="312"/>
  <c r="H197" i="312"/>
  <c r="L196" i="312"/>
  <c r="H196" i="312"/>
  <c r="N194" i="312"/>
  <c r="K194" i="312"/>
  <c r="J194" i="312"/>
  <c r="I194" i="312"/>
  <c r="G194" i="312"/>
  <c r="F194" i="312"/>
  <c r="E194" i="312"/>
  <c r="D194" i="312"/>
  <c r="C194" i="312"/>
  <c r="N193" i="312"/>
  <c r="K193" i="312"/>
  <c r="J193" i="312"/>
  <c r="I193" i="312"/>
  <c r="G193" i="312"/>
  <c r="F193" i="312"/>
  <c r="E193" i="312"/>
  <c r="D193" i="312"/>
  <c r="C193" i="312"/>
  <c r="N192" i="312"/>
  <c r="K192" i="312"/>
  <c r="J192" i="312"/>
  <c r="I192" i="312"/>
  <c r="G192" i="312"/>
  <c r="F192" i="312"/>
  <c r="E192" i="312"/>
  <c r="D192" i="312"/>
  <c r="C192" i="312"/>
  <c r="L191" i="312"/>
  <c r="H191" i="312"/>
  <c r="L189" i="312"/>
  <c r="H189" i="312"/>
  <c r="M189" i="312" s="1"/>
  <c r="O189" i="312" s="1"/>
  <c r="L188" i="312"/>
  <c r="H188" i="312"/>
  <c r="L187" i="312"/>
  <c r="H187" i="312"/>
  <c r="L186" i="312"/>
  <c r="H186" i="312"/>
  <c r="L184" i="312"/>
  <c r="L194" i="312" s="1"/>
  <c r="H184" i="312"/>
  <c r="L183" i="312"/>
  <c r="H183" i="312"/>
  <c r="L182" i="312"/>
  <c r="H182" i="312"/>
  <c r="N180" i="312"/>
  <c r="K180" i="312"/>
  <c r="J180" i="312"/>
  <c r="I180" i="312"/>
  <c r="G180" i="312"/>
  <c r="F180" i="312"/>
  <c r="E180" i="312"/>
  <c r="D180" i="312"/>
  <c r="C180" i="312"/>
  <c r="N179" i="312"/>
  <c r="K179" i="312"/>
  <c r="J179" i="312"/>
  <c r="I179" i="312"/>
  <c r="G179" i="312"/>
  <c r="F179" i="312"/>
  <c r="D179" i="312"/>
  <c r="C179" i="312"/>
  <c r="N178" i="312"/>
  <c r="K178" i="312"/>
  <c r="J178" i="312"/>
  <c r="I178" i="312"/>
  <c r="G178" i="312"/>
  <c r="F178" i="312"/>
  <c r="D178" i="312"/>
  <c r="C178" i="312"/>
  <c r="L177" i="312"/>
  <c r="H177" i="312"/>
  <c r="L175" i="312"/>
  <c r="H175" i="312"/>
  <c r="L174" i="312"/>
  <c r="E174" i="312"/>
  <c r="H174" i="312" s="1"/>
  <c r="L173" i="312"/>
  <c r="M173" i="312" s="1"/>
  <c r="O173" i="312" s="1"/>
  <c r="H173" i="312"/>
  <c r="L172" i="312"/>
  <c r="H172" i="312"/>
  <c r="L171" i="312"/>
  <c r="H171" i="312"/>
  <c r="L169" i="312"/>
  <c r="H169" i="312"/>
  <c r="H180" i="312" s="1"/>
  <c r="L168" i="312"/>
  <c r="H168" i="312"/>
  <c r="L167" i="312"/>
  <c r="H167" i="312"/>
  <c r="N165" i="312"/>
  <c r="K165" i="312"/>
  <c r="J165" i="312"/>
  <c r="I165" i="312"/>
  <c r="G165" i="312"/>
  <c r="F165" i="312"/>
  <c r="E165" i="312"/>
  <c r="D165" i="312"/>
  <c r="C165" i="312"/>
  <c r="N164" i="312"/>
  <c r="K164" i="312"/>
  <c r="J164" i="312"/>
  <c r="I164" i="312"/>
  <c r="G164" i="312"/>
  <c r="F164" i="312"/>
  <c r="D164" i="312"/>
  <c r="C164" i="312"/>
  <c r="N163" i="312"/>
  <c r="K163" i="312"/>
  <c r="J163" i="312"/>
  <c r="I163" i="312"/>
  <c r="G163" i="312"/>
  <c r="F163" i="312"/>
  <c r="D163" i="312"/>
  <c r="C163" i="312"/>
  <c r="L162" i="312"/>
  <c r="H162" i="312"/>
  <c r="L160" i="312"/>
  <c r="H160" i="312"/>
  <c r="L159" i="312"/>
  <c r="E159" i="312"/>
  <c r="L158" i="312"/>
  <c r="H158" i="312"/>
  <c r="L157" i="312"/>
  <c r="H157" i="312"/>
  <c r="M157" i="312" s="1"/>
  <c r="O157" i="312" s="1"/>
  <c r="L156" i="312"/>
  <c r="H156" i="312"/>
  <c r="L154" i="312"/>
  <c r="H154" i="312"/>
  <c r="L153" i="312"/>
  <c r="H153" i="312"/>
  <c r="L152" i="312"/>
  <c r="H152" i="312"/>
  <c r="N150" i="312"/>
  <c r="K150" i="312"/>
  <c r="J150" i="312"/>
  <c r="I150" i="312"/>
  <c r="G150" i="312"/>
  <c r="F150" i="312"/>
  <c r="E150" i="312"/>
  <c r="D150" i="312"/>
  <c r="C150" i="312"/>
  <c r="N149" i="312"/>
  <c r="K149" i="312"/>
  <c r="J149" i="312"/>
  <c r="I149" i="312"/>
  <c r="G149" i="312"/>
  <c r="F149" i="312"/>
  <c r="E149" i="312"/>
  <c r="D149" i="312"/>
  <c r="C149" i="312"/>
  <c r="N148" i="312"/>
  <c r="K148" i="312"/>
  <c r="J148" i="312"/>
  <c r="I148" i="312"/>
  <c r="G148" i="312"/>
  <c r="F148" i="312"/>
  <c r="E148" i="312"/>
  <c r="D148" i="312"/>
  <c r="C148" i="312"/>
  <c r="L147" i="312"/>
  <c r="H147" i="312"/>
  <c r="L145" i="312"/>
  <c r="H145" i="312"/>
  <c r="L144" i="312"/>
  <c r="H144" i="312"/>
  <c r="M144" i="312" s="1"/>
  <c r="O144" i="312" s="1"/>
  <c r="L143" i="312"/>
  <c r="H143" i="312"/>
  <c r="L141" i="312"/>
  <c r="L150" i="312" s="1"/>
  <c r="H141" i="312"/>
  <c r="H150" i="312" s="1"/>
  <c r="L140" i="312"/>
  <c r="L149" i="312" s="1"/>
  <c r="H140" i="312"/>
  <c r="M140" i="312" s="1"/>
  <c r="O140" i="312" s="1"/>
  <c r="L139" i="312"/>
  <c r="H139" i="312"/>
  <c r="N137" i="312"/>
  <c r="K137" i="312"/>
  <c r="J137" i="312"/>
  <c r="I137" i="312"/>
  <c r="G137" i="312"/>
  <c r="F137" i="312"/>
  <c r="E137" i="312"/>
  <c r="D137" i="312"/>
  <c r="C137" i="312"/>
  <c r="N136" i="312"/>
  <c r="K136" i="312"/>
  <c r="J136" i="312"/>
  <c r="I136" i="312"/>
  <c r="G136" i="312"/>
  <c r="F136" i="312"/>
  <c r="E136" i="312"/>
  <c r="D136" i="312"/>
  <c r="C136" i="312"/>
  <c r="N135" i="312"/>
  <c r="K135" i="312"/>
  <c r="J135" i="312"/>
  <c r="I135" i="312"/>
  <c r="I292" i="312" s="1"/>
  <c r="G135" i="312"/>
  <c r="F135" i="312"/>
  <c r="E135" i="312"/>
  <c r="D135" i="312"/>
  <c r="C135" i="312"/>
  <c r="L134" i="312"/>
  <c r="L496" i="312" s="1"/>
  <c r="H134" i="312"/>
  <c r="H496" i="312" s="1"/>
  <c r="L133" i="312"/>
  <c r="H133" i="312"/>
  <c r="L131" i="312"/>
  <c r="H131" i="312"/>
  <c r="L130" i="312"/>
  <c r="H130" i="312"/>
  <c r="L129" i="312"/>
  <c r="H129" i="312"/>
  <c r="M129" i="312" s="1"/>
  <c r="O129" i="312" s="1"/>
  <c r="L128" i="312"/>
  <c r="H128" i="312"/>
  <c r="M128" i="312" s="1"/>
  <c r="O128" i="312" s="1"/>
  <c r="L127" i="312"/>
  <c r="H127" i="312"/>
  <c r="M127" i="312" s="1"/>
  <c r="L125" i="312"/>
  <c r="H125" i="312"/>
  <c r="L124" i="312"/>
  <c r="H124" i="312"/>
  <c r="M124" i="312" s="1"/>
  <c r="O124" i="312" s="1"/>
  <c r="L123" i="312"/>
  <c r="H123" i="312"/>
  <c r="N120" i="312"/>
  <c r="K120" i="312"/>
  <c r="J120" i="312"/>
  <c r="I120" i="312"/>
  <c r="G120" i="312"/>
  <c r="F120" i="312"/>
  <c r="E120" i="312"/>
  <c r="D120" i="312"/>
  <c r="C120" i="312"/>
  <c r="N119" i="312"/>
  <c r="K119" i="312"/>
  <c r="J119" i="312"/>
  <c r="I119" i="312"/>
  <c r="G119" i="312"/>
  <c r="F119" i="312"/>
  <c r="E119" i="312"/>
  <c r="D119" i="312"/>
  <c r="C119" i="312"/>
  <c r="N118" i="312"/>
  <c r="K118" i="312"/>
  <c r="J118" i="312"/>
  <c r="I118" i="312"/>
  <c r="G118" i="312"/>
  <c r="F118" i="312"/>
  <c r="E118" i="312"/>
  <c r="D118" i="312"/>
  <c r="C118" i="312"/>
  <c r="L117" i="312"/>
  <c r="H117" i="312"/>
  <c r="L115" i="312"/>
  <c r="H115" i="312"/>
  <c r="L114" i="312"/>
  <c r="H114" i="312"/>
  <c r="L113" i="312"/>
  <c r="H113" i="312"/>
  <c r="L112" i="312"/>
  <c r="H112" i="312"/>
  <c r="L110" i="312"/>
  <c r="H110" i="312"/>
  <c r="H120" i="312" s="1"/>
  <c r="L109" i="312"/>
  <c r="L119" i="312" s="1"/>
  <c r="H109" i="312"/>
  <c r="L108" i="312"/>
  <c r="H108" i="312"/>
  <c r="N106" i="312"/>
  <c r="K106" i="312"/>
  <c r="J106" i="312"/>
  <c r="I106" i="312"/>
  <c r="G106" i="312"/>
  <c r="F106" i="312"/>
  <c r="E106" i="312"/>
  <c r="D106" i="312"/>
  <c r="C106" i="312"/>
  <c r="N105" i="312"/>
  <c r="K105" i="312"/>
  <c r="J105" i="312"/>
  <c r="I105" i="312"/>
  <c r="G105" i="312"/>
  <c r="F105" i="312"/>
  <c r="E105" i="312"/>
  <c r="D105" i="312"/>
  <c r="C105" i="312"/>
  <c r="N104" i="312"/>
  <c r="K104" i="312"/>
  <c r="J104" i="312"/>
  <c r="I104" i="312"/>
  <c r="G104" i="312"/>
  <c r="F104" i="312"/>
  <c r="E104" i="312"/>
  <c r="D104" i="312"/>
  <c r="C104" i="312"/>
  <c r="L103" i="312"/>
  <c r="H103" i="312"/>
  <c r="L101" i="312"/>
  <c r="H101" i="312"/>
  <c r="L100" i="312"/>
  <c r="H100" i="312"/>
  <c r="L99" i="312"/>
  <c r="H99" i="312"/>
  <c r="L97" i="312"/>
  <c r="L106" i="312" s="1"/>
  <c r="H97" i="312"/>
  <c r="H106" i="312" s="1"/>
  <c r="L96" i="312"/>
  <c r="H96" i="312"/>
  <c r="L95" i="312"/>
  <c r="H95" i="312"/>
  <c r="H104" i="312" s="1"/>
  <c r="N93" i="312"/>
  <c r="K93" i="312"/>
  <c r="J93" i="312"/>
  <c r="I93" i="312"/>
  <c r="G93" i="312"/>
  <c r="F93" i="312"/>
  <c r="E93" i="312"/>
  <c r="D93" i="312"/>
  <c r="C93" i="312"/>
  <c r="N92" i="312"/>
  <c r="K92" i="312"/>
  <c r="J92" i="312"/>
  <c r="I92" i="312"/>
  <c r="G92" i="312"/>
  <c r="F92" i="312"/>
  <c r="E92" i="312"/>
  <c r="D92" i="312"/>
  <c r="C92" i="312"/>
  <c r="N91" i="312"/>
  <c r="K91" i="312"/>
  <c r="J91" i="312"/>
  <c r="I91" i="312"/>
  <c r="G91" i="312"/>
  <c r="F91" i="312"/>
  <c r="E91" i="312"/>
  <c r="D91" i="312"/>
  <c r="C91" i="312"/>
  <c r="L90" i="312"/>
  <c r="H90" i="312"/>
  <c r="L88" i="312"/>
  <c r="H88" i="312"/>
  <c r="L87" i="312"/>
  <c r="H87" i="312"/>
  <c r="L86" i="312"/>
  <c r="H86" i="312"/>
  <c r="L84" i="312"/>
  <c r="L93" i="312" s="1"/>
  <c r="H84" i="312"/>
  <c r="H93" i="312" s="1"/>
  <c r="L83" i="312"/>
  <c r="H83" i="312"/>
  <c r="H92" i="312" s="1"/>
  <c r="L82" i="312"/>
  <c r="H82" i="312"/>
  <c r="N80" i="312"/>
  <c r="K80" i="312"/>
  <c r="J80" i="312"/>
  <c r="I80" i="312"/>
  <c r="G80" i="312"/>
  <c r="F80" i="312"/>
  <c r="E80" i="312"/>
  <c r="D80" i="312"/>
  <c r="C80" i="312"/>
  <c r="N79" i="312"/>
  <c r="K79" i="312"/>
  <c r="J79" i="312"/>
  <c r="I79" i="312"/>
  <c r="G79" i="312"/>
  <c r="F79" i="312"/>
  <c r="E79" i="312"/>
  <c r="D79" i="312"/>
  <c r="C79" i="312"/>
  <c r="N78" i="312"/>
  <c r="K78" i="312"/>
  <c r="J78" i="312"/>
  <c r="I78" i="312"/>
  <c r="G78" i="312"/>
  <c r="F78" i="312"/>
  <c r="E78" i="312"/>
  <c r="D78" i="312"/>
  <c r="C78" i="312"/>
  <c r="L77" i="312"/>
  <c r="H77" i="312"/>
  <c r="L75" i="312"/>
  <c r="H75" i="312"/>
  <c r="M75" i="312" s="1"/>
  <c r="O75" i="312" s="1"/>
  <c r="L74" i="312"/>
  <c r="H74" i="312"/>
  <c r="L73" i="312"/>
  <c r="H73" i="312"/>
  <c r="M73" i="312" s="1"/>
  <c r="O73" i="312" s="1"/>
  <c r="L72" i="312"/>
  <c r="H72" i="312"/>
  <c r="L70" i="312"/>
  <c r="H70" i="312"/>
  <c r="L69" i="312"/>
  <c r="H69" i="312"/>
  <c r="L68" i="312"/>
  <c r="H68" i="312"/>
  <c r="M68" i="312" s="1"/>
  <c r="N66" i="312"/>
  <c r="K66" i="312"/>
  <c r="J66" i="312"/>
  <c r="I66" i="312"/>
  <c r="G66" i="312"/>
  <c r="F66" i="312"/>
  <c r="E66" i="312"/>
  <c r="D66" i="312"/>
  <c r="C66" i="312"/>
  <c r="N65" i="312"/>
  <c r="K65" i="312"/>
  <c r="J65" i="312"/>
  <c r="I65" i="312"/>
  <c r="G65" i="312"/>
  <c r="F65" i="312"/>
  <c r="E65" i="312"/>
  <c r="D65" i="312"/>
  <c r="C65" i="312"/>
  <c r="N64" i="312"/>
  <c r="K64" i="312"/>
  <c r="J64" i="312"/>
  <c r="I64" i="312"/>
  <c r="G64" i="312"/>
  <c r="F64" i="312"/>
  <c r="E64" i="312"/>
  <c r="D64" i="312"/>
  <c r="C64" i="312"/>
  <c r="L63" i="312"/>
  <c r="H63" i="312"/>
  <c r="L61" i="312"/>
  <c r="H61" i="312"/>
  <c r="L60" i="312"/>
  <c r="H60" i="312"/>
  <c r="L59" i="312"/>
  <c r="H59" i="312"/>
  <c r="L58" i="312"/>
  <c r="H58" i="312"/>
  <c r="L57" i="312"/>
  <c r="H57" i="312"/>
  <c r="L55" i="312"/>
  <c r="H55" i="312"/>
  <c r="H66" i="312" s="1"/>
  <c r="L54" i="312"/>
  <c r="H54" i="312"/>
  <c r="L53" i="312"/>
  <c r="H53" i="312"/>
  <c r="N51" i="312"/>
  <c r="K51" i="312"/>
  <c r="J51" i="312"/>
  <c r="I51" i="312"/>
  <c r="G51" i="312"/>
  <c r="F51" i="312"/>
  <c r="E51" i="312"/>
  <c r="D51" i="312"/>
  <c r="C51" i="312"/>
  <c r="N50" i="312"/>
  <c r="K50" i="312"/>
  <c r="J50" i="312"/>
  <c r="I50" i="312"/>
  <c r="G50" i="312"/>
  <c r="F50" i="312"/>
  <c r="E50" i="312"/>
  <c r="D50" i="312"/>
  <c r="C50" i="312"/>
  <c r="N49" i="312"/>
  <c r="N121" i="312" s="1"/>
  <c r="K49" i="312"/>
  <c r="J49" i="312"/>
  <c r="J121" i="312" s="1"/>
  <c r="I49" i="312"/>
  <c r="G49" i="312"/>
  <c r="F49" i="312"/>
  <c r="E49" i="312"/>
  <c r="D49" i="312"/>
  <c r="D121" i="312" s="1"/>
  <c r="C49" i="312"/>
  <c r="L48" i="312"/>
  <c r="H48" i="312"/>
  <c r="L46" i="312"/>
  <c r="H46" i="312"/>
  <c r="L45" i="312"/>
  <c r="H45" i="312"/>
  <c r="L44" i="312"/>
  <c r="H44" i="312"/>
  <c r="L42" i="312"/>
  <c r="L51" i="312" s="1"/>
  <c r="H42" i="312"/>
  <c r="H51" i="312" s="1"/>
  <c r="L41" i="312"/>
  <c r="L50" i="312" s="1"/>
  <c r="H41" i="312"/>
  <c r="H50" i="312" s="1"/>
  <c r="L40" i="312"/>
  <c r="H40" i="312"/>
  <c r="N37" i="312"/>
  <c r="K37" i="312"/>
  <c r="J37" i="312"/>
  <c r="I37" i="312"/>
  <c r="G37" i="312"/>
  <c r="F37" i="312"/>
  <c r="E37" i="312"/>
  <c r="D37" i="312"/>
  <c r="C37" i="312"/>
  <c r="N36" i="312"/>
  <c r="K36" i="312"/>
  <c r="J36" i="312"/>
  <c r="I36" i="312"/>
  <c r="G36" i="312"/>
  <c r="F36" i="312"/>
  <c r="E36" i="312"/>
  <c r="D36" i="312"/>
  <c r="C36" i="312"/>
  <c r="N35" i="312"/>
  <c r="K35" i="312"/>
  <c r="J35" i="312"/>
  <c r="I35" i="312"/>
  <c r="G35" i="312"/>
  <c r="F35" i="312"/>
  <c r="E35" i="312"/>
  <c r="D35" i="312"/>
  <c r="C35" i="312"/>
  <c r="H34" i="312"/>
  <c r="H495" i="312" s="1"/>
  <c r="L33" i="312"/>
  <c r="H33" i="312"/>
  <c r="L31" i="312"/>
  <c r="H31" i="312"/>
  <c r="L30" i="312"/>
  <c r="H30" i="312"/>
  <c r="L29" i="312"/>
  <c r="H29" i="312"/>
  <c r="L28" i="312"/>
  <c r="H28" i="312"/>
  <c r="L27" i="312"/>
  <c r="H27" i="312"/>
  <c r="L25" i="312"/>
  <c r="H25" i="312"/>
  <c r="L24" i="312"/>
  <c r="H24" i="312"/>
  <c r="L23" i="312"/>
  <c r="H23" i="312"/>
  <c r="N21" i="312"/>
  <c r="K21" i="312"/>
  <c r="J21" i="312"/>
  <c r="I21" i="312"/>
  <c r="G21" i="312"/>
  <c r="F21" i="312"/>
  <c r="E21" i="312"/>
  <c r="D21" i="312"/>
  <c r="C21" i="312"/>
  <c r="N20" i="312"/>
  <c r="N505" i="312" s="1"/>
  <c r="N512" i="312" s="1"/>
  <c r="K20" i="312"/>
  <c r="J20" i="312"/>
  <c r="I20" i="312"/>
  <c r="G20" i="312"/>
  <c r="F20" i="312"/>
  <c r="E20" i="312"/>
  <c r="D20" i="312"/>
  <c r="C20" i="312"/>
  <c r="N19" i="312"/>
  <c r="N38" i="312" s="1"/>
  <c r="K19" i="312"/>
  <c r="J19" i="312"/>
  <c r="J38" i="312" s="1"/>
  <c r="I19" i="312"/>
  <c r="I38" i="312" s="1"/>
  <c r="G19" i="312"/>
  <c r="G38" i="312" s="1"/>
  <c r="F19" i="312"/>
  <c r="F38" i="312" s="1"/>
  <c r="E19" i="312"/>
  <c r="E38" i="312" s="1"/>
  <c r="D19" i="312"/>
  <c r="D38" i="312" s="1"/>
  <c r="C19" i="312"/>
  <c r="C38" i="312" s="1"/>
  <c r="L18" i="312"/>
  <c r="H18" i="312"/>
  <c r="L17" i="312"/>
  <c r="M17" i="312" s="1"/>
  <c r="O17" i="312" s="1"/>
  <c r="L16" i="312"/>
  <c r="H16" i="312"/>
  <c r="L15" i="312"/>
  <c r="H15" i="312"/>
  <c r="M15" i="312" s="1"/>
  <c r="O15" i="312" s="1"/>
  <c r="L14" i="312"/>
  <c r="H14" i="312"/>
  <c r="H487" i="312" s="1"/>
  <c r="L13" i="312"/>
  <c r="L486" i="312" s="1"/>
  <c r="H13" i="312"/>
  <c r="H486" i="312" s="1"/>
  <c r="L12" i="312"/>
  <c r="H12" i="312"/>
  <c r="H482" i="312" s="1"/>
  <c r="L11" i="312"/>
  <c r="M11" i="312" s="1"/>
  <c r="O11" i="312" s="1"/>
  <c r="L10" i="312"/>
  <c r="L21" i="312" s="1"/>
  <c r="H10" i="312"/>
  <c r="H21" i="312" s="1"/>
  <c r="L9" i="312"/>
  <c r="H9" i="312"/>
  <c r="L8" i="312"/>
  <c r="H8" i="312"/>
  <c r="M177" i="312" l="1"/>
  <c r="O177" i="312" s="1"/>
  <c r="M54" i="312"/>
  <c r="O54" i="312" s="1"/>
  <c r="M316" i="312"/>
  <c r="O316" i="312" s="1"/>
  <c r="H64" i="312"/>
  <c r="M214" i="312"/>
  <c r="O214" i="312" s="1"/>
  <c r="M216" i="312"/>
  <c r="O216" i="312" s="1"/>
  <c r="M219" i="312"/>
  <c r="O219" i="312" s="1"/>
  <c r="M267" i="312"/>
  <c r="O267" i="312" s="1"/>
  <c r="H339" i="312"/>
  <c r="L136" i="312"/>
  <c r="M153" i="312"/>
  <c r="M158" i="312"/>
  <c r="O158" i="312" s="1"/>
  <c r="M198" i="312"/>
  <c r="M201" i="312"/>
  <c r="O201" i="312" s="1"/>
  <c r="M203" i="312"/>
  <c r="O203" i="312" s="1"/>
  <c r="M225" i="312"/>
  <c r="M230" i="312"/>
  <c r="O230" i="312" s="1"/>
  <c r="L275" i="312"/>
  <c r="M271" i="312"/>
  <c r="O271" i="312" s="1"/>
  <c r="L290" i="312"/>
  <c r="M295" i="312"/>
  <c r="M300" i="312"/>
  <c r="O300" i="312" s="1"/>
  <c r="M337" i="312"/>
  <c r="O337" i="312" s="1"/>
  <c r="M349" i="312"/>
  <c r="O349" i="312" s="1"/>
  <c r="M402" i="312"/>
  <c r="O402" i="312" s="1"/>
  <c r="M408" i="312"/>
  <c r="E179" i="312"/>
  <c r="H436" i="312"/>
  <c r="M169" i="312"/>
  <c r="M187" i="312"/>
  <c r="O187" i="312" s="1"/>
  <c r="L221" i="312"/>
  <c r="M371" i="312"/>
  <c r="O371" i="312" s="1"/>
  <c r="M373" i="312"/>
  <c r="O373" i="312" s="1"/>
  <c r="K518" i="312"/>
  <c r="M143" i="312"/>
  <c r="O143" i="312" s="1"/>
  <c r="M145" i="312"/>
  <c r="O145" i="312" s="1"/>
  <c r="M152" i="312"/>
  <c r="M188" i="312"/>
  <c r="O188" i="312" s="1"/>
  <c r="M215" i="312"/>
  <c r="O215" i="312" s="1"/>
  <c r="M224" i="312"/>
  <c r="L309" i="312"/>
  <c r="M344" i="312"/>
  <c r="M345" i="312"/>
  <c r="M356" i="312"/>
  <c r="M456" i="312"/>
  <c r="O456" i="312" s="1"/>
  <c r="L79" i="312"/>
  <c r="M87" i="312"/>
  <c r="O87" i="312" s="1"/>
  <c r="M90" i="312"/>
  <c r="O90" i="312" s="1"/>
  <c r="M131" i="312"/>
  <c r="O131" i="312" s="1"/>
  <c r="M147" i="312"/>
  <c r="O147" i="312" s="1"/>
  <c r="M174" i="312"/>
  <c r="O174" i="312" s="1"/>
  <c r="M183" i="312"/>
  <c r="O183" i="312" s="1"/>
  <c r="M186" i="312"/>
  <c r="O186" i="312" s="1"/>
  <c r="M197" i="312"/>
  <c r="M240" i="312"/>
  <c r="M245" i="312"/>
  <c r="O245" i="312" s="1"/>
  <c r="M248" i="312"/>
  <c r="O248" i="312" s="1"/>
  <c r="M318" i="312"/>
  <c r="O318" i="312" s="1"/>
  <c r="M320" i="312"/>
  <c r="O320" i="312" s="1"/>
  <c r="M361" i="312"/>
  <c r="O361" i="312" s="1"/>
  <c r="H362" i="312"/>
  <c r="C364" i="312"/>
  <c r="M386" i="312"/>
  <c r="O386" i="312" s="1"/>
  <c r="M388" i="312"/>
  <c r="O388" i="312" s="1"/>
  <c r="L405" i="312"/>
  <c r="M403" i="312"/>
  <c r="O403" i="312" s="1"/>
  <c r="M407" i="312"/>
  <c r="M422" i="312"/>
  <c r="O422" i="312" s="1"/>
  <c r="M424" i="312"/>
  <c r="O424" i="312" s="1"/>
  <c r="C426" i="312"/>
  <c r="M434" i="312"/>
  <c r="O434" i="312" s="1"/>
  <c r="M180" i="312"/>
  <c r="M359" i="312"/>
  <c r="L380" i="312"/>
  <c r="M40" i="312"/>
  <c r="M45" i="312"/>
  <c r="O45" i="312" s="1"/>
  <c r="M48" i="312"/>
  <c r="O48" i="312" s="1"/>
  <c r="M61" i="312"/>
  <c r="O61" i="312" s="1"/>
  <c r="M108" i="312"/>
  <c r="M113" i="312"/>
  <c r="O113" i="312" s="1"/>
  <c r="M115" i="312"/>
  <c r="O115" i="312" s="1"/>
  <c r="L135" i="312"/>
  <c r="L137" i="312"/>
  <c r="M130" i="312"/>
  <c r="O130" i="312" s="1"/>
  <c r="M133" i="312"/>
  <c r="O133" i="312" s="1"/>
  <c r="H148" i="312"/>
  <c r="M175" i="312"/>
  <c r="O175" i="312" s="1"/>
  <c r="M182" i="312"/>
  <c r="O182" i="312" s="1"/>
  <c r="H208" i="312"/>
  <c r="M205" i="312"/>
  <c r="O205" i="312" s="1"/>
  <c r="M210" i="312"/>
  <c r="O210" i="312" s="1"/>
  <c r="M212" i="312"/>
  <c r="M261" i="312"/>
  <c r="O261" i="312" s="1"/>
  <c r="M301" i="312"/>
  <c r="H323" i="312"/>
  <c r="M387" i="312"/>
  <c r="O387" i="312" s="1"/>
  <c r="M389" i="312"/>
  <c r="O389" i="312" s="1"/>
  <c r="L404" i="312"/>
  <c r="M9" i="312"/>
  <c r="F121" i="312"/>
  <c r="H79" i="312"/>
  <c r="L220" i="312"/>
  <c r="L249" i="312"/>
  <c r="L251" i="312"/>
  <c r="L250" i="312"/>
  <c r="M257" i="312"/>
  <c r="O257" i="312" s="1"/>
  <c r="M272" i="312"/>
  <c r="O272" i="312" s="1"/>
  <c r="M286" i="312"/>
  <c r="O286" i="312" s="1"/>
  <c r="M302" i="312"/>
  <c r="O302" i="312" s="1"/>
  <c r="M307" i="312"/>
  <c r="O307" i="312" s="1"/>
  <c r="L353" i="312"/>
  <c r="M376" i="312"/>
  <c r="O376" i="312" s="1"/>
  <c r="M378" i="312"/>
  <c r="O378" i="312" s="1"/>
  <c r="M390" i="312"/>
  <c r="O390" i="312" s="1"/>
  <c r="M393" i="312"/>
  <c r="H49" i="312"/>
  <c r="F505" i="312"/>
  <c r="F512" i="312" s="1"/>
  <c r="L35" i="312"/>
  <c r="L37" i="312"/>
  <c r="M33" i="312"/>
  <c r="O33" i="312" s="1"/>
  <c r="L49" i="312"/>
  <c r="C121" i="312"/>
  <c r="G121" i="312"/>
  <c r="K121" i="312"/>
  <c r="L65" i="312"/>
  <c r="M57" i="312"/>
  <c r="O57" i="312" s="1"/>
  <c r="M59" i="312"/>
  <c r="O59" i="312" s="1"/>
  <c r="H65" i="312"/>
  <c r="H78" i="312"/>
  <c r="M82" i="312"/>
  <c r="O82" i="312" s="1"/>
  <c r="L92" i="312"/>
  <c r="L105" i="312"/>
  <c r="M101" i="312"/>
  <c r="O101" i="312" s="1"/>
  <c r="H137" i="312"/>
  <c r="M141" i="312"/>
  <c r="M156" i="312"/>
  <c r="O156" i="312" s="1"/>
  <c r="M171" i="312"/>
  <c r="O171" i="312" s="1"/>
  <c r="E178" i="312"/>
  <c r="M184" i="312"/>
  <c r="H194" i="312"/>
  <c r="M228" i="312"/>
  <c r="O228" i="312" s="1"/>
  <c r="M234" i="312"/>
  <c r="O234" i="312" s="1"/>
  <c r="H250" i="312"/>
  <c r="M254" i="312"/>
  <c r="O254" i="312" s="1"/>
  <c r="L276" i="312"/>
  <c r="M270" i="312"/>
  <c r="M274" i="312"/>
  <c r="O274" i="312" s="1"/>
  <c r="M280" i="312"/>
  <c r="M281" i="312"/>
  <c r="M284" i="312"/>
  <c r="O284" i="312" s="1"/>
  <c r="M303" i="312"/>
  <c r="O303" i="312" s="1"/>
  <c r="M313" i="312"/>
  <c r="O313" i="312" s="1"/>
  <c r="M332" i="312"/>
  <c r="O332" i="312" s="1"/>
  <c r="M334" i="312"/>
  <c r="O334" i="312" s="1"/>
  <c r="M348" i="312"/>
  <c r="O348" i="312" s="1"/>
  <c r="M367" i="312"/>
  <c r="M411" i="312"/>
  <c r="O411" i="312" s="1"/>
  <c r="M421" i="312"/>
  <c r="O421" i="312" s="1"/>
  <c r="M432" i="312"/>
  <c r="O432" i="312" s="1"/>
  <c r="L457" i="312"/>
  <c r="M469" i="312"/>
  <c r="O469" i="312" s="1"/>
  <c r="H470" i="312"/>
  <c r="H474" i="312"/>
  <c r="I476" i="312"/>
  <c r="H91" i="312"/>
  <c r="H119" i="312"/>
  <c r="O149" i="312"/>
  <c r="L164" i="312"/>
  <c r="E262" i="312"/>
  <c r="L308" i="312"/>
  <c r="H324" i="312"/>
  <c r="I475" i="312"/>
  <c r="D476" i="312"/>
  <c r="C478" i="312"/>
  <c r="C507" i="312" s="1"/>
  <c r="C514" i="312" s="1"/>
  <c r="C523" i="312" s="1"/>
  <c r="I478" i="312"/>
  <c r="I507" i="312" s="1"/>
  <c r="I514" i="312" s="1"/>
  <c r="I523" i="312" s="1"/>
  <c r="L20" i="312"/>
  <c r="L36" i="312"/>
  <c r="E121" i="312"/>
  <c r="I121" i="312"/>
  <c r="L64" i="312"/>
  <c r="H80" i="312"/>
  <c r="L104" i="312"/>
  <c r="L118" i="312"/>
  <c r="M125" i="312"/>
  <c r="L148" i="312"/>
  <c r="H165" i="312"/>
  <c r="M162" i="312"/>
  <c r="O162" i="312" s="1"/>
  <c r="O169" i="312"/>
  <c r="O180" i="312" s="1"/>
  <c r="M172" i="312"/>
  <c r="O172" i="312" s="1"/>
  <c r="L193" i="312"/>
  <c r="H206" i="312"/>
  <c r="H222" i="312"/>
  <c r="H259" i="312"/>
  <c r="M259" i="312" s="1"/>
  <c r="O259" i="312" s="1"/>
  <c r="M266" i="312"/>
  <c r="L339" i="312"/>
  <c r="F341" i="312"/>
  <c r="M343" i="312"/>
  <c r="O343" i="312" s="1"/>
  <c r="M347" i="312"/>
  <c r="O347" i="312" s="1"/>
  <c r="L364" i="312"/>
  <c r="M369" i="312"/>
  <c r="H397" i="312"/>
  <c r="M392" i="312"/>
  <c r="O392" i="312" s="1"/>
  <c r="M410" i="312"/>
  <c r="O410" i="312" s="1"/>
  <c r="M417" i="312"/>
  <c r="M420" i="312"/>
  <c r="O420" i="312" s="1"/>
  <c r="M433" i="312"/>
  <c r="O433" i="312" s="1"/>
  <c r="M448" i="312"/>
  <c r="O448" i="312" s="1"/>
  <c r="M450" i="312"/>
  <c r="O450" i="312" s="1"/>
  <c r="H457" i="312"/>
  <c r="L470" i="312"/>
  <c r="L488" i="312" s="1"/>
  <c r="L474" i="312"/>
  <c r="L503" i="312" s="1"/>
  <c r="L519" i="312" s="1"/>
  <c r="E478" i="312"/>
  <c r="E507" i="312" s="1"/>
  <c r="E514" i="312" s="1"/>
  <c r="L494" i="312"/>
  <c r="J505" i="312"/>
  <c r="J512" i="312" s="1"/>
  <c r="J521" i="312" s="1"/>
  <c r="M25" i="312"/>
  <c r="O25" i="312" s="1"/>
  <c r="M34" i="312"/>
  <c r="K38" i="312"/>
  <c r="L78" i="312"/>
  <c r="M96" i="312"/>
  <c r="M99" i="312"/>
  <c r="O99" i="312" s="1"/>
  <c r="H105" i="312"/>
  <c r="H118" i="312"/>
  <c r="H135" i="312"/>
  <c r="M134" i="312"/>
  <c r="M160" i="312"/>
  <c r="O160" i="312" s="1"/>
  <c r="L192" i="312"/>
  <c r="M200" i="312"/>
  <c r="O200" i="312" s="1"/>
  <c r="M202" i="312"/>
  <c r="O202" i="312" s="1"/>
  <c r="M217" i="312"/>
  <c r="O217" i="312" s="1"/>
  <c r="L236" i="312"/>
  <c r="L289" i="312"/>
  <c r="M327" i="312"/>
  <c r="M329" i="312"/>
  <c r="O329" i="312" s="1"/>
  <c r="L352" i="312"/>
  <c r="M360" i="312"/>
  <c r="M363" i="312"/>
  <c r="O363" i="312" s="1"/>
  <c r="E364" i="312"/>
  <c r="C427" i="312"/>
  <c r="L478" i="312"/>
  <c r="L507" i="312" s="1"/>
  <c r="L514" i="312" s="1"/>
  <c r="L523" i="312" s="1"/>
  <c r="D517" i="312"/>
  <c r="I517" i="312"/>
  <c r="O184" i="312"/>
  <c r="O9" i="312"/>
  <c r="O127" i="312"/>
  <c r="O136" i="312" s="1"/>
  <c r="M136" i="312"/>
  <c r="O193" i="312"/>
  <c r="L19" i="312"/>
  <c r="L38" i="312" s="1"/>
  <c r="H483" i="312"/>
  <c r="M28" i="312"/>
  <c r="L91" i="312"/>
  <c r="L121" i="312" s="1"/>
  <c r="O153" i="312"/>
  <c r="O212" i="312"/>
  <c r="O222" i="312" s="1"/>
  <c r="M222" i="312"/>
  <c r="H237" i="312"/>
  <c r="M226" i="312"/>
  <c r="O344" i="312"/>
  <c r="O353" i="312" s="1"/>
  <c r="M353" i="312"/>
  <c r="H480" i="312"/>
  <c r="L482" i="312"/>
  <c r="L487" i="312"/>
  <c r="L490" i="312"/>
  <c r="M18" i="312"/>
  <c r="G505" i="312"/>
  <c r="G512" i="312" s="1"/>
  <c r="G521" i="312" s="1"/>
  <c r="K505" i="312"/>
  <c r="K512" i="312" s="1"/>
  <c r="F506" i="312"/>
  <c r="F513" i="312" s="1"/>
  <c r="J506" i="312"/>
  <c r="J513" i="312" s="1"/>
  <c r="J522" i="312" s="1"/>
  <c r="N506" i="312"/>
  <c r="N513" i="312" s="1"/>
  <c r="M23" i="312"/>
  <c r="M27" i="312"/>
  <c r="O27" i="312" s="1"/>
  <c r="L483" i="312"/>
  <c r="M31" i="312"/>
  <c r="O31" i="312" s="1"/>
  <c r="M44" i="312"/>
  <c r="O44" i="312" s="1"/>
  <c r="M60" i="312"/>
  <c r="O60" i="312" s="1"/>
  <c r="M72" i="312"/>
  <c r="O72" i="312" s="1"/>
  <c r="M77" i="312"/>
  <c r="O77" i="312" s="1"/>
  <c r="M83" i="312"/>
  <c r="M88" i="312"/>
  <c r="O88" i="312" s="1"/>
  <c r="M95" i="312"/>
  <c r="M100" i="312"/>
  <c r="O100" i="312" s="1"/>
  <c r="M112" i="312"/>
  <c r="O112" i="312" s="1"/>
  <c r="M117" i="312"/>
  <c r="O117" i="312" s="1"/>
  <c r="M496" i="312"/>
  <c r="O134" i="312"/>
  <c r="O496" i="312" s="1"/>
  <c r="K292" i="312"/>
  <c r="K293" i="312" s="1"/>
  <c r="M149" i="312"/>
  <c r="O152" i="312"/>
  <c r="E490" i="312"/>
  <c r="E517" i="312" s="1"/>
  <c r="E163" i="312"/>
  <c r="E164" i="312"/>
  <c r="H159" i="312"/>
  <c r="M159" i="312" s="1"/>
  <c r="O159" i="312" s="1"/>
  <c r="H179" i="312"/>
  <c r="L180" i="312"/>
  <c r="M207" i="312"/>
  <c r="O197" i="312"/>
  <c r="O207" i="312" s="1"/>
  <c r="H221" i="312"/>
  <c r="O270" i="312"/>
  <c r="O276" i="312" s="1"/>
  <c r="M276" i="312"/>
  <c r="L324" i="312"/>
  <c r="O369" i="312"/>
  <c r="O381" i="312" s="1"/>
  <c r="M381" i="312"/>
  <c r="I293" i="312"/>
  <c r="D505" i="312"/>
  <c r="D512" i="312" s="1"/>
  <c r="K506" i="312"/>
  <c r="K513" i="312" s="1"/>
  <c r="K522" i="312" s="1"/>
  <c r="H489" i="312"/>
  <c r="M30" i="312"/>
  <c r="O40" i="312"/>
  <c r="C292" i="312"/>
  <c r="C293" i="312" s="1"/>
  <c r="L165" i="312"/>
  <c r="L163" i="312"/>
  <c r="M168" i="312"/>
  <c r="L179" i="312"/>
  <c r="H193" i="312"/>
  <c r="M191" i="312"/>
  <c r="O191" i="312" s="1"/>
  <c r="O192" i="312" s="1"/>
  <c r="M193" i="312"/>
  <c r="M196" i="312"/>
  <c r="E235" i="312"/>
  <c r="E236" i="312"/>
  <c r="H231" i="312"/>
  <c r="H235" i="312" s="1"/>
  <c r="O280" i="312"/>
  <c r="O290" i="312" s="1"/>
  <c r="M290" i="312"/>
  <c r="M291" i="312"/>
  <c r="O281" i="312"/>
  <c r="O291" i="312" s="1"/>
  <c r="O295" i="312"/>
  <c r="H310" i="312"/>
  <c r="M297" i="312"/>
  <c r="M352" i="312"/>
  <c r="O360" i="312"/>
  <c r="O438" i="312"/>
  <c r="H19" i="312"/>
  <c r="O34" i="312"/>
  <c r="O37" i="312" s="1"/>
  <c r="O125" i="312"/>
  <c r="M137" i="312"/>
  <c r="O141" i="312"/>
  <c r="O150" i="312" s="1"/>
  <c r="P148" i="312" s="1"/>
  <c r="M150" i="312"/>
  <c r="O198" i="312"/>
  <c r="O208" i="312" s="1"/>
  <c r="M208" i="312"/>
  <c r="O220" i="312"/>
  <c r="O224" i="312"/>
  <c r="H289" i="312"/>
  <c r="M279" i="312"/>
  <c r="L480" i="312"/>
  <c r="M12" i="312"/>
  <c r="M13" i="312"/>
  <c r="M14" i="312"/>
  <c r="M16" i="312"/>
  <c r="H20" i="312"/>
  <c r="G506" i="312"/>
  <c r="G513" i="312" s="1"/>
  <c r="G522" i="312" s="1"/>
  <c r="M37" i="312"/>
  <c r="H35" i="312"/>
  <c r="L66" i="312"/>
  <c r="O68" i="312"/>
  <c r="O96" i="312"/>
  <c r="O105" i="312" s="1"/>
  <c r="O108" i="312"/>
  <c r="M123" i="312"/>
  <c r="G292" i="312"/>
  <c r="G293" i="312" s="1"/>
  <c r="G461" i="312" s="1"/>
  <c r="G479" i="312" s="1"/>
  <c r="M139" i="312"/>
  <c r="M8" i="312"/>
  <c r="M10" i="312"/>
  <c r="H494" i="312"/>
  <c r="I505" i="312"/>
  <c r="I512" i="312" s="1"/>
  <c r="I521" i="312" s="1"/>
  <c r="M24" i="312"/>
  <c r="M29" i="312"/>
  <c r="O29" i="312" s="1"/>
  <c r="L489" i="312"/>
  <c r="H36" i="312"/>
  <c r="H37" i="312"/>
  <c r="M41" i="312"/>
  <c r="M46" i="312"/>
  <c r="O46" i="312" s="1"/>
  <c r="M53" i="312"/>
  <c r="M58" i="312"/>
  <c r="O58" i="312" s="1"/>
  <c r="M63" i="312"/>
  <c r="O63" i="312" s="1"/>
  <c r="M69" i="312"/>
  <c r="L80" i="312"/>
  <c r="M74" i="312"/>
  <c r="O74" i="312" s="1"/>
  <c r="M86" i="312"/>
  <c r="O86" i="312" s="1"/>
  <c r="O91" i="312" s="1"/>
  <c r="M103" i="312"/>
  <c r="O103" i="312" s="1"/>
  <c r="M109" i="312"/>
  <c r="L120" i="312"/>
  <c r="M114" i="312"/>
  <c r="O114" i="312" s="1"/>
  <c r="H136" i="312"/>
  <c r="H149" i="312"/>
  <c r="M154" i="312"/>
  <c r="L178" i="312"/>
  <c r="M167" i="312"/>
  <c r="H178" i="312"/>
  <c r="H192" i="312"/>
  <c r="M192" i="312"/>
  <c r="H207" i="312"/>
  <c r="L208" i="312"/>
  <c r="M211" i="312"/>
  <c r="L235" i="312"/>
  <c r="O240" i="312"/>
  <c r="L262" i="312"/>
  <c r="O266" i="312"/>
  <c r="O275" i="312" s="1"/>
  <c r="M275" i="312"/>
  <c r="H277" i="312"/>
  <c r="M268" i="312"/>
  <c r="L323" i="312"/>
  <c r="L341" i="312" s="1"/>
  <c r="O327" i="312"/>
  <c r="H365" i="312"/>
  <c r="M357" i="312"/>
  <c r="L395" i="312"/>
  <c r="M383" i="312"/>
  <c r="L397" i="312"/>
  <c r="M385" i="312"/>
  <c r="M42" i="312"/>
  <c r="M55" i="312"/>
  <c r="M70" i="312"/>
  <c r="M84" i="312"/>
  <c r="M97" i="312"/>
  <c r="M110" i="312"/>
  <c r="D292" i="312"/>
  <c r="D293" i="312" s="1"/>
  <c r="H220" i="312"/>
  <c r="M220" i="312"/>
  <c r="L237" i="312"/>
  <c r="M239" i="312"/>
  <c r="M244" i="312"/>
  <c r="O244" i="312" s="1"/>
  <c r="M255" i="312"/>
  <c r="H276" i="312"/>
  <c r="L310" i="312"/>
  <c r="M306" i="312"/>
  <c r="O306" i="312" s="1"/>
  <c r="M314" i="312"/>
  <c r="M319" i="312"/>
  <c r="O319" i="312" s="1"/>
  <c r="M331" i="312"/>
  <c r="O331" i="312" s="1"/>
  <c r="M336" i="312"/>
  <c r="O336" i="312" s="1"/>
  <c r="O340" i="312" s="1"/>
  <c r="H364" i="312"/>
  <c r="M492" i="312"/>
  <c r="O359" i="312"/>
  <c r="O492" i="312" s="1"/>
  <c r="K460" i="312"/>
  <c r="O368" i="312"/>
  <c r="I500" i="312"/>
  <c r="I518" i="312" s="1"/>
  <c r="L412" i="312"/>
  <c r="L414" i="312" s="1"/>
  <c r="I414" i="312"/>
  <c r="I460" i="312" s="1"/>
  <c r="I415" i="312"/>
  <c r="I506" i="312" s="1"/>
  <c r="I513" i="312" s="1"/>
  <c r="H275" i="312"/>
  <c r="E308" i="312"/>
  <c r="E341" i="312" s="1"/>
  <c r="E309" i="312"/>
  <c r="H304" i="312"/>
  <c r="M304" i="312" s="1"/>
  <c r="O304" i="312" s="1"/>
  <c r="L325" i="312"/>
  <c r="H353" i="312"/>
  <c r="M362" i="312"/>
  <c r="O367" i="312"/>
  <c r="O372" i="312"/>
  <c r="L396" i="312"/>
  <c r="M384" i="312"/>
  <c r="M499" i="312"/>
  <c r="O393" i="312"/>
  <c r="O499" i="312" s="1"/>
  <c r="M429" i="312"/>
  <c r="L435" i="312"/>
  <c r="F292" i="312"/>
  <c r="F293" i="312" s="1"/>
  <c r="F461" i="312" s="1"/>
  <c r="F479" i="312" s="1"/>
  <c r="J292" i="312"/>
  <c r="J293" i="312" s="1"/>
  <c r="J461" i="312" s="1"/>
  <c r="J479" i="312" s="1"/>
  <c r="N292" i="312"/>
  <c r="N293" i="312" s="1"/>
  <c r="N461" i="312" s="1"/>
  <c r="N479" i="312" s="1"/>
  <c r="L206" i="312"/>
  <c r="L207" i="312"/>
  <c r="O225" i="312"/>
  <c r="M232" i="312"/>
  <c r="O232" i="312" s="1"/>
  <c r="M241" i="312"/>
  <c r="M247" i="312"/>
  <c r="O247" i="312" s="1"/>
  <c r="H262" i="312"/>
  <c r="L263" i="312"/>
  <c r="M258" i="312"/>
  <c r="H290" i="312"/>
  <c r="O296" i="312"/>
  <c r="M309" i="312"/>
  <c r="M484" i="312"/>
  <c r="O301" i="312"/>
  <c r="O484" i="312" s="1"/>
  <c r="M312" i="312"/>
  <c r="M317" i="312"/>
  <c r="O317" i="312" s="1"/>
  <c r="O324" i="312" s="1"/>
  <c r="M322" i="312"/>
  <c r="O322" i="312" s="1"/>
  <c r="M328" i="312"/>
  <c r="L340" i="312"/>
  <c r="M333" i="312"/>
  <c r="O333" i="312" s="1"/>
  <c r="H352" i="312"/>
  <c r="M354" i="312"/>
  <c r="O345" i="312"/>
  <c r="O354" i="312" s="1"/>
  <c r="M364" i="312"/>
  <c r="O356" i="312"/>
  <c r="M400" i="312"/>
  <c r="H405" i="312"/>
  <c r="O408" i="312"/>
  <c r="H488" i="312"/>
  <c r="H251" i="312"/>
  <c r="H263" i="312"/>
  <c r="H325" i="312"/>
  <c r="H340" i="312"/>
  <c r="C365" i="312"/>
  <c r="E379" i="312"/>
  <c r="H404" i="312"/>
  <c r="O407" i="312"/>
  <c r="M418" i="312"/>
  <c r="L427" i="312"/>
  <c r="L497" i="312"/>
  <c r="M423" i="312"/>
  <c r="M442" i="312"/>
  <c r="O442" i="312" s="1"/>
  <c r="M447" i="312"/>
  <c r="O447" i="312" s="1"/>
  <c r="M451" i="312"/>
  <c r="O451" i="312" s="1"/>
  <c r="M455" i="312"/>
  <c r="O455" i="312" s="1"/>
  <c r="H503" i="312"/>
  <c r="H519" i="312" s="1"/>
  <c r="E523" i="312"/>
  <c r="E501" i="312"/>
  <c r="E518" i="312" s="1"/>
  <c r="H413" i="312"/>
  <c r="M413" i="312" s="1"/>
  <c r="O413" i="312" s="1"/>
  <c r="L476" i="312"/>
  <c r="M464" i="312"/>
  <c r="M243" i="312"/>
  <c r="M253" i="312"/>
  <c r="L492" i="312"/>
  <c r="L493" i="312"/>
  <c r="E365" i="312"/>
  <c r="E506" i="312" s="1"/>
  <c r="E513" i="312" s="1"/>
  <c r="E522" i="312" s="1"/>
  <c r="L485" i="312"/>
  <c r="H374" i="312"/>
  <c r="H380" i="312" s="1"/>
  <c r="H395" i="312"/>
  <c r="H396" i="312"/>
  <c r="M394" i="312"/>
  <c r="M399" i="312"/>
  <c r="E414" i="312"/>
  <c r="H412" i="312"/>
  <c r="M412" i="312" s="1"/>
  <c r="O412" i="312" s="1"/>
  <c r="O417" i="312"/>
  <c r="D501" i="312"/>
  <c r="D504" i="312" s="1"/>
  <c r="H425" i="312"/>
  <c r="H427" i="312" s="1"/>
  <c r="D427" i="312"/>
  <c r="D506" i="312" s="1"/>
  <c r="D513" i="312" s="1"/>
  <c r="D426" i="312"/>
  <c r="D460" i="312" s="1"/>
  <c r="L426" i="312"/>
  <c r="L436" i="312"/>
  <c r="M430" i="312"/>
  <c r="M439" i="312"/>
  <c r="L459" i="312"/>
  <c r="M445" i="312"/>
  <c r="O445" i="312" s="1"/>
  <c r="M449" i="312"/>
  <c r="O449" i="312" s="1"/>
  <c r="M453" i="312"/>
  <c r="O453" i="312" s="1"/>
  <c r="M463" i="312"/>
  <c r="H475" i="312"/>
  <c r="G523" i="312"/>
  <c r="F504" i="312"/>
  <c r="K511" i="312"/>
  <c r="K509" i="312"/>
  <c r="K515" i="312" s="1"/>
  <c r="M440" i="312"/>
  <c r="M454" i="312"/>
  <c r="H476" i="312"/>
  <c r="C475" i="312"/>
  <c r="E476" i="312"/>
  <c r="J523" i="312"/>
  <c r="C504" i="312"/>
  <c r="G504" i="312"/>
  <c r="F518" i="312"/>
  <c r="D475" i="312"/>
  <c r="I504" i="312"/>
  <c r="N504" i="312"/>
  <c r="F517" i="312"/>
  <c r="F521" i="312" s="1"/>
  <c r="N517" i="312"/>
  <c r="N521" i="312" s="1"/>
  <c r="C518" i="312"/>
  <c r="N518" i="312"/>
  <c r="L501" i="312"/>
  <c r="M465" i="312"/>
  <c r="M466" i="312"/>
  <c r="E475" i="312"/>
  <c r="C476" i="312"/>
  <c r="C505" i="312" s="1"/>
  <c r="C512" i="312" s="1"/>
  <c r="C521" i="312" s="1"/>
  <c r="D478" i="312"/>
  <c r="D507" i="312" s="1"/>
  <c r="D514" i="312" s="1"/>
  <c r="D523" i="312" s="1"/>
  <c r="J504" i="312"/>
  <c r="C517" i="312"/>
  <c r="K517" i="312"/>
  <c r="H163" i="312" l="1"/>
  <c r="M474" i="312"/>
  <c r="O474" i="312" s="1"/>
  <c r="O503" i="312" s="1"/>
  <c r="O519" i="312" s="1"/>
  <c r="O194" i="312"/>
  <c r="C460" i="312"/>
  <c r="C461" i="312" s="1"/>
  <c r="C479" i="312" s="1"/>
  <c r="I461" i="312"/>
  <c r="I479" i="312" s="1"/>
  <c r="L475" i="312"/>
  <c r="E460" i="312"/>
  <c r="C506" i="312"/>
  <c r="C513" i="312" s="1"/>
  <c r="C522" i="312" s="1"/>
  <c r="L460" i="312"/>
  <c r="D461" i="312"/>
  <c r="D479" i="312" s="1"/>
  <c r="M91" i="312"/>
  <c r="E505" i="312"/>
  <c r="E512" i="312" s="1"/>
  <c r="E521" i="312" s="1"/>
  <c r="E292" i="312"/>
  <c r="E293" i="312" s="1"/>
  <c r="K461" i="312"/>
  <c r="K479" i="312" s="1"/>
  <c r="K521" i="312"/>
  <c r="H478" i="312"/>
  <c r="H507" i="312" s="1"/>
  <c r="H514" i="312" s="1"/>
  <c r="H523" i="312" s="1"/>
  <c r="O352" i="312"/>
  <c r="H121" i="312"/>
  <c r="O485" i="312"/>
  <c r="L292" i="312"/>
  <c r="L293" i="312" s="1"/>
  <c r="L461" i="312" s="1"/>
  <c r="O493" i="312"/>
  <c r="D521" i="312"/>
  <c r="M470" i="312"/>
  <c r="O470" i="312" s="1"/>
  <c r="H501" i="312"/>
  <c r="L505" i="312"/>
  <c r="L512" i="312" s="1"/>
  <c r="I522" i="312"/>
  <c r="O65" i="312"/>
  <c r="O118" i="312"/>
  <c r="M493" i="312"/>
  <c r="H292" i="312"/>
  <c r="M105" i="312"/>
  <c r="P206" i="312"/>
  <c r="E461" i="312"/>
  <c r="E479" i="312" s="1"/>
  <c r="D511" i="312"/>
  <c r="D509" i="312"/>
  <c r="D515" i="312" s="1"/>
  <c r="M459" i="312"/>
  <c r="O440" i="312"/>
  <c r="O394" i="312"/>
  <c r="M262" i="312"/>
  <c r="O253" i="312"/>
  <c r="M405" i="312"/>
  <c r="O400" i="312"/>
  <c r="O405" i="312" s="1"/>
  <c r="M500" i="312"/>
  <c r="O362" i="312"/>
  <c r="O500" i="312" s="1"/>
  <c r="M397" i="312"/>
  <c r="O385" i="312"/>
  <c r="O397" i="312" s="1"/>
  <c r="M178" i="312"/>
  <c r="O167" i="312"/>
  <c r="O178" i="312" s="1"/>
  <c r="M482" i="312"/>
  <c r="O12" i="312"/>
  <c r="O482" i="312" s="1"/>
  <c r="O297" i="312"/>
  <c r="O310" i="312" s="1"/>
  <c r="M310" i="312"/>
  <c r="O49" i="312"/>
  <c r="O163" i="312"/>
  <c r="M92" i="312"/>
  <c r="O83" i="312"/>
  <c r="O92" i="312" s="1"/>
  <c r="M35" i="312"/>
  <c r="O23" i="312"/>
  <c r="O164" i="312"/>
  <c r="M49" i="312"/>
  <c r="J509" i="312"/>
  <c r="J515" i="312" s="1"/>
  <c r="J511" i="312"/>
  <c r="N509" i="312"/>
  <c r="N515" i="312" s="1"/>
  <c r="N511" i="312"/>
  <c r="G511" i="312"/>
  <c r="G509" i="312"/>
  <c r="G515" i="312" s="1"/>
  <c r="M425" i="312"/>
  <c r="O425" i="312" s="1"/>
  <c r="H426" i="312"/>
  <c r="O243" i="312"/>
  <c r="O488" i="312" s="1"/>
  <c r="H415" i="312"/>
  <c r="H506" i="312" s="1"/>
  <c r="H513" i="312" s="1"/>
  <c r="M414" i="312"/>
  <c r="M415" i="312"/>
  <c r="M323" i="312"/>
  <c r="O312" i="312"/>
  <c r="O323" i="312" s="1"/>
  <c r="O309" i="312"/>
  <c r="D518" i="312"/>
  <c r="D522" i="312" s="1"/>
  <c r="M485" i="312"/>
  <c r="H500" i="312"/>
  <c r="M324" i="312"/>
  <c r="M249" i="312"/>
  <c r="O239" i="312"/>
  <c r="O249" i="312" s="1"/>
  <c r="M80" i="312"/>
  <c r="O70" i="312"/>
  <c r="O80" i="312" s="1"/>
  <c r="M50" i="312"/>
  <c r="O41" i="312"/>
  <c r="O50" i="312" s="1"/>
  <c r="O139" i="312"/>
  <c r="O148" i="312" s="1"/>
  <c r="M148" i="312"/>
  <c r="O16" i="312"/>
  <c r="M78" i="312"/>
  <c r="M231" i="312"/>
  <c r="H236" i="312"/>
  <c r="O196" i="312"/>
  <c r="O206" i="312" s="1"/>
  <c r="M206" i="312"/>
  <c r="M489" i="312"/>
  <c r="O30" i="312"/>
  <c r="M163" i="312"/>
  <c r="N522" i="312"/>
  <c r="M483" i="312"/>
  <c r="O28" i="312"/>
  <c r="O483" i="312" s="1"/>
  <c r="H490" i="312"/>
  <c r="H517" i="312" s="1"/>
  <c r="M194" i="312"/>
  <c r="F509" i="312"/>
  <c r="F515" i="312" s="1"/>
  <c r="F511" i="312"/>
  <c r="M436" i="312"/>
  <c r="O430" i="312"/>
  <c r="O436" i="312" s="1"/>
  <c r="O241" i="312"/>
  <c r="O251" i="312" s="1"/>
  <c r="M251" i="312"/>
  <c r="C511" i="312"/>
  <c r="C509" i="312"/>
  <c r="C515" i="312" s="1"/>
  <c r="M36" i="312"/>
  <c r="O24" i="312"/>
  <c r="O36" i="312" s="1"/>
  <c r="P36" i="312" s="1"/>
  <c r="M487" i="312"/>
  <c r="O14" i="312"/>
  <c r="O487" i="312" s="1"/>
  <c r="O137" i="312"/>
  <c r="P135" i="312" s="1"/>
  <c r="O495" i="312"/>
  <c r="M457" i="312"/>
  <c r="O308" i="312"/>
  <c r="O168" i="312"/>
  <c r="O179" i="312" s="1"/>
  <c r="P178" i="312" s="1"/>
  <c r="M179" i="312"/>
  <c r="M104" i="312"/>
  <c r="O95" i="312"/>
  <c r="O104" i="312" s="1"/>
  <c r="L517" i="312"/>
  <c r="L521" i="312" s="1"/>
  <c r="P352" i="312"/>
  <c r="P192" i="312"/>
  <c r="M476" i="312"/>
  <c r="O464" i="312"/>
  <c r="M497" i="312"/>
  <c r="O423" i="312"/>
  <c r="O497" i="312" s="1"/>
  <c r="H414" i="312"/>
  <c r="O84" i="312"/>
  <c r="O93" i="312" s="1"/>
  <c r="M93" i="312"/>
  <c r="M365" i="312"/>
  <c r="O357" i="312"/>
  <c r="M338" i="312"/>
  <c r="M250" i="312"/>
  <c r="M79" i="312"/>
  <c r="O69" i="312"/>
  <c r="O79" i="312" s="1"/>
  <c r="P78" i="312" s="1"/>
  <c r="M480" i="312"/>
  <c r="M19" i="312"/>
  <c r="M38" i="312" s="1"/>
  <c r="O8" i="312"/>
  <c r="O279" i="312"/>
  <c r="O289" i="312" s="1"/>
  <c r="M289" i="312"/>
  <c r="E504" i="312"/>
  <c r="O466" i="312"/>
  <c r="I511" i="312"/>
  <c r="I509" i="312"/>
  <c r="I515" i="312" s="1"/>
  <c r="O463" i="312"/>
  <c r="L415" i="312"/>
  <c r="L506" i="312" s="1"/>
  <c r="L513" i="312" s="1"/>
  <c r="M503" i="312"/>
  <c r="M519" i="312" s="1"/>
  <c r="O414" i="312"/>
  <c r="O415" i="312"/>
  <c r="M339" i="312"/>
  <c r="O328" i="312"/>
  <c r="O339" i="312" s="1"/>
  <c r="P338" i="312" s="1"/>
  <c r="M396" i="312"/>
  <c r="O384" i="312"/>
  <c r="O396" i="312" s="1"/>
  <c r="M120" i="312"/>
  <c r="O110" i="312"/>
  <c r="O120" i="312" s="1"/>
  <c r="O55" i="312"/>
  <c r="O66" i="312" s="1"/>
  <c r="P64" i="312" s="1"/>
  <c r="M66" i="312"/>
  <c r="O383" i="312"/>
  <c r="O395" i="312" s="1"/>
  <c r="M395" i="312"/>
  <c r="M340" i="312"/>
  <c r="M277" i="312"/>
  <c r="O268" i="312"/>
  <c r="O277" i="312" s="1"/>
  <c r="P275" i="312" s="1"/>
  <c r="O211" i="312"/>
  <c r="O221" i="312" s="1"/>
  <c r="P220" i="312" s="1"/>
  <c r="M221" i="312"/>
  <c r="O154" i="312"/>
  <c r="O165" i="312" s="1"/>
  <c r="M165" i="312"/>
  <c r="M477" i="312"/>
  <c r="O465" i="312"/>
  <c r="O477" i="312" s="1"/>
  <c r="M498" i="312"/>
  <c r="O454" i="312"/>
  <c r="O498" i="312" s="1"/>
  <c r="M458" i="312"/>
  <c r="O439" i="312"/>
  <c r="O458" i="312" s="1"/>
  <c r="O399" i="312"/>
  <c r="O404" i="312" s="1"/>
  <c r="M404" i="312"/>
  <c r="M374" i="312"/>
  <c r="H379" i="312"/>
  <c r="O418" i="312"/>
  <c r="L500" i="312"/>
  <c r="L504" i="312" s="1"/>
  <c r="O364" i="312"/>
  <c r="O258" i="312"/>
  <c r="O263" i="312" s="1"/>
  <c r="M263" i="312"/>
  <c r="M435" i="312"/>
  <c r="O429" i="312"/>
  <c r="O435" i="312" s="1"/>
  <c r="O314" i="312"/>
  <c r="O325" i="312" s="1"/>
  <c r="P323" i="312" s="1"/>
  <c r="M325" i="312"/>
  <c r="M264" i="312"/>
  <c r="O255" i="312"/>
  <c r="O264" i="312" s="1"/>
  <c r="M106" i="312"/>
  <c r="O97" i="312"/>
  <c r="O106" i="312" s="1"/>
  <c r="P104" i="312" s="1"/>
  <c r="M51" i="312"/>
  <c r="O42" i="312"/>
  <c r="O51" i="312" s="1"/>
  <c r="O338" i="312"/>
  <c r="M119" i="312"/>
  <c r="O109" i="312"/>
  <c r="O119" i="312" s="1"/>
  <c r="P118" i="312" s="1"/>
  <c r="M64" i="312"/>
  <c r="O53" i="312"/>
  <c r="O64" i="312" s="1"/>
  <c r="M21" i="312"/>
  <c r="O10" i="312"/>
  <c r="O123" i="312"/>
  <c r="O135" i="312" s="1"/>
  <c r="M135" i="312"/>
  <c r="O78" i="312"/>
  <c r="M486" i="312"/>
  <c r="O13" i="312"/>
  <c r="O486" i="312" s="1"/>
  <c r="H308" i="312"/>
  <c r="H341" i="312" s="1"/>
  <c r="M118" i="312"/>
  <c r="M495" i="312"/>
  <c r="H38" i="312"/>
  <c r="H309" i="312"/>
  <c r="M308" i="312"/>
  <c r="P289" i="312"/>
  <c r="M65" i="312"/>
  <c r="F522" i="312"/>
  <c r="M494" i="312"/>
  <c r="O18" i="312"/>
  <c r="O494" i="312" s="1"/>
  <c r="O226" i="312"/>
  <c r="O237" i="312" s="1"/>
  <c r="M237" i="312"/>
  <c r="M164" i="312"/>
  <c r="H164" i="312"/>
  <c r="H505" i="312" s="1"/>
  <c r="H512" i="312" s="1"/>
  <c r="M20" i="312"/>
  <c r="L479" i="312" l="1"/>
  <c r="M478" i="312"/>
  <c r="M507" i="312" s="1"/>
  <c r="M514" i="312" s="1"/>
  <c r="H293" i="312"/>
  <c r="P395" i="312"/>
  <c r="L518" i="312"/>
  <c r="L522" i="312" s="1"/>
  <c r="H460" i="312"/>
  <c r="H518" i="312"/>
  <c r="H522" i="312" s="1"/>
  <c r="O250" i="312"/>
  <c r="P249" i="312" s="1"/>
  <c r="M475" i="312"/>
  <c r="M488" i="312"/>
  <c r="P308" i="312"/>
  <c r="O476" i="312"/>
  <c r="M490" i="312"/>
  <c r="O341" i="312"/>
  <c r="H521" i="312"/>
  <c r="O426" i="312"/>
  <c r="O262" i="312"/>
  <c r="P49" i="312"/>
  <c r="O489" i="312"/>
  <c r="L511" i="312"/>
  <c r="L509" i="312"/>
  <c r="L515" i="312" s="1"/>
  <c r="O457" i="312"/>
  <c r="M121" i="312"/>
  <c r="P91" i="312"/>
  <c r="O459" i="312"/>
  <c r="H504" i="312"/>
  <c r="H461" i="312"/>
  <c r="H479" i="312" s="1"/>
  <c r="O475" i="312"/>
  <c r="O478" i="312"/>
  <c r="O507" i="312" s="1"/>
  <c r="O514" i="312" s="1"/>
  <c r="O523" i="312" s="1"/>
  <c r="O365" i="312"/>
  <c r="P163" i="312"/>
  <c r="O21" i="312"/>
  <c r="P457" i="312"/>
  <c r="O35" i="312"/>
  <c r="O501" i="312"/>
  <c r="O518" i="312" s="1"/>
  <c r="M427" i="312"/>
  <c r="O374" i="312"/>
  <c r="M380" i="312"/>
  <c r="M379" i="312"/>
  <c r="M523" i="312"/>
  <c r="O480" i="312"/>
  <c r="O19" i="312"/>
  <c r="O38" i="312" s="1"/>
  <c r="M341" i="312"/>
  <c r="M506" i="312"/>
  <c r="M513" i="312" s="1"/>
  <c r="P262" i="312"/>
  <c r="O427" i="312"/>
  <c r="M426" i="312"/>
  <c r="E511" i="312"/>
  <c r="E509" i="312"/>
  <c r="E515" i="312" s="1"/>
  <c r="O20" i="312"/>
  <c r="O231" i="312"/>
  <c r="M235" i="312"/>
  <c r="M292" i="312" s="1"/>
  <c r="M236" i="312"/>
  <c r="M505" i="312" s="1"/>
  <c r="M512" i="312" s="1"/>
  <c r="O121" i="312"/>
  <c r="M517" i="312"/>
  <c r="M501" i="312"/>
  <c r="M521" i="312" l="1"/>
  <c r="M504" i="312"/>
  <c r="M511" i="312" s="1"/>
  <c r="M293" i="312"/>
  <c r="M518" i="312"/>
  <c r="M522" i="312" s="1"/>
  <c r="O379" i="312"/>
  <c r="O460" i="312" s="1"/>
  <c r="O380" i="312"/>
  <c r="P379" i="312" s="1"/>
  <c r="O506" i="312"/>
  <c r="O513" i="312" s="1"/>
  <c r="O522" i="312" s="1"/>
  <c r="H511" i="312"/>
  <c r="H509" i="312"/>
  <c r="H515" i="312" s="1"/>
  <c r="O235" i="312"/>
  <c r="O292" i="312" s="1"/>
  <c r="O293" i="312" s="1"/>
  <c r="O236" i="312"/>
  <c r="P235" i="312" s="1"/>
  <c r="O490" i="312"/>
  <c r="O517" i="312" s="1"/>
  <c r="P19" i="312"/>
  <c r="M460" i="312"/>
  <c r="M461" i="312" s="1"/>
  <c r="M479" i="312" s="1"/>
  <c r="P475" i="312"/>
  <c r="O461" i="312" l="1"/>
  <c r="O479" i="312" s="1"/>
  <c r="M509" i="312"/>
  <c r="M515" i="312" s="1"/>
  <c r="O505" i="312"/>
  <c r="P504" i="312" s="1"/>
  <c r="O504" i="312"/>
  <c r="O512" i="312" l="1"/>
  <c r="O521" i="312" s="1"/>
  <c r="O511" i="312"/>
  <c r="O509" i="312"/>
  <c r="O515" i="312" s="1"/>
  <c r="N500" i="311" l="1"/>
  <c r="M500" i="311"/>
  <c r="I500" i="311"/>
  <c r="H500" i="311"/>
  <c r="G500" i="311"/>
  <c r="F500" i="311"/>
  <c r="E500" i="311"/>
  <c r="D500" i="311"/>
  <c r="C500" i="311"/>
  <c r="N498" i="311"/>
  <c r="M498" i="311"/>
  <c r="I498" i="311"/>
  <c r="G498" i="311"/>
  <c r="E498" i="311"/>
  <c r="D498" i="311"/>
  <c r="N497" i="311"/>
  <c r="M497" i="311"/>
  <c r="I497" i="311"/>
  <c r="H497" i="311"/>
  <c r="G497" i="311"/>
  <c r="E497" i="311"/>
  <c r="D497" i="311"/>
  <c r="C497" i="311"/>
  <c r="N496" i="311"/>
  <c r="M496" i="311"/>
  <c r="I496" i="311"/>
  <c r="H496" i="311"/>
  <c r="G496" i="311"/>
  <c r="F496" i="311"/>
  <c r="E496" i="311"/>
  <c r="D496" i="311"/>
  <c r="C496" i="311"/>
  <c r="N495" i="311"/>
  <c r="M495" i="311"/>
  <c r="I495" i="311"/>
  <c r="H495" i="311"/>
  <c r="G495" i="311"/>
  <c r="F495" i="311"/>
  <c r="E495" i="311"/>
  <c r="D495" i="311"/>
  <c r="C495" i="311"/>
  <c r="N494" i="311"/>
  <c r="M494" i="311"/>
  <c r="I494" i="311"/>
  <c r="H494" i="311"/>
  <c r="G494" i="311"/>
  <c r="F494" i="311"/>
  <c r="E494" i="311"/>
  <c r="D494" i="311"/>
  <c r="C494" i="311"/>
  <c r="N493" i="311"/>
  <c r="M493" i="311"/>
  <c r="I493" i="311"/>
  <c r="H493" i="311"/>
  <c r="G493" i="311"/>
  <c r="F493" i="311"/>
  <c r="E493" i="311"/>
  <c r="D493" i="311"/>
  <c r="C493" i="311"/>
  <c r="N492" i="311"/>
  <c r="M492" i="311"/>
  <c r="I492" i="311"/>
  <c r="H492" i="311"/>
  <c r="G492" i="311"/>
  <c r="F492" i="311"/>
  <c r="E492" i="311"/>
  <c r="D492" i="311"/>
  <c r="C492" i="311"/>
  <c r="N491" i="311"/>
  <c r="M491" i="311"/>
  <c r="I491" i="311"/>
  <c r="H491" i="311"/>
  <c r="G491" i="311"/>
  <c r="F491" i="311"/>
  <c r="E491" i="311"/>
  <c r="D491" i="311"/>
  <c r="C491" i="311"/>
  <c r="N490" i="311"/>
  <c r="M490" i="311"/>
  <c r="I490" i="311"/>
  <c r="H490" i="311"/>
  <c r="G490" i="311"/>
  <c r="F490" i="311"/>
  <c r="E490" i="311"/>
  <c r="D490" i="311"/>
  <c r="C490" i="311"/>
  <c r="N489" i="311"/>
  <c r="M489" i="311"/>
  <c r="I489" i="311"/>
  <c r="H489" i="311"/>
  <c r="G489" i="311"/>
  <c r="F489" i="311"/>
  <c r="E489" i="311"/>
  <c r="D489" i="311"/>
  <c r="C489" i="311"/>
  <c r="N487" i="311"/>
  <c r="M487" i="311"/>
  <c r="I487" i="311"/>
  <c r="H487" i="311"/>
  <c r="G487" i="311"/>
  <c r="E487" i="311"/>
  <c r="D487" i="311"/>
  <c r="C487" i="311"/>
  <c r="N486" i="311"/>
  <c r="M486" i="311"/>
  <c r="I486" i="311"/>
  <c r="H486" i="311"/>
  <c r="G486" i="311"/>
  <c r="E486" i="311"/>
  <c r="D486" i="311"/>
  <c r="C486" i="311"/>
  <c r="N485" i="311"/>
  <c r="M485" i="311"/>
  <c r="I485" i="311"/>
  <c r="H485" i="311"/>
  <c r="G485" i="311"/>
  <c r="F485" i="311"/>
  <c r="E485" i="311"/>
  <c r="D485" i="311"/>
  <c r="C485" i="311"/>
  <c r="N484" i="311"/>
  <c r="M484" i="311"/>
  <c r="I484" i="311"/>
  <c r="H484" i="311"/>
  <c r="G484" i="311"/>
  <c r="F484" i="311"/>
  <c r="E484" i="311"/>
  <c r="D484" i="311"/>
  <c r="C484" i="311"/>
  <c r="N483" i="311"/>
  <c r="M483" i="311"/>
  <c r="I483" i="311"/>
  <c r="H483" i="311"/>
  <c r="G483" i="311"/>
  <c r="F483" i="311"/>
  <c r="E483" i="311"/>
  <c r="D483" i="311"/>
  <c r="C483" i="311"/>
  <c r="N482" i="311"/>
  <c r="M482" i="311"/>
  <c r="I482" i="311"/>
  <c r="H482" i="311"/>
  <c r="G482" i="311"/>
  <c r="F482" i="311"/>
  <c r="E482" i="311"/>
  <c r="D482" i="311"/>
  <c r="C482" i="311"/>
  <c r="N481" i="311"/>
  <c r="M481" i="311"/>
  <c r="I481" i="311"/>
  <c r="H481" i="311"/>
  <c r="G481" i="311"/>
  <c r="F481" i="311"/>
  <c r="E481" i="311"/>
  <c r="D481" i="311"/>
  <c r="C481" i="311"/>
  <c r="N480" i="311"/>
  <c r="M480" i="311"/>
  <c r="I480" i="311"/>
  <c r="H480" i="311"/>
  <c r="G480" i="311"/>
  <c r="F480" i="311"/>
  <c r="E480" i="311"/>
  <c r="D480" i="311"/>
  <c r="C480" i="311"/>
  <c r="N479" i="311"/>
  <c r="M479" i="311"/>
  <c r="I479" i="311"/>
  <c r="H479" i="311"/>
  <c r="G479" i="311"/>
  <c r="F479" i="311"/>
  <c r="E479" i="311"/>
  <c r="D479" i="311"/>
  <c r="C479" i="311"/>
  <c r="N477" i="311"/>
  <c r="M477" i="311"/>
  <c r="I477" i="311"/>
  <c r="H477" i="311"/>
  <c r="G477" i="311"/>
  <c r="F477" i="311"/>
  <c r="E477" i="311"/>
  <c r="D477" i="311"/>
  <c r="C477" i="311"/>
  <c r="N475" i="311"/>
  <c r="N504" i="311" s="1"/>
  <c r="M475" i="311"/>
  <c r="M504" i="311" s="1"/>
  <c r="M512" i="311" s="1"/>
  <c r="I475" i="311"/>
  <c r="I504" i="311" s="1"/>
  <c r="H475" i="311"/>
  <c r="H504" i="311" s="1"/>
  <c r="H512" i="311" s="1"/>
  <c r="G475" i="311"/>
  <c r="G504" i="311" s="1"/>
  <c r="G512" i="311" s="1"/>
  <c r="F475" i="311"/>
  <c r="F504" i="311" s="1"/>
  <c r="F512" i="311" s="1"/>
  <c r="E475" i="311"/>
  <c r="E504" i="311" s="1"/>
  <c r="E512" i="311" s="1"/>
  <c r="D475" i="311"/>
  <c r="D504" i="311" s="1"/>
  <c r="C475" i="311"/>
  <c r="C504" i="311" s="1"/>
  <c r="C512" i="311" s="1"/>
  <c r="N474" i="311"/>
  <c r="M474" i="311"/>
  <c r="I474" i="311"/>
  <c r="H474" i="311"/>
  <c r="G474" i="311"/>
  <c r="E474" i="311"/>
  <c r="D474" i="311"/>
  <c r="C474" i="311"/>
  <c r="N473" i="311"/>
  <c r="M473" i="311"/>
  <c r="I473" i="311"/>
  <c r="H473" i="311"/>
  <c r="G473" i="311"/>
  <c r="E473" i="311"/>
  <c r="D473" i="311"/>
  <c r="C473" i="311"/>
  <c r="N472" i="311"/>
  <c r="M472" i="311"/>
  <c r="I472" i="311"/>
  <c r="H472" i="311"/>
  <c r="G472" i="311"/>
  <c r="E472" i="311"/>
  <c r="D472" i="311"/>
  <c r="C472" i="311"/>
  <c r="K471" i="311"/>
  <c r="K500" i="311" s="1"/>
  <c r="J471" i="311"/>
  <c r="K469" i="311"/>
  <c r="F469" i="311"/>
  <c r="F497" i="311" s="1"/>
  <c r="K467" i="311"/>
  <c r="F467" i="311"/>
  <c r="J467" i="311" s="1"/>
  <c r="K466" i="311"/>
  <c r="F466" i="311"/>
  <c r="K465" i="311"/>
  <c r="J465" i="311"/>
  <c r="L465" i="311" s="1"/>
  <c r="O465" i="311" s="1"/>
  <c r="K463" i="311"/>
  <c r="J463" i="311"/>
  <c r="K462" i="311"/>
  <c r="J462" i="311"/>
  <c r="L462" i="311" s="1"/>
  <c r="K461" i="311"/>
  <c r="J461" i="311"/>
  <c r="K460" i="311"/>
  <c r="J460" i="311"/>
  <c r="N456" i="311"/>
  <c r="M456" i="311"/>
  <c r="I456" i="311"/>
  <c r="H456" i="311"/>
  <c r="G456" i="311"/>
  <c r="F456" i="311"/>
  <c r="E456" i="311"/>
  <c r="D456" i="311"/>
  <c r="C456" i="311"/>
  <c r="N455" i="311"/>
  <c r="M455" i="311"/>
  <c r="I455" i="311"/>
  <c r="H455" i="311"/>
  <c r="G455" i="311"/>
  <c r="F455" i="311"/>
  <c r="E455" i="311"/>
  <c r="D455" i="311"/>
  <c r="C455" i="311"/>
  <c r="N454" i="311"/>
  <c r="M454" i="311"/>
  <c r="I454" i="311"/>
  <c r="H454" i="311"/>
  <c r="G454" i="311"/>
  <c r="F454" i="311"/>
  <c r="E454" i="311"/>
  <c r="D454" i="311"/>
  <c r="C454" i="311"/>
  <c r="K453" i="311"/>
  <c r="J453" i="311"/>
  <c r="K452" i="311"/>
  <c r="K495" i="311" s="1"/>
  <c r="J452" i="311"/>
  <c r="J495" i="311" s="1"/>
  <c r="K451" i="311"/>
  <c r="J451" i="311"/>
  <c r="K450" i="311"/>
  <c r="J450" i="311"/>
  <c r="K449" i="311"/>
  <c r="J449" i="311"/>
  <c r="K448" i="311"/>
  <c r="J448" i="311"/>
  <c r="K447" i="311"/>
  <c r="J447" i="311"/>
  <c r="K446" i="311"/>
  <c r="J446" i="311"/>
  <c r="K445" i="311"/>
  <c r="J445" i="311"/>
  <c r="K444" i="311"/>
  <c r="J444" i="311"/>
  <c r="K443" i="311"/>
  <c r="J443" i="311"/>
  <c r="K441" i="311"/>
  <c r="J441" i="311"/>
  <c r="K440" i="311"/>
  <c r="J440" i="311"/>
  <c r="K439" i="311"/>
  <c r="J439" i="311"/>
  <c r="K437" i="311"/>
  <c r="J437" i="311"/>
  <c r="K436" i="311"/>
  <c r="J436" i="311"/>
  <c r="K435" i="311"/>
  <c r="J435" i="311"/>
  <c r="N433" i="311"/>
  <c r="M433" i="311"/>
  <c r="I433" i="311"/>
  <c r="H433" i="311"/>
  <c r="G433" i="311"/>
  <c r="F433" i="311"/>
  <c r="E433" i="311"/>
  <c r="D433" i="311"/>
  <c r="C433" i="311"/>
  <c r="N432" i="311"/>
  <c r="M432" i="311"/>
  <c r="I432" i="311"/>
  <c r="H432" i="311"/>
  <c r="G432" i="311"/>
  <c r="F432" i="311"/>
  <c r="E432" i="311"/>
  <c r="D432" i="311"/>
  <c r="C432" i="311"/>
  <c r="K431" i="311"/>
  <c r="J431" i="311"/>
  <c r="K430" i="311"/>
  <c r="J430" i="311"/>
  <c r="K428" i="311"/>
  <c r="J428" i="311"/>
  <c r="K427" i="311"/>
  <c r="J427" i="311"/>
  <c r="N425" i="311"/>
  <c r="M425" i="311"/>
  <c r="I425" i="311"/>
  <c r="H425" i="311"/>
  <c r="G425" i="311"/>
  <c r="E425" i="311"/>
  <c r="D425" i="311"/>
  <c r="N424" i="311"/>
  <c r="M424" i="311"/>
  <c r="I424" i="311"/>
  <c r="H424" i="311"/>
  <c r="G424" i="311"/>
  <c r="E424" i="311"/>
  <c r="D424" i="311"/>
  <c r="K423" i="311"/>
  <c r="F423" i="311"/>
  <c r="F498" i="311" s="1"/>
  <c r="C423" i="311"/>
  <c r="C498" i="311" s="1"/>
  <c r="K422" i="311"/>
  <c r="K494" i="311" s="1"/>
  <c r="J422" i="311"/>
  <c r="J494" i="311" s="1"/>
  <c r="K421" i="311"/>
  <c r="J421" i="311"/>
  <c r="K420" i="311"/>
  <c r="J420" i="311"/>
  <c r="K419" i="311"/>
  <c r="J419" i="311"/>
  <c r="K417" i="311"/>
  <c r="J417" i="311"/>
  <c r="K416" i="311"/>
  <c r="J416" i="311"/>
  <c r="N414" i="311"/>
  <c r="M414" i="311"/>
  <c r="I414" i="311"/>
  <c r="G414" i="311"/>
  <c r="F414" i="311"/>
  <c r="E414" i="311"/>
  <c r="D414" i="311"/>
  <c r="C414" i="311"/>
  <c r="N413" i="311"/>
  <c r="M413" i="311"/>
  <c r="I413" i="311"/>
  <c r="G413" i="311"/>
  <c r="F413" i="311"/>
  <c r="E413" i="311"/>
  <c r="D413" i="311"/>
  <c r="C413" i="311"/>
  <c r="K412" i="311"/>
  <c r="J412" i="311"/>
  <c r="K411" i="311"/>
  <c r="H411" i="311"/>
  <c r="H498" i="311" s="1"/>
  <c r="K410" i="311"/>
  <c r="J410" i="311"/>
  <c r="K409" i="311"/>
  <c r="J409" i="311"/>
  <c r="K407" i="311"/>
  <c r="J407" i="311"/>
  <c r="K406" i="311"/>
  <c r="J406" i="311"/>
  <c r="N404" i="311"/>
  <c r="M404" i="311"/>
  <c r="I404" i="311"/>
  <c r="H404" i="311"/>
  <c r="G404" i="311"/>
  <c r="F404" i="311"/>
  <c r="E404" i="311"/>
  <c r="D404" i="311"/>
  <c r="C404" i="311"/>
  <c r="N403" i="311"/>
  <c r="M403" i="311"/>
  <c r="I403" i="311"/>
  <c r="H403" i="311"/>
  <c r="G403" i="311"/>
  <c r="F403" i="311"/>
  <c r="E403" i="311"/>
  <c r="D403" i="311"/>
  <c r="C403" i="311"/>
  <c r="K402" i="311"/>
  <c r="J402" i="311"/>
  <c r="K400" i="311"/>
  <c r="J400" i="311"/>
  <c r="K399" i="311"/>
  <c r="K403" i="311" s="1"/>
  <c r="J399" i="311"/>
  <c r="J403" i="311" s="1"/>
  <c r="N397" i="311"/>
  <c r="M397" i="311"/>
  <c r="I397" i="311"/>
  <c r="H397" i="311"/>
  <c r="G397" i="311"/>
  <c r="F397" i="311"/>
  <c r="E397" i="311"/>
  <c r="D397" i="311"/>
  <c r="C397" i="311"/>
  <c r="N396" i="311"/>
  <c r="M396" i="311"/>
  <c r="I396" i="311"/>
  <c r="H396" i="311"/>
  <c r="G396" i="311"/>
  <c r="F396" i="311"/>
  <c r="E396" i="311"/>
  <c r="D396" i="311"/>
  <c r="C396" i="311"/>
  <c r="N395" i="311"/>
  <c r="M395" i="311"/>
  <c r="I395" i="311"/>
  <c r="H395" i="311"/>
  <c r="G395" i="311"/>
  <c r="F395" i="311"/>
  <c r="E395" i="311"/>
  <c r="D395" i="311"/>
  <c r="C395" i="311"/>
  <c r="K394" i="311"/>
  <c r="J394" i="311"/>
  <c r="K393" i="311"/>
  <c r="K496" i="311" s="1"/>
  <c r="J393" i="311"/>
  <c r="J496" i="311" s="1"/>
  <c r="K392" i="311"/>
  <c r="J392" i="311"/>
  <c r="K390" i="311"/>
  <c r="J390" i="311"/>
  <c r="K389" i="311"/>
  <c r="J389" i="311"/>
  <c r="K388" i="311"/>
  <c r="J388" i="311"/>
  <c r="K386" i="311"/>
  <c r="J386" i="311"/>
  <c r="K385" i="311"/>
  <c r="J385" i="311"/>
  <c r="K384" i="311"/>
  <c r="J384" i="311"/>
  <c r="N382" i="311"/>
  <c r="M382" i="311"/>
  <c r="I382" i="311"/>
  <c r="H382" i="311"/>
  <c r="G382" i="311"/>
  <c r="F382" i="311"/>
  <c r="E382" i="311"/>
  <c r="D382" i="311"/>
  <c r="C382" i="311"/>
  <c r="N381" i="311"/>
  <c r="M381" i="311"/>
  <c r="I381" i="311"/>
  <c r="H381" i="311"/>
  <c r="G381" i="311"/>
  <c r="F381" i="311"/>
  <c r="E381" i="311"/>
  <c r="D381" i="311"/>
  <c r="C381" i="311"/>
  <c r="N380" i="311"/>
  <c r="M380" i="311"/>
  <c r="I380" i="311"/>
  <c r="H380" i="311"/>
  <c r="G380" i="311"/>
  <c r="F380" i="311"/>
  <c r="E380" i="311"/>
  <c r="D380" i="311"/>
  <c r="C380" i="311"/>
  <c r="K379" i="311"/>
  <c r="J379" i="311"/>
  <c r="K378" i="311"/>
  <c r="J378" i="311"/>
  <c r="K376" i="311"/>
  <c r="J376" i="311"/>
  <c r="K375" i="311"/>
  <c r="J375" i="311"/>
  <c r="K374" i="311"/>
  <c r="J374" i="311"/>
  <c r="K373" i="311"/>
  <c r="J373" i="311"/>
  <c r="K371" i="311"/>
  <c r="J371" i="311"/>
  <c r="K370" i="311"/>
  <c r="J370" i="311"/>
  <c r="K369" i="311"/>
  <c r="J369" i="311"/>
  <c r="N367" i="311"/>
  <c r="M367" i="311"/>
  <c r="I367" i="311"/>
  <c r="H367" i="311"/>
  <c r="G367" i="311"/>
  <c r="F367" i="311"/>
  <c r="E367" i="311"/>
  <c r="D367" i="311"/>
  <c r="C367" i="311"/>
  <c r="N366" i="311"/>
  <c r="M366" i="311"/>
  <c r="I366" i="311"/>
  <c r="H366" i="311"/>
  <c r="G366" i="311"/>
  <c r="F366" i="311"/>
  <c r="E366" i="311"/>
  <c r="D366" i="311"/>
  <c r="C366" i="311"/>
  <c r="K365" i="311"/>
  <c r="J365" i="311"/>
  <c r="K364" i="311"/>
  <c r="J364" i="311"/>
  <c r="K363" i="311"/>
  <c r="J363" i="311"/>
  <c r="K362" i="311"/>
  <c r="K489" i="311" s="1"/>
  <c r="J362" i="311"/>
  <c r="J489" i="311" s="1"/>
  <c r="K360" i="311"/>
  <c r="J360" i="311"/>
  <c r="K359" i="311"/>
  <c r="J359" i="311"/>
  <c r="N357" i="311"/>
  <c r="M357" i="311"/>
  <c r="I357" i="311"/>
  <c r="H357" i="311"/>
  <c r="G357" i="311"/>
  <c r="F357" i="311"/>
  <c r="E357" i="311"/>
  <c r="D357" i="311"/>
  <c r="C357" i="311"/>
  <c r="N356" i="311"/>
  <c r="M356" i="311"/>
  <c r="I356" i="311"/>
  <c r="H356" i="311"/>
  <c r="G356" i="311"/>
  <c r="F356" i="311"/>
  <c r="E356" i="311"/>
  <c r="D356" i="311"/>
  <c r="C356" i="311"/>
  <c r="N355" i="311"/>
  <c r="M355" i="311"/>
  <c r="I355" i="311"/>
  <c r="H355" i="311"/>
  <c r="G355" i="311"/>
  <c r="F355" i="311"/>
  <c r="E355" i="311"/>
  <c r="D355" i="311"/>
  <c r="C355" i="311"/>
  <c r="K354" i="311"/>
  <c r="J354" i="311"/>
  <c r="K352" i="311"/>
  <c r="J352" i="311"/>
  <c r="K351" i="311"/>
  <c r="J351" i="311"/>
  <c r="K349" i="311"/>
  <c r="J349" i="311"/>
  <c r="K348" i="311"/>
  <c r="J348" i="311"/>
  <c r="K347" i="311"/>
  <c r="J347" i="311"/>
  <c r="N344" i="311"/>
  <c r="M344" i="311"/>
  <c r="I344" i="311"/>
  <c r="H344" i="311"/>
  <c r="G344" i="311"/>
  <c r="F344" i="311"/>
  <c r="E344" i="311"/>
  <c r="D344" i="311"/>
  <c r="C344" i="311"/>
  <c r="N343" i="311"/>
  <c r="M343" i="311"/>
  <c r="I343" i="311"/>
  <c r="H343" i="311"/>
  <c r="G343" i="311"/>
  <c r="F343" i="311"/>
  <c r="E343" i="311"/>
  <c r="D343" i="311"/>
  <c r="C343" i="311"/>
  <c r="N342" i="311"/>
  <c r="M342" i="311"/>
  <c r="I342" i="311"/>
  <c r="H342" i="311"/>
  <c r="G342" i="311"/>
  <c r="F342" i="311"/>
  <c r="E342" i="311"/>
  <c r="D342" i="311"/>
  <c r="C342" i="311"/>
  <c r="K341" i="311"/>
  <c r="J341" i="311"/>
  <c r="K340" i="311"/>
  <c r="J340" i="311"/>
  <c r="K339" i="311"/>
  <c r="J339" i="311"/>
  <c r="K337" i="311"/>
  <c r="J337" i="311"/>
  <c r="K336" i="311"/>
  <c r="J336" i="311"/>
  <c r="K335" i="311"/>
  <c r="J335" i="311"/>
  <c r="K334" i="311"/>
  <c r="J334" i="311"/>
  <c r="K332" i="311"/>
  <c r="J332" i="311"/>
  <c r="K331" i="311"/>
  <c r="J331" i="311"/>
  <c r="K330" i="311"/>
  <c r="J330" i="311"/>
  <c r="N328" i="311"/>
  <c r="M328" i="311"/>
  <c r="I328" i="311"/>
  <c r="H328" i="311"/>
  <c r="G328" i="311"/>
  <c r="F328" i="311"/>
  <c r="E328" i="311"/>
  <c r="D328" i="311"/>
  <c r="C328" i="311"/>
  <c r="N327" i="311"/>
  <c r="M327" i="311"/>
  <c r="I327" i="311"/>
  <c r="H327" i="311"/>
  <c r="G327" i="311"/>
  <c r="F327" i="311"/>
  <c r="E327" i="311"/>
  <c r="D327" i="311"/>
  <c r="C327" i="311"/>
  <c r="N326" i="311"/>
  <c r="M326" i="311"/>
  <c r="I326" i="311"/>
  <c r="H326" i="311"/>
  <c r="G326" i="311"/>
  <c r="F326" i="311"/>
  <c r="E326" i="311"/>
  <c r="D326" i="311"/>
  <c r="C326" i="311"/>
  <c r="K325" i="311"/>
  <c r="J325" i="311"/>
  <c r="K323" i="311"/>
  <c r="J323" i="311"/>
  <c r="K322" i="311"/>
  <c r="J322" i="311"/>
  <c r="K321" i="311"/>
  <c r="J321" i="311"/>
  <c r="K320" i="311"/>
  <c r="J320" i="311"/>
  <c r="K318" i="311"/>
  <c r="J318" i="311"/>
  <c r="K317" i="311"/>
  <c r="J317" i="311"/>
  <c r="K316" i="311"/>
  <c r="J316" i="311"/>
  <c r="N314" i="311"/>
  <c r="M314" i="311"/>
  <c r="I314" i="311"/>
  <c r="H314" i="311"/>
  <c r="G314" i="311"/>
  <c r="F314" i="311"/>
  <c r="E314" i="311"/>
  <c r="D314" i="311"/>
  <c r="C314" i="311"/>
  <c r="N313" i="311"/>
  <c r="M313" i="311"/>
  <c r="I313" i="311"/>
  <c r="H313" i="311"/>
  <c r="G313" i="311"/>
  <c r="F313" i="311"/>
  <c r="E313" i="311"/>
  <c r="D313" i="311"/>
  <c r="C313" i="311"/>
  <c r="N312" i="311"/>
  <c r="M312" i="311"/>
  <c r="I312" i="311"/>
  <c r="H312" i="311"/>
  <c r="G312" i="311"/>
  <c r="F312" i="311"/>
  <c r="E312" i="311"/>
  <c r="D312" i="311"/>
  <c r="C312" i="311"/>
  <c r="K311" i="311"/>
  <c r="J311" i="311"/>
  <c r="K310" i="311"/>
  <c r="J310" i="311"/>
  <c r="K308" i="311"/>
  <c r="J308" i="311"/>
  <c r="K307" i="311"/>
  <c r="J307" i="311"/>
  <c r="K306" i="311"/>
  <c r="J306" i="311"/>
  <c r="K305" i="311"/>
  <c r="K481" i="311" s="1"/>
  <c r="J305" i="311"/>
  <c r="J481" i="311" s="1"/>
  <c r="K304" i="311"/>
  <c r="J304" i="311"/>
  <c r="K303" i="311"/>
  <c r="J303" i="311"/>
  <c r="K301" i="311"/>
  <c r="J301" i="311"/>
  <c r="K300" i="311"/>
  <c r="J300" i="311"/>
  <c r="K299" i="311"/>
  <c r="J299" i="311"/>
  <c r="N295" i="311"/>
  <c r="M295" i="311"/>
  <c r="I295" i="311"/>
  <c r="H295" i="311"/>
  <c r="G295" i="311"/>
  <c r="F295" i="311"/>
  <c r="E295" i="311"/>
  <c r="D295" i="311"/>
  <c r="C295" i="311"/>
  <c r="N294" i="311"/>
  <c r="M294" i="311"/>
  <c r="I294" i="311"/>
  <c r="H294" i="311"/>
  <c r="G294" i="311"/>
  <c r="F294" i="311"/>
  <c r="E294" i="311"/>
  <c r="D294" i="311"/>
  <c r="C294" i="311"/>
  <c r="N293" i="311"/>
  <c r="M293" i="311"/>
  <c r="I293" i="311"/>
  <c r="H293" i="311"/>
  <c r="G293" i="311"/>
  <c r="F293" i="311"/>
  <c r="E293" i="311"/>
  <c r="D293" i="311"/>
  <c r="C293" i="311"/>
  <c r="K292" i="311"/>
  <c r="J292" i="311"/>
  <c r="K290" i="311"/>
  <c r="J290" i="311"/>
  <c r="K289" i="311"/>
  <c r="J289" i="311"/>
  <c r="K288" i="311"/>
  <c r="J288" i="311"/>
  <c r="K287" i="311"/>
  <c r="J287" i="311"/>
  <c r="K286" i="311"/>
  <c r="J286" i="311"/>
  <c r="K284" i="311"/>
  <c r="K295" i="311" s="1"/>
  <c r="J284" i="311"/>
  <c r="K283" i="311"/>
  <c r="J283" i="311"/>
  <c r="K282" i="311"/>
  <c r="J282" i="311"/>
  <c r="N280" i="311"/>
  <c r="M280" i="311"/>
  <c r="I280" i="311"/>
  <c r="H280" i="311"/>
  <c r="G280" i="311"/>
  <c r="F280" i="311"/>
  <c r="E280" i="311"/>
  <c r="D280" i="311"/>
  <c r="C280" i="311"/>
  <c r="N279" i="311"/>
  <c r="M279" i="311"/>
  <c r="I279" i="311"/>
  <c r="H279" i="311"/>
  <c r="G279" i="311"/>
  <c r="F279" i="311"/>
  <c r="E279" i="311"/>
  <c r="D279" i="311"/>
  <c r="C279" i="311"/>
  <c r="N278" i="311"/>
  <c r="M278" i="311"/>
  <c r="I278" i="311"/>
  <c r="H278" i="311"/>
  <c r="G278" i="311"/>
  <c r="F278" i="311"/>
  <c r="E278" i="311"/>
  <c r="D278" i="311"/>
  <c r="C278" i="311"/>
  <c r="K277" i="311"/>
  <c r="J277" i="311"/>
  <c r="K275" i="311"/>
  <c r="J275" i="311"/>
  <c r="K274" i="311"/>
  <c r="J274" i="311"/>
  <c r="K273" i="311"/>
  <c r="J273" i="311"/>
  <c r="K271" i="311"/>
  <c r="K280" i="311" s="1"/>
  <c r="J271" i="311"/>
  <c r="J280" i="311" s="1"/>
  <c r="K270" i="311"/>
  <c r="J270" i="311"/>
  <c r="K269" i="311"/>
  <c r="J269" i="311"/>
  <c r="N267" i="311"/>
  <c r="M267" i="311"/>
  <c r="I267" i="311"/>
  <c r="H267" i="311"/>
  <c r="G267" i="311"/>
  <c r="F267" i="311"/>
  <c r="E267" i="311"/>
  <c r="D267" i="311"/>
  <c r="C267" i="311"/>
  <c r="N266" i="311"/>
  <c r="M266" i="311"/>
  <c r="I266" i="311"/>
  <c r="H266" i="311"/>
  <c r="G266" i="311"/>
  <c r="E266" i="311"/>
  <c r="D266" i="311"/>
  <c r="C266" i="311"/>
  <c r="N265" i="311"/>
  <c r="M265" i="311"/>
  <c r="I265" i="311"/>
  <c r="H265" i="311"/>
  <c r="G265" i="311"/>
  <c r="E265" i="311"/>
  <c r="D265" i="311"/>
  <c r="C265" i="311"/>
  <c r="K264" i="311"/>
  <c r="J264" i="311"/>
  <c r="K262" i="311"/>
  <c r="F262" i="311"/>
  <c r="F265" i="311" s="1"/>
  <c r="K261" i="311"/>
  <c r="J261" i="311"/>
  <c r="K260" i="311"/>
  <c r="J260" i="311"/>
  <c r="K258" i="311"/>
  <c r="J258" i="311"/>
  <c r="J267" i="311" s="1"/>
  <c r="K257" i="311"/>
  <c r="J257" i="311"/>
  <c r="K256" i="311"/>
  <c r="J256" i="311"/>
  <c r="N254" i="311"/>
  <c r="M254" i="311"/>
  <c r="I254" i="311"/>
  <c r="H254" i="311"/>
  <c r="G254" i="311"/>
  <c r="F254" i="311"/>
  <c r="E254" i="311"/>
  <c r="D254" i="311"/>
  <c r="C254" i="311"/>
  <c r="N253" i="311"/>
  <c r="M253" i="311"/>
  <c r="I253" i="311"/>
  <c r="H253" i="311"/>
  <c r="G253" i="311"/>
  <c r="F253" i="311"/>
  <c r="E253" i="311"/>
  <c r="D253" i="311"/>
  <c r="C253" i="311"/>
  <c r="N252" i="311"/>
  <c r="M252" i="311"/>
  <c r="I252" i="311"/>
  <c r="H252" i="311"/>
  <c r="G252" i="311"/>
  <c r="F252" i="311"/>
  <c r="E252" i="311"/>
  <c r="D252" i="311"/>
  <c r="C252" i="311"/>
  <c r="K251" i="311"/>
  <c r="J251" i="311"/>
  <c r="K250" i="311"/>
  <c r="J250" i="311"/>
  <c r="K248" i="311"/>
  <c r="J248" i="311"/>
  <c r="K247" i="311"/>
  <c r="J247" i="311"/>
  <c r="K245" i="311"/>
  <c r="J245" i="311"/>
  <c r="K244" i="311"/>
  <c r="J244" i="311"/>
  <c r="K243" i="311"/>
  <c r="J243" i="311"/>
  <c r="N241" i="311"/>
  <c r="M241" i="311"/>
  <c r="I241" i="311"/>
  <c r="H241" i="311"/>
  <c r="G241" i="311"/>
  <c r="F241" i="311"/>
  <c r="E241" i="311"/>
  <c r="D241" i="311"/>
  <c r="C241" i="311"/>
  <c r="N240" i="311"/>
  <c r="M240" i="311"/>
  <c r="I240" i="311"/>
  <c r="H240" i="311"/>
  <c r="G240" i="311"/>
  <c r="E240" i="311"/>
  <c r="D240" i="311"/>
  <c r="C240" i="311"/>
  <c r="N239" i="311"/>
  <c r="M239" i="311"/>
  <c r="I239" i="311"/>
  <c r="H239" i="311"/>
  <c r="G239" i="311"/>
  <c r="E239" i="311"/>
  <c r="D239" i="311"/>
  <c r="C239" i="311"/>
  <c r="K238" i="311"/>
  <c r="J238" i="311"/>
  <c r="K236" i="311"/>
  <c r="F236" i="311"/>
  <c r="F239" i="311" s="1"/>
  <c r="K235" i="311"/>
  <c r="J235" i="311"/>
  <c r="K234" i="311"/>
  <c r="J234" i="311"/>
  <c r="K233" i="311"/>
  <c r="J233" i="311"/>
  <c r="K231" i="311"/>
  <c r="J231" i="311"/>
  <c r="K230" i="311"/>
  <c r="J230" i="311"/>
  <c r="K229" i="311"/>
  <c r="J229" i="311"/>
  <c r="N226" i="311"/>
  <c r="M226" i="311"/>
  <c r="I226" i="311"/>
  <c r="H226" i="311"/>
  <c r="G226" i="311"/>
  <c r="F226" i="311"/>
  <c r="E226" i="311"/>
  <c r="D226" i="311"/>
  <c r="C226" i="311"/>
  <c r="K224" i="311"/>
  <c r="J224" i="311"/>
  <c r="K222" i="311"/>
  <c r="J222" i="311"/>
  <c r="K221" i="311"/>
  <c r="J221" i="311"/>
  <c r="K220" i="311"/>
  <c r="J220" i="311"/>
  <c r="K219" i="311"/>
  <c r="J219" i="311"/>
  <c r="K218" i="311"/>
  <c r="J218" i="311"/>
  <c r="K216" i="311"/>
  <c r="K227" i="311" s="1"/>
  <c r="J216" i="311"/>
  <c r="J227" i="311" s="1"/>
  <c r="K215" i="311"/>
  <c r="J215" i="311"/>
  <c r="K214" i="311"/>
  <c r="K225" i="311" s="1"/>
  <c r="J214" i="311"/>
  <c r="J225" i="311" s="1"/>
  <c r="N211" i="311"/>
  <c r="M211" i="311"/>
  <c r="I211" i="311"/>
  <c r="H211" i="311"/>
  <c r="G211" i="311"/>
  <c r="F211" i="311"/>
  <c r="E211" i="311"/>
  <c r="D211" i="311"/>
  <c r="C211" i="311"/>
  <c r="K209" i="311"/>
  <c r="J209" i="311"/>
  <c r="K207" i="311"/>
  <c r="J207" i="311"/>
  <c r="K206" i="311"/>
  <c r="J206" i="311"/>
  <c r="K205" i="311"/>
  <c r="J205" i="311"/>
  <c r="K204" i="311"/>
  <c r="J204" i="311"/>
  <c r="K203" i="311"/>
  <c r="J203" i="311"/>
  <c r="K201" i="311"/>
  <c r="K212" i="311" s="1"/>
  <c r="J201" i="311"/>
  <c r="J212" i="311" s="1"/>
  <c r="K200" i="311"/>
  <c r="J200" i="311"/>
  <c r="K199" i="311"/>
  <c r="J199" i="311"/>
  <c r="J210" i="311" s="1"/>
  <c r="N196" i="311"/>
  <c r="M196" i="311"/>
  <c r="I196" i="311"/>
  <c r="H196" i="311"/>
  <c r="G196" i="311"/>
  <c r="F196" i="311"/>
  <c r="E196" i="311"/>
  <c r="D196" i="311"/>
  <c r="C196" i="311"/>
  <c r="K194" i="311"/>
  <c r="J194" i="311"/>
  <c r="K192" i="311"/>
  <c r="J192" i="311"/>
  <c r="K191" i="311"/>
  <c r="J191" i="311"/>
  <c r="K190" i="311"/>
  <c r="J190" i="311"/>
  <c r="K189" i="311"/>
  <c r="J189" i="311"/>
  <c r="K188" i="311"/>
  <c r="J188" i="311"/>
  <c r="K186" i="311"/>
  <c r="K197" i="311" s="1"/>
  <c r="J186" i="311"/>
  <c r="J197" i="311" s="1"/>
  <c r="K185" i="311"/>
  <c r="J185" i="311"/>
  <c r="K184" i="311"/>
  <c r="J184" i="311"/>
  <c r="N181" i="311"/>
  <c r="M181" i="311"/>
  <c r="I181" i="311"/>
  <c r="H181" i="311"/>
  <c r="G181" i="311"/>
  <c r="E181" i="311"/>
  <c r="D181" i="311"/>
  <c r="C181" i="311"/>
  <c r="K179" i="311"/>
  <c r="J179" i="311"/>
  <c r="K177" i="311"/>
  <c r="F177" i="311"/>
  <c r="K176" i="311"/>
  <c r="J176" i="311"/>
  <c r="K175" i="311"/>
  <c r="J175" i="311"/>
  <c r="K174" i="311"/>
  <c r="J174" i="311"/>
  <c r="K172" i="311"/>
  <c r="J172" i="311"/>
  <c r="K171" i="311"/>
  <c r="J171" i="311"/>
  <c r="K170" i="311"/>
  <c r="J170" i="311"/>
  <c r="N167" i="311"/>
  <c r="M167" i="311"/>
  <c r="I167" i="311"/>
  <c r="H167" i="311"/>
  <c r="G167" i="311"/>
  <c r="F167" i="311"/>
  <c r="E167" i="311"/>
  <c r="D167" i="311"/>
  <c r="C167" i="311"/>
  <c r="K165" i="311"/>
  <c r="J165" i="311"/>
  <c r="K163" i="311"/>
  <c r="J163" i="311"/>
  <c r="K162" i="311"/>
  <c r="J162" i="311"/>
  <c r="K161" i="311"/>
  <c r="J161" i="311"/>
  <c r="K160" i="311"/>
  <c r="J160" i="311"/>
  <c r="K159" i="311"/>
  <c r="J159" i="311"/>
  <c r="K157" i="311"/>
  <c r="K168" i="311" s="1"/>
  <c r="J157" i="311"/>
  <c r="J168" i="311" s="1"/>
  <c r="K156" i="311"/>
  <c r="J156" i="311"/>
  <c r="K155" i="311"/>
  <c r="J155" i="311"/>
  <c r="N152" i="311"/>
  <c r="M152" i="311"/>
  <c r="I152" i="311"/>
  <c r="H152" i="311"/>
  <c r="G152" i="311"/>
  <c r="F152" i="311"/>
  <c r="E152" i="311"/>
  <c r="D152" i="311"/>
  <c r="C152" i="311"/>
  <c r="K150" i="311"/>
  <c r="J150" i="311"/>
  <c r="K148" i="311"/>
  <c r="J148" i="311"/>
  <c r="K147" i="311"/>
  <c r="J147" i="311"/>
  <c r="K146" i="311"/>
  <c r="J146" i="311"/>
  <c r="K145" i="311"/>
  <c r="J145" i="311"/>
  <c r="K143" i="311"/>
  <c r="J143" i="311"/>
  <c r="K142" i="311"/>
  <c r="J142" i="311"/>
  <c r="K141" i="311"/>
  <c r="J141" i="311"/>
  <c r="N138" i="311"/>
  <c r="M138" i="311"/>
  <c r="I138" i="311"/>
  <c r="H138" i="311"/>
  <c r="G138" i="311"/>
  <c r="F138" i="311"/>
  <c r="E138" i="311"/>
  <c r="D138" i="311"/>
  <c r="C138" i="311"/>
  <c r="K136" i="311"/>
  <c r="K493" i="311" s="1"/>
  <c r="J136" i="311"/>
  <c r="K135" i="311"/>
  <c r="J135" i="311"/>
  <c r="K133" i="311"/>
  <c r="J133" i="311"/>
  <c r="K132" i="311"/>
  <c r="J132" i="311"/>
  <c r="K131" i="311"/>
  <c r="J131" i="311"/>
  <c r="K130" i="311"/>
  <c r="J130" i="311"/>
  <c r="K129" i="311"/>
  <c r="J129" i="311"/>
  <c r="K127" i="311"/>
  <c r="J127" i="311"/>
  <c r="K126" i="311"/>
  <c r="J126" i="311"/>
  <c r="K125" i="311"/>
  <c r="J125" i="311"/>
  <c r="N121" i="311"/>
  <c r="M121" i="311"/>
  <c r="I121" i="311"/>
  <c r="H121" i="311"/>
  <c r="G121" i="311"/>
  <c r="F121" i="311"/>
  <c r="E121" i="311"/>
  <c r="D121" i="311"/>
  <c r="C121" i="311"/>
  <c r="F123" i="311"/>
  <c r="K119" i="311"/>
  <c r="J119" i="311"/>
  <c r="K117" i="311"/>
  <c r="J117" i="311"/>
  <c r="K116" i="311"/>
  <c r="J116" i="311"/>
  <c r="K115" i="311"/>
  <c r="J115" i="311"/>
  <c r="K114" i="311"/>
  <c r="J114" i="311"/>
  <c r="K112" i="311"/>
  <c r="J112" i="311"/>
  <c r="K111" i="311"/>
  <c r="J111" i="311"/>
  <c r="K110" i="311"/>
  <c r="J110" i="311"/>
  <c r="H123" i="311"/>
  <c r="D123" i="311"/>
  <c r="K105" i="311"/>
  <c r="J105" i="311"/>
  <c r="K103" i="311"/>
  <c r="J103" i="311"/>
  <c r="K102" i="311"/>
  <c r="J102" i="311"/>
  <c r="K101" i="311"/>
  <c r="J101" i="311"/>
  <c r="K99" i="311"/>
  <c r="J99" i="311"/>
  <c r="J108" i="311" s="1"/>
  <c r="K98" i="311"/>
  <c r="J98" i="311"/>
  <c r="K97" i="311"/>
  <c r="J97" i="311"/>
  <c r="N94" i="311"/>
  <c r="M94" i="311"/>
  <c r="I94" i="311"/>
  <c r="H94" i="311"/>
  <c r="G94" i="311"/>
  <c r="F94" i="311"/>
  <c r="E94" i="311"/>
  <c r="D94" i="311"/>
  <c r="C94" i="311"/>
  <c r="K92" i="311"/>
  <c r="J92" i="311"/>
  <c r="K90" i="311"/>
  <c r="J90" i="311"/>
  <c r="K89" i="311"/>
  <c r="J89" i="311"/>
  <c r="K88" i="311"/>
  <c r="J88" i="311"/>
  <c r="K87" i="311"/>
  <c r="J87" i="311"/>
  <c r="K85" i="311"/>
  <c r="J85" i="311"/>
  <c r="K84" i="311"/>
  <c r="J84" i="311"/>
  <c r="K83" i="311"/>
  <c r="J83" i="311"/>
  <c r="N80" i="311"/>
  <c r="M80" i="311"/>
  <c r="I80" i="311"/>
  <c r="H80" i="311"/>
  <c r="G80" i="311"/>
  <c r="F80" i="311"/>
  <c r="E80" i="311"/>
  <c r="D80" i="311"/>
  <c r="C80" i="311"/>
  <c r="K78" i="311"/>
  <c r="J78" i="311"/>
  <c r="K76" i="311"/>
  <c r="J76" i="311"/>
  <c r="K75" i="311"/>
  <c r="J75" i="311"/>
  <c r="K74" i="311"/>
  <c r="J74" i="311"/>
  <c r="K73" i="311"/>
  <c r="J73" i="311"/>
  <c r="K71" i="311"/>
  <c r="J71" i="311"/>
  <c r="K70" i="311"/>
  <c r="J70" i="311"/>
  <c r="K69" i="311"/>
  <c r="J69" i="311"/>
  <c r="N66" i="311"/>
  <c r="M66" i="311"/>
  <c r="I66" i="311"/>
  <c r="H66" i="311"/>
  <c r="G66" i="311"/>
  <c r="F66" i="311"/>
  <c r="E66" i="311"/>
  <c r="D66" i="311"/>
  <c r="C66" i="311"/>
  <c r="K64" i="311"/>
  <c r="J64" i="311"/>
  <c r="K62" i="311"/>
  <c r="J62" i="311"/>
  <c r="K61" i="311"/>
  <c r="J61" i="311"/>
  <c r="K60" i="311"/>
  <c r="J60" i="311"/>
  <c r="K59" i="311"/>
  <c r="J59" i="311"/>
  <c r="K58" i="311"/>
  <c r="J58" i="311"/>
  <c r="K56" i="311"/>
  <c r="J56" i="311"/>
  <c r="J67" i="311" s="1"/>
  <c r="K55" i="311"/>
  <c r="J55" i="311"/>
  <c r="K54" i="311"/>
  <c r="J54" i="311"/>
  <c r="N51" i="311"/>
  <c r="M51" i="311"/>
  <c r="I51" i="311"/>
  <c r="H51" i="311"/>
  <c r="G51" i="311"/>
  <c r="F51" i="311"/>
  <c r="E51" i="311"/>
  <c r="D51" i="311"/>
  <c r="C51" i="311"/>
  <c r="K49" i="311"/>
  <c r="J49" i="311"/>
  <c r="K47" i="311"/>
  <c r="J47" i="311"/>
  <c r="K46" i="311"/>
  <c r="J46" i="311"/>
  <c r="K45" i="311"/>
  <c r="J45" i="311"/>
  <c r="K44" i="311"/>
  <c r="J44" i="311"/>
  <c r="K42" i="311"/>
  <c r="J42" i="311"/>
  <c r="K41" i="311"/>
  <c r="J41" i="311"/>
  <c r="K40" i="311"/>
  <c r="J40" i="311"/>
  <c r="N37" i="311"/>
  <c r="M37" i="311"/>
  <c r="I37" i="311"/>
  <c r="H37" i="311"/>
  <c r="G37" i="311"/>
  <c r="F37" i="311"/>
  <c r="E37" i="311"/>
  <c r="D37" i="311"/>
  <c r="C37" i="311"/>
  <c r="N36" i="311"/>
  <c r="M36" i="311"/>
  <c r="I36" i="311"/>
  <c r="H36" i="311"/>
  <c r="G36" i="311"/>
  <c r="F36" i="311"/>
  <c r="E36" i="311"/>
  <c r="D36" i="311"/>
  <c r="C36" i="311"/>
  <c r="N35" i="311"/>
  <c r="N38" i="311" s="1"/>
  <c r="M35" i="311"/>
  <c r="M38" i="311" s="1"/>
  <c r="I35" i="311"/>
  <c r="I38" i="311" s="1"/>
  <c r="H35" i="311"/>
  <c r="H38" i="311" s="1"/>
  <c r="G35" i="311"/>
  <c r="G38" i="311" s="1"/>
  <c r="F35" i="311"/>
  <c r="F38" i="311" s="1"/>
  <c r="E35" i="311"/>
  <c r="E38" i="311" s="1"/>
  <c r="D35" i="311"/>
  <c r="D38" i="311" s="1"/>
  <c r="C35" i="311"/>
  <c r="C38" i="311" s="1"/>
  <c r="K34" i="311"/>
  <c r="J34" i="311"/>
  <c r="K33" i="311"/>
  <c r="J33" i="311"/>
  <c r="K31" i="311"/>
  <c r="J31" i="311"/>
  <c r="K30" i="311"/>
  <c r="J30" i="311"/>
  <c r="K29" i="311"/>
  <c r="J29" i="311"/>
  <c r="K28" i="311"/>
  <c r="J28" i="311"/>
  <c r="K27" i="311"/>
  <c r="J27" i="311"/>
  <c r="K26" i="311"/>
  <c r="J26" i="311"/>
  <c r="K24" i="311"/>
  <c r="J24" i="311"/>
  <c r="K23" i="311"/>
  <c r="J23" i="311"/>
  <c r="K22" i="311"/>
  <c r="J22" i="311"/>
  <c r="N19" i="311"/>
  <c r="M19" i="311"/>
  <c r="I19" i="311"/>
  <c r="H19" i="311"/>
  <c r="G19" i="311"/>
  <c r="F19" i="311"/>
  <c r="E19" i="311"/>
  <c r="D19" i="311"/>
  <c r="C19" i="311"/>
  <c r="K17" i="311"/>
  <c r="J17" i="311"/>
  <c r="K15" i="311"/>
  <c r="J15" i="311"/>
  <c r="K14" i="311"/>
  <c r="J14" i="311"/>
  <c r="K13" i="311"/>
  <c r="K483" i="311" s="1"/>
  <c r="J13" i="311"/>
  <c r="K12" i="311"/>
  <c r="J12" i="311"/>
  <c r="K10" i="311"/>
  <c r="J10" i="311"/>
  <c r="K9" i="311"/>
  <c r="J9" i="311"/>
  <c r="K8" i="311"/>
  <c r="J8" i="311"/>
  <c r="J166" i="311" l="1"/>
  <c r="K182" i="311"/>
  <c r="K153" i="311"/>
  <c r="K180" i="311"/>
  <c r="K195" i="311"/>
  <c r="K108" i="311"/>
  <c r="K210" i="311"/>
  <c r="J195" i="311"/>
  <c r="J65" i="311"/>
  <c r="K81" i="311"/>
  <c r="K139" i="311"/>
  <c r="J151" i="311"/>
  <c r="J93" i="311"/>
  <c r="J95" i="311"/>
  <c r="K107" i="311"/>
  <c r="K137" i="311"/>
  <c r="J153" i="311"/>
  <c r="J182" i="311"/>
  <c r="F487" i="311"/>
  <c r="F180" i="311"/>
  <c r="K166" i="311"/>
  <c r="J241" i="311"/>
  <c r="K253" i="311"/>
  <c r="K279" i="311"/>
  <c r="K151" i="311"/>
  <c r="L274" i="311"/>
  <c r="O274" i="311" s="1"/>
  <c r="L277" i="311"/>
  <c r="O277" i="311" s="1"/>
  <c r="L303" i="311"/>
  <c r="O303" i="311" s="1"/>
  <c r="L341" i="311"/>
  <c r="O341" i="311" s="1"/>
  <c r="L467" i="311"/>
  <c r="O467" i="311" s="1"/>
  <c r="K67" i="311"/>
  <c r="J137" i="311"/>
  <c r="J139" i="311"/>
  <c r="K312" i="311"/>
  <c r="K314" i="311"/>
  <c r="J326" i="311"/>
  <c r="J328" i="311"/>
  <c r="K342" i="311"/>
  <c r="K344" i="311"/>
  <c r="J356" i="311"/>
  <c r="K367" i="311"/>
  <c r="K380" i="311"/>
  <c r="K382" i="311"/>
  <c r="J397" i="311"/>
  <c r="K404" i="311"/>
  <c r="J433" i="311"/>
  <c r="J454" i="311"/>
  <c r="K473" i="311"/>
  <c r="K475" i="311"/>
  <c r="K504" i="311" s="1"/>
  <c r="K65" i="311"/>
  <c r="J106" i="311"/>
  <c r="J120" i="311"/>
  <c r="J122" i="311"/>
  <c r="K106" i="311"/>
  <c r="K120" i="311"/>
  <c r="K122" i="311"/>
  <c r="J107" i="311"/>
  <c r="M123" i="311"/>
  <c r="N503" i="311"/>
  <c r="N511" i="311" s="1"/>
  <c r="K93" i="311"/>
  <c r="K95" i="311"/>
  <c r="L453" i="311"/>
  <c r="O453" i="311" s="1"/>
  <c r="K79" i="311"/>
  <c r="K167" i="311"/>
  <c r="J79" i="311"/>
  <c r="J81" i="311"/>
  <c r="K492" i="311"/>
  <c r="D503" i="311"/>
  <c r="C123" i="311"/>
  <c r="N123" i="311"/>
  <c r="E503" i="311"/>
  <c r="K211" i="311"/>
  <c r="I503" i="311"/>
  <c r="I511" i="311" s="1"/>
  <c r="G123" i="311"/>
  <c r="L204" i="311"/>
  <c r="O204" i="311" s="1"/>
  <c r="L230" i="311"/>
  <c r="O230" i="311" s="1"/>
  <c r="L233" i="311"/>
  <c r="O233" i="311" s="1"/>
  <c r="J432" i="311"/>
  <c r="J455" i="311"/>
  <c r="K472" i="311"/>
  <c r="K474" i="311"/>
  <c r="L270" i="311"/>
  <c r="O270" i="311" s="1"/>
  <c r="J314" i="311"/>
  <c r="E345" i="311"/>
  <c r="I345" i="311"/>
  <c r="J342" i="311"/>
  <c r="J344" i="311"/>
  <c r="J490" i="311"/>
  <c r="E457" i="311"/>
  <c r="I457" i="311"/>
  <c r="J380" i="311"/>
  <c r="J382" i="311"/>
  <c r="J482" i="311"/>
  <c r="K396" i="311"/>
  <c r="J475" i="311"/>
  <c r="J504" i="311" s="1"/>
  <c r="J512" i="311" s="1"/>
  <c r="M501" i="311"/>
  <c r="M509" i="311" s="1"/>
  <c r="D296" i="311"/>
  <c r="D297" i="311" s="1"/>
  <c r="H296" i="311"/>
  <c r="H297" i="311" s="1"/>
  <c r="L142" i="311"/>
  <c r="L145" i="311"/>
  <c r="O145" i="311" s="1"/>
  <c r="L147" i="311"/>
  <c r="O147" i="311" s="1"/>
  <c r="L150" i="311"/>
  <c r="O150" i="311" s="1"/>
  <c r="L203" i="311"/>
  <c r="O203" i="311" s="1"/>
  <c r="L205" i="311"/>
  <c r="O205" i="311" s="1"/>
  <c r="K20" i="311"/>
  <c r="M503" i="311"/>
  <c r="M511" i="311" s="1"/>
  <c r="K278" i="311"/>
  <c r="K313" i="311"/>
  <c r="J327" i="311"/>
  <c r="K343" i="311"/>
  <c r="K497" i="311"/>
  <c r="J357" i="311"/>
  <c r="K381" i="311"/>
  <c r="E502" i="311"/>
  <c r="I502" i="311"/>
  <c r="I510" i="311" s="1"/>
  <c r="L102" i="311"/>
  <c r="O102" i="311" s="1"/>
  <c r="E296" i="311"/>
  <c r="I296" i="311"/>
  <c r="L219" i="311"/>
  <c r="O219" i="311" s="1"/>
  <c r="L221" i="311"/>
  <c r="O221" i="311" s="1"/>
  <c r="L224" i="311"/>
  <c r="O224" i="311" s="1"/>
  <c r="K241" i="311"/>
  <c r="J236" i="311"/>
  <c r="J239" i="311" s="1"/>
  <c r="F345" i="311"/>
  <c r="M345" i="311"/>
  <c r="L321" i="311"/>
  <c r="O321" i="311" s="1"/>
  <c r="L323" i="311"/>
  <c r="O323" i="311" s="1"/>
  <c r="L354" i="311"/>
  <c r="O354" i="311" s="1"/>
  <c r="K490" i="311"/>
  <c r="M457" i="311"/>
  <c r="K482" i="311"/>
  <c r="L431" i="311"/>
  <c r="O431" i="311" s="1"/>
  <c r="G501" i="311"/>
  <c r="G509" i="311" s="1"/>
  <c r="N501" i="311"/>
  <c r="N507" i="311" s="1"/>
  <c r="M502" i="311"/>
  <c r="M510" i="311" s="1"/>
  <c r="K485" i="311"/>
  <c r="M296" i="311"/>
  <c r="J252" i="311"/>
  <c r="J254" i="311"/>
  <c r="J313" i="311"/>
  <c r="C345" i="311"/>
  <c r="G345" i="311"/>
  <c r="N345" i="311"/>
  <c r="K326" i="311"/>
  <c r="K328" i="311"/>
  <c r="J343" i="311"/>
  <c r="K395" i="311"/>
  <c r="K397" i="311"/>
  <c r="D501" i="311"/>
  <c r="D509" i="311" s="1"/>
  <c r="K487" i="311"/>
  <c r="C502" i="311"/>
  <c r="C510" i="311" s="1"/>
  <c r="G502" i="311"/>
  <c r="G510" i="311" s="1"/>
  <c r="N502" i="311"/>
  <c r="N510" i="311" s="1"/>
  <c r="L23" i="311"/>
  <c r="O23" i="311" s="1"/>
  <c r="L26" i="311"/>
  <c r="O26" i="311" s="1"/>
  <c r="L28" i="311"/>
  <c r="O28" i="311" s="1"/>
  <c r="L30" i="311"/>
  <c r="O30" i="311" s="1"/>
  <c r="C296" i="311"/>
  <c r="G296" i="311"/>
  <c r="N296" i="311"/>
  <c r="L220" i="311"/>
  <c r="O220" i="311" s="1"/>
  <c r="D345" i="311"/>
  <c r="H345" i="311"/>
  <c r="L320" i="311"/>
  <c r="O320" i="311" s="1"/>
  <c r="L322" i="311"/>
  <c r="O322" i="311" s="1"/>
  <c r="L325" i="311"/>
  <c r="O325" i="311" s="1"/>
  <c r="D457" i="311"/>
  <c r="L385" i="311"/>
  <c r="O385" i="311" s="1"/>
  <c r="L388" i="311"/>
  <c r="O388" i="311" s="1"/>
  <c r="L390" i="311"/>
  <c r="O390" i="311" s="1"/>
  <c r="L430" i="311"/>
  <c r="O430" i="311" s="1"/>
  <c r="E501" i="311"/>
  <c r="E509" i="311" s="1"/>
  <c r="I501" i="311"/>
  <c r="I507" i="311" s="1"/>
  <c r="L33" i="311"/>
  <c r="O33" i="311" s="1"/>
  <c r="J52" i="311"/>
  <c r="K52" i="311"/>
  <c r="L307" i="311"/>
  <c r="O307" i="311" s="1"/>
  <c r="L207" i="311"/>
  <c r="O207" i="311" s="1"/>
  <c r="K479" i="311"/>
  <c r="K491" i="311"/>
  <c r="K50" i="311"/>
  <c r="K66" i="311"/>
  <c r="J50" i="311"/>
  <c r="K484" i="311"/>
  <c r="J18" i="311"/>
  <c r="J20" i="311"/>
  <c r="K35" i="311"/>
  <c r="K37" i="311"/>
  <c r="K480" i="311"/>
  <c r="L59" i="311"/>
  <c r="O59" i="311" s="1"/>
  <c r="L61" i="311"/>
  <c r="O61" i="311" s="1"/>
  <c r="L74" i="311"/>
  <c r="O74" i="311" s="1"/>
  <c r="L76" i="311"/>
  <c r="O76" i="311" s="1"/>
  <c r="L98" i="311"/>
  <c r="O98" i="311" s="1"/>
  <c r="L101" i="311"/>
  <c r="O101" i="311" s="1"/>
  <c r="L103" i="311"/>
  <c r="O103" i="311" s="1"/>
  <c r="L105" i="311"/>
  <c r="O105" i="311" s="1"/>
  <c r="L189" i="311"/>
  <c r="O189" i="311" s="1"/>
  <c r="L191" i="311"/>
  <c r="O191" i="311" s="1"/>
  <c r="L194" i="311"/>
  <c r="O194" i="311" s="1"/>
  <c r="L412" i="311"/>
  <c r="O412" i="311" s="1"/>
  <c r="L420" i="311"/>
  <c r="O420" i="311" s="1"/>
  <c r="K432" i="311"/>
  <c r="K455" i="311"/>
  <c r="L461" i="311"/>
  <c r="O461" i="311" s="1"/>
  <c r="L310" i="311"/>
  <c r="O310" i="311" s="1"/>
  <c r="L351" i="311"/>
  <c r="O351" i="311" s="1"/>
  <c r="L155" i="311"/>
  <c r="L188" i="311"/>
  <c r="O188" i="311" s="1"/>
  <c r="L190" i="311"/>
  <c r="O190" i="311" s="1"/>
  <c r="L192" i="311"/>
  <c r="O192" i="311" s="1"/>
  <c r="L218" i="311"/>
  <c r="O218" i="311" s="1"/>
  <c r="J355" i="311"/>
  <c r="L352" i="311"/>
  <c r="O352" i="311" s="1"/>
  <c r="L406" i="311"/>
  <c r="O406" i="311" s="1"/>
  <c r="L409" i="311"/>
  <c r="O409" i="311" s="1"/>
  <c r="J411" i="311"/>
  <c r="J413" i="311" s="1"/>
  <c r="L419" i="311"/>
  <c r="O419" i="311" s="1"/>
  <c r="L471" i="311"/>
  <c r="L500" i="311" s="1"/>
  <c r="K477" i="311"/>
  <c r="K18" i="311"/>
  <c r="L55" i="311"/>
  <c r="O55" i="311" s="1"/>
  <c r="K80" i="311"/>
  <c r="J253" i="311"/>
  <c r="L273" i="311"/>
  <c r="O273" i="311" s="1"/>
  <c r="K293" i="311"/>
  <c r="J312" i="311"/>
  <c r="L304" i="311"/>
  <c r="O304" i="311" s="1"/>
  <c r="L306" i="311"/>
  <c r="O306" i="311" s="1"/>
  <c r="L308" i="311"/>
  <c r="O308" i="311" s="1"/>
  <c r="L311" i="311"/>
  <c r="O311" i="311" s="1"/>
  <c r="K327" i="311"/>
  <c r="J404" i="311"/>
  <c r="L45" i="311"/>
  <c r="O45" i="311" s="1"/>
  <c r="L70" i="311"/>
  <c r="O70" i="311" s="1"/>
  <c r="L73" i="311"/>
  <c r="O73" i="311" s="1"/>
  <c r="L75" i="311"/>
  <c r="O75" i="311" s="1"/>
  <c r="L78" i="311"/>
  <c r="O78" i="311" s="1"/>
  <c r="L84" i="311"/>
  <c r="O84" i="311" s="1"/>
  <c r="L87" i="311"/>
  <c r="O87" i="311" s="1"/>
  <c r="L89" i="311"/>
  <c r="O89" i="311" s="1"/>
  <c r="L92" i="311"/>
  <c r="O92" i="311" s="1"/>
  <c r="L111" i="311"/>
  <c r="O111" i="311" s="1"/>
  <c r="L114" i="311"/>
  <c r="O114" i="311" s="1"/>
  <c r="L116" i="311"/>
  <c r="O116" i="311" s="1"/>
  <c r="L119" i="311"/>
  <c r="O119" i="311" s="1"/>
  <c r="L130" i="311"/>
  <c r="O130" i="311" s="1"/>
  <c r="L174" i="311"/>
  <c r="O174" i="311" s="1"/>
  <c r="J226" i="311"/>
  <c r="K239" i="311"/>
  <c r="L234" i="311"/>
  <c r="O234" i="311" s="1"/>
  <c r="L256" i="311"/>
  <c r="O256" i="311" s="1"/>
  <c r="K267" i="311"/>
  <c r="L261" i="311"/>
  <c r="O261" i="311" s="1"/>
  <c r="L264" i="311"/>
  <c r="O264" i="311" s="1"/>
  <c r="L334" i="311"/>
  <c r="O334" i="311" s="1"/>
  <c r="L336" i="311"/>
  <c r="O336" i="311" s="1"/>
  <c r="L339" i="311"/>
  <c r="O339" i="311" s="1"/>
  <c r="J366" i="311"/>
  <c r="L365" i="311"/>
  <c r="O365" i="311" s="1"/>
  <c r="H413" i="311"/>
  <c r="H457" i="311" s="1"/>
  <c r="L416" i="311"/>
  <c r="O416" i="311" s="1"/>
  <c r="F472" i="311"/>
  <c r="L349" i="311"/>
  <c r="L363" i="311"/>
  <c r="O363" i="311" s="1"/>
  <c r="L440" i="311"/>
  <c r="O440" i="311" s="1"/>
  <c r="L44" i="311"/>
  <c r="L46" i="311"/>
  <c r="O46" i="311" s="1"/>
  <c r="L49" i="311"/>
  <c r="E123" i="311"/>
  <c r="I123" i="311"/>
  <c r="L129" i="311"/>
  <c r="O129" i="311" s="1"/>
  <c r="L131" i="311"/>
  <c r="O131" i="311" s="1"/>
  <c r="L133" i="311"/>
  <c r="O133" i="311" s="1"/>
  <c r="L170" i="311"/>
  <c r="L172" i="311"/>
  <c r="J211" i="311"/>
  <c r="L206" i="311"/>
  <c r="O206" i="311" s="1"/>
  <c r="L209" i="311"/>
  <c r="O209" i="311" s="1"/>
  <c r="L222" i="311"/>
  <c r="O222" i="311" s="1"/>
  <c r="L235" i="311"/>
  <c r="O235" i="311" s="1"/>
  <c r="K266" i="311"/>
  <c r="L260" i="311"/>
  <c r="O260" i="311" s="1"/>
  <c r="J262" i="311"/>
  <c r="L262" i="311" s="1"/>
  <c r="O262" i="311" s="1"/>
  <c r="L335" i="311"/>
  <c r="O335" i="311" s="1"/>
  <c r="L337" i="311"/>
  <c r="O337" i="311" s="1"/>
  <c r="L340" i="311"/>
  <c r="O340" i="311" s="1"/>
  <c r="K356" i="311"/>
  <c r="J367" i="311"/>
  <c r="L362" i="311"/>
  <c r="L364" i="311"/>
  <c r="O364" i="311" s="1"/>
  <c r="L370" i="311"/>
  <c r="O370" i="311" s="1"/>
  <c r="L373" i="311"/>
  <c r="O373" i="311" s="1"/>
  <c r="L375" i="311"/>
  <c r="O375" i="311" s="1"/>
  <c r="L402" i="311"/>
  <c r="O402" i="311" s="1"/>
  <c r="L417" i="311"/>
  <c r="O417" i="311" s="1"/>
  <c r="L421" i="311"/>
  <c r="O421" i="311" s="1"/>
  <c r="K433" i="311"/>
  <c r="K454" i="311"/>
  <c r="K456" i="311"/>
  <c r="L64" i="311"/>
  <c r="O64" i="311" s="1"/>
  <c r="L214" i="311"/>
  <c r="K252" i="311"/>
  <c r="K254" i="311"/>
  <c r="J278" i="311"/>
  <c r="K294" i="311"/>
  <c r="L441" i="311"/>
  <c r="O441" i="311" s="1"/>
  <c r="L31" i="311"/>
  <c r="O31" i="311" s="1"/>
  <c r="K51" i="311"/>
  <c r="L58" i="311"/>
  <c r="O58" i="311" s="1"/>
  <c r="L47" i="311"/>
  <c r="O47" i="311" s="1"/>
  <c r="L9" i="311"/>
  <c r="O9" i="311" s="1"/>
  <c r="L60" i="311"/>
  <c r="O60" i="311" s="1"/>
  <c r="L62" i="311"/>
  <c r="O62" i="311" s="1"/>
  <c r="L88" i="311"/>
  <c r="O88" i="311" s="1"/>
  <c r="L90" i="311"/>
  <c r="O90" i="311" s="1"/>
  <c r="L110" i="311"/>
  <c r="L115" i="311"/>
  <c r="O115" i="311" s="1"/>
  <c r="L117" i="311"/>
  <c r="O117" i="311" s="1"/>
  <c r="L125" i="311"/>
  <c r="L141" i="311"/>
  <c r="L146" i="311"/>
  <c r="O146" i="311" s="1"/>
  <c r="L148" i="311"/>
  <c r="O148" i="311" s="1"/>
  <c r="L156" i="311"/>
  <c r="O156" i="311" s="1"/>
  <c r="L159" i="311"/>
  <c r="O159" i="311" s="1"/>
  <c r="L161" i="311"/>
  <c r="O161" i="311" s="1"/>
  <c r="L163" i="311"/>
  <c r="O163" i="311" s="1"/>
  <c r="K181" i="311"/>
  <c r="L176" i="311"/>
  <c r="O176" i="311" s="1"/>
  <c r="L179" i="311"/>
  <c r="O179" i="311" s="1"/>
  <c r="K196" i="311"/>
  <c r="L199" i="311"/>
  <c r="L215" i="311"/>
  <c r="O215" i="311" s="1"/>
  <c r="L229" i="311"/>
  <c r="O229" i="311" s="1"/>
  <c r="L238" i="311"/>
  <c r="O238" i="311" s="1"/>
  <c r="F240" i="311"/>
  <c r="J240" i="311"/>
  <c r="L247" i="311"/>
  <c r="O247" i="311" s="1"/>
  <c r="L250" i="311"/>
  <c r="O250" i="311" s="1"/>
  <c r="L300" i="311"/>
  <c r="O300" i="311" s="1"/>
  <c r="L305" i="311"/>
  <c r="L481" i="311" s="1"/>
  <c r="L330" i="311"/>
  <c r="L331" i="311"/>
  <c r="L332" i="311"/>
  <c r="K357" i="311"/>
  <c r="J395" i="311"/>
  <c r="L389" i="311"/>
  <c r="O389" i="311" s="1"/>
  <c r="L392" i="311"/>
  <c r="O392" i="311" s="1"/>
  <c r="K425" i="311"/>
  <c r="F425" i="311"/>
  <c r="L427" i="311"/>
  <c r="L428" i="311"/>
  <c r="L444" i="311"/>
  <c r="O444" i="311" s="1"/>
  <c r="L448" i="311"/>
  <c r="O448" i="311" s="1"/>
  <c r="L450" i="311"/>
  <c r="O450" i="311" s="1"/>
  <c r="J469" i="311"/>
  <c r="L469" i="311" s="1"/>
  <c r="O469" i="311" s="1"/>
  <c r="L299" i="311"/>
  <c r="O299" i="311" s="1"/>
  <c r="L316" i="311"/>
  <c r="L317" i="311"/>
  <c r="L318" i="311"/>
  <c r="L376" i="311"/>
  <c r="O376" i="311" s="1"/>
  <c r="L379" i="311"/>
  <c r="O379" i="311" s="1"/>
  <c r="C424" i="311"/>
  <c r="C457" i="311" s="1"/>
  <c r="C425" i="311"/>
  <c r="C503" i="311" s="1"/>
  <c r="C511" i="311" s="1"/>
  <c r="J138" i="311"/>
  <c r="L160" i="311"/>
  <c r="O160" i="311" s="1"/>
  <c r="L162" i="311"/>
  <c r="O162" i="311" s="1"/>
  <c r="L165" i="311"/>
  <c r="O165" i="311" s="1"/>
  <c r="L175" i="311"/>
  <c r="O175" i="311" s="1"/>
  <c r="J177" i="311"/>
  <c r="L177" i="311" s="1"/>
  <c r="O177" i="311" s="1"/>
  <c r="L201" i="311"/>
  <c r="L231" i="311"/>
  <c r="O231" i="311" s="1"/>
  <c r="K240" i="311"/>
  <c r="L248" i="311"/>
  <c r="O248" i="311" s="1"/>
  <c r="L251" i="311"/>
  <c r="O251" i="311" s="1"/>
  <c r="F266" i="311"/>
  <c r="K355" i="311"/>
  <c r="L348" i="311"/>
  <c r="O348" i="311" s="1"/>
  <c r="K366" i="311"/>
  <c r="L360" i="311"/>
  <c r="L449" i="311"/>
  <c r="O449" i="311" s="1"/>
  <c r="L451" i="311"/>
  <c r="O451" i="311" s="1"/>
  <c r="J466" i="311"/>
  <c r="L466" i="311" s="1"/>
  <c r="O466" i="311" s="1"/>
  <c r="K94" i="311"/>
  <c r="K121" i="311"/>
  <c r="K152" i="311"/>
  <c r="J196" i="311"/>
  <c r="L200" i="311"/>
  <c r="K226" i="311"/>
  <c r="L216" i="311"/>
  <c r="L275" i="311"/>
  <c r="O275" i="311" s="1"/>
  <c r="L301" i="311"/>
  <c r="L347" i="311"/>
  <c r="O347" i="311" s="1"/>
  <c r="L359" i="311"/>
  <c r="O359" i="311" s="1"/>
  <c r="L378" i="311"/>
  <c r="O378" i="311" s="1"/>
  <c r="K414" i="311"/>
  <c r="L410" i="311"/>
  <c r="O410" i="311" s="1"/>
  <c r="L422" i="311"/>
  <c r="J423" i="311"/>
  <c r="J425" i="311" s="1"/>
  <c r="J484" i="311"/>
  <c r="L14" i="311"/>
  <c r="L41" i="311"/>
  <c r="J51" i="311"/>
  <c r="K19" i="311"/>
  <c r="J479" i="311"/>
  <c r="L12" i="311"/>
  <c r="J477" i="311"/>
  <c r="L8" i="311"/>
  <c r="L10" i="311"/>
  <c r="J483" i="311"/>
  <c r="L13" i="311"/>
  <c r="L15" i="311"/>
  <c r="J19" i="311"/>
  <c r="K36" i="311"/>
  <c r="L40" i="311"/>
  <c r="L42" i="311"/>
  <c r="J35" i="311"/>
  <c r="L22" i="311"/>
  <c r="J37" i="311"/>
  <c r="L24" i="311"/>
  <c r="J480" i="311"/>
  <c r="L27" i="311"/>
  <c r="J485" i="311"/>
  <c r="L29" i="311"/>
  <c r="J492" i="311"/>
  <c r="L34" i="311"/>
  <c r="J36" i="311"/>
  <c r="J491" i="311"/>
  <c r="L17" i="311"/>
  <c r="J66" i="311"/>
  <c r="J80" i="311"/>
  <c r="J94" i="311"/>
  <c r="J121" i="311"/>
  <c r="L126" i="311"/>
  <c r="D502" i="311"/>
  <c r="D510" i="311" s="1"/>
  <c r="H502" i="311"/>
  <c r="H510" i="311" s="1"/>
  <c r="G503" i="311"/>
  <c r="G511" i="311" s="1"/>
  <c r="L54" i="311"/>
  <c r="L56" i="311"/>
  <c r="L69" i="311"/>
  <c r="L71" i="311"/>
  <c r="L83" i="311"/>
  <c r="L85" i="311"/>
  <c r="L97" i="311"/>
  <c r="L99" i="311"/>
  <c r="L112" i="311"/>
  <c r="L132" i="311"/>
  <c r="O132" i="311" s="1"/>
  <c r="L135" i="311"/>
  <c r="O135" i="311" s="1"/>
  <c r="O142" i="311"/>
  <c r="O155" i="311"/>
  <c r="K138" i="311"/>
  <c r="L127" i="311"/>
  <c r="J493" i="311"/>
  <c r="L136" i="311"/>
  <c r="L184" i="311"/>
  <c r="L185" i="311"/>
  <c r="L186" i="311"/>
  <c r="K265" i="311"/>
  <c r="L283" i="311"/>
  <c r="L286" i="311"/>
  <c r="O286" i="311" s="1"/>
  <c r="L288" i="311"/>
  <c r="O288" i="311" s="1"/>
  <c r="L290" i="311"/>
  <c r="O290" i="311" s="1"/>
  <c r="J294" i="311"/>
  <c r="F296" i="311"/>
  <c r="F297" i="311" s="1"/>
  <c r="L236" i="311"/>
  <c r="O236" i="311" s="1"/>
  <c r="L243" i="311"/>
  <c r="L244" i="311"/>
  <c r="L245" i="311"/>
  <c r="L257" i="311"/>
  <c r="L258" i="311"/>
  <c r="J279" i="311"/>
  <c r="J152" i="311"/>
  <c r="J167" i="311"/>
  <c r="L269" i="311"/>
  <c r="L271" i="311"/>
  <c r="J293" i="311"/>
  <c r="L282" i="311"/>
  <c r="J295" i="311"/>
  <c r="L284" i="311"/>
  <c r="L287" i="311"/>
  <c r="O287" i="311" s="1"/>
  <c r="L289" i="311"/>
  <c r="O289" i="311" s="1"/>
  <c r="L292" i="311"/>
  <c r="O292" i="311" s="1"/>
  <c r="L143" i="311"/>
  <c r="L157" i="311"/>
  <c r="L168" i="311" s="1"/>
  <c r="L171" i="311"/>
  <c r="F181" i="311"/>
  <c r="N457" i="311"/>
  <c r="J381" i="311"/>
  <c r="K498" i="311"/>
  <c r="J396" i="311"/>
  <c r="L411" i="311"/>
  <c r="O411" i="311" s="1"/>
  <c r="H414" i="311"/>
  <c r="H503" i="311" s="1"/>
  <c r="H511" i="311" s="1"/>
  <c r="L435" i="311"/>
  <c r="L436" i="311"/>
  <c r="L446" i="311"/>
  <c r="O446" i="311" s="1"/>
  <c r="K486" i="311"/>
  <c r="G457" i="311"/>
  <c r="L369" i="311"/>
  <c r="L371" i="311"/>
  <c r="L374" i="311"/>
  <c r="L384" i="311"/>
  <c r="L386" i="311"/>
  <c r="L393" i="311"/>
  <c r="L394" i="311"/>
  <c r="L399" i="311"/>
  <c r="L400" i="311"/>
  <c r="F424" i="311"/>
  <c r="F457" i="311" s="1"/>
  <c r="L439" i="311"/>
  <c r="O439" i="311" s="1"/>
  <c r="C501" i="311"/>
  <c r="K413" i="311"/>
  <c r="K424" i="311"/>
  <c r="J456" i="311"/>
  <c r="L437" i="311"/>
  <c r="L443" i="311"/>
  <c r="O443" i="311" s="1"/>
  <c r="L445" i="311"/>
  <c r="O445" i="311" s="1"/>
  <c r="L447" i="311"/>
  <c r="O447" i="311" s="1"/>
  <c r="H501" i="311"/>
  <c r="L407" i="311"/>
  <c r="O462" i="311"/>
  <c r="L452" i="311"/>
  <c r="F473" i="311"/>
  <c r="F486" i="311"/>
  <c r="F501" i="311" s="1"/>
  <c r="J500" i="311"/>
  <c r="F474" i="311"/>
  <c r="F503" i="311" s="1"/>
  <c r="F511" i="311" s="1"/>
  <c r="L460" i="311"/>
  <c r="L463" i="311"/>
  <c r="O216" i="311" l="1"/>
  <c r="O227" i="311" s="1"/>
  <c r="L227" i="311"/>
  <c r="O214" i="311"/>
  <c r="O225" i="311" s="1"/>
  <c r="L225" i="311"/>
  <c r="O201" i="311"/>
  <c r="O212" i="311" s="1"/>
  <c r="L212" i="311"/>
  <c r="L210" i="311"/>
  <c r="L357" i="311"/>
  <c r="G507" i="311"/>
  <c r="O349" i="311"/>
  <c r="O357" i="311" s="1"/>
  <c r="L195" i="311"/>
  <c r="O166" i="311"/>
  <c r="L197" i="311"/>
  <c r="O170" i="311"/>
  <c r="O180" i="311" s="1"/>
  <c r="L180" i="311"/>
  <c r="E507" i="311"/>
  <c r="L95" i="311"/>
  <c r="O172" i="311"/>
  <c r="O182" i="311" s="1"/>
  <c r="L182" i="311"/>
  <c r="J180" i="311"/>
  <c r="L166" i="311"/>
  <c r="L153" i="311"/>
  <c r="O141" i="311"/>
  <c r="O151" i="311" s="1"/>
  <c r="L151" i="311"/>
  <c r="L108" i="311"/>
  <c r="E297" i="311"/>
  <c r="E458" i="311" s="1"/>
  <c r="E476" i="311" s="1"/>
  <c r="J345" i="311"/>
  <c r="K345" i="311"/>
  <c r="M297" i="311"/>
  <c r="M458" i="311" s="1"/>
  <c r="M476" i="311" s="1"/>
  <c r="O107" i="311"/>
  <c r="O497" i="311"/>
  <c r="I509" i="311"/>
  <c r="D507" i="311"/>
  <c r="N509" i="311"/>
  <c r="L139" i="311"/>
  <c r="O125" i="311"/>
  <c r="L137" i="311"/>
  <c r="I297" i="311"/>
  <c r="I458" i="311" s="1"/>
  <c r="I476" i="311" s="1"/>
  <c r="L122" i="311"/>
  <c r="O355" i="311"/>
  <c r="O110" i="311"/>
  <c r="O120" i="311" s="1"/>
  <c r="L120" i="311"/>
  <c r="O474" i="311"/>
  <c r="L81" i="311"/>
  <c r="L106" i="311"/>
  <c r="L121" i="311"/>
  <c r="J414" i="311"/>
  <c r="L93" i="311"/>
  <c r="O167" i="311"/>
  <c r="L107" i="311"/>
  <c r="K123" i="311"/>
  <c r="L474" i="311"/>
  <c r="J474" i="311"/>
  <c r="J503" i="311" s="1"/>
  <c r="J511" i="311" s="1"/>
  <c r="J473" i="311"/>
  <c r="O226" i="311"/>
  <c r="N297" i="311"/>
  <c r="N458" i="311" s="1"/>
  <c r="N476" i="311" s="1"/>
  <c r="L396" i="311"/>
  <c r="J181" i="311"/>
  <c r="O241" i="311"/>
  <c r="L226" i="311"/>
  <c r="M507" i="311"/>
  <c r="O265" i="311"/>
  <c r="K38" i="311"/>
  <c r="O490" i="311"/>
  <c r="G297" i="311"/>
  <c r="G458" i="311" s="1"/>
  <c r="G476" i="311" s="1"/>
  <c r="C297" i="311"/>
  <c r="C458" i="311" s="1"/>
  <c r="C476" i="311" s="1"/>
  <c r="L79" i="311"/>
  <c r="J497" i="311"/>
  <c r="D458" i="311"/>
  <c r="D476" i="311" s="1"/>
  <c r="L152" i="311"/>
  <c r="L381" i="311"/>
  <c r="O305" i="311"/>
  <c r="O481" i="311" s="1"/>
  <c r="L490" i="311"/>
  <c r="L486" i="311"/>
  <c r="J486" i="311"/>
  <c r="J487" i="311"/>
  <c r="L473" i="311"/>
  <c r="L67" i="311"/>
  <c r="L355" i="311"/>
  <c r="L356" i="311"/>
  <c r="J265" i="311"/>
  <c r="O473" i="311"/>
  <c r="O356" i="311"/>
  <c r="P355" i="311" s="1"/>
  <c r="O396" i="311"/>
  <c r="J266" i="311"/>
  <c r="J502" i="311" s="1"/>
  <c r="J510" i="311" s="1"/>
  <c r="L265" i="311"/>
  <c r="L65" i="311"/>
  <c r="J472" i="311"/>
  <c r="L314" i="311"/>
  <c r="L211" i="311"/>
  <c r="L489" i="311"/>
  <c r="H458" i="311"/>
  <c r="H476" i="311" s="1"/>
  <c r="O121" i="311"/>
  <c r="O44" i="311"/>
  <c r="L50" i="311"/>
  <c r="K501" i="311"/>
  <c r="K509" i="311" s="1"/>
  <c r="O49" i="311"/>
  <c r="L52" i="311"/>
  <c r="O486" i="311"/>
  <c r="O94" i="311"/>
  <c r="O471" i="311"/>
  <c r="O500" i="311" s="1"/>
  <c r="O362" i="311"/>
  <c r="O489" i="311" s="1"/>
  <c r="O200" i="311"/>
  <c r="O211" i="311" s="1"/>
  <c r="O279" i="311"/>
  <c r="L94" i="311"/>
  <c r="O80" i="311"/>
  <c r="L20" i="311"/>
  <c r="O66" i="311"/>
  <c r="L366" i="311"/>
  <c r="L241" i="311"/>
  <c r="O301" i="311"/>
  <c r="O314" i="311" s="1"/>
  <c r="L167" i="311"/>
  <c r="L367" i="311"/>
  <c r="L497" i="311"/>
  <c r="L423" i="311"/>
  <c r="O423" i="311" s="1"/>
  <c r="O360" i="311"/>
  <c r="L313" i="311"/>
  <c r="O239" i="311"/>
  <c r="O199" i="311"/>
  <c r="O210" i="311" s="1"/>
  <c r="L279" i="311"/>
  <c r="O152" i="311"/>
  <c r="L80" i="311"/>
  <c r="J123" i="311"/>
  <c r="L18" i="311"/>
  <c r="L66" i="311"/>
  <c r="K503" i="311"/>
  <c r="L312" i="311"/>
  <c r="L327" i="311"/>
  <c r="O317" i="311"/>
  <c r="O327" i="311" s="1"/>
  <c r="L433" i="311"/>
  <c r="O428" i="311"/>
  <c r="O433" i="311" s="1"/>
  <c r="L343" i="311"/>
  <c r="O331" i="311"/>
  <c r="O343" i="311" s="1"/>
  <c r="L326" i="311"/>
  <c r="O316" i="311"/>
  <c r="O326" i="311" s="1"/>
  <c r="L432" i="311"/>
  <c r="O427" i="311"/>
  <c r="O432" i="311" s="1"/>
  <c r="J498" i="311"/>
  <c r="L342" i="311"/>
  <c r="O330" i="311"/>
  <c r="O342" i="311" s="1"/>
  <c r="J424" i="311"/>
  <c r="J457" i="311" s="1"/>
  <c r="K457" i="311"/>
  <c r="F502" i="311"/>
  <c r="F510" i="311" s="1"/>
  <c r="L494" i="311"/>
  <c r="O422" i="311"/>
  <c r="O494" i="311" s="1"/>
  <c r="L328" i="311"/>
  <c r="O318" i="311"/>
  <c r="O328" i="311" s="1"/>
  <c r="L344" i="311"/>
  <c r="O332" i="311"/>
  <c r="O344" i="311" s="1"/>
  <c r="F509" i="311"/>
  <c r="F507" i="311"/>
  <c r="F458" i="311"/>
  <c r="F476" i="311" s="1"/>
  <c r="C507" i="311"/>
  <c r="C509" i="311"/>
  <c r="L496" i="311"/>
  <c r="O393" i="311"/>
  <c r="O496" i="311" s="1"/>
  <c r="L382" i="311"/>
  <c r="O371" i="311"/>
  <c r="O382" i="311" s="1"/>
  <c r="L181" i="311"/>
  <c r="O171" i="311"/>
  <c r="O181" i="311" s="1"/>
  <c r="O284" i="311"/>
  <c r="O295" i="311" s="1"/>
  <c r="L295" i="311"/>
  <c r="L280" i="311"/>
  <c r="O271" i="311"/>
  <c r="O280" i="311" s="1"/>
  <c r="O413" i="311"/>
  <c r="L253" i="311"/>
  <c r="O244" i="311"/>
  <c r="O253" i="311" s="1"/>
  <c r="O240" i="311"/>
  <c r="O184" i="311"/>
  <c r="O195" i="311" s="1"/>
  <c r="L493" i="311"/>
  <c r="O136" i="311"/>
  <c r="O493" i="311" s="1"/>
  <c r="O99" i="311"/>
  <c r="O108" i="311" s="1"/>
  <c r="O71" i="311"/>
  <c r="O81" i="311" s="1"/>
  <c r="K296" i="311"/>
  <c r="L487" i="311"/>
  <c r="O15" i="311"/>
  <c r="O487" i="311" s="1"/>
  <c r="O10" i="311"/>
  <c r="L484" i="311"/>
  <c r="O14" i="311"/>
  <c r="O484" i="311" s="1"/>
  <c r="O463" i="311"/>
  <c r="L475" i="311"/>
  <c r="L504" i="311" s="1"/>
  <c r="L512" i="311" s="1"/>
  <c r="O400" i="311"/>
  <c r="O404" i="311" s="1"/>
  <c r="L404" i="311"/>
  <c r="L397" i="311"/>
  <c r="O386" i="311"/>
  <c r="O369" i="311"/>
  <c r="L380" i="311"/>
  <c r="L455" i="311"/>
  <c r="O436" i="311"/>
  <c r="O455" i="311" s="1"/>
  <c r="O157" i="311"/>
  <c r="O168" i="311" s="1"/>
  <c r="O269" i="311"/>
  <c r="O278" i="311" s="1"/>
  <c r="L278" i="311"/>
  <c r="L413" i="311"/>
  <c r="O258" i="311"/>
  <c r="O267" i="311" s="1"/>
  <c r="L267" i="311"/>
  <c r="O243" i="311"/>
  <c r="O252" i="311" s="1"/>
  <c r="L252" i="311"/>
  <c r="L239" i="311"/>
  <c r="O97" i="311"/>
  <c r="O106" i="311" s="1"/>
  <c r="O69" i="311"/>
  <c r="O79" i="311" s="1"/>
  <c r="L491" i="311"/>
  <c r="O17" i="311"/>
  <c r="L492" i="311"/>
  <c r="O34" i="311"/>
  <c r="O492" i="311" s="1"/>
  <c r="L480" i="311"/>
  <c r="O27" i="311"/>
  <c r="O480" i="311" s="1"/>
  <c r="O22" i="311"/>
  <c r="L35" i="311"/>
  <c r="O42" i="311"/>
  <c r="L479" i="311"/>
  <c r="O12" i="311"/>
  <c r="K502" i="311"/>
  <c r="K510" i="311" s="1"/>
  <c r="L414" i="311"/>
  <c r="O407" i="311"/>
  <c r="O414" i="311" s="1"/>
  <c r="O399" i="311"/>
  <c r="O403" i="311" s="1"/>
  <c r="L403" i="311"/>
  <c r="O384" i="311"/>
  <c r="L395" i="311"/>
  <c r="L454" i="311"/>
  <c r="O435" i="311"/>
  <c r="O143" i="311"/>
  <c r="O153" i="311" s="1"/>
  <c r="O282" i="311"/>
  <c r="O293" i="311" s="1"/>
  <c r="L293" i="311"/>
  <c r="L266" i="311"/>
  <c r="O257" i="311"/>
  <c r="O266" i="311" s="1"/>
  <c r="O186" i="311"/>
  <c r="O197" i="311" s="1"/>
  <c r="O127" i="311"/>
  <c r="O85" i="311"/>
  <c r="O95" i="311" s="1"/>
  <c r="O56" i="311"/>
  <c r="O67" i="311" s="1"/>
  <c r="L483" i="311"/>
  <c r="O13" i="311"/>
  <c r="O483" i="311" s="1"/>
  <c r="L477" i="311"/>
  <c r="O8" i="311"/>
  <c r="L36" i="311"/>
  <c r="L495" i="311"/>
  <c r="O452" i="311"/>
  <c r="O495" i="311" s="1"/>
  <c r="H509" i="311"/>
  <c r="H507" i="311"/>
  <c r="L456" i="311"/>
  <c r="O437" i="311"/>
  <c r="O456" i="311" s="1"/>
  <c r="O460" i="311"/>
  <c r="L472" i="311"/>
  <c r="O394" i="311"/>
  <c r="L482" i="311"/>
  <c r="O374" i="311"/>
  <c r="O482" i="311" s="1"/>
  <c r="L254" i="311"/>
  <c r="O245" i="311"/>
  <c r="O254" i="311" s="1"/>
  <c r="L294" i="311"/>
  <c r="O283" i="311"/>
  <c r="O294" i="311" s="1"/>
  <c r="L196" i="311"/>
  <c r="O185" i="311"/>
  <c r="O196" i="311" s="1"/>
  <c r="L240" i="311"/>
  <c r="O112" i="311"/>
  <c r="O83" i="311"/>
  <c r="O93" i="311" s="1"/>
  <c r="O54" i="311"/>
  <c r="O65" i="311" s="1"/>
  <c r="L138" i="311"/>
  <c r="O126" i="311"/>
  <c r="O138" i="311" s="1"/>
  <c r="L485" i="311"/>
  <c r="O29" i="311"/>
  <c r="O485" i="311" s="1"/>
  <c r="L37" i="311"/>
  <c r="O24" i="311"/>
  <c r="O40" i="311"/>
  <c r="J38" i="311"/>
  <c r="L51" i="311"/>
  <c r="O41" i="311"/>
  <c r="L19" i="311"/>
  <c r="O51" i="311" l="1"/>
  <c r="K297" i="311"/>
  <c r="K458" i="311" s="1"/>
  <c r="K476" i="311" s="1"/>
  <c r="P180" i="311"/>
  <c r="L425" i="311"/>
  <c r="L503" i="311" s="1"/>
  <c r="L511" i="311" s="1"/>
  <c r="L498" i="311"/>
  <c r="L501" i="311" s="1"/>
  <c r="O139" i="311"/>
  <c r="P137" i="311" s="1"/>
  <c r="O312" i="311"/>
  <c r="O313" i="311"/>
  <c r="P312" i="311" s="1"/>
  <c r="O137" i="311"/>
  <c r="O296" i="311" s="1"/>
  <c r="O122" i="311"/>
  <c r="P120" i="311" s="1"/>
  <c r="K507" i="311"/>
  <c r="O498" i="311"/>
  <c r="O479" i="311"/>
  <c r="P239" i="311"/>
  <c r="J501" i="311"/>
  <c r="J509" i="311" s="1"/>
  <c r="J296" i="311"/>
  <c r="J297" i="311" s="1"/>
  <c r="J458" i="311" s="1"/>
  <c r="J476" i="311" s="1"/>
  <c r="O472" i="311"/>
  <c r="P210" i="311"/>
  <c r="P265" i="311"/>
  <c r="O475" i="311"/>
  <c r="O504" i="311" s="1"/>
  <c r="O512" i="311" s="1"/>
  <c r="P278" i="311"/>
  <c r="O367" i="311"/>
  <c r="L345" i="311"/>
  <c r="O52" i="311"/>
  <c r="L424" i="311"/>
  <c r="L457" i="311" s="1"/>
  <c r="O491" i="311"/>
  <c r="O20" i="311"/>
  <c r="O50" i="311"/>
  <c r="O123" i="311" s="1"/>
  <c r="P293" i="311"/>
  <c r="P93" i="311"/>
  <c r="O345" i="311"/>
  <c r="O37" i="311"/>
  <c r="O18" i="311"/>
  <c r="P151" i="311"/>
  <c r="O366" i="311"/>
  <c r="O395" i="311"/>
  <c r="P454" i="311"/>
  <c r="O397" i="311"/>
  <c r="P395" i="311" s="1"/>
  <c r="O425" i="311"/>
  <c r="L38" i="311"/>
  <c r="P342" i="311"/>
  <c r="P326" i="311"/>
  <c r="O424" i="311"/>
  <c r="L296" i="311"/>
  <c r="O381" i="311"/>
  <c r="P380" i="311" s="1"/>
  <c r="O19" i="311"/>
  <c r="O454" i="311"/>
  <c r="O35" i="311"/>
  <c r="P252" i="311"/>
  <c r="O477" i="311"/>
  <c r="L502" i="311"/>
  <c r="L510" i="311" s="1"/>
  <c r="L123" i="311"/>
  <c r="O36" i="311"/>
  <c r="O380" i="311"/>
  <c r="J507" i="311" l="1"/>
  <c r="P35" i="311"/>
  <c r="O501" i="311"/>
  <c r="O503" i="311"/>
  <c r="O511" i="311" s="1"/>
  <c r="P472" i="311"/>
  <c r="O38" i="311"/>
  <c r="O297" i="311" s="1"/>
  <c r="L297" i="311"/>
  <c r="L458" i="311" s="1"/>
  <c r="L476" i="311" s="1"/>
  <c r="O457" i="311"/>
  <c r="O502" i="311"/>
  <c r="P18" i="311"/>
  <c r="O507" i="311"/>
  <c r="O509" i="311"/>
  <c r="L509" i="311"/>
  <c r="L507" i="311"/>
  <c r="O458" i="311" l="1"/>
  <c r="O476" i="311" s="1"/>
  <c r="P501" i="311"/>
  <c r="O510" i="311"/>
  <c r="C66" i="239" l="1"/>
  <c r="D48" i="239"/>
  <c r="E48" i="239"/>
  <c r="G48" i="239"/>
  <c r="H48" i="239"/>
  <c r="I48" i="239"/>
  <c r="O48" i="239"/>
  <c r="P48" i="239"/>
  <c r="Q48" i="239"/>
  <c r="S48" i="239"/>
  <c r="T48" i="239"/>
  <c r="U48" i="239"/>
  <c r="C48" i="239"/>
  <c r="D39" i="239"/>
  <c r="E39" i="239"/>
  <c r="H39" i="239"/>
  <c r="I39" i="239"/>
  <c r="O39" i="239"/>
  <c r="P39" i="239"/>
  <c r="Q39" i="239"/>
  <c r="S39" i="239"/>
  <c r="T39" i="239"/>
  <c r="U39" i="239"/>
  <c r="C39" i="239"/>
  <c r="D26" i="239"/>
  <c r="E26" i="239"/>
  <c r="F26" i="239"/>
  <c r="G26" i="239"/>
  <c r="H26" i="239"/>
  <c r="I26" i="239"/>
  <c r="O26" i="239"/>
  <c r="P26" i="239"/>
  <c r="Q26" i="239"/>
  <c r="R26" i="239"/>
  <c r="S26" i="239"/>
  <c r="T26" i="239"/>
  <c r="U26" i="239"/>
  <c r="V26" i="239"/>
  <c r="W26" i="239"/>
  <c r="X26" i="239"/>
  <c r="Y26" i="239"/>
  <c r="Z26" i="239"/>
  <c r="AA26" i="239"/>
  <c r="AB26" i="239"/>
  <c r="AC26" i="239"/>
  <c r="AD26" i="239"/>
  <c r="C26" i="239"/>
  <c r="E64" i="261" l="1"/>
  <c r="H25" i="261"/>
  <c r="J37" i="261"/>
  <c r="I37" i="261"/>
  <c r="G38" i="261"/>
  <c r="F38" i="261"/>
  <c r="D38" i="261"/>
  <c r="C38" i="261"/>
  <c r="E37" i="261"/>
  <c r="H37" i="261"/>
  <c r="K37" i="261" s="1"/>
  <c r="E63" i="261" l="1"/>
  <c r="J63" i="261"/>
  <c r="I63" i="261"/>
  <c r="H63" i="261"/>
  <c r="D48" i="261"/>
  <c r="F48" i="261"/>
  <c r="G48" i="261"/>
  <c r="C48" i="261"/>
  <c r="J47" i="261"/>
  <c r="I47" i="261"/>
  <c r="H47" i="261"/>
  <c r="E47" i="261"/>
  <c r="E25" i="261"/>
  <c r="I25" i="261"/>
  <c r="J25" i="261"/>
  <c r="F26" i="261"/>
  <c r="G26" i="261"/>
  <c r="D26" i="261"/>
  <c r="C26" i="261"/>
  <c r="J23" i="261"/>
  <c r="I23" i="261"/>
  <c r="H23" i="261"/>
  <c r="E23" i="261"/>
  <c r="O273" i="244"/>
  <c r="P273" i="244" s="1"/>
  <c r="BB273" i="244" s="1"/>
  <c r="K47" i="261" l="1"/>
  <c r="K63" i="261"/>
  <c r="C11" i="266" s="1"/>
  <c r="K25" i="261"/>
  <c r="K23" i="261"/>
  <c r="N268" i="244" l="1"/>
  <c r="N269" i="244"/>
  <c r="O268" i="244"/>
  <c r="P268" i="244" s="1"/>
  <c r="BB268" i="244" s="1"/>
  <c r="O275" i="244"/>
  <c r="P275" i="244" s="1"/>
  <c r="BB275" i="244" s="1"/>
  <c r="O263" i="244" l="1"/>
  <c r="P263" i="244" s="1"/>
  <c r="BB263" i="244" s="1"/>
  <c r="L230" i="244"/>
  <c r="H230" i="244"/>
  <c r="L258" i="244"/>
  <c r="H258" i="244"/>
  <c r="H239" i="244"/>
  <c r="L239" i="244"/>
  <c r="L222" i="244"/>
  <c r="H222" i="244"/>
  <c r="L221" i="244"/>
  <c r="H221" i="244"/>
  <c r="L220" i="244"/>
  <c r="H220" i="244"/>
  <c r="L213" i="244"/>
  <c r="H213" i="244"/>
  <c r="L203" i="244"/>
  <c r="H203" i="244"/>
  <c r="L202" i="244"/>
  <c r="H202" i="244"/>
  <c r="H187" i="244"/>
  <c r="L187" i="244"/>
  <c r="H188" i="244"/>
  <c r="L188" i="244"/>
  <c r="H189" i="244"/>
  <c r="L189" i="244"/>
  <c r="P187" i="244" l="1"/>
  <c r="BB187" i="244" s="1"/>
  <c r="P203" i="244"/>
  <c r="BB203" i="244" s="1"/>
  <c r="P230" i="244"/>
  <c r="BB230" i="244" s="1"/>
  <c r="P239" i="244"/>
  <c r="BB239" i="244" s="1"/>
  <c r="P258" i="244"/>
  <c r="BB258" i="244" s="1"/>
  <c r="P222" i="244"/>
  <c r="BB222" i="244" s="1"/>
  <c r="P221" i="244"/>
  <c r="BB221" i="244" s="1"/>
  <c r="P220" i="244"/>
  <c r="BB220" i="244" s="1"/>
  <c r="P213" i="244"/>
  <c r="BB213" i="244" s="1"/>
  <c r="P202" i="244"/>
  <c r="BB202" i="244" s="1"/>
  <c r="P189" i="244"/>
  <c r="BB189" i="244" s="1"/>
  <c r="P188" i="244"/>
  <c r="BB188" i="244" s="1"/>
  <c r="L192" i="244"/>
  <c r="H192" i="244"/>
  <c r="L182" i="244"/>
  <c r="H182" i="244"/>
  <c r="H154" i="244"/>
  <c r="L154" i="244"/>
  <c r="H155" i="244"/>
  <c r="L155" i="244"/>
  <c r="H156" i="244"/>
  <c r="L156" i="244"/>
  <c r="H157" i="244"/>
  <c r="L157" i="244"/>
  <c r="H158" i="244"/>
  <c r="L158" i="244"/>
  <c r="H159" i="244"/>
  <c r="L159" i="244"/>
  <c r="H160" i="244"/>
  <c r="L160" i="244"/>
  <c r="H161" i="244"/>
  <c r="L161" i="244"/>
  <c r="H162" i="244"/>
  <c r="L162" i="244"/>
  <c r="H163" i="244"/>
  <c r="L163" i="244"/>
  <c r="H164" i="244"/>
  <c r="L164" i="244"/>
  <c r="H165" i="244"/>
  <c r="L165" i="244"/>
  <c r="H166" i="244"/>
  <c r="L166" i="244"/>
  <c r="L153" i="244"/>
  <c r="H153" i="244"/>
  <c r="P192" i="244" l="1"/>
  <c r="BB192" i="244" s="1"/>
  <c r="P165" i="244"/>
  <c r="BB165" i="244" s="1"/>
  <c r="P182" i="244"/>
  <c r="BB182" i="244" s="1"/>
  <c r="P157" i="244"/>
  <c r="BB157" i="244" s="1"/>
  <c r="P155" i="244"/>
  <c r="BB155" i="244" s="1"/>
  <c r="P162" i="244"/>
  <c r="BB162" i="244" s="1"/>
  <c r="P163" i="244"/>
  <c r="BB163" i="244" s="1"/>
  <c r="P160" i="244"/>
  <c r="BB160" i="244" s="1"/>
  <c r="P158" i="244"/>
  <c r="BB158" i="244" s="1"/>
  <c r="P156" i="244"/>
  <c r="BB156" i="244" s="1"/>
  <c r="P154" i="244"/>
  <c r="BB154" i="244" s="1"/>
  <c r="P153" i="244"/>
  <c r="BB153" i="244" s="1"/>
  <c r="P166" i="244"/>
  <c r="BB166" i="244" s="1"/>
  <c r="P164" i="244"/>
  <c r="BB164" i="244" s="1"/>
  <c r="P161" i="244"/>
  <c r="BB161" i="244" s="1"/>
  <c r="P159" i="244"/>
  <c r="BB159" i="244" s="1"/>
  <c r="L88" i="244"/>
  <c r="H88" i="244"/>
  <c r="L92" i="244"/>
  <c r="L93" i="244"/>
  <c r="L94" i="244"/>
  <c r="L95" i="244"/>
  <c r="H92" i="244"/>
  <c r="H93" i="244"/>
  <c r="H94" i="244"/>
  <c r="H95" i="244"/>
  <c r="L91" i="244"/>
  <c r="H91" i="244"/>
  <c r="L63" i="244"/>
  <c r="H63" i="244"/>
  <c r="L58" i="244"/>
  <c r="H58" i="244"/>
  <c r="L57" i="244"/>
  <c r="H57" i="244"/>
  <c r="L50" i="244"/>
  <c r="H50" i="244"/>
  <c r="L49" i="244"/>
  <c r="H49" i="244"/>
  <c r="L48" i="244"/>
  <c r="H48" i="244"/>
  <c r="L44" i="244"/>
  <c r="H44" i="244"/>
  <c r="L43" i="244"/>
  <c r="H43" i="244"/>
  <c r="L42" i="244"/>
  <c r="H42" i="244"/>
  <c r="L41" i="244"/>
  <c r="H41" i="244"/>
  <c r="L40" i="244"/>
  <c r="H40" i="244"/>
  <c r="L39" i="244"/>
  <c r="H39" i="244"/>
  <c r="L38" i="244"/>
  <c r="H38" i="244"/>
  <c r="L37" i="244"/>
  <c r="H37" i="244"/>
  <c r="L36" i="244"/>
  <c r="H36" i="244"/>
  <c r="L25" i="244"/>
  <c r="H25" i="244"/>
  <c r="L17" i="244"/>
  <c r="H17" i="244"/>
  <c r="L22" i="244"/>
  <c r="H22" i="244"/>
  <c r="L21" i="244"/>
  <c r="H21" i="244"/>
  <c r="H233" i="244"/>
  <c r="L233" i="244"/>
  <c r="P36" i="244" l="1"/>
  <c r="BB36" i="244" s="1"/>
  <c r="P49" i="244"/>
  <c r="BB49" i="244" s="1"/>
  <c r="P57" i="244"/>
  <c r="BB57" i="244" s="1"/>
  <c r="P88" i="244"/>
  <c r="BB88" i="244" s="1"/>
  <c r="P58" i="244"/>
  <c r="BB58" i="244" s="1"/>
  <c r="P91" i="244"/>
  <c r="BB91" i="244" s="1"/>
  <c r="P95" i="244"/>
  <c r="BB95" i="244" s="1"/>
  <c r="P94" i="244"/>
  <c r="BB94" i="244" s="1"/>
  <c r="P93" i="244"/>
  <c r="BB93" i="244" s="1"/>
  <c r="P92" i="244"/>
  <c r="BB92" i="244" s="1"/>
  <c r="P63" i="244"/>
  <c r="BB63" i="244" s="1"/>
  <c r="P38" i="244"/>
  <c r="BB38" i="244" s="1"/>
  <c r="P40" i="244"/>
  <c r="BB40" i="244" s="1"/>
  <c r="P42" i="244"/>
  <c r="BB42" i="244" s="1"/>
  <c r="P44" i="244"/>
  <c r="BB44" i="244" s="1"/>
  <c r="P48" i="244"/>
  <c r="BB48" i="244" s="1"/>
  <c r="P50" i="244"/>
  <c r="BB50" i="244" s="1"/>
  <c r="P39" i="244"/>
  <c r="BB39" i="244" s="1"/>
  <c r="P37" i="244"/>
  <c r="BB37" i="244" s="1"/>
  <c r="P41" i="244"/>
  <c r="BB41" i="244" s="1"/>
  <c r="P43" i="244"/>
  <c r="BB43" i="244" s="1"/>
  <c r="P25" i="244"/>
  <c r="BB25" i="244" s="1"/>
  <c r="P22" i="244"/>
  <c r="BB22" i="244" s="1"/>
  <c r="P233" i="244"/>
  <c r="BB233" i="244" s="1"/>
  <c r="P21" i="244"/>
  <c r="BB21" i="244" s="1"/>
  <c r="P17" i="244"/>
  <c r="BB17" i="244" s="1"/>
  <c r="L100" i="244"/>
  <c r="H100" i="244"/>
  <c r="P100" i="244" l="1"/>
  <c r="BB100" i="244" s="1"/>
  <c r="L178" i="244"/>
  <c r="H178" i="244"/>
  <c r="L176" i="244"/>
  <c r="H176" i="244"/>
  <c r="P178" i="244" l="1"/>
  <c r="BB178" i="244" s="1"/>
  <c r="P176" i="244"/>
  <c r="BB176" i="244" s="1"/>
  <c r="L172" i="244"/>
  <c r="H172" i="244"/>
  <c r="L173" i="244"/>
  <c r="H173" i="244"/>
  <c r="H171" i="244"/>
  <c r="L171" i="244"/>
  <c r="P172" i="244" l="1"/>
  <c r="BB172" i="244" s="1"/>
  <c r="P173" i="244"/>
  <c r="BB173" i="244" s="1"/>
  <c r="P171" i="244"/>
  <c r="BB171" i="244" s="1"/>
  <c r="I120" i="244" l="1"/>
  <c r="O269" i="244" l="1"/>
  <c r="P269" i="244" s="1"/>
  <c r="BB269" i="244" s="1"/>
  <c r="L210" i="244"/>
  <c r="H210" i="244"/>
  <c r="P210" i="244" l="1"/>
  <c r="BB210" i="244" s="1"/>
  <c r="L146" i="244"/>
  <c r="L147" i="244"/>
  <c r="L149" i="244"/>
  <c r="L140" i="244"/>
  <c r="H146" i="244"/>
  <c r="H147" i="244"/>
  <c r="H149" i="244"/>
  <c r="H140" i="244"/>
  <c r="H130" i="244"/>
  <c r="L130" i="244"/>
  <c r="H131" i="244"/>
  <c r="L131" i="244"/>
  <c r="H132" i="244"/>
  <c r="L132" i="244"/>
  <c r="H133" i="244"/>
  <c r="L133" i="244"/>
  <c r="H134" i="244"/>
  <c r="L134" i="244"/>
  <c r="H135" i="244"/>
  <c r="L135" i="244"/>
  <c r="H136" i="244"/>
  <c r="L136" i="244"/>
  <c r="H137" i="244"/>
  <c r="L137" i="244"/>
  <c r="H138" i="244"/>
  <c r="L138" i="244"/>
  <c r="H143" i="244"/>
  <c r="L143" i="244"/>
  <c r="H139" i="244"/>
  <c r="L139" i="244"/>
  <c r="H144" i="244"/>
  <c r="L144" i="244"/>
  <c r="H145" i="244"/>
  <c r="L145" i="244"/>
  <c r="L129" i="244"/>
  <c r="H129" i="244"/>
  <c r="L85" i="244"/>
  <c r="H85" i="244"/>
  <c r="L78" i="244"/>
  <c r="L79" i="244"/>
  <c r="L80" i="244"/>
  <c r="L81" i="244"/>
  <c r="L82" i="244"/>
  <c r="H78" i="244"/>
  <c r="H79" i="244"/>
  <c r="H80" i="244"/>
  <c r="H81" i="244"/>
  <c r="H82" i="244"/>
  <c r="L77" i="244"/>
  <c r="H77" i="244"/>
  <c r="L33" i="244"/>
  <c r="H33" i="244"/>
  <c r="H104" i="244"/>
  <c r="L104" i="244"/>
  <c r="H105" i="244"/>
  <c r="L105" i="244"/>
  <c r="H106" i="244"/>
  <c r="L106" i="244"/>
  <c r="H107" i="244"/>
  <c r="L107" i="244"/>
  <c r="H108" i="244"/>
  <c r="L108" i="244"/>
  <c r="H109" i="244"/>
  <c r="L109" i="244"/>
  <c r="H110" i="244"/>
  <c r="L110" i="244"/>
  <c r="H111" i="244"/>
  <c r="L111" i="244"/>
  <c r="H112" i="244"/>
  <c r="L112" i="244"/>
  <c r="H99" i="244"/>
  <c r="L99" i="244"/>
  <c r="H113" i="244"/>
  <c r="L113" i="244"/>
  <c r="H114" i="244"/>
  <c r="L114" i="244"/>
  <c r="H115" i="244"/>
  <c r="L115" i="244"/>
  <c r="H116" i="244"/>
  <c r="L116" i="244"/>
  <c r="H117" i="244"/>
  <c r="L117" i="244"/>
  <c r="H118" i="244"/>
  <c r="L118" i="244"/>
  <c r="H119" i="244"/>
  <c r="L119" i="244"/>
  <c r="H120" i="244"/>
  <c r="L120" i="244"/>
  <c r="H121" i="244"/>
  <c r="L121" i="244"/>
  <c r="H148" i="244"/>
  <c r="L148" i="244"/>
  <c r="H122" i="244"/>
  <c r="L122" i="244"/>
  <c r="H123" i="244"/>
  <c r="L123" i="244"/>
  <c r="H124" i="244"/>
  <c r="L124" i="244"/>
  <c r="H125" i="244"/>
  <c r="L125" i="244"/>
  <c r="H126" i="244"/>
  <c r="L126" i="244"/>
  <c r="H150" i="244"/>
  <c r="L150" i="244"/>
  <c r="L103" i="244"/>
  <c r="H103" i="244"/>
  <c r="P118" i="244" l="1"/>
  <c r="BB118" i="244" s="1"/>
  <c r="P33" i="244"/>
  <c r="BB33" i="244" s="1"/>
  <c r="P143" i="244"/>
  <c r="BB143" i="244" s="1"/>
  <c r="P130" i="244"/>
  <c r="BB130" i="244" s="1"/>
  <c r="P125" i="244"/>
  <c r="BB125" i="244" s="1"/>
  <c r="P122" i="244"/>
  <c r="BB122" i="244" s="1"/>
  <c r="P145" i="244"/>
  <c r="BB145" i="244" s="1"/>
  <c r="P138" i="244"/>
  <c r="BB138" i="244" s="1"/>
  <c r="P146" i="244"/>
  <c r="BB146" i="244" s="1"/>
  <c r="P134" i="244"/>
  <c r="BB134" i="244" s="1"/>
  <c r="P137" i="244"/>
  <c r="BB137" i="244" s="1"/>
  <c r="P140" i="244"/>
  <c r="BB140" i="244" s="1"/>
  <c r="P149" i="244"/>
  <c r="BB149" i="244" s="1"/>
  <c r="P147" i="244"/>
  <c r="BB147" i="244" s="1"/>
  <c r="P139" i="244"/>
  <c r="BB139" i="244" s="1"/>
  <c r="P111" i="244"/>
  <c r="BB111" i="244" s="1"/>
  <c r="P129" i="244"/>
  <c r="BB129" i="244" s="1"/>
  <c r="P136" i="244"/>
  <c r="BB136" i="244" s="1"/>
  <c r="P135" i="244"/>
  <c r="BB135" i="244" s="1"/>
  <c r="P108" i="244"/>
  <c r="BB108" i="244" s="1"/>
  <c r="P133" i="244"/>
  <c r="BB133" i="244" s="1"/>
  <c r="P131" i="244"/>
  <c r="BB131" i="244" s="1"/>
  <c r="P132" i="244"/>
  <c r="BB132" i="244" s="1"/>
  <c r="P144" i="244"/>
  <c r="BB144" i="244" s="1"/>
  <c r="P104" i="244"/>
  <c r="BB104" i="244" s="1"/>
  <c r="P103" i="244"/>
  <c r="BB103" i="244" s="1"/>
  <c r="P85" i="244"/>
  <c r="BB85" i="244" s="1"/>
  <c r="P82" i="244"/>
  <c r="BB82" i="244" s="1"/>
  <c r="P80" i="244"/>
  <c r="BB80" i="244" s="1"/>
  <c r="P79" i="244"/>
  <c r="BB79" i="244" s="1"/>
  <c r="P78" i="244"/>
  <c r="P148" i="244"/>
  <c r="BB148" i="244" s="1"/>
  <c r="P126" i="244"/>
  <c r="BB126" i="244" s="1"/>
  <c r="P124" i="244"/>
  <c r="BB124" i="244" s="1"/>
  <c r="P123" i="244"/>
  <c r="BB123" i="244" s="1"/>
  <c r="P117" i="244"/>
  <c r="BB117" i="244" s="1"/>
  <c r="P115" i="244"/>
  <c r="BB115" i="244" s="1"/>
  <c r="P113" i="244"/>
  <c r="BB113" i="244" s="1"/>
  <c r="P112" i="244"/>
  <c r="BB112" i="244" s="1"/>
  <c r="P110" i="244"/>
  <c r="BB110" i="244" s="1"/>
  <c r="P77" i="244"/>
  <c r="BB77" i="244" s="1"/>
  <c r="P81" i="244"/>
  <c r="BB81" i="244" s="1"/>
  <c r="P114" i="244"/>
  <c r="BB114" i="244" s="1"/>
  <c r="P99" i="244"/>
  <c r="BB99" i="244" s="1"/>
  <c r="P150" i="244"/>
  <c r="BB150" i="244" s="1"/>
  <c r="P120" i="244"/>
  <c r="BB120" i="244" s="1"/>
  <c r="P106" i="244"/>
  <c r="BB106" i="244" s="1"/>
  <c r="P109" i="244"/>
  <c r="BB109" i="244" s="1"/>
  <c r="P121" i="244"/>
  <c r="BB121" i="244" s="1"/>
  <c r="P119" i="244"/>
  <c r="BB119" i="244" s="1"/>
  <c r="P116" i="244"/>
  <c r="BB116" i="244" s="1"/>
  <c r="P107" i="244"/>
  <c r="BB107" i="244" s="1"/>
  <c r="P105" i="244"/>
  <c r="BB105" i="244" s="1"/>
  <c r="L237" i="244"/>
  <c r="H237" i="244"/>
  <c r="BB78" i="244" l="1"/>
  <c r="P237" i="244"/>
  <c r="BB237" i="244" s="1"/>
  <c r="O277" i="244"/>
  <c r="P277" i="244" s="1"/>
  <c r="BB277" i="244" s="1"/>
  <c r="S42" i="239" l="1"/>
  <c r="G42" i="261"/>
  <c r="L207" i="244" l="1"/>
  <c r="H207" i="244"/>
  <c r="L30" i="244"/>
  <c r="H30" i="244"/>
  <c r="P207" i="244" l="1"/>
  <c r="BB207" i="244" s="1"/>
  <c r="P30" i="244"/>
  <c r="BB30" i="244" s="1"/>
  <c r="B8" i="309" l="1"/>
  <c r="D105" i="307" l="1"/>
  <c r="C105" i="307"/>
  <c r="E104" i="307"/>
  <c r="E105" i="307" s="1"/>
  <c r="D102" i="307"/>
  <c r="C102" i="307"/>
  <c r="E101" i="307"/>
  <c r="E102" i="307" s="1"/>
  <c r="D99" i="307"/>
  <c r="C99" i="307"/>
  <c r="E98" i="307"/>
  <c r="E99" i="307" s="1"/>
  <c r="D96" i="307"/>
  <c r="C96" i="307"/>
  <c r="E95" i="307"/>
  <c r="E96" i="307" s="1"/>
  <c r="D93" i="307"/>
  <c r="C93" i="307"/>
  <c r="E92" i="307"/>
  <c r="E93" i="307" s="1"/>
  <c r="D90" i="307"/>
  <c r="C90" i="307"/>
  <c r="E89" i="307"/>
  <c r="E90" i="307" s="1"/>
  <c r="D87" i="307"/>
  <c r="C87" i="307"/>
  <c r="E86" i="307"/>
  <c r="E87" i="307" s="1"/>
  <c r="E83" i="307"/>
  <c r="C81" i="307"/>
  <c r="E81" i="307" s="1"/>
  <c r="E79" i="307"/>
  <c r="D77" i="307"/>
  <c r="C77" i="307"/>
  <c r="E76" i="307"/>
  <c r="E77" i="307" s="1"/>
  <c r="D74" i="307"/>
  <c r="C73" i="307"/>
  <c r="E73" i="307" s="1"/>
  <c r="E74" i="307" s="1"/>
  <c r="D71" i="307"/>
  <c r="C71" i="307"/>
  <c r="E70" i="307"/>
  <c r="E71" i="307" s="1"/>
  <c r="D68" i="307"/>
  <c r="C68" i="307"/>
  <c r="E67" i="307"/>
  <c r="E68" i="307" s="1"/>
  <c r="D65" i="307"/>
  <c r="C65" i="307"/>
  <c r="E64" i="307"/>
  <c r="E65" i="307" s="1"/>
  <c r="D62" i="307"/>
  <c r="C62" i="307"/>
  <c r="E61" i="307"/>
  <c r="E62" i="307" s="1"/>
  <c r="D59" i="307"/>
  <c r="C59" i="307"/>
  <c r="E58" i="307"/>
  <c r="E59" i="307" s="1"/>
  <c r="D56" i="307"/>
  <c r="C56" i="307"/>
  <c r="E55" i="307"/>
  <c r="E54" i="307"/>
  <c r="D52" i="307"/>
  <c r="C52" i="307"/>
  <c r="E51" i="307"/>
  <c r="E52" i="307" s="1"/>
  <c r="D49" i="307"/>
  <c r="C49" i="307"/>
  <c r="E48" i="307"/>
  <c r="E47" i="307"/>
  <c r="E49" i="307" s="1"/>
  <c r="D45" i="307"/>
  <c r="C45" i="307"/>
  <c r="E44" i="307"/>
  <c r="E45" i="307" s="1"/>
  <c r="D42" i="307"/>
  <c r="C42" i="307"/>
  <c r="E41" i="307"/>
  <c r="E40" i="307"/>
  <c r="D38" i="307"/>
  <c r="C38" i="307"/>
  <c r="E37" i="307"/>
  <c r="E36" i="307"/>
  <c r="D34" i="307"/>
  <c r="C34" i="307"/>
  <c r="E33" i="307"/>
  <c r="E34" i="307" s="1"/>
  <c r="C31" i="307"/>
  <c r="E30" i="307"/>
  <c r="E29" i="307"/>
  <c r="E27" i="307"/>
  <c r="D27" i="307"/>
  <c r="C27" i="307"/>
  <c r="E26" i="307"/>
  <c r="D24" i="307"/>
  <c r="C24" i="307"/>
  <c r="E23" i="307"/>
  <c r="E22" i="307"/>
  <c r="D20" i="307"/>
  <c r="C20" i="307"/>
  <c r="E19" i="307"/>
  <c r="E18" i="307"/>
  <c r="D16" i="307"/>
  <c r="C16" i="307"/>
  <c r="E15" i="307"/>
  <c r="E16" i="307" s="1"/>
  <c r="D13" i="307"/>
  <c r="C13" i="307"/>
  <c r="E12" i="307"/>
  <c r="E13" i="307" s="1"/>
  <c r="D10" i="307"/>
  <c r="C10" i="307"/>
  <c r="E9" i="307"/>
  <c r="E8" i="307"/>
  <c r="E7" i="307"/>
  <c r="E6" i="307"/>
  <c r="D107" i="307" l="1"/>
  <c r="E38" i="307"/>
  <c r="E42" i="307"/>
  <c r="E10" i="307"/>
  <c r="E20" i="307"/>
  <c r="E31" i="307"/>
  <c r="C107" i="307"/>
  <c r="E56" i="307"/>
  <c r="E24" i="307"/>
  <c r="E107" i="307"/>
  <c r="D31" i="307"/>
  <c r="C74" i="307"/>
  <c r="C108" i="307" s="1"/>
  <c r="D108" i="307" l="1"/>
  <c r="E108" i="307"/>
  <c r="C76" i="302" l="1"/>
  <c r="N260" i="244"/>
  <c r="M260" i="244"/>
  <c r="K260" i="244"/>
  <c r="J260" i="244"/>
  <c r="I260" i="244"/>
  <c r="G260" i="244"/>
  <c r="F260" i="244"/>
  <c r="E260" i="244"/>
  <c r="D260" i="244"/>
  <c r="C260" i="244"/>
  <c r="O11" i="244"/>
  <c r="O260" i="244" s="1"/>
  <c r="L11" i="244"/>
  <c r="H11" i="244"/>
  <c r="P11" i="244" l="1"/>
  <c r="K15" i="240"/>
  <c r="L15" i="240"/>
  <c r="K16" i="240"/>
  <c r="L16" i="240"/>
  <c r="K17" i="240"/>
  <c r="L17" i="240"/>
  <c r="D111" i="303" l="1"/>
  <c r="G82" i="302"/>
  <c r="G83" i="302"/>
  <c r="G207" i="302" l="1"/>
  <c r="G260" i="302" l="1"/>
  <c r="H262" i="302"/>
  <c r="H260" i="302"/>
  <c r="G105" i="302"/>
  <c r="G255" i="302"/>
  <c r="H195" i="302"/>
  <c r="E201" i="302"/>
  <c r="G188" i="302"/>
  <c r="G106" i="302"/>
  <c r="G103" i="302" l="1"/>
  <c r="H77" i="302"/>
  <c r="E70" i="302"/>
  <c r="E71" i="302"/>
  <c r="E72" i="302"/>
  <c r="E73" i="302"/>
  <c r="E74" i="302"/>
  <c r="O271" i="244" l="1"/>
  <c r="P271" i="244" s="1"/>
  <c r="BB271" i="244" s="1"/>
  <c r="O272" i="244"/>
  <c r="P272" i="244" s="1"/>
  <c r="BB272" i="244" s="1"/>
  <c r="L255" i="244" l="1"/>
  <c r="H255" i="244"/>
  <c r="L254" i="244"/>
  <c r="H254" i="244"/>
  <c r="L253" i="244"/>
  <c r="H253" i="244"/>
  <c r="L252" i="244"/>
  <c r="H252" i="244"/>
  <c r="L251" i="244"/>
  <c r="H251" i="244"/>
  <c r="L250" i="244"/>
  <c r="H250" i="244"/>
  <c r="L249" i="244"/>
  <c r="H249" i="244"/>
  <c r="L248" i="244"/>
  <c r="H248" i="244"/>
  <c r="L247" i="244"/>
  <c r="H247" i="244"/>
  <c r="L246" i="244"/>
  <c r="H246" i="244"/>
  <c r="L245" i="244"/>
  <c r="H245" i="244"/>
  <c r="L244" i="244"/>
  <c r="H244" i="244"/>
  <c r="L226" i="244"/>
  <c r="H226" i="244"/>
  <c r="P244" i="244" l="1"/>
  <c r="P246" i="244"/>
  <c r="BB246" i="244" s="1"/>
  <c r="P254" i="244"/>
  <c r="BB254" i="244" s="1"/>
  <c r="P255" i="244"/>
  <c r="BB255" i="244" s="1"/>
  <c r="P247" i="244"/>
  <c r="BB247" i="244" s="1"/>
  <c r="P250" i="244"/>
  <c r="BB250" i="244" s="1"/>
  <c r="P252" i="244"/>
  <c r="BB252" i="244" s="1"/>
  <c r="P245" i="244"/>
  <c r="BB245" i="244" s="1"/>
  <c r="P251" i="244"/>
  <c r="BB251" i="244" s="1"/>
  <c r="P253" i="244"/>
  <c r="BB253" i="244" s="1"/>
  <c r="P249" i="244"/>
  <c r="BB249" i="244" s="1"/>
  <c r="P248" i="244"/>
  <c r="BB248" i="244" s="1"/>
  <c r="P226" i="244"/>
  <c r="BB226" i="244" s="1"/>
  <c r="BB244" i="244" l="1"/>
  <c r="C5" i="302"/>
  <c r="C9" i="302"/>
  <c r="C4" i="302" s="1"/>
  <c r="O10" i="244"/>
  <c r="L10" i="244"/>
  <c r="H10" i="244"/>
  <c r="P10" i="244" l="1"/>
  <c r="G176" i="302"/>
  <c r="E177" i="302"/>
  <c r="G227" i="302" l="1"/>
  <c r="V45" i="239"/>
  <c r="V46" i="239"/>
  <c r="J45" i="239"/>
  <c r="J46" i="239"/>
  <c r="K45" i="239"/>
  <c r="L45" i="239"/>
  <c r="M45" i="239"/>
  <c r="K46" i="239"/>
  <c r="L46" i="239"/>
  <c r="M46" i="239"/>
  <c r="R45" i="239"/>
  <c r="R48" i="239" s="1"/>
  <c r="R46" i="239"/>
  <c r="W45" i="239"/>
  <c r="X45" i="239"/>
  <c r="Y45" i="239"/>
  <c r="AK45" i="239" s="1"/>
  <c r="W46" i="239"/>
  <c r="X46" i="239"/>
  <c r="Y46" i="239"/>
  <c r="AB45" i="239"/>
  <c r="AB48" i="239" s="1"/>
  <c r="AC45" i="239"/>
  <c r="AE45" i="239"/>
  <c r="AF45" i="239"/>
  <c r="AG45" i="239"/>
  <c r="AG48" i="239" s="1"/>
  <c r="AB46" i="239"/>
  <c r="AC46" i="239"/>
  <c r="AE46" i="239"/>
  <c r="AF46" i="239"/>
  <c r="AG46" i="239"/>
  <c r="AI46" i="239"/>
  <c r="AK46" i="239"/>
  <c r="AA45" i="239"/>
  <c r="AA48" i="239" s="1"/>
  <c r="AA46" i="239"/>
  <c r="F46" i="239"/>
  <c r="AD46" i="239" s="1"/>
  <c r="F45" i="239"/>
  <c r="AF48" i="239" l="1"/>
  <c r="AC48" i="239"/>
  <c r="N45" i="239"/>
  <c r="AH46" i="239"/>
  <c r="N46" i="239"/>
  <c r="AJ45" i="239"/>
  <c r="Z45" i="239"/>
  <c r="AL45" i="239" s="1"/>
  <c r="Z46" i="239"/>
  <c r="AJ46" i="239"/>
  <c r="AD45" i="239"/>
  <c r="AH45" i="239"/>
  <c r="AI45" i="239"/>
  <c r="AL46" i="239" l="1"/>
  <c r="C137" i="303" l="1"/>
  <c r="B137" i="303"/>
  <c r="D136" i="303"/>
  <c r="D135" i="303"/>
  <c r="D134" i="303"/>
  <c r="D133" i="303"/>
  <c r="D132" i="303"/>
  <c r="D131" i="303"/>
  <c r="D130" i="303"/>
  <c r="D129" i="303"/>
  <c r="D128" i="303"/>
  <c r="D127" i="303"/>
  <c r="D126" i="303"/>
  <c r="D125" i="303"/>
  <c r="D124" i="303"/>
  <c r="D123" i="303"/>
  <c r="D122" i="303"/>
  <c r="D121" i="303"/>
  <c r="D120" i="303"/>
  <c r="D119" i="303"/>
  <c r="D118" i="303"/>
  <c r="C114" i="303"/>
  <c r="B114" i="303"/>
  <c r="D113" i="303"/>
  <c r="D110" i="303"/>
  <c r="D109" i="303"/>
  <c r="D108" i="303"/>
  <c r="D107" i="303"/>
  <c r="D106" i="303"/>
  <c r="D105" i="303"/>
  <c r="D104" i="303"/>
  <c r="D103" i="303"/>
  <c r="D102" i="303"/>
  <c r="D101" i="303"/>
  <c r="D100" i="303"/>
  <c r="D99" i="303"/>
  <c r="D98" i="303"/>
  <c r="D97" i="303"/>
  <c r="D96" i="303"/>
  <c r="D95" i="303"/>
  <c r="D94" i="303"/>
  <c r="D93" i="303"/>
  <c r="D92" i="303"/>
  <c r="D91" i="303"/>
  <c r="D90" i="303"/>
  <c r="D89" i="303"/>
  <c r="D88" i="303"/>
  <c r="D87" i="303"/>
  <c r="D86" i="303"/>
  <c r="D85" i="303"/>
  <c r="D84" i="303"/>
  <c r="D83" i="303"/>
  <c r="D82" i="303"/>
  <c r="D81" i="303"/>
  <c r="D80" i="303"/>
  <c r="D79" i="303"/>
  <c r="D78" i="303"/>
  <c r="D77" i="303"/>
  <c r="D76" i="303"/>
  <c r="D75" i="303"/>
  <c r="D74" i="303"/>
  <c r="D73" i="303"/>
  <c r="D72" i="303"/>
  <c r="D71" i="303"/>
  <c r="D70" i="303"/>
  <c r="D69" i="303"/>
  <c r="D68" i="303"/>
  <c r="D67" i="303"/>
  <c r="D66" i="303"/>
  <c r="D65" i="303"/>
  <c r="D64" i="303"/>
  <c r="D63" i="303"/>
  <c r="D62" i="303"/>
  <c r="D61" i="303"/>
  <c r="B58" i="303"/>
  <c r="D57" i="303"/>
  <c r="D56" i="303"/>
  <c r="C58" i="303"/>
  <c r="D55" i="303"/>
  <c r="D54" i="303"/>
  <c r="D53" i="303"/>
  <c r="D52" i="303"/>
  <c r="D51" i="303"/>
  <c r="D50" i="303"/>
  <c r="D49" i="303"/>
  <c r="D48" i="303"/>
  <c r="D47" i="303"/>
  <c r="D43" i="303"/>
  <c r="D42" i="303"/>
  <c r="D41" i="303"/>
  <c r="D39" i="303"/>
  <c r="D36" i="303"/>
  <c r="D35" i="303"/>
  <c r="D34" i="303"/>
  <c r="D33" i="303"/>
  <c r="D32" i="303"/>
  <c r="D31" i="303"/>
  <c r="D30" i="303"/>
  <c r="D29" i="303"/>
  <c r="D28" i="303"/>
  <c r="D27" i="303"/>
  <c r="D26" i="303"/>
  <c r="D25" i="303"/>
  <c r="D24" i="303"/>
  <c r="D23" i="303"/>
  <c r="D22" i="303"/>
  <c r="D21" i="303"/>
  <c r="D20" i="303"/>
  <c r="D19" i="303"/>
  <c r="D18" i="303"/>
  <c r="D17" i="303"/>
  <c r="D16" i="303"/>
  <c r="D15" i="303"/>
  <c r="D14" i="303"/>
  <c r="D13" i="303"/>
  <c r="C12" i="303"/>
  <c r="C44" i="303" s="1"/>
  <c r="B12" i="303"/>
  <c r="B44" i="303" s="1"/>
  <c r="C9" i="303"/>
  <c r="B9" i="303"/>
  <c r="D8" i="303"/>
  <c r="D7" i="303"/>
  <c r="E269" i="302"/>
  <c r="E268" i="302"/>
  <c r="E267" i="302"/>
  <c r="E266" i="302"/>
  <c r="E265" i="302"/>
  <c r="E264" i="302"/>
  <c r="E263" i="302"/>
  <c r="E262" i="302"/>
  <c r="E261" i="302"/>
  <c r="G256" i="302"/>
  <c r="E260" i="302"/>
  <c r="E259" i="302"/>
  <c r="E258" i="302"/>
  <c r="E257" i="302"/>
  <c r="F256" i="302"/>
  <c r="C256" i="302"/>
  <c r="E255" i="302"/>
  <c r="E253" i="302"/>
  <c r="G252" i="302"/>
  <c r="E252" i="302"/>
  <c r="G251" i="302"/>
  <c r="E251" i="302"/>
  <c r="E250" i="302"/>
  <c r="E249" i="302"/>
  <c r="E248" i="302"/>
  <c r="G247" i="302"/>
  <c r="E247" i="302"/>
  <c r="E246" i="302"/>
  <c r="G245" i="302"/>
  <c r="E245" i="302"/>
  <c r="H244" i="302"/>
  <c r="H243" i="302" s="1"/>
  <c r="F244" i="302"/>
  <c r="D244" i="302"/>
  <c r="F243" i="302"/>
  <c r="D243" i="302"/>
  <c r="C243" i="302"/>
  <c r="E242" i="302"/>
  <c r="E241" i="302"/>
  <c r="E240" i="302"/>
  <c r="E239" i="302"/>
  <c r="E238" i="302"/>
  <c r="E237" i="302"/>
  <c r="E236" i="302"/>
  <c r="E235" i="302"/>
  <c r="E234" i="302"/>
  <c r="E233" i="302"/>
  <c r="E232" i="302"/>
  <c r="E231" i="302"/>
  <c r="E230" i="302"/>
  <c r="E229" i="302"/>
  <c r="G228" i="302"/>
  <c r="E228" i="302"/>
  <c r="E227" i="302"/>
  <c r="E226" i="302"/>
  <c r="E225" i="302"/>
  <c r="E224" i="302"/>
  <c r="E223" i="302"/>
  <c r="E222" i="302"/>
  <c r="E221" i="302"/>
  <c r="E220" i="302"/>
  <c r="G219" i="302"/>
  <c r="E219" i="302"/>
  <c r="E218" i="302"/>
  <c r="E217" i="302"/>
  <c r="E216" i="302"/>
  <c r="H215" i="302"/>
  <c r="G215" i="302"/>
  <c r="F215" i="302"/>
  <c r="D215" i="302"/>
  <c r="G214" i="302"/>
  <c r="E214" i="302"/>
  <c r="E213" i="302"/>
  <c r="E212" i="302"/>
  <c r="E211" i="302"/>
  <c r="E210" i="302"/>
  <c r="E209" i="302"/>
  <c r="G208" i="302"/>
  <c r="E208" i="302"/>
  <c r="E207" i="302"/>
  <c r="H206" i="302"/>
  <c r="F206" i="302"/>
  <c r="D206" i="302"/>
  <c r="C206" i="302"/>
  <c r="C111" i="302" s="1"/>
  <c r="H205" i="302"/>
  <c r="G205" i="302"/>
  <c r="E205" i="302"/>
  <c r="H204" i="302"/>
  <c r="E204" i="302"/>
  <c r="G203" i="302"/>
  <c r="D203" i="302"/>
  <c r="E203" i="302" s="1"/>
  <c r="E202" i="302"/>
  <c r="E200" i="302"/>
  <c r="E199" i="302"/>
  <c r="E198" i="302"/>
  <c r="E197" i="302"/>
  <c r="E196" i="302"/>
  <c r="G195" i="302"/>
  <c r="E195" i="302"/>
  <c r="E194" i="302"/>
  <c r="E193" i="302"/>
  <c r="E192" i="302"/>
  <c r="E191" i="302"/>
  <c r="E190" i="302"/>
  <c r="E189" i="302"/>
  <c r="E188" i="302"/>
  <c r="E187" i="302"/>
  <c r="E186" i="302"/>
  <c r="E185" i="302"/>
  <c r="G184" i="302"/>
  <c r="E184" i="302"/>
  <c r="E183" i="302"/>
  <c r="E174" i="302"/>
  <c r="E181" i="302"/>
  <c r="E180" i="302"/>
  <c r="G179" i="302"/>
  <c r="E179" i="302"/>
  <c r="G178" i="302"/>
  <c r="E178" i="302"/>
  <c r="E176" i="302"/>
  <c r="E175" i="302"/>
  <c r="E173" i="302"/>
  <c r="E172" i="302"/>
  <c r="E171" i="302"/>
  <c r="E170" i="302"/>
  <c r="E169" i="302"/>
  <c r="E168" i="302"/>
  <c r="G167" i="302"/>
  <c r="E167" i="302"/>
  <c r="E166" i="302"/>
  <c r="E165" i="302"/>
  <c r="E164" i="302"/>
  <c r="E163" i="302"/>
  <c r="E162" i="302"/>
  <c r="E161" i="302"/>
  <c r="E160" i="302"/>
  <c r="E159" i="302"/>
  <c r="E158" i="302"/>
  <c r="E157" i="302"/>
  <c r="E156" i="302"/>
  <c r="E155" i="302"/>
  <c r="E154" i="302"/>
  <c r="E153" i="302"/>
  <c r="E152" i="302"/>
  <c r="E151" i="302"/>
  <c r="E150" i="302"/>
  <c r="E149" i="302"/>
  <c r="E148" i="302"/>
  <c r="E147" i="302"/>
  <c r="G145" i="302"/>
  <c r="E145" i="302"/>
  <c r="E143" i="302"/>
  <c r="E142" i="302"/>
  <c r="E141" i="302"/>
  <c r="E140" i="302"/>
  <c r="E139" i="302"/>
  <c r="E138" i="302"/>
  <c r="E137" i="302"/>
  <c r="E136" i="302"/>
  <c r="E135" i="302"/>
  <c r="E134" i="302"/>
  <c r="G133" i="302"/>
  <c r="E133" i="302"/>
  <c r="E132" i="302"/>
  <c r="E131" i="302"/>
  <c r="E130" i="302"/>
  <c r="E129" i="302"/>
  <c r="E128" i="302"/>
  <c r="E127" i="302"/>
  <c r="E126" i="302"/>
  <c r="E125" i="302"/>
  <c r="E124" i="302"/>
  <c r="E123" i="302"/>
  <c r="G122" i="302"/>
  <c r="E122" i="302"/>
  <c r="E121" i="302"/>
  <c r="E120" i="302"/>
  <c r="G119" i="302"/>
  <c r="E119" i="302"/>
  <c r="G118" i="302"/>
  <c r="E118" i="302"/>
  <c r="E117" i="302"/>
  <c r="E116" i="302"/>
  <c r="E115" i="302"/>
  <c r="E114" i="302"/>
  <c r="E113" i="302"/>
  <c r="G112" i="302"/>
  <c r="E112" i="302"/>
  <c r="F111" i="302"/>
  <c r="G110" i="302"/>
  <c r="E110" i="302"/>
  <c r="G109" i="302"/>
  <c r="E109" i="302"/>
  <c r="E108" i="302"/>
  <c r="E107" i="302"/>
  <c r="E106" i="302"/>
  <c r="E105" i="302"/>
  <c r="G104" i="302"/>
  <c r="E104" i="302"/>
  <c r="E103" i="302"/>
  <c r="H102" i="302"/>
  <c r="F102" i="302"/>
  <c r="D102" i="302"/>
  <c r="C102" i="302"/>
  <c r="G101" i="302"/>
  <c r="G98" i="302" s="1"/>
  <c r="E101" i="302"/>
  <c r="E100" i="302"/>
  <c r="E99" i="302"/>
  <c r="H98" i="302"/>
  <c r="F98" i="302"/>
  <c r="D98" i="302"/>
  <c r="C98" i="302"/>
  <c r="E97" i="302"/>
  <c r="E96" i="302"/>
  <c r="E95" i="302"/>
  <c r="G93" i="302"/>
  <c r="E94" i="302"/>
  <c r="H93" i="302"/>
  <c r="F93" i="302"/>
  <c r="D93" i="302"/>
  <c r="C93" i="302"/>
  <c r="G92" i="302"/>
  <c r="E92" i="302"/>
  <c r="G91" i="302"/>
  <c r="G90" i="302" s="1"/>
  <c r="E91" i="302"/>
  <c r="E90" i="302" s="1"/>
  <c r="H90" i="302"/>
  <c r="F90" i="302"/>
  <c r="D90" i="302"/>
  <c r="E89" i="302"/>
  <c r="G88" i="302"/>
  <c r="E88" i="302"/>
  <c r="E87" i="302"/>
  <c r="E86" i="302"/>
  <c r="E85" i="302"/>
  <c r="G84" i="302"/>
  <c r="D84" i="302"/>
  <c r="E84" i="302" s="1"/>
  <c r="E83" i="302"/>
  <c r="E82" i="302"/>
  <c r="G81" i="302"/>
  <c r="E81" i="302"/>
  <c r="G80" i="302"/>
  <c r="E80" i="302"/>
  <c r="E79" i="302"/>
  <c r="G78" i="302"/>
  <c r="E78" i="302"/>
  <c r="G76" i="302"/>
  <c r="E77" i="302"/>
  <c r="H76" i="302"/>
  <c r="F76" i="302"/>
  <c r="E75" i="302"/>
  <c r="E69" i="302"/>
  <c r="E68" i="302"/>
  <c r="E67" i="302"/>
  <c r="E66" i="302"/>
  <c r="E65" i="302"/>
  <c r="E64" i="302"/>
  <c r="E63" i="302"/>
  <c r="E62" i="302"/>
  <c r="E61" i="302"/>
  <c r="E60" i="302"/>
  <c r="E59" i="302"/>
  <c r="E58" i="302"/>
  <c r="E57" i="302"/>
  <c r="E56" i="302"/>
  <c r="E55" i="302"/>
  <c r="E54" i="302"/>
  <c r="E53" i="302"/>
  <c r="E52" i="302"/>
  <c r="E51" i="302"/>
  <c r="E50" i="302"/>
  <c r="E49" i="302"/>
  <c r="G48" i="302"/>
  <c r="E48" i="302"/>
  <c r="E47" i="302"/>
  <c r="E46" i="302"/>
  <c r="E45" i="302"/>
  <c r="E44" i="302"/>
  <c r="E43" i="302"/>
  <c r="E42" i="302"/>
  <c r="E41" i="302"/>
  <c r="E40" i="302"/>
  <c r="E39" i="302"/>
  <c r="G38" i="302"/>
  <c r="E38" i="302"/>
  <c r="E37" i="302"/>
  <c r="G36" i="302"/>
  <c r="E36" i="302"/>
  <c r="E35" i="302"/>
  <c r="E34" i="302"/>
  <c r="E33" i="302"/>
  <c r="G32" i="302"/>
  <c r="E32" i="302"/>
  <c r="E31" i="302"/>
  <c r="E30" i="302"/>
  <c r="E29" i="302"/>
  <c r="E28" i="302"/>
  <c r="E27" i="302"/>
  <c r="E26" i="302"/>
  <c r="E25" i="302"/>
  <c r="G24" i="302"/>
  <c r="E24" i="302"/>
  <c r="E23" i="302"/>
  <c r="E22" i="302"/>
  <c r="G21" i="302"/>
  <c r="E21" i="302"/>
  <c r="G20" i="302"/>
  <c r="E20" i="302"/>
  <c r="E19" i="302"/>
  <c r="G18" i="302"/>
  <c r="E18" i="302"/>
  <c r="E17" i="302"/>
  <c r="E16" i="302"/>
  <c r="E15" i="302"/>
  <c r="G14" i="302"/>
  <c r="E14" i="302"/>
  <c r="E13" i="302"/>
  <c r="E12" i="302"/>
  <c r="E11" i="302"/>
  <c r="E10" i="302"/>
  <c r="H9" i="302"/>
  <c r="F9" i="302"/>
  <c r="E8" i="302"/>
  <c r="E7" i="302"/>
  <c r="G5" i="302"/>
  <c r="F6" i="302"/>
  <c r="F5" i="302" s="1"/>
  <c r="F4" i="302" s="1"/>
  <c r="F254" i="302" s="1"/>
  <c r="F270" i="302" s="1"/>
  <c r="E6" i="302"/>
  <c r="H5" i="302"/>
  <c r="D5" i="302"/>
  <c r="I46" i="261"/>
  <c r="I45" i="261"/>
  <c r="J46" i="261"/>
  <c r="J45" i="261"/>
  <c r="H46" i="261"/>
  <c r="H45" i="261"/>
  <c r="E46" i="261"/>
  <c r="E45" i="261"/>
  <c r="D9" i="303" l="1"/>
  <c r="E5" i="302"/>
  <c r="E244" i="302"/>
  <c r="E243" i="302" s="1"/>
  <c r="D114" i="303"/>
  <c r="B139" i="303"/>
  <c r="E98" i="302"/>
  <c r="C254" i="302"/>
  <c r="C270" i="302" s="1"/>
  <c r="D12" i="303"/>
  <c r="D44" i="303" s="1"/>
  <c r="D137" i="303"/>
  <c r="C139" i="303"/>
  <c r="D58" i="303"/>
  <c r="H203" i="302"/>
  <c r="E206" i="302"/>
  <c r="H256" i="302"/>
  <c r="E215" i="302"/>
  <c r="G244" i="302"/>
  <c r="G243" i="302" s="1"/>
  <c r="G206" i="302"/>
  <c r="E93" i="302"/>
  <c r="G102" i="302"/>
  <c r="H111" i="302"/>
  <c r="H4" i="302"/>
  <c r="E102" i="302"/>
  <c r="D76" i="302"/>
  <c r="D9" i="302" s="1"/>
  <c r="D4" i="302" s="1"/>
  <c r="E76" i="302"/>
  <c r="E9" i="302" s="1"/>
  <c r="E4" i="302" s="1"/>
  <c r="K46" i="261"/>
  <c r="K45" i="261"/>
  <c r="E256" i="302"/>
  <c r="G9" i="302"/>
  <c r="G4" i="302" s="1"/>
  <c r="G111" i="302"/>
  <c r="D111" i="302"/>
  <c r="D256" i="302"/>
  <c r="E111" i="302" l="1"/>
  <c r="D254" i="302"/>
  <c r="D270" i="302" s="1"/>
  <c r="D139" i="303"/>
  <c r="E254" i="302"/>
  <c r="E270" i="302" s="1"/>
  <c r="H254" i="302"/>
  <c r="H270" i="302" s="1"/>
  <c r="G254" i="302"/>
  <c r="G270" i="302" s="1"/>
  <c r="N287" i="244" l="1"/>
  <c r="M287" i="244"/>
  <c r="L73" i="244" l="1"/>
  <c r="L74" i="244"/>
  <c r="H73" i="244"/>
  <c r="H74" i="244"/>
  <c r="L72" i="244"/>
  <c r="H72" i="244"/>
  <c r="P72" i="244" l="1"/>
  <c r="BB72" i="244" s="1"/>
  <c r="P74" i="244"/>
  <c r="BB74" i="244" s="1"/>
  <c r="P73" i="244"/>
  <c r="BB73" i="244" s="1"/>
  <c r="L197" i="244" l="1"/>
  <c r="H197" i="244"/>
  <c r="P197" i="244" l="1"/>
  <c r="BB197" i="244" s="1"/>
  <c r="L53" i="244" l="1"/>
  <c r="H53" i="244"/>
  <c r="P53" i="244" l="1"/>
  <c r="BB53" i="244" s="1"/>
  <c r="O9" i="244" l="1"/>
  <c r="L9" i="244"/>
  <c r="H9" i="244"/>
  <c r="P9" i="244" l="1"/>
  <c r="E36" i="299" l="1"/>
  <c r="E30" i="299"/>
  <c r="B30" i="299"/>
  <c r="E19" i="299"/>
  <c r="B19" i="299"/>
  <c r="E12" i="299"/>
  <c r="B12" i="299"/>
  <c r="F12" i="299" l="1"/>
  <c r="F19" i="299"/>
  <c r="B44" i="299"/>
  <c r="B41" i="299"/>
  <c r="E41" i="299"/>
  <c r="F30" i="299"/>
  <c r="E44" i="299"/>
  <c r="F36" i="299"/>
  <c r="F21" i="299" l="1"/>
  <c r="F41" i="299"/>
  <c r="F44" i="299"/>
  <c r="F38" i="299"/>
  <c r="F46" i="299" l="1"/>
  <c r="E14" i="240" l="1"/>
  <c r="O278" i="244" l="1"/>
  <c r="P278" i="244" s="1"/>
  <c r="BB278" i="244" s="1"/>
  <c r="O279" i="244"/>
  <c r="P279" i="244" s="1"/>
  <c r="O280" i="244"/>
  <c r="P280" i="244" s="1"/>
  <c r="BB280" i="244" s="1"/>
  <c r="O281" i="244"/>
  <c r="P281" i="244" s="1"/>
  <c r="BB281" i="244" s="1"/>
  <c r="O282" i="244"/>
  <c r="P282" i="244" s="1"/>
  <c r="BB282" i="244" s="1"/>
  <c r="O283" i="244"/>
  <c r="P283" i="244" s="1"/>
  <c r="BB283" i="244" s="1"/>
  <c r="O284" i="244"/>
  <c r="P284" i="244" s="1"/>
  <c r="BB284" i="244" s="1"/>
  <c r="O286" i="244"/>
  <c r="P286" i="244" s="1"/>
  <c r="BB286" i="244" s="1"/>
  <c r="BB279" i="244" l="1"/>
  <c r="O266" i="244"/>
  <c r="P266" i="244" s="1"/>
  <c r="BB266" i="244" s="1"/>
  <c r="O267" i="244"/>
  <c r="P267" i="244" s="1"/>
  <c r="BB267" i="244" s="1"/>
  <c r="H60" i="261" l="1"/>
  <c r="H61" i="261"/>
  <c r="H217" i="244" l="1"/>
  <c r="L217" i="244"/>
  <c r="H70" i="244"/>
  <c r="L70" i="244"/>
  <c r="H71" i="244"/>
  <c r="L71" i="244"/>
  <c r="H68" i="244"/>
  <c r="L68" i="244"/>
  <c r="L20" i="244"/>
  <c r="H20" i="244"/>
  <c r="AF23" i="240"/>
  <c r="P71" i="244" l="1"/>
  <c r="BB71" i="244" s="1"/>
  <c r="P217" i="244"/>
  <c r="BB217" i="244" s="1"/>
  <c r="P68" i="244"/>
  <c r="BB68" i="244" s="1"/>
  <c r="P70" i="244"/>
  <c r="BB70" i="244" s="1"/>
  <c r="P20" i="244"/>
  <c r="H243" i="244"/>
  <c r="L243" i="244"/>
  <c r="BB20" i="244" l="1"/>
  <c r="P298" i="244"/>
  <c r="P243" i="244"/>
  <c r="BB243" i="244" s="1"/>
  <c r="J61" i="261" l="1"/>
  <c r="J60" i="261"/>
  <c r="I61" i="261"/>
  <c r="I60" i="261"/>
  <c r="E61" i="261"/>
  <c r="K61" i="261" s="1"/>
  <c r="E60" i="261"/>
  <c r="K60" i="261" s="1"/>
  <c r="R34" i="239"/>
  <c r="R35" i="239"/>
  <c r="R36" i="239"/>
  <c r="D26" i="240"/>
  <c r="D67" i="239" s="1"/>
  <c r="E26" i="240"/>
  <c r="E67" i="239" s="1"/>
  <c r="G26" i="240"/>
  <c r="H26" i="240"/>
  <c r="I26" i="240"/>
  <c r="O26" i="240"/>
  <c r="P26" i="240"/>
  <c r="Q26" i="240"/>
  <c r="S26" i="240"/>
  <c r="T26" i="240"/>
  <c r="U26" i="240"/>
  <c r="C26" i="240"/>
  <c r="C67" i="239" s="1"/>
  <c r="W65" i="239" l="1"/>
  <c r="X65" i="239"/>
  <c r="Y65" i="239"/>
  <c r="V65" i="239"/>
  <c r="R65" i="239"/>
  <c r="I67" i="239"/>
  <c r="K65" i="239"/>
  <c r="L65" i="239"/>
  <c r="M65" i="239"/>
  <c r="J65" i="239"/>
  <c r="F65" i="239"/>
  <c r="AF65" i="239"/>
  <c r="AE65" i="239"/>
  <c r="AB65" i="239"/>
  <c r="AA65" i="239"/>
  <c r="R25" i="240"/>
  <c r="V25" i="240"/>
  <c r="W25" i="240"/>
  <c r="X25" i="240"/>
  <c r="Y25" i="240"/>
  <c r="AA25" i="240"/>
  <c r="AB25" i="240"/>
  <c r="AC25" i="240"/>
  <c r="AE25" i="240"/>
  <c r="AF25" i="240"/>
  <c r="AG25" i="240"/>
  <c r="K25" i="240"/>
  <c r="L25" i="240"/>
  <c r="M25" i="240"/>
  <c r="H67" i="239"/>
  <c r="G67" i="239"/>
  <c r="J25" i="240"/>
  <c r="F25" i="240"/>
  <c r="AD25" i="240" s="1"/>
  <c r="I65" i="261"/>
  <c r="J65" i="261"/>
  <c r="E65" i="261"/>
  <c r="K65" i="261" s="1"/>
  <c r="C10" i="266" s="1"/>
  <c r="J24" i="260"/>
  <c r="J25" i="260"/>
  <c r="I25" i="260"/>
  <c r="I24" i="260"/>
  <c r="D26" i="260"/>
  <c r="C26" i="260"/>
  <c r="C67" i="261" s="1"/>
  <c r="E25" i="260"/>
  <c r="K25" i="260" s="1"/>
  <c r="C17" i="266" s="1"/>
  <c r="O265" i="244"/>
  <c r="P265" i="244" s="1"/>
  <c r="O264" i="244"/>
  <c r="P264" i="244" s="1"/>
  <c r="BB264" i="244" s="1"/>
  <c r="BB265" i="244" l="1"/>
  <c r="AJ25" i="240"/>
  <c r="AJ65" i="239"/>
  <c r="AD65" i="239"/>
  <c r="AK25" i="240"/>
  <c r="AH65" i="239"/>
  <c r="Z25" i="240"/>
  <c r="N25" i="240"/>
  <c r="AH25" i="240"/>
  <c r="Z65" i="239"/>
  <c r="AI65" i="239"/>
  <c r="N65" i="239"/>
  <c r="AI25" i="240"/>
  <c r="AL25" i="240" l="1"/>
  <c r="AL65" i="239"/>
  <c r="AE9" i="239" l="1"/>
  <c r="AG67" i="239"/>
  <c r="AF67" i="239"/>
  <c r="AE67" i="239"/>
  <c r="AG64" i="239"/>
  <c r="AF64" i="239"/>
  <c r="AE64" i="239"/>
  <c r="AK62" i="239"/>
  <c r="AG62" i="239"/>
  <c r="AF61" i="239"/>
  <c r="AE61" i="239"/>
  <c r="AF60" i="239"/>
  <c r="AE60" i="239"/>
  <c r="AG50" i="239"/>
  <c r="AF50" i="239"/>
  <c r="AE50" i="239"/>
  <c r="AG49" i="239"/>
  <c r="AF49" i="239"/>
  <c r="AE49" i="239"/>
  <c r="AG44" i="239"/>
  <c r="AF44" i="239"/>
  <c r="AE44" i="239"/>
  <c r="AE48" i="239" s="1"/>
  <c r="AG43" i="239"/>
  <c r="AF43" i="239"/>
  <c r="AE43" i="239"/>
  <c r="AG42" i="239"/>
  <c r="AF42" i="239"/>
  <c r="AE42" i="239"/>
  <c r="AG41" i="239"/>
  <c r="AF41" i="239"/>
  <c r="AE41" i="239"/>
  <c r="AG40" i="239"/>
  <c r="AF40" i="239"/>
  <c r="AE40" i="239"/>
  <c r="AG36" i="239"/>
  <c r="AF36" i="239"/>
  <c r="AE36" i="239"/>
  <c r="AG35" i="239"/>
  <c r="AF35" i="239"/>
  <c r="AE35" i="239"/>
  <c r="AE38" i="239" s="1"/>
  <c r="AG34" i="239"/>
  <c r="AF34" i="239"/>
  <c r="AE34" i="239"/>
  <c r="AG33" i="239"/>
  <c r="AF33" i="239"/>
  <c r="AE33" i="239"/>
  <c r="AG30" i="239"/>
  <c r="AF30" i="239"/>
  <c r="AF31" i="239" s="1"/>
  <c r="AE30" i="239"/>
  <c r="AG29" i="239"/>
  <c r="AF29" i="239"/>
  <c r="AE29" i="239"/>
  <c r="AG27" i="239"/>
  <c r="AG28" i="239" s="1"/>
  <c r="AF27" i="239"/>
  <c r="AF28" i="239" s="1"/>
  <c r="AE27" i="239"/>
  <c r="AE28" i="239" s="1"/>
  <c r="AG24" i="239"/>
  <c r="AG26" i="239" s="1"/>
  <c r="AF24" i="239"/>
  <c r="AF26" i="239" s="1"/>
  <c r="AE24" i="239"/>
  <c r="AE26" i="239" s="1"/>
  <c r="AG21" i="239"/>
  <c r="AF21" i="239"/>
  <c r="AE21" i="239"/>
  <c r="AG20" i="239"/>
  <c r="AF20" i="239"/>
  <c r="AE20" i="239"/>
  <c r="AG18" i="239"/>
  <c r="AF18" i="239"/>
  <c r="AE18" i="239"/>
  <c r="AG16" i="239"/>
  <c r="AF16" i="239"/>
  <c r="AE16" i="239"/>
  <c r="AG15" i="239"/>
  <c r="AF15" i="239"/>
  <c r="AE15" i="239"/>
  <c r="AG14" i="239"/>
  <c r="AF14" i="239"/>
  <c r="AE14" i="239"/>
  <c r="AG13" i="239"/>
  <c r="AF13" i="239"/>
  <c r="AE13" i="239"/>
  <c r="AG12" i="239"/>
  <c r="AF12" i="239"/>
  <c r="AE12" i="239"/>
  <c r="AG11" i="239"/>
  <c r="AF11" i="239"/>
  <c r="AE11" i="239"/>
  <c r="AG10" i="239"/>
  <c r="AF10" i="239"/>
  <c r="AE10" i="239"/>
  <c r="AG9" i="239"/>
  <c r="AF9" i="239"/>
  <c r="Y18" i="239"/>
  <c r="X18" i="239"/>
  <c r="W18" i="239"/>
  <c r="Y20" i="239"/>
  <c r="X20" i="239"/>
  <c r="W20" i="239"/>
  <c r="Y21" i="239"/>
  <c r="X21" i="239"/>
  <c r="W21" i="239"/>
  <c r="Y24" i="239"/>
  <c r="X24" i="239"/>
  <c r="W24" i="239"/>
  <c r="Y27" i="239"/>
  <c r="Y28" i="239" s="1"/>
  <c r="X27" i="239"/>
  <c r="W27" i="239"/>
  <c r="W28" i="239" s="1"/>
  <c r="Y30" i="239"/>
  <c r="X30" i="239"/>
  <c r="W30" i="239"/>
  <c r="Y29" i="239"/>
  <c r="X29" i="239"/>
  <c r="W29" i="239"/>
  <c r="Y36" i="239"/>
  <c r="X36" i="239"/>
  <c r="W36" i="239"/>
  <c r="Y35" i="239"/>
  <c r="X35" i="239"/>
  <c r="W35" i="239"/>
  <c r="Y34" i="239"/>
  <c r="X34" i="239"/>
  <c r="W34" i="239"/>
  <c r="Y33" i="239"/>
  <c r="X33" i="239"/>
  <c r="W33" i="239"/>
  <c r="Y44" i="239"/>
  <c r="Y48" i="239" s="1"/>
  <c r="X44" i="239"/>
  <c r="X48" i="239" s="1"/>
  <c r="W44" i="239"/>
  <c r="W48" i="239" s="1"/>
  <c r="Y43" i="239"/>
  <c r="X43" i="239"/>
  <c r="W43" i="239"/>
  <c r="Y42" i="239"/>
  <c r="Y41" i="239"/>
  <c r="X41" i="239"/>
  <c r="W41" i="239"/>
  <c r="Y40" i="239"/>
  <c r="X40" i="239"/>
  <c r="W40" i="239"/>
  <c r="Y50" i="239"/>
  <c r="X50" i="239"/>
  <c r="W50" i="239"/>
  <c r="Y49" i="239"/>
  <c r="X49" i="239"/>
  <c r="W49" i="239"/>
  <c r="Y67" i="239"/>
  <c r="X67" i="239"/>
  <c r="W67" i="239"/>
  <c r="Y64" i="239"/>
  <c r="X64" i="239"/>
  <c r="W64" i="239"/>
  <c r="W61" i="239"/>
  <c r="X61" i="239"/>
  <c r="Y61" i="239"/>
  <c r="Y60" i="239"/>
  <c r="X60" i="239"/>
  <c r="W60" i="239"/>
  <c r="W62" i="239" s="1"/>
  <c r="V67" i="239"/>
  <c r="V64" i="239"/>
  <c r="S62" i="239"/>
  <c r="S66" i="239" s="1"/>
  <c r="T62" i="239"/>
  <c r="T66" i="239" s="1"/>
  <c r="U62" i="239"/>
  <c r="U66" i="239" s="1"/>
  <c r="V61" i="239"/>
  <c r="V60" i="239"/>
  <c r="V50" i="239"/>
  <c r="V49" i="239"/>
  <c r="V42" i="239"/>
  <c r="V43" i="239"/>
  <c r="V44" i="239"/>
  <c r="V48" i="239" s="1"/>
  <c r="V41" i="239"/>
  <c r="V40" i="239"/>
  <c r="V34" i="239"/>
  <c r="V35" i="239"/>
  <c r="V36" i="239"/>
  <c r="V33" i="239"/>
  <c r="V30" i="239"/>
  <c r="V29" i="239"/>
  <c r="V27" i="239"/>
  <c r="V28" i="239" s="1"/>
  <c r="V24" i="239"/>
  <c r="V21" i="239"/>
  <c r="V20" i="239"/>
  <c r="V18" i="239"/>
  <c r="S31" i="239"/>
  <c r="T31" i="239"/>
  <c r="U31" i="239"/>
  <c r="S28" i="239"/>
  <c r="T28" i="239"/>
  <c r="U28" i="239"/>
  <c r="U32" i="239" s="1"/>
  <c r="S22" i="239"/>
  <c r="S52" i="239" s="1"/>
  <c r="T22" i="239"/>
  <c r="T52" i="239" s="1"/>
  <c r="U22" i="239"/>
  <c r="U52" i="239" s="1"/>
  <c r="X22" i="239"/>
  <c r="S17" i="239"/>
  <c r="S19" i="239" s="1"/>
  <c r="T17" i="239"/>
  <c r="T19" i="239" s="1"/>
  <c r="U17" i="239"/>
  <c r="U19" i="239" s="1"/>
  <c r="V17" i="239"/>
  <c r="W17" i="239"/>
  <c r="X17" i="239"/>
  <c r="Y17" i="239"/>
  <c r="Z17" i="239"/>
  <c r="M67" i="239"/>
  <c r="AK67" i="239" s="1"/>
  <c r="L67" i="239"/>
  <c r="K67" i="239"/>
  <c r="AI67" i="239" s="1"/>
  <c r="M64" i="239"/>
  <c r="L64" i="239"/>
  <c r="K64" i="239"/>
  <c r="M61" i="239"/>
  <c r="L61" i="239"/>
  <c r="K61" i="239"/>
  <c r="AI61" i="239" s="1"/>
  <c r="M60" i="239"/>
  <c r="L60" i="239"/>
  <c r="AJ60" i="239" s="1"/>
  <c r="K60" i="239"/>
  <c r="M50" i="239"/>
  <c r="L50" i="239"/>
  <c r="K50" i="239"/>
  <c r="AI50" i="239" s="1"/>
  <c r="M49" i="239"/>
  <c r="L49" i="239"/>
  <c r="K49" i="239"/>
  <c r="M44" i="239"/>
  <c r="M48" i="239" s="1"/>
  <c r="L44" i="239"/>
  <c r="L48" i="239" s="1"/>
  <c r="K44" i="239"/>
  <c r="K48" i="239" s="1"/>
  <c r="M43" i="239"/>
  <c r="L43" i="239"/>
  <c r="K43" i="239"/>
  <c r="M42" i="239"/>
  <c r="L42" i="239"/>
  <c r="K42" i="239"/>
  <c r="M41" i="239"/>
  <c r="L41" i="239"/>
  <c r="K41" i="239"/>
  <c r="M40" i="239"/>
  <c r="L40" i="239"/>
  <c r="K40" i="239"/>
  <c r="M36" i="239"/>
  <c r="L36" i="239"/>
  <c r="K36" i="239"/>
  <c r="M35" i="239"/>
  <c r="L35" i="239"/>
  <c r="K35" i="239"/>
  <c r="K38" i="239" s="1"/>
  <c r="M34" i="239"/>
  <c r="L34" i="239"/>
  <c r="K34" i="239"/>
  <c r="M33" i="239"/>
  <c r="L33" i="239"/>
  <c r="K33" i="239"/>
  <c r="M30" i="239"/>
  <c r="L30" i="239"/>
  <c r="K30" i="239"/>
  <c r="M29" i="239"/>
  <c r="L29" i="239"/>
  <c r="K29" i="239"/>
  <c r="M27" i="239"/>
  <c r="L27" i="239"/>
  <c r="K27" i="239"/>
  <c r="M24" i="239"/>
  <c r="M26" i="239" s="1"/>
  <c r="L24" i="239"/>
  <c r="L26" i="239" s="1"/>
  <c r="K24" i="239"/>
  <c r="M21" i="239"/>
  <c r="AK21" i="239" s="1"/>
  <c r="L21" i="239"/>
  <c r="K21" i="239"/>
  <c r="AI21" i="239" s="1"/>
  <c r="M20" i="239"/>
  <c r="AK20" i="239" s="1"/>
  <c r="L20" i="239"/>
  <c r="AJ20" i="239" s="1"/>
  <c r="K20" i="239"/>
  <c r="M18" i="239"/>
  <c r="L18" i="239"/>
  <c r="K18" i="239"/>
  <c r="K12" i="239"/>
  <c r="L12" i="239"/>
  <c r="AJ12" i="239" s="1"/>
  <c r="M12" i="239"/>
  <c r="AK12" i="239" s="1"/>
  <c r="K13" i="239"/>
  <c r="L13" i="239"/>
  <c r="AJ13" i="239" s="1"/>
  <c r="M13" i="239"/>
  <c r="AK13" i="239" s="1"/>
  <c r="K14" i="239"/>
  <c r="L14" i="239"/>
  <c r="AJ14" i="239" s="1"/>
  <c r="M14" i="239"/>
  <c r="AK14" i="239" s="1"/>
  <c r="K15" i="239"/>
  <c r="L15" i="239"/>
  <c r="AJ15" i="239" s="1"/>
  <c r="M15" i="239"/>
  <c r="AK15" i="239" s="1"/>
  <c r="K16" i="239"/>
  <c r="L16" i="239"/>
  <c r="AJ16" i="239" s="1"/>
  <c r="M16" i="239"/>
  <c r="AK16" i="239" s="1"/>
  <c r="K10" i="239"/>
  <c r="L10" i="239"/>
  <c r="AJ10" i="239" s="1"/>
  <c r="M10" i="239"/>
  <c r="AK10" i="239" s="1"/>
  <c r="K11" i="239"/>
  <c r="AI11" i="239" s="1"/>
  <c r="L11" i="239"/>
  <c r="AJ11" i="239" s="1"/>
  <c r="M11" i="239"/>
  <c r="AK11" i="239" s="1"/>
  <c r="L9" i="239"/>
  <c r="AJ9" i="239" s="1"/>
  <c r="M9" i="239"/>
  <c r="AK9" i="239" s="1"/>
  <c r="K9" i="239"/>
  <c r="AI9" i="239" s="1"/>
  <c r="J67" i="239"/>
  <c r="J64" i="239"/>
  <c r="G62" i="239"/>
  <c r="G66" i="239" s="1"/>
  <c r="H62" i="239"/>
  <c r="H66" i="239" s="1"/>
  <c r="I62" i="239"/>
  <c r="I66" i="239" s="1"/>
  <c r="J61" i="239"/>
  <c r="J60" i="239"/>
  <c r="J50" i="239"/>
  <c r="J49" i="239"/>
  <c r="AH49" i="239" s="1"/>
  <c r="J42" i="239"/>
  <c r="J43" i="239"/>
  <c r="J44" i="239"/>
  <c r="J48" i="239" s="1"/>
  <c r="J41" i="239"/>
  <c r="J40" i="239"/>
  <c r="J34" i="239"/>
  <c r="J35" i="239"/>
  <c r="J38" i="239" s="1"/>
  <c r="J36" i="239"/>
  <c r="J33" i="239"/>
  <c r="J30" i="239"/>
  <c r="J29" i="239"/>
  <c r="J27" i="239"/>
  <c r="J24" i="239"/>
  <c r="J26" i="239" s="1"/>
  <c r="J21" i="239"/>
  <c r="AH21" i="239" s="1"/>
  <c r="J20" i="239"/>
  <c r="J18" i="239"/>
  <c r="AH18" i="239" s="1"/>
  <c r="J11" i="239"/>
  <c r="J12" i="239"/>
  <c r="AH12" i="239" s="1"/>
  <c r="J13" i="239"/>
  <c r="AH13" i="239" s="1"/>
  <c r="J14" i="239"/>
  <c r="AH14" i="239" s="1"/>
  <c r="J15" i="239"/>
  <c r="AH15" i="239" s="1"/>
  <c r="J16" i="239"/>
  <c r="AH16" i="239" s="1"/>
  <c r="J10" i="239"/>
  <c r="J9" i="239"/>
  <c r="H69" i="244"/>
  <c r="L69" i="244"/>
  <c r="K26" i="239" l="1"/>
  <c r="N24" i="239"/>
  <c r="AI34" i="239"/>
  <c r="AI49" i="239"/>
  <c r="AJ21" i="239"/>
  <c r="W22" i="239"/>
  <c r="W52" i="239" s="1"/>
  <c r="AK44" i="239"/>
  <c r="AK48" i="239" s="1"/>
  <c r="AI24" i="239"/>
  <c r="AI26" i="239" s="1"/>
  <c r="AI44" i="239"/>
  <c r="AI48" i="239" s="1"/>
  <c r="AG66" i="239"/>
  <c r="AH50" i="239"/>
  <c r="AJ50" i="239"/>
  <c r="AJ67" i="239"/>
  <c r="AL67" i="239" s="1"/>
  <c r="J62" i="239"/>
  <c r="J66" i="239" s="1"/>
  <c r="J59" i="239" s="1"/>
  <c r="Z61" i="239"/>
  <c r="U51" i="239"/>
  <c r="U53" i="239" s="1"/>
  <c r="T32" i="239"/>
  <c r="T51" i="239" s="1"/>
  <c r="T53" i="239" s="1"/>
  <c r="X19" i="239"/>
  <c r="Z24" i="239"/>
  <c r="V22" i="239"/>
  <c r="V52" i="239" s="1"/>
  <c r="AH61" i="239"/>
  <c r="AF62" i="239"/>
  <c r="AF66" i="239" s="1"/>
  <c r="AH41" i="239"/>
  <c r="V19" i="239"/>
  <c r="V62" i="239"/>
  <c r="V66" i="239" s="1"/>
  <c r="V59" i="239" s="1"/>
  <c r="S32" i="239"/>
  <c r="AJ41" i="239"/>
  <c r="AK18" i="239"/>
  <c r="AJ44" i="239"/>
  <c r="AJ48" i="239" s="1"/>
  <c r="AK64" i="239"/>
  <c r="AK66" i="239" s="1"/>
  <c r="AK40" i="239"/>
  <c r="AJ30" i="239"/>
  <c r="AJ31" i="239" s="1"/>
  <c r="AF17" i="239"/>
  <c r="AF19" i="239" s="1"/>
  <c r="AG22" i="239"/>
  <c r="AG52" i="239" s="1"/>
  <c r="AH43" i="239"/>
  <c r="N64" i="239"/>
  <c r="AJ43" i="239"/>
  <c r="AJ29" i="239"/>
  <c r="AE22" i="239"/>
  <c r="AE52" i="239" s="1"/>
  <c r="AJ18" i="239"/>
  <c r="AK43" i="239"/>
  <c r="AJ36" i="239"/>
  <c r="AK29" i="239"/>
  <c r="Z27" i="239"/>
  <c r="Z28" i="239" s="1"/>
  <c r="Z18" i="239"/>
  <c r="Z19" i="239" s="1"/>
  <c r="AJ24" i="239"/>
  <c r="AJ26" i="239" s="1"/>
  <c r="AH67" i="239"/>
  <c r="AK17" i="239"/>
  <c r="N26" i="239"/>
  <c r="N34" i="239"/>
  <c r="AI36" i="239"/>
  <c r="N43" i="239"/>
  <c r="AJ61" i="239"/>
  <c r="AL61" i="239" s="1"/>
  <c r="V31" i="239"/>
  <c r="Z60" i="239"/>
  <c r="Z62" i="239" s="1"/>
  <c r="Z64" i="239"/>
  <c r="Z67" i="239"/>
  <c r="AK42" i="239"/>
  <c r="AJ33" i="239"/>
  <c r="AJ35" i="239"/>
  <c r="Z21" i="239"/>
  <c r="Z20" i="239"/>
  <c r="AK24" i="239"/>
  <c r="AK26" i="239" s="1"/>
  <c r="AJ27" i="239"/>
  <c r="AJ28" i="239" s="1"/>
  <c r="AH20" i="239"/>
  <c r="AH22" i="239" s="1"/>
  <c r="AH44" i="239"/>
  <c r="AH48" i="239" s="1"/>
  <c r="AI20" i="239"/>
  <c r="AI22" i="239" s="1"/>
  <c r="AI52" i="239" s="1"/>
  <c r="AI27" i="239"/>
  <c r="AI28" i="239" s="1"/>
  <c r="AJ64" i="239"/>
  <c r="Z50" i="239"/>
  <c r="AK41" i="239"/>
  <c r="Z43" i="239"/>
  <c r="AK33" i="239"/>
  <c r="AJ34" i="239"/>
  <c r="AK35" i="239"/>
  <c r="Z29" i="239"/>
  <c r="AK30" i="239"/>
  <c r="W19" i="239"/>
  <c r="AG17" i="239"/>
  <c r="AG19" i="239" s="1"/>
  <c r="AK27" i="239"/>
  <c r="AK28" i="239" s="1"/>
  <c r="K62" i="239"/>
  <c r="K66" i="239" s="1"/>
  <c r="AJ49" i="239"/>
  <c r="N49" i="239"/>
  <c r="AI41" i="239"/>
  <c r="AJ40" i="239"/>
  <c r="N30" i="239"/>
  <c r="N27" i="239"/>
  <c r="N18" i="239"/>
  <c r="AI18" i="239"/>
  <c r="N15" i="239"/>
  <c r="AL15" i="239" s="1"/>
  <c r="AF22" i="239"/>
  <c r="AF52" i="239" s="1"/>
  <c r="AJ17" i="239"/>
  <c r="AJ62" i="239"/>
  <c r="AK22" i="239"/>
  <c r="AH29" i="239"/>
  <c r="AG31" i="239"/>
  <c r="AG32" i="239" s="1"/>
  <c r="AH30" i="239"/>
  <c r="AH31" i="239" s="1"/>
  <c r="AI60" i="239"/>
  <c r="AI64" i="239"/>
  <c r="L62" i="239"/>
  <c r="L66" i="239" s="1"/>
  <c r="N16" i="239"/>
  <c r="AL16" i="239" s="1"/>
  <c r="N12" i="239"/>
  <c r="AL12" i="239" s="1"/>
  <c r="AJ22" i="239"/>
  <c r="N42" i="239"/>
  <c r="X31" i="239"/>
  <c r="Z49" i="239"/>
  <c r="Z36" i="239"/>
  <c r="Y31" i="239"/>
  <c r="Y32" i="239" s="1"/>
  <c r="Y39" i="239" s="1"/>
  <c r="AH34" i="239"/>
  <c r="AH36" i="239"/>
  <c r="AI43" i="239"/>
  <c r="AE62" i="239"/>
  <c r="AE66" i="239" s="1"/>
  <c r="N10" i="239"/>
  <c r="N13" i="239"/>
  <c r="AL13" i="239" s="1"/>
  <c r="N29" i="239"/>
  <c r="N36" i="239"/>
  <c r="N41" i="239"/>
  <c r="N60" i="239"/>
  <c r="Z41" i="239"/>
  <c r="Z33" i="239"/>
  <c r="Z35" i="239"/>
  <c r="Z30" i="239"/>
  <c r="AI10" i="239"/>
  <c r="AL10" i="239" s="1"/>
  <c r="AI33" i="239"/>
  <c r="AK34" i="239"/>
  <c r="AI35" i="239"/>
  <c r="AI38" i="239" s="1"/>
  <c r="AK36" i="239"/>
  <c r="N11" i="239"/>
  <c r="N14" i="239"/>
  <c r="AL14" i="239" s="1"/>
  <c r="N20" i="239"/>
  <c r="AL20" i="239" s="1"/>
  <c r="N33" i="239"/>
  <c r="N35" i="239"/>
  <c r="N38" i="239" s="1"/>
  <c r="N40" i="239"/>
  <c r="N44" i="239"/>
  <c r="N48" i="239" s="1"/>
  <c r="N50" i="239"/>
  <c r="N61" i="239"/>
  <c r="V39" i="239"/>
  <c r="Z40" i="239"/>
  <c r="Z44" i="239"/>
  <c r="Z48" i="239" s="1"/>
  <c r="Z34" i="239"/>
  <c r="AH10" i="239"/>
  <c r="AI12" i="239"/>
  <c r="AI13" i="239"/>
  <c r="AI14" i="239"/>
  <c r="AI15" i="239"/>
  <c r="AI16" i="239"/>
  <c r="AI29" i="239"/>
  <c r="AI30" i="239"/>
  <c r="AI31" i="239" s="1"/>
  <c r="AI40" i="239"/>
  <c r="AK49" i="239"/>
  <c r="AK50" i="239"/>
  <c r="AH60" i="239"/>
  <c r="AH62" i="239" s="1"/>
  <c r="N67" i="239"/>
  <c r="N21" i="239"/>
  <c r="AH9" i="239"/>
  <c r="AH11" i="239"/>
  <c r="AH24" i="239"/>
  <c r="AH26" i="239" s="1"/>
  <c r="AH27" i="239"/>
  <c r="AH28" i="239" s="1"/>
  <c r="AE31" i="239"/>
  <c r="AE32" i="239" s="1"/>
  <c r="AH33" i="239"/>
  <c r="AH35" i="239"/>
  <c r="AH38" i="239" s="1"/>
  <c r="AH40" i="239"/>
  <c r="AH42" i="239"/>
  <c r="AH64" i="239"/>
  <c r="AF32" i="239"/>
  <c r="AE17" i="239"/>
  <c r="AE19" i="239" s="1"/>
  <c r="AL9" i="239"/>
  <c r="AL11" i="239"/>
  <c r="Y19" i="239"/>
  <c r="Y22" i="239"/>
  <c r="Y52" i="239" s="1"/>
  <c r="X28" i="239"/>
  <c r="X52" i="239"/>
  <c r="W31" i="239"/>
  <c r="W32" i="239" s="1"/>
  <c r="W39" i="239" s="1"/>
  <c r="W66" i="239"/>
  <c r="X62" i="239"/>
  <c r="X66" i="239" s="1"/>
  <c r="Y62" i="239"/>
  <c r="Y66" i="239" s="1"/>
  <c r="V32" i="239"/>
  <c r="N9" i="239"/>
  <c r="M62" i="239"/>
  <c r="M66" i="239" s="1"/>
  <c r="P69" i="244"/>
  <c r="BB69" i="244" l="1"/>
  <c r="P299" i="244"/>
  <c r="AF39" i="239"/>
  <c r="AL34" i="239"/>
  <c r="AE39" i="239"/>
  <c r="AE51" i="239" s="1"/>
  <c r="AE53" i="239" s="1"/>
  <c r="AL41" i="239"/>
  <c r="AL35" i="239"/>
  <c r="AL38" i="239" s="1"/>
  <c r="AG39" i="239"/>
  <c r="AL29" i="239"/>
  <c r="AL43" i="239"/>
  <c r="AH52" i="239"/>
  <c r="Z22" i="239"/>
  <c r="AL21" i="239"/>
  <c r="AL22" i="239" s="1"/>
  <c r="AL24" i="239"/>
  <c r="AL26" i="239" s="1"/>
  <c r="AL36" i="239"/>
  <c r="AL64" i="239"/>
  <c r="AJ52" i="239"/>
  <c r="AK19" i="239"/>
  <c r="V51" i="239"/>
  <c r="V53" i="239" s="1"/>
  <c r="V56" i="239" s="1"/>
  <c r="AG51" i="239"/>
  <c r="AG53" i="239" s="1"/>
  <c r="AI17" i="239"/>
  <c r="AI19" i="239" s="1"/>
  <c r="Y51" i="239"/>
  <c r="Y53" i="239" s="1"/>
  <c r="S51" i="239"/>
  <c r="S53" i="239" s="1"/>
  <c r="W51" i="239"/>
  <c r="W53" i="239" s="1"/>
  <c r="AF51" i="239"/>
  <c r="AF53" i="239" s="1"/>
  <c r="AJ66" i="239"/>
  <c r="AJ32" i="239"/>
  <c r="AL44" i="239"/>
  <c r="AL48" i="239" s="1"/>
  <c r="Z52" i="239"/>
  <c r="X32" i="239"/>
  <c r="X39" i="239" s="1"/>
  <c r="AL40" i="239"/>
  <c r="AJ19" i="239"/>
  <c r="AL49" i="239"/>
  <c r="Z66" i="239"/>
  <c r="Z59" i="239" s="1"/>
  <c r="AH66" i="239"/>
  <c r="AH59" i="239" s="1"/>
  <c r="AL50" i="239"/>
  <c r="AL18" i="239"/>
  <c r="AL27" i="239"/>
  <c r="AL28" i="239" s="1"/>
  <c r="AK52" i="239"/>
  <c r="AL30" i="239"/>
  <c r="Z31" i="239"/>
  <c r="Z32" i="239" s="1"/>
  <c r="AL33" i="239"/>
  <c r="AL60" i="239"/>
  <c r="AL62" i="239" s="1"/>
  <c r="AI62" i="239"/>
  <c r="AI66" i="239" s="1"/>
  <c r="AK31" i="239"/>
  <c r="AK32" i="239" s="1"/>
  <c r="AH32" i="239"/>
  <c r="N62" i="239"/>
  <c r="AI32" i="239"/>
  <c r="AL17" i="239"/>
  <c r="AH17" i="239"/>
  <c r="AH19" i="239" s="1"/>
  <c r="AH39" i="239" l="1"/>
  <c r="AJ39" i="239"/>
  <c r="AJ51" i="239" s="1"/>
  <c r="AJ53" i="239" s="1"/>
  <c r="AI39" i="239"/>
  <c r="AI51" i="239" s="1"/>
  <c r="AI53" i="239" s="1"/>
  <c r="AK39" i="239"/>
  <c r="AK51" i="239" s="1"/>
  <c r="AK53" i="239" s="1"/>
  <c r="Z39" i="239"/>
  <c r="Z51" i="239" s="1"/>
  <c r="Z53" i="239" s="1"/>
  <c r="Z56" i="239" s="1"/>
  <c r="X51" i="239"/>
  <c r="X53" i="239" s="1"/>
  <c r="AH51" i="239"/>
  <c r="AH53" i="239" s="1"/>
  <c r="AH56" i="239" s="1"/>
  <c r="AL31" i="239"/>
  <c r="AL32" i="239" s="1"/>
  <c r="AL39" i="239" s="1"/>
  <c r="AL19" i="239"/>
  <c r="AL52" i="239"/>
  <c r="N66" i="239"/>
  <c r="N59" i="239" s="1"/>
  <c r="AL66" i="239"/>
  <c r="AL59" i="239" s="1"/>
  <c r="G31" i="239"/>
  <c r="H31" i="239"/>
  <c r="I31" i="239"/>
  <c r="J31" i="239"/>
  <c r="K31" i="239"/>
  <c r="L31" i="239"/>
  <c r="M31" i="239"/>
  <c r="N31" i="239"/>
  <c r="G28" i="239"/>
  <c r="G32" i="239" s="1"/>
  <c r="G39" i="239" s="1"/>
  <c r="H28" i="239"/>
  <c r="I28" i="239"/>
  <c r="J28" i="239"/>
  <c r="K28" i="239"/>
  <c r="L28" i="239"/>
  <c r="M28" i="239"/>
  <c r="N28" i="239"/>
  <c r="G22" i="239"/>
  <c r="H22" i="239"/>
  <c r="H52" i="239" s="1"/>
  <c r="I22" i="239"/>
  <c r="J22" i="239"/>
  <c r="K22" i="239"/>
  <c r="L22" i="239"/>
  <c r="M22" i="239"/>
  <c r="N22" i="239"/>
  <c r="G17" i="239"/>
  <c r="G19" i="239" s="1"/>
  <c r="H17" i="239"/>
  <c r="H19" i="239" s="1"/>
  <c r="I17" i="239"/>
  <c r="I19" i="239" s="1"/>
  <c r="J17" i="239"/>
  <c r="J19" i="239" s="1"/>
  <c r="K17" i="239"/>
  <c r="K19" i="239" s="1"/>
  <c r="L17" i="239"/>
  <c r="L19" i="239" s="1"/>
  <c r="M17" i="239"/>
  <c r="M19" i="239" s="1"/>
  <c r="N17" i="239"/>
  <c r="N19" i="239" s="1"/>
  <c r="H32" i="239" l="1"/>
  <c r="H51" i="239" s="1"/>
  <c r="H53" i="239" s="1"/>
  <c r="M32" i="239"/>
  <c r="I32" i="239"/>
  <c r="AL51" i="239"/>
  <c r="AL53" i="239" s="1"/>
  <c r="AL56" i="239" s="1"/>
  <c r="K32" i="239"/>
  <c r="K39" i="239" s="1"/>
  <c r="K52" i="239"/>
  <c r="G52" i="239"/>
  <c r="G51" i="239"/>
  <c r="N52" i="239"/>
  <c r="N32" i="239"/>
  <c r="N39" i="239" s="1"/>
  <c r="J32" i="239"/>
  <c r="J39" i="239" s="1"/>
  <c r="I52" i="239"/>
  <c r="L52" i="239"/>
  <c r="L32" i="239"/>
  <c r="L39" i="239" s="1"/>
  <c r="M52" i="239"/>
  <c r="J52" i="239"/>
  <c r="W9" i="240"/>
  <c r="AH27" i="240"/>
  <c r="AE9" i="240"/>
  <c r="M39" i="239" l="1"/>
  <c r="M51" i="239" s="1"/>
  <c r="M53" i="239" s="1"/>
  <c r="I51" i="239"/>
  <c r="I53" i="239" s="1"/>
  <c r="K51" i="239"/>
  <c r="K53" i="239" s="1"/>
  <c r="J51" i="239"/>
  <c r="J53" i="239" s="1"/>
  <c r="J56" i="239" s="1"/>
  <c r="L51" i="239"/>
  <c r="L53" i="239" s="1"/>
  <c r="N51" i="239"/>
  <c r="N53" i="239" s="1"/>
  <c r="N56" i="239" s="1"/>
  <c r="G53" i="239"/>
  <c r="AG24" i="240"/>
  <c r="AF24" i="240"/>
  <c r="AF26" i="240" s="1"/>
  <c r="AE24" i="240"/>
  <c r="AG23" i="240"/>
  <c r="AG26" i="240" s="1"/>
  <c r="AE23" i="240"/>
  <c r="AG20" i="240"/>
  <c r="AF20" i="240"/>
  <c r="AE20" i="240"/>
  <c r="AG19" i="240"/>
  <c r="AF19" i="240"/>
  <c r="AE19" i="240"/>
  <c r="AG17" i="240"/>
  <c r="AF17" i="240"/>
  <c r="AE17" i="240"/>
  <c r="AG16" i="240"/>
  <c r="AF16" i="240"/>
  <c r="AE16" i="240"/>
  <c r="AG15" i="240"/>
  <c r="AF15" i="240"/>
  <c r="AE15" i="240"/>
  <c r="AG13" i="240"/>
  <c r="AF13" i="240"/>
  <c r="AE13" i="240"/>
  <c r="AG12" i="240"/>
  <c r="AF12" i="240"/>
  <c r="AE12" i="240"/>
  <c r="AG11" i="240"/>
  <c r="AF11" i="240"/>
  <c r="AE11" i="240"/>
  <c r="AG10" i="240"/>
  <c r="AF10" i="240"/>
  <c r="AE10" i="240"/>
  <c r="AG9" i="240"/>
  <c r="AF9" i="240"/>
  <c r="Y24" i="240"/>
  <c r="X24" i="240"/>
  <c r="W24" i="240"/>
  <c r="Y23" i="240"/>
  <c r="X23" i="240"/>
  <c r="W23" i="240"/>
  <c r="W26" i="240" s="1"/>
  <c r="V24" i="240"/>
  <c r="V23" i="240"/>
  <c r="V26" i="240" s="1"/>
  <c r="Y20" i="240"/>
  <c r="X20" i="240"/>
  <c r="W20" i="240"/>
  <c r="Y19" i="240"/>
  <c r="X19" i="240"/>
  <c r="W19" i="240"/>
  <c r="Y17" i="240"/>
  <c r="X17" i="240"/>
  <c r="W17" i="240"/>
  <c r="Y16" i="240"/>
  <c r="X16" i="240"/>
  <c r="W16" i="240"/>
  <c r="Y15" i="240"/>
  <c r="X15" i="240"/>
  <c r="W15" i="240"/>
  <c r="W11" i="240"/>
  <c r="X11" i="240"/>
  <c r="Y11" i="240"/>
  <c r="W12" i="240"/>
  <c r="X12" i="240"/>
  <c r="Y12" i="240"/>
  <c r="W13" i="240"/>
  <c r="X13" i="240"/>
  <c r="Y13" i="240"/>
  <c r="Y10" i="240"/>
  <c r="X10" i="240"/>
  <c r="W10" i="240"/>
  <c r="Y9" i="240"/>
  <c r="X9" i="240"/>
  <c r="V20" i="240"/>
  <c r="V19" i="240"/>
  <c r="V17" i="240"/>
  <c r="V16" i="240"/>
  <c r="V15" i="240"/>
  <c r="V11" i="240"/>
  <c r="V12" i="240"/>
  <c r="V13" i="240"/>
  <c r="V10" i="240"/>
  <c r="V9" i="240"/>
  <c r="Z27" i="240"/>
  <c r="AL27" i="240" s="1"/>
  <c r="S21" i="240"/>
  <c r="T21" i="240"/>
  <c r="U21" i="240"/>
  <c r="S18" i="240"/>
  <c r="T18" i="240"/>
  <c r="U18" i="240"/>
  <c r="S14" i="240"/>
  <c r="T14" i="240"/>
  <c r="U14" i="240"/>
  <c r="M24" i="240"/>
  <c r="L24" i="240"/>
  <c r="K24" i="240"/>
  <c r="M23" i="240"/>
  <c r="L23" i="240"/>
  <c r="K23" i="240"/>
  <c r="J24" i="240"/>
  <c r="J23" i="240"/>
  <c r="M20" i="240"/>
  <c r="L20" i="240"/>
  <c r="K20" i="240"/>
  <c r="M19" i="240"/>
  <c r="L19" i="240"/>
  <c r="K19" i="240"/>
  <c r="M17" i="240"/>
  <c r="M16" i="240"/>
  <c r="M15" i="240"/>
  <c r="K11" i="240"/>
  <c r="L11" i="240"/>
  <c r="M11" i="240"/>
  <c r="K12" i="240"/>
  <c r="L12" i="240"/>
  <c r="M12" i="240"/>
  <c r="K13" i="240"/>
  <c r="L13" i="240"/>
  <c r="M13" i="240"/>
  <c r="L10" i="240"/>
  <c r="M10" i="240"/>
  <c r="M9" i="240"/>
  <c r="L9" i="240"/>
  <c r="K10" i="240"/>
  <c r="K9" i="240"/>
  <c r="AI9" i="240" s="1"/>
  <c r="J20" i="240"/>
  <c r="J19" i="240"/>
  <c r="J16" i="240"/>
  <c r="J17" i="240"/>
  <c r="J15" i="240"/>
  <c r="J11" i="240"/>
  <c r="J12" i="240"/>
  <c r="J13" i="240"/>
  <c r="J10" i="240"/>
  <c r="G21" i="240"/>
  <c r="H21" i="240"/>
  <c r="I21" i="240"/>
  <c r="G18" i="240"/>
  <c r="H18" i="240"/>
  <c r="I18" i="240"/>
  <c r="G14" i="240"/>
  <c r="H14" i="240"/>
  <c r="I14" i="240"/>
  <c r="J9" i="240"/>
  <c r="X26" i="240" l="1"/>
  <c r="X21" i="240"/>
  <c r="Y26" i="240"/>
  <c r="Z20" i="240"/>
  <c r="V21" i="240"/>
  <c r="AI19" i="240"/>
  <c r="U22" i="240"/>
  <c r="J26" i="240"/>
  <c r="AJ17" i="240"/>
  <c r="AJ16" i="240"/>
  <c r="AJ12" i="240"/>
  <c r="AI13" i="240"/>
  <c r="AI11" i="240"/>
  <c r="L26" i="240"/>
  <c r="K21" i="240"/>
  <c r="M21" i="240"/>
  <c r="AH24" i="240"/>
  <c r="I22" i="240"/>
  <c r="AE21" i="240"/>
  <c r="T22" i="240"/>
  <c r="AE18" i="240"/>
  <c r="AK15" i="240"/>
  <c r="Z24" i="240"/>
  <c r="AG18" i="240"/>
  <c r="M26" i="240"/>
  <c r="W21" i="240"/>
  <c r="K26" i="240"/>
  <c r="AG21" i="240"/>
  <c r="AE26" i="240"/>
  <c r="S22" i="240"/>
  <c r="AK16" i="240"/>
  <c r="AJ15" i="240"/>
  <c r="X18" i="240"/>
  <c r="AI16" i="240"/>
  <c r="AI12" i="240"/>
  <c r="W14" i="240"/>
  <c r="N10" i="240"/>
  <c r="AJ24" i="240"/>
  <c r="AH23" i="240"/>
  <c r="AI17" i="240"/>
  <c r="N13" i="240"/>
  <c r="AE14" i="240"/>
  <c r="AH13" i="240"/>
  <c r="AJ10" i="240"/>
  <c r="AK11" i="240"/>
  <c r="N11" i="240"/>
  <c r="AJ9" i="240"/>
  <c r="AK10" i="240"/>
  <c r="AK12" i="240"/>
  <c r="AK9" i="240"/>
  <c r="AK13" i="240"/>
  <c r="L21" i="240"/>
  <c r="N12" i="240"/>
  <c r="Z12" i="240"/>
  <c r="W18" i="240"/>
  <c r="Z17" i="240"/>
  <c r="AH16" i="240"/>
  <c r="AK19" i="240"/>
  <c r="AI20" i="240"/>
  <c r="AI24" i="240"/>
  <c r="Z13" i="240"/>
  <c r="Z16" i="240"/>
  <c r="AG14" i="240"/>
  <c r="AF18" i="240"/>
  <c r="AH17" i="240"/>
  <c r="AK17" i="240"/>
  <c r="AF21" i="240"/>
  <c r="AH20" i="240"/>
  <c r="AJ20" i="240"/>
  <c r="AJ13" i="240"/>
  <c r="AK20" i="240"/>
  <c r="AI23" i="240"/>
  <c r="AI26" i="240" s="1"/>
  <c r="AK24" i="240"/>
  <c r="AJ19" i="240"/>
  <c r="N20" i="240"/>
  <c r="N24" i="240"/>
  <c r="Y21" i="240"/>
  <c r="AK23" i="240"/>
  <c r="N17" i="240"/>
  <c r="L18" i="240"/>
  <c r="N15" i="240"/>
  <c r="H22" i="240"/>
  <c r="AJ11" i="240"/>
  <c r="AH11" i="240"/>
  <c r="G22" i="240"/>
  <c r="J14" i="240"/>
  <c r="N9" i="240"/>
  <c r="K18" i="240"/>
  <c r="N16" i="240"/>
  <c r="J21" i="240"/>
  <c r="N23" i="240"/>
  <c r="AJ23" i="240"/>
  <c r="V18" i="240"/>
  <c r="Z15" i="240"/>
  <c r="AI15" i="240"/>
  <c r="Z10" i="240"/>
  <c r="V14" i="240"/>
  <c r="Z11" i="240"/>
  <c r="AF14" i="240"/>
  <c r="AI10" i="240"/>
  <c r="Z9" i="240"/>
  <c r="Y14" i="240"/>
  <c r="AH10" i="240"/>
  <c r="AH12" i="240"/>
  <c r="AH9" i="240"/>
  <c r="AH15" i="240"/>
  <c r="AH19" i="240"/>
  <c r="Z23" i="240"/>
  <c r="Y18" i="240"/>
  <c r="Z19" i="240"/>
  <c r="X14" i="240"/>
  <c r="N19" i="240"/>
  <c r="M18" i="240"/>
  <c r="L14" i="240"/>
  <c r="M14" i="240"/>
  <c r="K14" i="240"/>
  <c r="J18" i="240"/>
  <c r="I49" i="261"/>
  <c r="J42" i="261"/>
  <c r="J43" i="261"/>
  <c r="J44" i="261"/>
  <c r="J48" i="261" s="1"/>
  <c r="J41" i="261"/>
  <c r="I42" i="261"/>
  <c r="I43" i="261"/>
  <c r="I44" i="261"/>
  <c r="I48" i="261" s="1"/>
  <c r="I41" i="261"/>
  <c r="J40" i="261"/>
  <c r="I40" i="261"/>
  <c r="J18" i="261"/>
  <c r="I18" i="261"/>
  <c r="J64" i="261"/>
  <c r="I64" i="261"/>
  <c r="H64" i="261"/>
  <c r="K64" i="261" s="1"/>
  <c r="H50" i="261"/>
  <c r="H49" i="261"/>
  <c r="E50" i="261"/>
  <c r="E49" i="261"/>
  <c r="H42" i="261"/>
  <c r="H43" i="261"/>
  <c r="H44" i="261"/>
  <c r="H48" i="261" s="1"/>
  <c r="H41" i="261"/>
  <c r="H40" i="261"/>
  <c r="E42" i="261"/>
  <c r="E43" i="261"/>
  <c r="E44" i="261"/>
  <c r="E48" i="261" s="1"/>
  <c r="E41" i="261"/>
  <c r="E40" i="261"/>
  <c r="H34" i="261"/>
  <c r="H35" i="261"/>
  <c r="H36" i="261"/>
  <c r="H33" i="261"/>
  <c r="E34" i="261"/>
  <c r="E35" i="261"/>
  <c r="E36" i="261"/>
  <c r="E33" i="261"/>
  <c r="E30" i="261"/>
  <c r="H30" i="261"/>
  <c r="H29" i="261"/>
  <c r="E29" i="261"/>
  <c r="E27" i="261"/>
  <c r="H27" i="261"/>
  <c r="H28" i="261" s="1"/>
  <c r="H24" i="261"/>
  <c r="H26" i="261" s="1"/>
  <c r="E24" i="261"/>
  <c r="E26" i="261" s="1"/>
  <c r="H21" i="261"/>
  <c r="H20" i="261"/>
  <c r="E21" i="261"/>
  <c r="E20" i="261"/>
  <c r="H18" i="261"/>
  <c r="E18" i="261"/>
  <c r="H11" i="261"/>
  <c r="H12" i="261"/>
  <c r="H13" i="261"/>
  <c r="H14" i="261"/>
  <c r="H15" i="261"/>
  <c r="H16" i="261"/>
  <c r="H10" i="261"/>
  <c r="H9" i="261"/>
  <c r="E11" i="261"/>
  <c r="K11" i="261" s="1"/>
  <c r="E12" i="261"/>
  <c r="E13" i="261"/>
  <c r="K13" i="261" s="1"/>
  <c r="E14" i="261"/>
  <c r="K14" i="261" s="1"/>
  <c r="E15" i="261"/>
  <c r="E16" i="261"/>
  <c r="E10" i="261"/>
  <c r="E9" i="261"/>
  <c r="H62" i="261"/>
  <c r="H66" i="261" s="1"/>
  <c r="G62" i="261"/>
  <c r="G66" i="261" s="1"/>
  <c r="E62" i="261"/>
  <c r="E66" i="261" s="1"/>
  <c r="D62" i="261"/>
  <c r="D66" i="261" s="1"/>
  <c r="D31" i="261"/>
  <c r="F31" i="261"/>
  <c r="G31" i="261"/>
  <c r="D28" i="261"/>
  <c r="F28" i="261"/>
  <c r="G28" i="261"/>
  <c r="D22" i="261"/>
  <c r="F22" i="261"/>
  <c r="G22" i="261"/>
  <c r="D17" i="261"/>
  <c r="D19" i="261" s="1"/>
  <c r="F17" i="261"/>
  <c r="F19" i="261" s="1"/>
  <c r="G17" i="261"/>
  <c r="G19" i="261" s="1"/>
  <c r="J50" i="261"/>
  <c r="J49" i="261"/>
  <c r="J36" i="261"/>
  <c r="J35" i="261"/>
  <c r="J34" i="261"/>
  <c r="J33" i="261"/>
  <c r="J30" i="261"/>
  <c r="J29" i="261"/>
  <c r="J27" i="261"/>
  <c r="J28" i="261" s="1"/>
  <c r="J24" i="261"/>
  <c r="J26" i="261" s="1"/>
  <c r="J21" i="261"/>
  <c r="J20" i="261"/>
  <c r="J16" i="261"/>
  <c r="J15" i="261"/>
  <c r="J14" i="261"/>
  <c r="J13" i="261"/>
  <c r="J12" i="261"/>
  <c r="J11" i="261"/>
  <c r="J10" i="261"/>
  <c r="J9" i="261"/>
  <c r="J23" i="260"/>
  <c r="J26" i="260" s="1"/>
  <c r="I23" i="260"/>
  <c r="I26" i="260" s="1"/>
  <c r="H20" i="260"/>
  <c r="H19" i="260"/>
  <c r="H16" i="260"/>
  <c r="H17" i="260"/>
  <c r="H15" i="260"/>
  <c r="H11" i="260"/>
  <c r="H12" i="260"/>
  <c r="H13" i="260"/>
  <c r="H10" i="260"/>
  <c r="H9" i="260"/>
  <c r="H27" i="260"/>
  <c r="K27" i="260" s="1"/>
  <c r="H23" i="260"/>
  <c r="H26" i="260" s="1"/>
  <c r="H67" i="261" s="1"/>
  <c r="E24" i="260"/>
  <c r="E23" i="260"/>
  <c r="E19" i="260"/>
  <c r="G26" i="260"/>
  <c r="G67" i="261" s="1"/>
  <c r="D67" i="261"/>
  <c r="G21" i="260"/>
  <c r="G18" i="260"/>
  <c r="G14" i="260"/>
  <c r="J27" i="260"/>
  <c r="J19" i="260"/>
  <c r="J38" i="261" l="1"/>
  <c r="E38" i="261"/>
  <c r="H38" i="261"/>
  <c r="H39" i="261" s="1"/>
  <c r="K10" i="261"/>
  <c r="Z26" i="240"/>
  <c r="AG22" i="240"/>
  <c r="AK26" i="240"/>
  <c r="AH21" i="240"/>
  <c r="K12" i="261"/>
  <c r="AL24" i="240"/>
  <c r="K35" i="261"/>
  <c r="AH26" i="240"/>
  <c r="AI21" i="240"/>
  <c r="F52" i="261"/>
  <c r="K15" i="261"/>
  <c r="Z21" i="240"/>
  <c r="N26" i="240"/>
  <c r="N21" i="240"/>
  <c r="AH18" i="240"/>
  <c r="AL9" i="240"/>
  <c r="G59" i="261"/>
  <c r="H22" i="261"/>
  <c r="K21" i="261"/>
  <c r="AJ18" i="240"/>
  <c r="X22" i="240"/>
  <c r="AL12" i="240"/>
  <c r="AL13" i="240"/>
  <c r="AL15" i="240"/>
  <c r="AJ26" i="240"/>
  <c r="AJ21" i="240"/>
  <c r="D32" i="261"/>
  <c r="G32" i="261"/>
  <c r="G39" i="261" s="1"/>
  <c r="AE22" i="240"/>
  <c r="H59" i="261"/>
  <c r="H21" i="260"/>
  <c r="G52" i="261"/>
  <c r="K27" i="261"/>
  <c r="K28" i="261" s="1"/>
  <c r="AK18" i="240"/>
  <c r="AL16" i="240"/>
  <c r="E26" i="260"/>
  <c r="E67" i="261" s="1"/>
  <c r="D59" i="261"/>
  <c r="J62" i="261"/>
  <c r="J66" i="261" s="1"/>
  <c r="K30" i="261"/>
  <c r="K31" i="261" s="1"/>
  <c r="K41" i="261"/>
  <c r="K62" i="261"/>
  <c r="K66" i="261" s="1"/>
  <c r="D52" i="261"/>
  <c r="K29" i="261"/>
  <c r="E31" i="261"/>
  <c r="K50" i="261"/>
  <c r="H31" i="261"/>
  <c r="H32" i="261" s="1"/>
  <c r="K24" i="261"/>
  <c r="K26" i="261" s="1"/>
  <c r="F32" i="261"/>
  <c r="F39" i="261" s="1"/>
  <c r="K34" i="261"/>
  <c r="K49" i="261"/>
  <c r="K44" i="261"/>
  <c r="K48" i="261" s="1"/>
  <c r="K43" i="261"/>
  <c r="K42" i="261"/>
  <c r="K40" i="261"/>
  <c r="K36" i="261"/>
  <c r="K33" i="261"/>
  <c r="E22" i="261"/>
  <c r="E52" i="261" s="1"/>
  <c r="K20" i="261"/>
  <c r="K18" i="261"/>
  <c r="C9" i="266"/>
  <c r="W22" i="240"/>
  <c r="AK14" i="240"/>
  <c r="AL17" i="240"/>
  <c r="Z18" i="240"/>
  <c r="N18" i="240"/>
  <c r="AI18" i="240"/>
  <c r="AL11" i="240"/>
  <c r="AJ14" i="240"/>
  <c r="AL10" i="240"/>
  <c r="AL19" i="240"/>
  <c r="N14" i="240"/>
  <c r="AK21" i="240"/>
  <c r="V22" i="240"/>
  <c r="V57" i="239" s="1"/>
  <c r="V55" i="239" s="1"/>
  <c r="V68" i="239" s="1"/>
  <c r="AF22" i="240"/>
  <c r="AL20" i="240"/>
  <c r="K16" i="261"/>
  <c r="J22" i="261"/>
  <c r="J52" i="261" s="1"/>
  <c r="J31" i="261"/>
  <c r="J32" i="261" s="1"/>
  <c r="H17" i="261"/>
  <c r="H19" i="261" s="1"/>
  <c r="H18" i="260"/>
  <c r="G22" i="260"/>
  <c r="G57" i="261" s="1"/>
  <c r="K23" i="260"/>
  <c r="J17" i="261"/>
  <c r="J19" i="261" s="1"/>
  <c r="L22" i="240"/>
  <c r="J22" i="240"/>
  <c r="J57" i="239" s="1"/>
  <c r="K22" i="240"/>
  <c r="J67" i="261"/>
  <c r="AL23" i="240"/>
  <c r="AI14" i="240"/>
  <c r="Z14" i="240"/>
  <c r="AH14" i="240"/>
  <c r="Y22" i="240"/>
  <c r="M22" i="240"/>
  <c r="H52" i="261"/>
  <c r="E28" i="261"/>
  <c r="E17" i="261"/>
  <c r="E19" i="261" s="1"/>
  <c r="K9" i="261"/>
  <c r="H14" i="260"/>
  <c r="K24" i="260"/>
  <c r="C16" i="266" s="1"/>
  <c r="K19" i="260"/>
  <c r="K288" i="244"/>
  <c r="K290" i="244" s="1"/>
  <c r="I288" i="244"/>
  <c r="I290" i="244" s="1"/>
  <c r="G288" i="244"/>
  <c r="G290" i="244" s="1"/>
  <c r="F288" i="244"/>
  <c r="F290" i="244" s="1"/>
  <c r="E288" i="244"/>
  <c r="E290" i="244" s="1"/>
  <c r="D288" i="244"/>
  <c r="D290" i="244" s="1"/>
  <c r="C288" i="244"/>
  <c r="C290" i="244" s="1"/>
  <c r="L225" i="244"/>
  <c r="L260" i="244" s="1"/>
  <c r="H225" i="244"/>
  <c r="H260" i="244" s="1"/>
  <c r="O8" i="244"/>
  <c r="L8" i="244"/>
  <c r="H8" i="244"/>
  <c r="D12" i="260" l="1"/>
  <c r="F295" i="244"/>
  <c r="D10" i="260"/>
  <c r="E10" i="260" s="1"/>
  <c r="K10" i="260" s="1"/>
  <c r="D295" i="244"/>
  <c r="D15" i="260"/>
  <c r="I295" i="244"/>
  <c r="D9" i="260"/>
  <c r="J9" i="260" s="1"/>
  <c r="C295" i="244"/>
  <c r="D17" i="260"/>
  <c r="K295" i="244"/>
  <c r="D13" i="260"/>
  <c r="J13" i="260" s="1"/>
  <c r="G295" i="244"/>
  <c r="D11" i="260"/>
  <c r="E11" i="260" s="1"/>
  <c r="E295" i="244"/>
  <c r="E12" i="260"/>
  <c r="K12" i="260" s="1"/>
  <c r="J12" i="260"/>
  <c r="J17" i="260"/>
  <c r="E17" i="260"/>
  <c r="K17" i="260" s="1"/>
  <c r="K22" i="261"/>
  <c r="E15" i="260"/>
  <c r="J15" i="260"/>
  <c r="K38" i="261"/>
  <c r="J39" i="261"/>
  <c r="J51" i="261" s="1"/>
  <c r="J53" i="261" s="1"/>
  <c r="J56" i="261" s="1"/>
  <c r="D39" i="261"/>
  <c r="D51" i="261" s="1"/>
  <c r="D53" i="261" s="1"/>
  <c r="D56" i="261" s="1"/>
  <c r="AL26" i="240"/>
  <c r="H51" i="261"/>
  <c r="H53" i="261" s="1"/>
  <c r="H56" i="261" s="1"/>
  <c r="AH22" i="240"/>
  <c r="AH57" i="239" s="1"/>
  <c r="AH55" i="239" s="1"/>
  <c r="AH68" i="239" s="1"/>
  <c r="P287" i="244"/>
  <c r="BB287" i="244" s="1"/>
  <c r="O287" i="244"/>
  <c r="J59" i="261"/>
  <c r="K17" i="261"/>
  <c r="K19" i="261" s="1"/>
  <c r="F51" i="261"/>
  <c r="F53" i="261" s="1"/>
  <c r="F56" i="261" s="1"/>
  <c r="G51" i="261"/>
  <c r="G53" i="261" s="1"/>
  <c r="G56" i="261" s="1"/>
  <c r="G55" i="261" s="1"/>
  <c r="G68" i="261" s="1"/>
  <c r="K32" i="261"/>
  <c r="AJ22" i="240"/>
  <c r="AK22" i="240"/>
  <c r="AL18" i="240"/>
  <c r="N22" i="240"/>
  <c r="AL21" i="240"/>
  <c r="E59" i="261"/>
  <c r="AI22" i="240"/>
  <c r="C15" i="266"/>
  <c r="C18" i="266" s="1"/>
  <c r="K26" i="260"/>
  <c r="H22" i="260"/>
  <c r="H57" i="261" s="1"/>
  <c r="E32" i="261"/>
  <c r="E39" i="261" s="1"/>
  <c r="AL14" i="240"/>
  <c r="Z22" i="240"/>
  <c r="Z57" i="239" s="1"/>
  <c r="Z55" i="239" s="1"/>
  <c r="Z68" i="239" s="1"/>
  <c r="K52" i="261"/>
  <c r="J55" i="239"/>
  <c r="J68" i="239" s="1"/>
  <c r="M288" i="244"/>
  <c r="M290" i="244" s="1"/>
  <c r="M295" i="244" s="1"/>
  <c r="P225" i="244"/>
  <c r="H288" i="244"/>
  <c r="H290" i="244" s="1"/>
  <c r="L288" i="244"/>
  <c r="L290" i="244" s="1"/>
  <c r="N288" i="244"/>
  <c r="N290" i="244" s="1"/>
  <c r="P8" i="244"/>
  <c r="J288" i="244"/>
  <c r="J290" i="244" s="1"/>
  <c r="J10" i="260" l="1"/>
  <c r="P260" i="244"/>
  <c r="P288" i="244" s="1"/>
  <c r="BB225" i="244"/>
  <c r="P300" i="244"/>
  <c r="D16" i="260"/>
  <c r="E16" i="260" s="1"/>
  <c r="J295" i="244"/>
  <c r="E9" i="260"/>
  <c r="K9" i="260" s="1"/>
  <c r="D20" i="260"/>
  <c r="D21" i="260" s="1"/>
  <c r="N295" i="244"/>
  <c r="J11" i="260"/>
  <c r="J14" i="260" s="1"/>
  <c r="E13" i="260"/>
  <c r="K13" i="260" s="1"/>
  <c r="D14" i="260"/>
  <c r="K11" i="260"/>
  <c r="J16" i="260"/>
  <c r="J18" i="260" s="1"/>
  <c r="D18" i="260"/>
  <c r="K15" i="260"/>
  <c r="K39" i="261"/>
  <c r="K51" i="261" s="1"/>
  <c r="K53" i="261" s="1"/>
  <c r="K56" i="261" s="1"/>
  <c r="C7" i="266" s="1"/>
  <c r="E51" i="261"/>
  <c r="E53" i="261" s="1"/>
  <c r="E56" i="261" s="1"/>
  <c r="AL22" i="240"/>
  <c r="AL57" i="239" s="1"/>
  <c r="AL55" i="239" s="1"/>
  <c r="AL68" i="239" s="1"/>
  <c r="H55" i="261"/>
  <c r="H68" i="261" s="1"/>
  <c r="O288" i="244"/>
  <c r="O290" i="244" s="1"/>
  <c r="AD27" i="240"/>
  <c r="J20" i="260" l="1"/>
  <c r="J21" i="260" s="1"/>
  <c r="E20" i="260"/>
  <c r="K16" i="260"/>
  <c r="E18" i="260"/>
  <c r="K14" i="260"/>
  <c r="E14" i="260"/>
  <c r="D22" i="260"/>
  <c r="D57" i="261" s="1"/>
  <c r="J57" i="261" s="1"/>
  <c r="J22" i="260"/>
  <c r="K18" i="260"/>
  <c r="P290" i="244"/>
  <c r="P295" i="244" s="1"/>
  <c r="D55" i="261"/>
  <c r="D68" i="261" s="1"/>
  <c r="K20" i="260"/>
  <c r="K21" i="260" s="1"/>
  <c r="E21" i="260"/>
  <c r="E22" i="260" s="1"/>
  <c r="E57" i="261" s="1"/>
  <c r="K57" i="261" s="1"/>
  <c r="X42" i="239"/>
  <c r="AJ42" i="239" s="1"/>
  <c r="W42" i="239"/>
  <c r="K22" i="260" l="1"/>
  <c r="C14" i="266" s="1"/>
  <c r="E55" i="261"/>
  <c r="E68" i="261" s="1"/>
  <c r="Z42" i="239"/>
  <c r="AI42" i="239"/>
  <c r="AL42" i="239" s="1"/>
  <c r="I9" i="260"/>
  <c r="F26" i="260" l="1"/>
  <c r="F67" i="261" s="1"/>
  <c r="I27" i="260"/>
  <c r="AC64" i="239"/>
  <c r="AA64" i="239"/>
  <c r="R64" i="239"/>
  <c r="I35" i="261"/>
  <c r="I36" i="261"/>
  <c r="F62" i="261"/>
  <c r="F66" i="261" s="1"/>
  <c r="C62" i="261"/>
  <c r="C66" i="261" s="1"/>
  <c r="AC24" i="240"/>
  <c r="AB24" i="240"/>
  <c r="AA24" i="240"/>
  <c r="R24" i="240"/>
  <c r="F24" i="240"/>
  <c r="AC23" i="240"/>
  <c r="AB23" i="240"/>
  <c r="AA23" i="240"/>
  <c r="R23" i="240"/>
  <c r="F23" i="240"/>
  <c r="AA35" i="239"/>
  <c r="AB35" i="239"/>
  <c r="AC35" i="239"/>
  <c r="AA36" i="239"/>
  <c r="AB36" i="239"/>
  <c r="AC36" i="239"/>
  <c r="F35" i="239"/>
  <c r="F36" i="239"/>
  <c r="AC67" i="239"/>
  <c r="AB67" i="239"/>
  <c r="AA67" i="239"/>
  <c r="R67" i="239"/>
  <c r="F67" i="239"/>
  <c r="AB64" i="239"/>
  <c r="AC62" i="239"/>
  <c r="Q62" i="239"/>
  <c r="Q66" i="239" s="1"/>
  <c r="P62" i="239"/>
  <c r="P66" i="239" s="1"/>
  <c r="O62" i="239"/>
  <c r="O66" i="239" s="1"/>
  <c r="E62" i="239"/>
  <c r="E66" i="239" s="1"/>
  <c r="D62" i="239"/>
  <c r="D66" i="239" s="1"/>
  <c r="C62" i="239"/>
  <c r="AB61" i="239"/>
  <c r="AA61" i="239"/>
  <c r="R61" i="239"/>
  <c r="F61" i="239"/>
  <c r="AB60" i="239"/>
  <c r="AA60" i="239"/>
  <c r="R60" i="239"/>
  <c r="R62" i="239" s="1"/>
  <c r="F60" i="239"/>
  <c r="R20" i="239"/>
  <c r="R21" i="239"/>
  <c r="C22" i="261"/>
  <c r="I21" i="261"/>
  <c r="AA21" i="239"/>
  <c r="AB21" i="239"/>
  <c r="AC21" i="239"/>
  <c r="D22" i="239"/>
  <c r="E22" i="239"/>
  <c r="O22" i="239"/>
  <c r="P22" i="239"/>
  <c r="P52" i="239" s="1"/>
  <c r="Q22" i="239"/>
  <c r="C22" i="239"/>
  <c r="F21" i="239"/>
  <c r="AD21" i="239" s="1"/>
  <c r="F18" i="239"/>
  <c r="R18" i="239"/>
  <c r="AC18" i="239"/>
  <c r="AB18" i="239"/>
  <c r="AA18" i="239"/>
  <c r="F40" i="239"/>
  <c r="R50" i="239"/>
  <c r="R44" i="239"/>
  <c r="R42" i="239"/>
  <c r="R43" i="239"/>
  <c r="R41" i="239"/>
  <c r="F42" i="239"/>
  <c r="F43" i="239"/>
  <c r="F41" i="239"/>
  <c r="R40" i="239"/>
  <c r="R33" i="239"/>
  <c r="R39" i="239" s="1"/>
  <c r="D14" i="240"/>
  <c r="O14" i="240"/>
  <c r="P14" i="240"/>
  <c r="Q14" i="240"/>
  <c r="C14" i="240"/>
  <c r="AC43" i="239"/>
  <c r="AB43" i="239"/>
  <c r="AA43" i="239"/>
  <c r="AC42" i="239"/>
  <c r="AB42" i="239"/>
  <c r="AA42" i="239"/>
  <c r="AC41" i="239"/>
  <c r="AB41" i="239"/>
  <c r="AA41" i="239"/>
  <c r="AC40" i="239"/>
  <c r="AB40" i="239"/>
  <c r="AA40" i="239"/>
  <c r="D21" i="240"/>
  <c r="E21" i="240"/>
  <c r="O21" i="240"/>
  <c r="P21" i="240"/>
  <c r="Q21" i="240"/>
  <c r="C21" i="240"/>
  <c r="F21" i="260"/>
  <c r="C21" i="260"/>
  <c r="I10" i="260"/>
  <c r="I15" i="260"/>
  <c r="I50" i="261"/>
  <c r="I34" i="261"/>
  <c r="I33" i="261"/>
  <c r="I38" i="261" s="1"/>
  <c r="C31" i="261"/>
  <c r="I30" i="261"/>
  <c r="I29" i="261"/>
  <c r="C28" i="261"/>
  <c r="I27" i="261"/>
  <c r="I28" i="261" s="1"/>
  <c r="I24" i="261"/>
  <c r="I26" i="261" s="1"/>
  <c r="I20" i="261"/>
  <c r="C17" i="261"/>
  <c r="C19" i="261" s="1"/>
  <c r="I16" i="261"/>
  <c r="I15" i="261"/>
  <c r="I14" i="261"/>
  <c r="I13" i="261"/>
  <c r="I12" i="261"/>
  <c r="I11" i="261"/>
  <c r="I10" i="261"/>
  <c r="I9" i="261"/>
  <c r="D31" i="239"/>
  <c r="E31" i="239"/>
  <c r="O31" i="239"/>
  <c r="P31" i="239"/>
  <c r="Q31" i="239"/>
  <c r="C31" i="239"/>
  <c r="D28" i="239"/>
  <c r="E28" i="239"/>
  <c r="O28" i="239"/>
  <c r="P28" i="239"/>
  <c r="Q28" i="239"/>
  <c r="C28" i="239"/>
  <c r="D17" i="239"/>
  <c r="D19" i="239" s="1"/>
  <c r="E17" i="239"/>
  <c r="E19" i="239" s="1"/>
  <c r="O17" i="239"/>
  <c r="O19" i="239" s="1"/>
  <c r="P17" i="239"/>
  <c r="P19" i="239" s="1"/>
  <c r="Q17" i="239"/>
  <c r="Q19" i="239" s="1"/>
  <c r="R17" i="239"/>
  <c r="C17" i="239"/>
  <c r="C19" i="239" s="1"/>
  <c r="C18" i="260"/>
  <c r="I20" i="260"/>
  <c r="I19" i="260"/>
  <c r="F18" i="260"/>
  <c r="I17" i="260"/>
  <c r="I16" i="260"/>
  <c r="C14" i="260"/>
  <c r="I13" i="260"/>
  <c r="I12" i="260"/>
  <c r="AC30" i="239"/>
  <c r="AB30" i="239"/>
  <c r="AA30" i="239"/>
  <c r="R30" i="239"/>
  <c r="R31" i="239" s="1"/>
  <c r="F30" i="239"/>
  <c r="AA49" i="239"/>
  <c r="R49" i="239"/>
  <c r="AC11" i="240"/>
  <c r="AC10" i="240"/>
  <c r="F9" i="240"/>
  <c r="AA9" i="240"/>
  <c r="AC9" i="240"/>
  <c r="F10" i="240"/>
  <c r="AA10" i="240"/>
  <c r="AB10" i="240"/>
  <c r="F11" i="240"/>
  <c r="R11" i="240"/>
  <c r="AB11" i="240"/>
  <c r="F13" i="240"/>
  <c r="R13" i="240"/>
  <c r="AA13" i="240"/>
  <c r="AB13" i="240"/>
  <c r="AC13" i="240"/>
  <c r="F12" i="240"/>
  <c r="R12" i="240"/>
  <c r="AA12" i="240"/>
  <c r="AB12" i="240"/>
  <c r="AC12" i="240"/>
  <c r="F15" i="240"/>
  <c r="R15" i="240"/>
  <c r="AA15" i="240"/>
  <c r="AB15" i="240"/>
  <c r="AC15" i="240"/>
  <c r="F16" i="240"/>
  <c r="R16" i="240"/>
  <c r="AA16" i="240"/>
  <c r="AB16" i="240"/>
  <c r="AC16" i="240"/>
  <c r="F17" i="240"/>
  <c r="R17" i="240"/>
  <c r="AA17" i="240"/>
  <c r="AB17" i="240"/>
  <c r="AC17" i="240"/>
  <c r="C18" i="240"/>
  <c r="D18" i="240"/>
  <c r="E18" i="240"/>
  <c r="O18" i="240"/>
  <c r="P18" i="240"/>
  <c r="Q18" i="240"/>
  <c r="F19" i="240"/>
  <c r="R19" i="240"/>
  <c r="AA19" i="240"/>
  <c r="AB19" i="240"/>
  <c r="AC19" i="240"/>
  <c r="F20" i="240"/>
  <c r="R20" i="240"/>
  <c r="AA20" i="240"/>
  <c r="AB20" i="240"/>
  <c r="AC20" i="240"/>
  <c r="F33" i="239"/>
  <c r="AA33" i="239"/>
  <c r="AB33" i="239"/>
  <c r="AC33" i="239"/>
  <c r="F27" i="239"/>
  <c r="F28" i="239" s="1"/>
  <c r="R27" i="239"/>
  <c r="R28" i="239" s="1"/>
  <c r="AA27" i="239"/>
  <c r="AA28" i="239" s="1"/>
  <c r="AB27" i="239"/>
  <c r="AB28" i="239" s="1"/>
  <c r="AC27" i="239"/>
  <c r="AC28" i="239" s="1"/>
  <c r="F24" i="239"/>
  <c r="R24" i="239"/>
  <c r="AA24" i="239"/>
  <c r="AB24" i="239"/>
  <c r="AC24" i="239"/>
  <c r="F34" i="239"/>
  <c r="AA34" i="239"/>
  <c r="AB34" i="239"/>
  <c r="AC34" i="239"/>
  <c r="F29" i="239"/>
  <c r="AA29" i="239"/>
  <c r="AB29" i="239"/>
  <c r="AC29" i="239"/>
  <c r="AB31" i="239"/>
  <c r="F9" i="239"/>
  <c r="AA9" i="239"/>
  <c r="AB9" i="239"/>
  <c r="AC9" i="239"/>
  <c r="F10" i="239"/>
  <c r="AA10" i="239"/>
  <c r="AB10" i="239"/>
  <c r="AC10" i="239"/>
  <c r="AB11" i="239"/>
  <c r="AC11" i="239"/>
  <c r="F12" i="239"/>
  <c r="AD12" i="239" s="1"/>
  <c r="AA12" i="239"/>
  <c r="AB12" i="239"/>
  <c r="AC12" i="239"/>
  <c r="F13" i="239"/>
  <c r="AD13" i="239" s="1"/>
  <c r="AA13" i="239"/>
  <c r="AB13" i="239"/>
  <c r="AC13" i="239"/>
  <c r="F14" i="239"/>
  <c r="AD14" i="239" s="1"/>
  <c r="AA14" i="239"/>
  <c r="AB14" i="239"/>
  <c r="AC14" i="239"/>
  <c r="F15" i="239"/>
  <c r="AD15" i="239" s="1"/>
  <c r="AA15" i="239"/>
  <c r="AB15" i="239"/>
  <c r="AC15" i="239"/>
  <c r="F16" i="239"/>
  <c r="AD16" i="239" s="1"/>
  <c r="AA16" i="239"/>
  <c r="AB16" i="239"/>
  <c r="AC16" i="239"/>
  <c r="F49" i="239"/>
  <c r="AC49" i="239"/>
  <c r="F44" i="239"/>
  <c r="F48" i="239" s="1"/>
  <c r="AA44" i="239"/>
  <c r="AB44" i="239"/>
  <c r="AC44" i="239"/>
  <c r="F20" i="239"/>
  <c r="AA20" i="239"/>
  <c r="AB20" i="239"/>
  <c r="AC20" i="239"/>
  <c r="AC22" i="239" s="1"/>
  <c r="F50" i="239"/>
  <c r="AA50" i="239"/>
  <c r="AB50" i="239"/>
  <c r="AC50" i="239"/>
  <c r="AB49" i="239"/>
  <c r="F11" i="239"/>
  <c r="AA11" i="239"/>
  <c r="R9" i="240"/>
  <c r="AA11" i="240"/>
  <c r="AB9" i="240"/>
  <c r="R10" i="240"/>
  <c r="I11" i="260"/>
  <c r="F14" i="260"/>
  <c r="D32" i="239" l="1"/>
  <c r="D51" i="239" s="1"/>
  <c r="AA21" i="240"/>
  <c r="F62" i="239"/>
  <c r="F66" i="239" s="1"/>
  <c r="F59" i="239" s="1"/>
  <c r="R26" i="240"/>
  <c r="I22" i="261"/>
  <c r="I52" i="261" s="1"/>
  <c r="AC66" i="239"/>
  <c r="I62" i="261"/>
  <c r="I66" i="261" s="1"/>
  <c r="AB26" i="240"/>
  <c r="R32" i="239"/>
  <c r="R21" i="240"/>
  <c r="AA26" i="240"/>
  <c r="AD19" i="240"/>
  <c r="I21" i="260"/>
  <c r="F26" i="240"/>
  <c r="AC26" i="240"/>
  <c r="F59" i="261"/>
  <c r="F22" i="260"/>
  <c r="F57" i="261" s="1"/>
  <c r="F55" i="261" s="1"/>
  <c r="C59" i="261"/>
  <c r="C52" i="261"/>
  <c r="I31" i="261"/>
  <c r="I32" i="261" s="1"/>
  <c r="I17" i="261"/>
  <c r="I19" i="261" s="1"/>
  <c r="R18" i="240"/>
  <c r="AD24" i="240"/>
  <c r="AB62" i="239"/>
  <c r="AB66" i="239" s="1"/>
  <c r="F31" i="239"/>
  <c r="F32" i="239" s="1"/>
  <c r="R22" i="239"/>
  <c r="Q52" i="239"/>
  <c r="AD61" i="239"/>
  <c r="AA62" i="239"/>
  <c r="AA66" i="239" s="1"/>
  <c r="AC17" i="239"/>
  <c r="AC19" i="239" s="1"/>
  <c r="K67" i="261"/>
  <c r="K59" i="261" s="1"/>
  <c r="I67" i="261"/>
  <c r="E32" i="239"/>
  <c r="E51" i="239" s="1"/>
  <c r="R66" i="239"/>
  <c r="R59" i="239" s="1"/>
  <c r="AD29" i="239"/>
  <c r="AD30" i="239"/>
  <c r="Q32" i="239"/>
  <c r="AD34" i="239"/>
  <c r="P32" i="239"/>
  <c r="AD35" i="239"/>
  <c r="AC18" i="240"/>
  <c r="E22" i="240"/>
  <c r="K55" i="261"/>
  <c r="J55" i="261"/>
  <c r="J68" i="261" s="1"/>
  <c r="F21" i="240"/>
  <c r="AD20" i="240"/>
  <c r="D22" i="240"/>
  <c r="I14" i="260"/>
  <c r="Q22" i="240"/>
  <c r="R14" i="240"/>
  <c r="O22" i="240"/>
  <c r="I18" i="260"/>
  <c r="C52" i="239"/>
  <c r="C32" i="239"/>
  <c r="AD27" i="239"/>
  <c r="AD28" i="239" s="1"/>
  <c r="F22" i="239"/>
  <c r="F52" i="239" s="1"/>
  <c r="AD9" i="239"/>
  <c r="AD67" i="239"/>
  <c r="AD50" i="239"/>
  <c r="AD40" i="239"/>
  <c r="R19" i="239"/>
  <c r="E52" i="239"/>
  <c r="AC52" i="239"/>
  <c r="AB22" i="239"/>
  <c r="AB52" i="239" s="1"/>
  <c r="AB32" i="239"/>
  <c r="AB39" i="239" s="1"/>
  <c r="AD24" i="239"/>
  <c r="AD42" i="239"/>
  <c r="AD36" i="239"/>
  <c r="AD64" i="239"/>
  <c r="C32" i="261"/>
  <c r="C39" i="261" s="1"/>
  <c r="AD60" i="239"/>
  <c r="AD62" i="239" s="1"/>
  <c r="AD49" i="239"/>
  <c r="D52" i="239"/>
  <c r="AD41" i="239"/>
  <c r="AD43" i="239"/>
  <c r="O52" i="239"/>
  <c r="AA22" i="239"/>
  <c r="AA52" i="239" s="1"/>
  <c r="AD18" i="239"/>
  <c r="AB17" i="239"/>
  <c r="AB19" i="239" s="1"/>
  <c r="F17" i="239"/>
  <c r="F19" i="239" s="1"/>
  <c r="AA17" i="239"/>
  <c r="AA19" i="239" s="1"/>
  <c r="C22" i="260"/>
  <c r="C57" i="261" s="1"/>
  <c r="AD15" i="240"/>
  <c r="AB18" i="240"/>
  <c r="AD11" i="240"/>
  <c r="AD12" i="240"/>
  <c r="AD10" i="240"/>
  <c r="AB21" i="240"/>
  <c r="AD17" i="240"/>
  <c r="F18" i="240"/>
  <c r="AB14" i="240"/>
  <c r="AA14" i="240"/>
  <c r="C22" i="240"/>
  <c r="AA31" i="239"/>
  <c r="AA32" i="239" s="1"/>
  <c r="AD9" i="240"/>
  <c r="AD11" i="239"/>
  <c r="AC31" i="239"/>
  <c r="AC32" i="239" s="1"/>
  <c r="AC39" i="239" s="1"/>
  <c r="AD33" i="239"/>
  <c r="AD13" i="240"/>
  <c r="P22" i="240"/>
  <c r="R52" i="239"/>
  <c r="AA18" i="240"/>
  <c r="AD23" i="240"/>
  <c r="AD44" i="239"/>
  <c r="AD48" i="239" s="1"/>
  <c r="AD20" i="239"/>
  <c r="AD22" i="239" s="1"/>
  <c r="AD10" i="239"/>
  <c r="F39" i="239"/>
  <c r="AC21" i="240"/>
  <c r="AD16" i="240"/>
  <c r="F14" i="240"/>
  <c r="AC14" i="240"/>
  <c r="O32" i="239"/>
  <c r="AA39" i="239" l="1"/>
  <c r="AA51" i="239" s="1"/>
  <c r="AA53" i="239" s="1"/>
  <c r="I39" i="261"/>
  <c r="AB51" i="239"/>
  <c r="AB53" i="239" s="1"/>
  <c r="I57" i="261"/>
  <c r="F51" i="239"/>
  <c r="F53" i="239" s="1"/>
  <c r="F56" i="239" s="1"/>
  <c r="C51" i="261"/>
  <c r="C53" i="261" s="1"/>
  <c r="C56" i="261" s="1"/>
  <c r="C55" i="261" s="1"/>
  <c r="C68" i="261" s="1"/>
  <c r="Q51" i="239"/>
  <c r="Q53" i="239" s="1"/>
  <c r="AC51" i="239"/>
  <c r="AC53" i="239" s="1"/>
  <c r="P51" i="239"/>
  <c r="P53" i="239" s="1"/>
  <c r="O51" i="239"/>
  <c r="O53" i="239" s="1"/>
  <c r="R22" i="240"/>
  <c r="R57" i="239" s="1"/>
  <c r="AD26" i="240"/>
  <c r="AD21" i="240"/>
  <c r="C51" i="239"/>
  <c r="C53" i="239" s="1"/>
  <c r="E53" i="239"/>
  <c r="F68" i="261"/>
  <c r="I59" i="261"/>
  <c r="K68" i="261"/>
  <c r="C8" i="266"/>
  <c r="AD66" i="239"/>
  <c r="AD59" i="239" s="1"/>
  <c r="AD31" i="239"/>
  <c r="AD32" i="239" s="1"/>
  <c r="AD17" i="239"/>
  <c r="AD19" i="239" s="1"/>
  <c r="F22" i="240"/>
  <c r="F57" i="239" s="1"/>
  <c r="N57" i="239" s="1"/>
  <c r="I22" i="260"/>
  <c r="R51" i="239"/>
  <c r="R53" i="239" s="1"/>
  <c r="R56" i="239" s="1"/>
  <c r="I51" i="261"/>
  <c r="I53" i="261" s="1"/>
  <c r="D53" i="239"/>
  <c r="AB22" i="240"/>
  <c r="AD18" i="240"/>
  <c r="AA22" i="240"/>
  <c r="AC22" i="240"/>
  <c r="AD14" i="240"/>
  <c r="AD52" i="239"/>
  <c r="C21" i="266" l="1"/>
  <c r="C12" i="266"/>
  <c r="AD39" i="239"/>
  <c r="AD51" i="239" s="1"/>
  <c r="AD53" i="239" s="1"/>
  <c r="AD56" i="239" s="1"/>
  <c r="R55" i="239"/>
  <c r="R68" i="239" s="1"/>
  <c r="N55" i="239"/>
  <c r="N68" i="239" s="1"/>
  <c r="I56" i="261"/>
  <c r="I55" i="261" s="1"/>
  <c r="I68" i="261" s="1"/>
  <c r="F55" i="239"/>
  <c r="F68" i="239" s="1"/>
  <c r="C20" i="266"/>
  <c r="C22" i="266" s="1"/>
  <c r="AD22" i="240"/>
  <c r="AD57" i="239" s="1"/>
  <c r="AD55" i="239" l="1"/>
  <c r="AD68" i="239" s="1"/>
</calcChain>
</file>

<file path=xl/sharedStrings.xml><?xml version="1.0" encoding="utf-8"?>
<sst xmlns="http://schemas.openxmlformats.org/spreadsheetml/2006/main" count="3379" uniqueCount="1207">
  <si>
    <t>10.</t>
  </si>
  <si>
    <t>11.</t>
  </si>
  <si>
    <t>12.</t>
  </si>
  <si>
    <t>13.</t>
  </si>
  <si>
    <t>14.</t>
  </si>
  <si>
    <t>15.</t>
  </si>
  <si>
    <t>16.</t>
  </si>
  <si>
    <t>17.</t>
  </si>
  <si>
    <t>18.</t>
  </si>
  <si>
    <t>19.</t>
  </si>
  <si>
    <t>20.</t>
  </si>
  <si>
    <t>21.</t>
  </si>
  <si>
    <t>22.</t>
  </si>
  <si>
    <t>23.</t>
  </si>
  <si>
    <t>24.</t>
  </si>
  <si>
    <t>25.</t>
  </si>
  <si>
    <t>26.</t>
  </si>
  <si>
    <t>27.</t>
  </si>
  <si>
    <t>28.</t>
  </si>
  <si>
    <t>29.</t>
  </si>
  <si>
    <t>30.</t>
  </si>
  <si>
    <t>31.</t>
  </si>
  <si>
    <t>Székesfehérvár Megyei Jogú Város Önkormányzat</t>
  </si>
  <si>
    <t>Költségvetési szervek összesen</t>
  </si>
  <si>
    <t>~ ebből: Szent István Király Múzeum támogatása</t>
  </si>
  <si>
    <t xml:space="preserve">              Vörösmarty Mihály Megyei Könyvtár és a városi könyvtár támogatása</t>
  </si>
  <si>
    <t xml:space="preserve">              Vörösmarty Színház támogatása</t>
  </si>
  <si>
    <t>1, Személyi juttatás</t>
  </si>
  <si>
    <t>2, Munkaadókat terhelő járulékok és szociális hozzájárulási adó</t>
  </si>
  <si>
    <t>3, Dologi kiadás</t>
  </si>
  <si>
    <t>Személyi juttatás</t>
  </si>
  <si>
    <t>Munkaadókat terhelő járulékok és szociális hozzájárulási adó</t>
  </si>
  <si>
    <t>Dologi kiadás</t>
  </si>
  <si>
    <t>g.=b. +…+ f.</t>
  </si>
  <si>
    <t>h.</t>
  </si>
  <si>
    <t>i.</t>
  </si>
  <si>
    <t>j.</t>
  </si>
  <si>
    <t>k.=h. +i.+ j.</t>
  </si>
  <si>
    <t>l.</t>
  </si>
  <si>
    <t>m.</t>
  </si>
  <si>
    <t xml:space="preserve">III. </t>
  </si>
  <si>
    <t>Városfejlesztés</t>
  </si>
  <si>
    <t>Humán Szolgáltatás</t>
  </si>
  <si>
    <t>A.</t>
  </si>
  <si>
    <t>Kiadások összesen (I-VIII.)</t>
  </si>
  <si>
    <t>Céltartalék összesen</t>
  </si>
  <si>
    <t>IX.</t>
  </si>
  <si>
    <t>Tartalékok összesen</t>
  </si>
  <si>
    <t>C.</t>
  </si>
  <si>
    <t>KIADÁSOK MINDÖSSZESEN (I-IX.)</t>
  </si>
  <si>
    <t xml:space="preserve">             Alba Regia Sport Club - Ingatlan üzemeltetésével összefüggő költségekhez</t>
  </si>
  <si>
    <t>Beruházások</t>
  </si>
  <si>
    <t>MEGNEVEZÉS</t>
  </si>
  <si>
    <t>Működési bevételek</t>
  </si>
  <si>
    <t>Személyi juttatások</t>
  </si>
  <si>
    <t>Közhatalmi bevételek</t>
  </si>
  <si>
    <t>Dologi kiadások</t>
  </si>
  <si>
    <t>Tartalékok</t>
  </si>
  <si>
    <t>Felhalmozási bevételek</t>
  </si>
  <si>
    <t>Felújítások</t>
  </si>
  <si>
    <t>Költségvetési bevételek-kiadások egyenlege</t>
  </si>
  <si>
    <t>Költségvetési kiadások összesen:</t>
  </si>
  <si>
    <t>Költségvetési bevételek összesen:</t>
  </si>
  <si>
    <t>VAGYONGAZDÁLKODÁS</t>
  </si>
  <si>
    <t>VÁROS- ÉS KÖZSÉGGAZDÁLKODÁS</t>
  </si>
  <si>
    <t>HUMÁN SZOLGÁLTATÁS</t>
  </si>
  <si>
    <t xml:space="preserve">             Alba Regia Atlétikai Klub</t>
  </si>
  <si>
    <t>NEMZETISÉGI ÖNKORMÁNYZATOK</t>
  </si>
  <si>
    <t>~ ebből: Kulturális Alap</t>
  </si>
  <si>
    <t xml:space="preserve">              Egészségügyi Alap</t>
  </si>
  <si>
    <t xml:space="preserve">              Sport Alap</t>
  </si>
  <si>
    <t>Társadalmi Felelősségvállalási Alap</t>
  </si>
  <si>
    <t>Céltartalék</t>
  </si>
  <si>
    <t>Önkormányzat mindösszesen</t>
  </si>
  <si>
    <t xml:space="preserve">           Fehérvári Kézművesek Egyesülete</t>
  </si>
  <si>
    <t xml:space="preserve">           Hermann László Vonószenekari Egyesület</t>
  </si>
  <si>
    <t xml:space="preserve">           Székesfehérvári Művészek Társasága</t>
  </si>
  <si>
    <t>Általános tartalék</t>
  </si>
  <si>
    <t>Kiadások összesen</t>
  </si>
  <si>
    <t>I.</t>
  </si>
  <si>
    <t>Pénzügyi igazgatási feladatok</t>
  </si>
  <si>
    <t>Különféle adók, díjak, pénzügyi kiadások</t>
  </si>
  <si>
    <t>Közösségi, társadalmi és információs tevékenység</t>
  </si>
  <si>
    <t>Társadalmi kapcsolatok kiadásai</t>
  </si>
  <si>
    <t>Személyügyi kiadások</t>
  </si>
  <si>
    <t>Informatikai terület</t>
  </si>
  <si>
    <t>Szociális ellátási és gyermekvédelmi feladatok</t>
  </si>
  <si>
    <t>Fejlesztési, felhalmozási ráfordítások</t>
  </si>
  <si>
    <t>IV.</t>
  </si>
  <si>
    <t>Lakás-, vagyongazdálkodási kiadások</t>
  </si>
  <si>
    <t>V.</t>
  </si>
  <si>
    <t>Székesfehérvár Városgondnoksága Kft.</t>
  </si>
  <si>
    <t>Főépítészi kiadások</t>
  </si>
  <si>
    <t>Környezetvédelmi kiadások</t>
  </si>
  <si>
    <t>VI.</t>
  </si>
  <si>
    <t>Közoktatási feladatok</t>
  </si>
  <si>
    <t>Szociális intézményi és egészségügyi feladatok</t>
  </si>
  <si>
    <t>Közművelődési kiadások</t>
  </si>
  <si>
    <t>Diáksport és szabadidős tevékenység</t>
  </si>
  <si>
    <t>VII.</t>
  </si>
  <si>
    <t>VIII.</t>
  </si>
  <si>
    <t>Humán Közszolgálati Szakbizottsági keret</t>
  </si>
  <si>
    <t>Polgármesteri keret</t>
  </si>
  <si>
    <t>Képviselői Alap</t>
  </si>
  <si>
    <t xml:space="preserve">             Egyéb sportszakosztályi támogatások</t>
  </si>
  <si>
    <t xml:space="preserve">              Kegyeleti rendelet végrehajtása</t>
  </si>
  <si>
    <t xml:space="preserve">              Rászorulókat segítő karácsonyi programok és támogatások</t>
  </si>
  <si>
    <t>Nemzetközi kapcsolatok és reprezentáció</t>
  </si>
  <si>
    <t>~ ebből: Önkormányzati Informatikai Központ Nonprofit Kft.</t>
  </si>
  <si>
    <t>Rendvédelmi, közbiztonsági feladatok, védelmi felkészítés</t>
  </si>
  <si>
    <t>II.</t>
  </si>
  <si>
    <t>HATÓSÁGI TEVÉKENYSÉG</t>
  </si>
  <si>
    <t>III.</t>
  </si>
  <si>
    <t>IGAZGATÁSI TEVÉKENYSÉG</t>
  </si>
  <si>
    <t>Közbeszerzési és egyéb jogi eljárásokkal kapcsolatos kiadások</t>
  </si>
  <si>
    <t xml:space="preserve">             Köfém Sport Club Női Kézilabda Szakosztály</t>
  </si>
  <si>
    <t xml:space="preserve">              Jubileumi jutalom, jogszabályból fakadó személyi jellegű többlet kifizetések kerete</t>
  </si>
  <si>
    <t xml:space="preserve">           KÖFÉM Oktatási és Közművelődési Központ Nonprofit Közhasznú Kft.</t>
  </si>
  <si>
    <t>Környezetvédelmi Alap</t>
  </si>
  <si>
    <t>~ ebből: Nemzetközi kapcsolatok</t>
  </si>
  <si>
    <t xml:space="preserve">              Reprezentáció</t>
  </si>
  <si>
    <t xml:space="preserve">              Határon túli magyar kapcsolatok</t>
  </si>
  <si>
    <t xml:space="preserve">              Székesfehérvári Csemete Alapítvány támogatása - bölcsődei ellátás</t>
  </si>
  <si>
    <t xml:space="preserve">           Székesfehérvári Egyházmegye</t>
  </si>
  <si>
    <t xml:space="preserve"> - Kulturális feladatok</t>
  </si>
  <si>
    <t xml:space="preserve">  - Közművelődési megállapodások, támogatások</t>
  </si>
  <si>
    <t xml:space="preserve">           Vörösmarty Társaság</t>
  </si>
  <si>
    <t>~ ebből: Diáksportkör kiadásai</t>
  </si>
  <si>
    <t xml:space="preserve">              Sportcélok és feladatok</t>
  </si>
  <si>
    <t>~ ebből: Nyugdíjazással kapcsolatos kifizetések</t>
  </si>
  <si>
    <t xml:space="preserve">           Vasutas Országos Közművelődési és Szabadidő Egyesület Vörösmarty Mihály Művelődési Ház</t>
  </si>
  <si>
    <t xml:space="preserve">              Székesfehérvári Református Egyházközség támogatása - Olajfa Református Óvoda</t>
  </si>
  <si>
    <t>Tagdíjak, testületek</t>
  </si>
  <si>
    <t xml:space="preserve">              Székesfehérvári Fogyasztóvédelmi Egyesület</t>
  </si>
  <si>
    <t xml:space="preserve">              Alapítvány a Székesfehérvári Fogyasztóvédelemért</t>
  </si>
  <si>
    <t xml:space="preserve">           Alba Regia Vegyeskar Egyesület</t>
  </si>
  <si>
    <t xml:space="preserve">           Székesfehérvári "Bakony" Népzenei Együttes Egyesület</t>
  </si>
  <si>
    <t xml:space="preserve">           Székesfehérvári Ifjúsági Fúvószenekar Egyesület</t>
  </si>
  <si>
    <t xml:space="preserve">           "Aranybulla" Könyvtár Alapítvány</t>
  </si>
  <si>
    <t>Kötelező feladat</t>
  </si>
  <si>
    <t>Önként vállalt feladat</t>
  </si>
  <si>
    <t>X</t>
  </si>
  <si>
    <t>-</t>
  </si>
  <si>
    <t>Sportlétesítményekkel kapcsolatos kiadások</t>
  </si>
  <si>
    <t xml:space="preserve">             Handball Future Szolgáltató Kft.- Ingatlan üzemeltetésével összefüggő költségekhez</t>
  </si>
  <si>
    <t>Megnevezés</t>
  </si>
  <si>
    <t>a.</t>
  </si>
  <si>
    <t>b.</t>
  </si>
  <si>
    <t>c.</t>
  </si>
  <si>
    <t>d.</t>
  </si>
  <si>
    <t>e.</t>
  </si>
  <si>
    <t>f.</t>
  </si>
  <si>
    <t>Összesen</t>
  </si>
  <si>
    <t>1.</t>
  </si>
  <si>
    <t>2.</t>
  </si>
  <si>
    <t>3.</t>
  </si>
  <si>
    <t>4.</t>
  </si>
  <si>
    <t>5.</t>
  </si>
  <si>
    <t>6.</t>
  </si>
  <si>
    <t>7.</t>
  </si>
  <si>
    <t>8.</t>
  </si>
  <si>
    <t>9.</t>
  </si>
  <si>
    <t>Rovat száma</t>
  </si>
  <si>
    <t>K1</t>
  </si>
  <si>
    <t>K2</t>
  </si>
  <si>
    <t>K3</t>
  </si>
  <si>
    <t>K4</t>
  </si>
  <si>
    <t>K6</t>
  </si>
  <si>
    <t>K7</t>
  </si>
  <si>
    <t>K8</t>
  </si>
  <si>
    <t>7, Beruházások</t>
  </si>
  <si>
    <t>8, Felújítások</t>
  </si>
  <si>
    <t>(K1-K8)</t>
  </si>
  <si>
    <t>B1</t>
  </si>
  <si>
    <t>B2</t>
  </si>
  <si>
    <t>B3</t>
  </si>
  <si>
    <t>B4</t>
  </si>
  <si>
    <t>B5</t>
  </si>
  <si>
    <t>B6</t>
  </si>
  <si>
    <t>B7</t>
  </si>
  <si>
    <t>4. Előző évi felhalmozási célú költségvetési maradvány igénybevétele</t>
  </si>
  <si>
    <t>5. Maradvány igénybevétele (3+4)</t>
  </si>
  <si>
    <t>B8</t>
  </si>
  <si>
    <t>Szennyvízcsatorna építések</t>
  </si>
  <si>
    <t>Székesfehérvár Vizi Társulat éves tagdíja</t>
  </si>
  <si>
    <t>Egyéb</t>
  </si>
  <si>
    <t>Tervezési munkák</t>
  </si>
  <si>
    <t>Hatósági és egyéb díjak</t>
  </si>
  <si>
    <t>Pályázat előkészítésére és önerő keret</t>
  </si>
  <si>
    <t>Belvárosi épületek rekonstrukcióját szolgáló fejlesztési alap (vissza nem térítendő támogatás)</t>
  </si>
  <si>
    <t>5, Egyéb működési célú kiadások</t>
  </si>
  <si>
    <t>3. Előző évi működési célú költségvetési  maradvány igénybevétele</t>
  </si>
  <si>
    <t>Tájékoztató Székesfehérvár Megyei Jogú Város Önkormányzat és  Költségvetési szervei</t>
  </si>
  <si>
    <t>Költségvetési szervek</t>
  </si>
  <si>
    <t>b/1</t>
  </si>
  <si>
    <t>c/1</t>
  </si>
  <si>
    <t>d/1</t>
  </si>
  <si>
    <t>1, Helyi önkormányzatok működésének általános támogatása</t>
  </si>
  <si>
    <t xml:space="preserve">4, Települési önkormányzatok kulturális feladatainak támogatása </t>
  </si>
  <si>
    <t>5, Működési célú központosított előirányzatok</t>
  </si>
  <si>
    <t>6, Önkormányzatok működési támogatásai összesen (1+2+3+4+5):</t>
  </si>
  <si>
    <t>B111</t>
  </si>
  <si>
    <t>B112</t>
  </si>
  <si>
    <t>B113</t>
  </si>
  <si>
    <t>B114</t>
  </si>
  <si>
    <t>B115</t>
  </si>
  <si>
    <t>B11</t>
  </si>
  <si>
    <t>B21</t>
  </si>
  <si>
    <t>B34</t>
  </si>
  <si>
    <t>B351</t>
  </si>
  <si>
    <t>B354</t>
  </si>
  <si>
    <t>B355</t>
  </si>
  <si>
    <t>B35</t>
  </si>
  <si>
    <t>B36</t>
  </si>
  <si>
    <t>B404</t>
  </si>
  <si>
    <t>B408</t>
  </si>
  <si>
    <t>B52</t>
  </si>
  <si>
    <t>11, Általános tartalék</t>
  </si>
  <si>
    <t>12, Céltartalék</t>
  </si>
  <si>
    <t>13, Tartalékok összesen:</t>
  </si>
  <si>
    <t>14,Költségvetési kiadások összesen:</t>
  </si>
  <si>
    <t>K9</t>
  </si>
  <si>
    <t>~ ebből: Tulajdonosi bevételek</t>
  </si>
  <si>
    <t xml:space="preserve">              Kiszámlázott általános forgalmi adó, és általános forgalmi adó visszatérítése</t>
  </si>
  <si>
    <t>B406-B407</t>
  </si>
  <si>
    <t xml:space="preserve">              Kamatbevételek</t>
  </si>
  <si>
    <t>B813</t>
  </si>
  <si>
    <t>1. Költségvetési bevételek mindösszesen</t>
  </si>
  <si>
    <t>2. Költségvetési kiadások mindösszesen</t>
  </si>
  <si>
    <t>I. Költségvetési bevételek</t>
  </si>
  <si>
    <t>III. Költségvetési kiadások</t>
  </si>
  <si>
    <t>V. Költségvetési egyenleg I-III.</t>
  </si>
  <si>
    <t>VI. Finanszírozási egyenleg II-IV.</t>
  </si>
  <si>
    <t>VII. Egyenleg V-VI.</t>
  </si>
  <si>
    <t>Székesfehérvár Megyei Jogú Város Önkormányzat és  Költségvetési szervei</t>
  </si>
  <si>
    <t>(B1-B7)</t>
  </si>
  <si>
    <t>1. Maradvány igénybevétele</t>
  </si>
  <si>
    <t>Műszaki ellenőrzések kerete</t>
  </si>
  <si>
    <t>7, Egyéb működési célú támogatások bevételei államháztartáson belülről</t>
  </si>
  <si>
    <t>B16</t>
  </si>
  <si>
    <t>8, Működési célú támogatások államháztartáson belülről összesen (6+7):</t>
  </si>
  <si>
    <t>9, Felhalmozási célú önkormányzati támogatások</t>
  </si>
  <si>
    <t>B25</t>
  </si>
  <si>
    <t>10, Egyéb felhalmozási célú támogatások bevételei államháztartáson belülről</t>
  </si>
  <si>
    <t>11, Felhalmozási célú támogatások államháztartáson belülről összesen: (9+10)</t>
  </si>
  <si>
    <t xml:space="preserve">              Közbiztonsági problémák társadalmi kezelése</t>
  </si>
  <si>
    <t>Anyakönyvi népesség-nyilvántartási és okmánykibocsátási tevékenység</t>
  </si>
  <si>
    <t xml:space="preserve">              Alba Volán Zrt. 504/2012.(VIII.17.) kgy.hat. .I. 1. b. pontja alapján történő finanszírozására</t>
  </si>
  <si>
    <t xml:space="preserve">           Fehérvári Versünnep, a Költészet Napja - Fehérvár Médiacentrum Kft.</t>
  </si>
  <si>
    <t xml:space="preserve">           Székesfehérvári Turisztikai Közhasznú Nonprofit Kft. - működéshez</t>
  </si>
  <si>
    <t xml:space="preserve"> - Kulturális feladatokhoz kapcsolódó egyéb rendezvények</t>
  </si>
  <si>
    <t>Sportszakosztályi és csarnoküzemeltetési támogatások</t>
  </si>
  <si>
    <t>Egyéb sportcélú támogatások</t>
  </si>
  <si>
    <t xml:space="preserve">              Intézményi kafetéria juttatás fedezetére</t>
  </si>
  <si>
    <t>~ ebből: Civil nap megrendezési költségei</t>
  </si>
  <si>
    <t xml:space="preserve">              Önkormányzati kitüntetések, címek</t>
  </si>
  <si>
    <t xml:space="preserve">              Lakásbérlők és Lakástulajdonosok Érdekvédelmi Egyesülete</t>
  </si>
  <si>
    <t xml:space="preserve">              Alba Regia Nyugdíjas Egyesület</t>
  </si>
  <si>
    <t xml:space="preserve">              Széna Egyesület a Családokért</t>
  </si>
  <si>
    <t xml:space="preserve">              Szegényeket Támogató Alapítvány</t>
  </si>
  <si>
    <t xml:space="preserve">              Ifjúság A Jövő Családjaiért Kulturális Közhasznú Egyesület</t>
  </si>
  <si>
    <t xml:space="preserve">              Székesfehérvári Egyházmegye-Belvárosi templomok turisztikai célú támogatása</t>
  </si>
  <si>
    <t xml:space="preserve">              Székesfehérvári Városszépítő- és Védő Egyesület</t>
  </si>
  <si>
    <t xml:space="preserve">              Magyar Hadisírgondozó Szövetség</t>
  </si>
  <si>
    <t xml:space="preserve">              Fehérvári Tűzoltó Egyesület</t>
  </si>
  <si>
    <t>Lakáselidegenítés kiadásai</t>
  </si>
  <si>
    <t xml:space="preserve">           Primavera Vegyeskórus Egyesület</t>
  </si>
  <si>
    <t xml:space="preserve">           Székesfehérvár-Tác Önkormányzati Társulás működésével kapcsolatos költségekre</t>
  </si>
  <si>
    <t xml:space="preserve">           "Ars Musica" Zenebarátok Egyesülete</t>
  </si>
  <si>
    <t>Egyéb felhalmozási célú kiadások</t>
  </si>
  <si>
    <t>Költségvetési kiadások összesen</t>
  </si>
  <si>
    <t>K5</t>
  </si>
  <si>
    <t>Működési célú támogatások államháztartáson belülről</t>
  </si>
  <si>
    <t>Felhalmozási célú támogatások államháztartáson belülről</t>
  </si>
  <si>
    <t>Működési célú átvett pénzeszközök</t>
  </si>
  <si>
    <t>Felhalmozási célú átvett pénzeszközök</t>
  </si>
  <si>
    <t>Maradvány igénybevétele</t>
  </si>
  <si>
    <t>n.=l.+m.</t>
  </si>
  <si>
    <t xml:space="preserve">           Vox Mirabilis Közhasznú Kulturális Egyesület</t>
  </si>
  <si>
    <t>Egyéb működési célú kiadások</t>
  </si>
  <si>
    <t>Egyéb felhalmozási célú  kiadások</t>
  </si>
  <si>
    <t>9, Egyéb felhalmozási célú kiadások</t>
  </si>
  <si>
    <t>K5(k512)</t>
  </si>
  <si>
    <t>K1-8.</t>
  </si>
  <si>
    <t>K1-5.</t>
  </si>
  <si>
    <t>K6-8.</t>
  </si>
  <si>
    <t>(K1-8.)</t>
  </si>
  <si>
    <t>B1-7.</t>
  </si>
  <si>
    <t>o.=g.+k.+n.</t>
  </si>
  <si>
    <t>Közlekedési kiadások</t>
  </si>
  <si>
    <t>~ ebből: HEROSZ Egyesület</t>
  </si>
  <si>
    <t>Felhalmozási célú támogatások bevételei államháztartáson belülről</t>
  </si>
  <si>
    <t>Működési költségvetési kiadások összesen:</t>
  </si>
  <si>
    <t>Működési költségvetési bevételek összesen:</t>
  </si>
  <si>
    <t>Működési költségvetési kiadások</t>
  </si>
  <si>
    <t>Működési költségvetési bevételek</t>
  </si>
  <si>
    <t>Felhalmozási költségvetési kiadások</t>
  </si>
  <si>
    <t>Felhalmozási költségvetési bevételek</t>
  </si>
  <si>
    <t xml:space="preserve">Felhalmozási bevételek </t>
  </si>
  <si>
    <t>Működési költségvetési bevételek-kiadások egyenlege</t>
  </si>
  <si>
    <t>Felhalmozási költségvetési bevételek- kiadások egyenlege</t>
  </si>
  <si>
    <t>Felhalmozási költségvetési kiadások összesen:</t>
  </si>
  <si>
    <t>Felhalmozási költségvetési bevételek összesen:</t>
  </si>
  <si>
    <t>Működési finanszírozási kiadások</t>
  </si>
  <si>
    <t>Működési finanszírozási bevételek</t>
  </si>
  <si>
    <t>Működési finanszírozási bevételek-kiadások egyenlege</t>
  </si>
  <si>
    <t>Működési finanszírozási kiadások összesen:</t>
  </si>
  <si>
    <t>Működési finanszírozási bevételek összesen:</t>
  </si>
  <si>
    <t>Működési egyenleg</t>
  </si>
  <si>
    <t>Felhalmozási finanszírozási kiadások</t>
  </si>
  <si>
    <t>Felhalmozási finanszírozási kiadások összesen:</t>
  </si>
  <si>
    <t>Felhalmozási finanszírozási bevételek</t>
  </si>
  <si>
    <t>Felhalmozási finanszírozási bevételek összesen:</t>
  </si>
  <si>
    <t>Felhalmozási egyenleg</t>
  </si>
  <si>
    <t>Finanszírozási kiadások összesen:</t>
  </si>
  <si>
    <t>Finanszírozási bevételek összesen:</t>
  </si>
  <si>
    <t>Egyenleg</t>
  </si>
  <si>
    <t>Finanszírozási bevételek-kiadások egyenlege</t>
  </si>
  <si>
    <t>Felhalmozási finanszírozási bevételek-kiadások egyenlege</t>
  </si>
  <si>
    <t>Támogatási keretek, alapok</t>
  </si>
  <si>
    <t>2. Irányító szervi támogatás</t>
  </si>
  <si>
    <t>Irányító szervi támogatás folyósítása</t>
  </si>
  <si>
    <t xml:space="preserve">Irányító szervi támogatás </t>
  </si>
  <si>
    <t>I. Költségvetési egyenleg (1-2) az Áht. szerint</t>
  </si>
  <si>
    <t>6. Irányító szervi támogatás</t>
  </si>
  <si>
    <t>B816</t>
  </si>
  <si>
    <t>9. Finanszírozási kiadások összesen:</t>
  </si>
  <si>
    <t>3, Települési önkormányzatok szociális, gyermekjóléti és gyermekétkeztetési feladatainak támogatása</t>
  </si>
  <si>
    <t>K915</t>
  </si>
  <si>
    <t>II. Finanszírozási bevételek összesen (1+2+3)</t>
  </si>
  <si>
    <t>K5 (K501-K512)</t>
  </si>
  <si>
    <t>K5 (K513)</t>
  </si>
  <si>
    <t>2, Települési önkormányzatok egyes köznevelési feladatainak támogatása</t>
  </si>
  <si>
    <t>5, Működési célú költségvetési támogatások és kiegészítő támogatások</t>
  </si>
  <si>
    <t xml:space="preserve">VÁROSFEJLESZTÉS </t>
  </si>
  <si>
    <t xml:space="preserve">           Alba Regia Táncegyesület - közszolgáltatási szerződés</t>
  </si>
  <si>
    <t xml:space="preserve">           Alba Regia Táncegyesület - programok és működési támogatás</t>
  </si>
  <si>
    <t xml:space="preserve">           Gárdonyi Géza Művelődési Ház és Könyvtár Egyesület</t>
  </si>
  <si>
    <t xml:space="preserve">             Alba Regia SC Kft. Kosárlabda Szakosztály</t>
  </si>
  <si>
    <t xml:space="preserve">             Delfin Sportegyesület- működésre</t>
  </si>
  <si>
    <t xml:space="preserve">             Laroco Motorsport Klub Veszprém-Fehérvár rally megrendezése</t>
  </si>
  <si>
    <t xml:space="preserve">             Pro Rekreatione Közhasznú Nonprofit Kft.- Velence-tavi Vízi Sportiskola működési támogatás</t>
  </si>
  <si>
    <t xml:space="preserve">              Nemzetiségi Alap</t>
  </si>
  <si>
    <t xml:space="preserve">              Kistelepülési könyvtári és közművelődési kiegészítő támogatás (Vörösmarty Könyvtár)</t>
  </si>
  <si>
    <t xml:space="preserve">           Fehérvári Programszervező Kft.</t>
  </si>
  <si>
    <t>~ ebből: Székesfehérvári Többcélú Kistérségi Társulás feladatellátásához való működési hozzájárulás</t>
  </si>
  <si>
    <t>Feladat megnevezése</t>
  </si>
  <si>
    <t>Szennyvízcsatorna összesen:</t>
  </si>
  <si>
    <t>Útfelújítások</t>
  </si>
  <si>
    <t xml:space="preserve">          Gyalogos és kerékpáros biztonsági program</t>
  </si>
  <si>
    <t xml:space="preserve">          Jelzőlámpa-rendszer fejlesztése</t>
  </si>
  <si>
    <t xml:space="preserve">          Közműoszlop-kiváltások</t>
  </si>
  <si>
    <t>Egyéb javaslat</t>
  </si>
  <si>
    <t xml:space="preserve">Várkörúti szoborpark felújítása </t>
  </si>
  <si>
    <t>Útfelújítások összesen:</t>
  </si>
  <si>
    <t>Csapadékvíz elvezetés, árvíz-belvíz védekezés</t>
  </si>
  <si>
    <t>Csapadékcsatorna üzemeltetés</t>
  </si>
  <si>
    <t>Brassói utca - csapadékcsatorna rekonstrukció</t>
  </si>
  <si>
    <t>Csapadékvíz elvezetés, árvíz-belvíz védekezés összesen:</t>
  </si>
  <si>
    <t>Korlátozási kártalanítás</t>
  </si>
  <si>
    <t>Szemünk Fénye program</t>
  </si>
  <si>
    <t>Belvárosi épületek rekonstrukcióját szolgáló fejlesztési alap (visszatérítendő támogatás)</t>
  </si>
  <si>
    <t>544/2015. (VII.23.) kgy.határozathoz kapcsolódó fejlesztési keret</t>
  </si>
  <si>
    <t>Egyéb összesen:</t>
  </si>
  <si>
    <t>Fő és gyűjtőutak felújítása - Ligetsor (Ligetsor felújítás és parkolómező, körforgalom, iskola-óvoda előtti tér, sétány)</t>
  </si>
  <si>
    <t>Székesfehérvár-Csala 22 kV-os vezeték kiváltása</t>
  </si>
  <si>
    <t>Autóbusz-hálózat átalakításával összefüggő feladatok</t>
  </si>
  <si>
    <t>Államigazgatási feladat</t>
  </si>
  <si>
    <t>Államigaz-gatási feladat</t>
  </si>
  <si>
    <t>Székesfehérvári Mikrovállalkozások Kamattámogatási Programja</t>
  </si>
  <si>
    <t xml:space="preserve">              Ifjúsági Alap</t>
  </si>
  <si>
    <t>Álláshely</t>
  </si>
  <si>
    <t>6, Működési költségvetési kiadások összesen</t>
  </si>
  <si>
    <t>10, Felhalmozási költségvetési kiadások összesen</t>
  </si>
  <si>
    <t>6, Működési költségvetési kiadások  összesen:</t>
  </si>
  <si>
    <t>10, Felhalmozási költségvetési kiadások összesen:</t>
  </si>
  <si>
    <t>Előző évi felhalmozási célú költségvetési maradvány igénybevétele</t>
  </si>
  <si>
    <t>Előző évi működési célú költségvetési maradvány igénybevétele</t>
  </si>
  <si>
    <t xml:space="preserve">             Maroshegyi Ifjúsági Egyesület</t>
  </si>
  <si>
    <t xml:space="preserve">             Egészség és Kultúra Egyesület - Fehérvár Feszt megrendezésének támogatása </t>
  </si>
  <si>
    <t xml:space="preserve">             Székesfehérvári Városszépítő- és Védő Egyesület - Székesfehérvár Hosszútemető műemlék jellegű sírjainak karbantartására, felújítására</t>
  </si>
  <si>
    <t>Működési költségvetés összesen</t>
  </si>
  <si>
    <t>Felhalmozási költségvetés összesen</t>
  </si>
  <si>
    <t>Önkormányzat eredeti előirányzata</t>
  </si>
  <si>
    <t>~ Igazgatási tevékenységet érintő átcsoportosítás</t>
  </si>
  <si>
    <t>~ Igazgatási tevékenységet érintő átcsoportosítás céltartalékról</t>
  </si>
  <si>
    <t xml:space="preserve">Költségvetési és finanszírozási egyenleg működési és felhalmozási cél szerinti bontásban (eFt-ban)  </t>
  </si>
  <si>
    <t>Módosított előirányzat</t>
  </si>
  <si>
    <t>Javasolt módosítás</t>
  </si>
  <si>
    <t>b/2</t>
  </si>
  <si>
    <t>b/3</t>
  </si>
  <si>
    <t>c/2</t>
  </si>
  <si>
    <t>c/3</t>
  </si>
  <si>
    <t>d/2</t>
  </si>
  <si>
    <t>d/3</t>
  </si>
  <si>
    <t>d/1=b/1+c/1</t>
  </si>
  <si>
    <t>d/2=b/2+c/2</t>
  </si>
  <si>
    <t>d/3=b/3+c/3</t>
  </si>
  <si>
    <t>b/1.</t>
  </si>
  <si>
    <t>b/2.</t>
  </si>
  <si>
    <t>b/3.</t>
  </si>
  <si>
    <t>c/1.</t>
  </si>
  <si>
    <t>c/2.</t>
  </si>
  <si>
    <t>c/3.</t>
  </si>
  <si>
    <t>d/1.=b/1.+c/1.</t>
  </si>
  <si>
    <t>d/2.=b/2.+c/2.</t>
  </si>
  <si>
    <t>d/3.=b/3.+c/3.</t>
  </si>
  <si>
    <t>Székesfehérvár Megyei Jogú Város Önkormányzat és Költségvetési szervei</t>
  </si>
  <si>
    <t>~ Intézményhez lebontva</t>
  </si>
  <si>
    <t>Egyesített Szociális Intézmény</t>
  </si>
  <si>
    <t>Összesen:</t>
  </si>
  <si>
    <t>Mindösszesen:</t>
  </si>
  <si>
    <t>~ Főösszeget nem érintő belső átcsoportosítás</t>
  </si>
  <si>
    <t>Kríziskezelő Központ</t>
  </si>
  <si>
    <t xml:space="preserve">           Önként vállalt feladat összesen</t>
  </si>
  <si>
    <t>Ebből: Kötelező feladat összesen</t>
  </si>
  <si>
    <t>összesen:</t>
  </si>
  <si>
    <t xml:space="preserve">            Önként vállalt feladat e.i.</t>
  </si>
  <si>
    <t>~ ebből:Kötelező feladate.i.</t>
  </si>
  <si>
    <t>Polgármesteri Hivatal</t>
  </si>
  <si>
    <t>Intézmények összesen:</t>
  </si>
  <si>
    <t>Kulturális ellátás összesen:</t>
  </si>
  <si>
    <t>A Szabadművelődés Háza</t>
  </si>
  <si>
    <t>Ebből: Önként vállalt feladat összesen</t>
  </si>
  <si>
    <t>~ ebből:Önként vállalt feladat e.i.</t>
  </si>
  <si>
    <t>Vörösmarty Színház</t>
  </si>
  <si>
    <t>Alba Regia Szimfonikus Zenekar</t>
  </si>
  <si>
    <t>Szent István Király Múzeum</t>
  </si>
  <si>
    <t>Vörösmarty Mihály Könyvtár</t>
  </si>
  <si>
    <t>Városi Levéltár és Kutatóintézet</t>
  </si>
  <si>
    <t xml:space="preserve">Székesfehérvári Intézményi Központ </t>
  </si>
  <si>
    <t>Szociális ellátás összesen</t>
  </si>
  <si>
    <t>Humán Szolg. összesen</t>
  </si>
  <si>
    <t>Óvodák összesen</t>
  </si>
  <si>
    <t>Ligetsori Óvoda</t>
  </si>
  <si>
    <t>Szivárvány Óvoda</t>
  </si>
  <si>
    <t>Tolnai Úti Óvoda</t>
  </si>
  <si>
    <t>Szárazréti Óvoda</t>
  </si>
  <si>
    <t>Napsugár Óvoda</t>
  </si>
  <si>
    <t>Maroshegyi Óvoda</t>
  </si>
  <si>
    <t>Hosszúsétatéri Óvoda</t>
  </si>
  <si>
    <t>Felsővárosi Óvoda</t>
  </si>
  <si>
    <t>Árpád Úti Óvoda</t>
  </si>
  <si>
    <t>Bölcsőde összesen</t>
  </si>
  <si>
    <t>Nyitnikék Bölcsőde</t>
  </si>
  <si>
    <t>Napraforgó Bölcsőde</t>
  </si>
  <si>
    <t>Százszorszép Bölcsőde</t>
  </si>
  <si>
    <t>Eü. Ellátás összesen</t>
  </si>
  <si>
    <t>Frim Jakab Képességfejlesztő Szakosított Otthon</t>
  </si>
  <si>
    <t>Humán Szolgáltató Intézet</t>
  </si>
  <si>
    <t>l.=j.+k.</t>
  </si>
  <si>
    <t>k.=d.+g.+i.</t>
  </si>
  <si>
    <t>j.=c.+e +f.+h.</t>
  </si>
  <si>
    <t>g.</t>
  </si>
  <si>
    <t>(B1-8.)</t>
  </si>
  <si>
    <t>(B1-7.)</t>
  </si>
  <si>
    <t>(B2+B5+B7)</t>
  </si>
  <si>
    <t>(B1+B3+B4+B6)</t>
  </si>
  <si>
    <t>Önkormányzati támogatás</t>
  </si>
  <si>
    <t>Bevételek  összesen</t>
  </si>
  <si>
    <t>Finanszírozási bevételek</t>
  </si>
  <si>
    <t>Költségvetési  bevételek összesen</t>
  </si>
  <si>
    <t xml:space="preserve"> Közhatalmi bevételek</t>
  </si>
  <si>
    <t>KÖLTSÉGVETÉSI SZERVEK</t>
  </si>
  <si>
    <t>cím</t>
  </si>
  <si>
    <t>o.=m.+n.</t>
  </si>
  <si>
    <t>n.</t>
  </si>
  <si>
    <t>m.=h.+l.</t>
  </si>
  <si>
    <t>l.=i.+j.+k.</t>
  </si>
  <si>
    <t>k.</t>
  </si>
  <si>
    <t>h.=c.+d.+e.+f.+g.</t>
  </si>
  <si>
    <t>(K1-9.)</t>
  </si>
  <si>
    <t>(K6-8.)</t>
  </si>
  <si>
    <t>(K1-5.)</t>
  </si>
  <si>
    <t>Kiadások  összesen</t>
  </si>
  <si>
    <t>Finanszírozási kiadások</t>
  </si>
  <si>
    <t>Egyéb működési célú  kiadások</t>
  </si>
  <si>
    <t>Ellátottak pénzbeli juttatásai</t>
  </si>
  <si>
    <t>Munkaadókat terhelő járulékok és szocilis hozzájárulási adó</t>
  </si>
  <si>
    <t xml:space="preserve"> INTÉZMÉNYEK</t>
  </si>
  <si>
    <t>Cím</t>
  </si>
  <si>
    <t>Működési költségvetési bevételek összesen</t>
  </si>
  <si>
    <t>Felhalmozási költségvetési bevételek összesen</t>
  </si>
  <si>
    <t>Rákóczi Utcai Óvoda</t>
  </si>
  <si>
    <t>Tolnai Utcai Óvoda</t>
  </si>
  <si>
    <t>Székesfehérvári Család- és Gyermekjóléti Központ</t>
  </si>
  <si>
    <t xml:space="preserve">           Államigazgatási feladat
           összesen</t>
  </si>
  <si>
    <t xml:space="preserve">            Államigazgatási feladat e.i.</t>
  </si>
  <si>
    <t>Működési költségvetési kiadások összesen</t>
  </si>
  <si>
    <t>Felhalmozási költségvetési kiadások  összesen</t>
  </si>
  <si>
    <t xml:space="preserve">I. </t>
  </si>
  <si>
    <t>Igazgatási tevékenység</t>
  </si>
  <si>
    <t>~ Intézményekhez lebontva</t>
  </si>
  <si>
    <t>~ Bevétel miatti növekedés</t>
  </si>
  <si>
    <t xml:space="preserve">   Költségvetési szerveknél foglalkoztatottak bérkompenzációja</t>
  </si>
  <si>
    <t>K9121</t>
  </si>
  <si>
    <t>B8121</t>
  </si>
  <si>
    <t>Forgatási célú belföldi értékpapírok beváltása, értékesítése</t>
  </si>
  <si>
    <t>Forgatási célú belföldi értékpapírok vásárlása</t>
  </si>
  <si>
    <t>7, Forgatási célú belföldi értékpapírok beváltása, értékesítése</t>
  </si>
  <si>
    <t>4, Ellátottak pénzbeli juttatásai</t>
  </si>
  <si>
    <t>15, Forgatási célú belföldi értékpapírok vásárlása</t>
  </si>
  <si>
    <t>K914</t>
  </si>
  <si>
    <t>17, Irányító szervi támogatás folyósítása</t>
  </si>
  <si>
    <t>18, Finanszírozási kiadások összesen:</t>
  </si>
  <si>
    <t>II. Finanszírozási egyenleg (8-9)</t>
  </si>
  <si>
    <t>Egyenleg (I-II.)</t>
  </si>
  <si>
    <t>3. Forgatási célú belföldi értékpapírok beváltása, értékesítése</t>
  </si>
  <si>
    <t>1, Forgatási célú belföldi értékpapírok vásárlása</t>
  </si>
  <si>
    <t>3, Irányító szervi támogatás folyósítása</t>
  </si>
  <si>
    <t>IV. Finanszírozási kiadások összesen (1+2+3)</t>
  </si>
  <si>
    <t>Szolidaritási hozzájárulás</t>
  </si>
  <si>
    <t xml:space="preserve">             Vadásztölténygyári Vasas Ifjúsági és Sport Egyesület- Futballfesztivál megrendezésének támogatása</t>
  </si>
  <si>
    <t xml:space="preserve">             Ifjúsági feladatok és a Székesfehérvári Diáktanács működése</t>
  </si>
  <si>
    <t xml:space="preserve">             Székesfehérvári Szerb Nemzetiségi Önkormányzat- Szerb templom karbantartásához, felújításához, nyitvatartásához</t>
  </si>
  <si>
    <t xml:space="preserve">             GAP Média Kft. - Ezer Lámpás Éjszakája rendezvénysorozat</t>
  </si>
  <si>
    <t xml:space="preserve">             Székesfehérvári Születési Támogatási Program</t>
  </si>
  <si>
    <t xml:space="preserve">             Székesfehérvári Szociális Alapítvány</t>
  </si>
  <si>
    <t xml:space="preserve">             Székesfehérvári Érzékenyítő Program</t>
  </si>
  <si>
    <t xml:space="preserve">             Fehérvár kártya</t>
  </si>
  <si>
    <t>~ ebből: Városrészi közbiztonsági feladatok támogatása</t>
  </si>
  <si>
    <t xml:space="preserve">              Térfigyelő kamerarendszer bővítése (Közbiztonság növelését szolgáló fejlesztések megvalósítása)</t>
  </si>
  <si>
    <t>Víziközmű-fejlesztési Alap</t>
  </si>
  <si>
    <t>~ ebből: Helyi közösségi közlekedés finanszírozási kerete</t>
  </si>
  <si>
    <t xml:space="preserve">              Önálló Főiskolai Közalapítvány támogatása</t>
  </si>
  <si>
    <t xml:space="preserve">              Székesfehérvári Tankerületi Központ- oktatásszakmai munkájának támogatása</t>
  </si>
  <si>
    <t xml:space="preserve">              Székesfehérvári Szakképzési Centrum - oktatásszakmai munkájának támogatása</t>
  </si>
  <si>
    <t xml:space="preserve">              Mozgássérültek Fejér Megyei Egyesülete által fenntartott Viktória Rehabilitációs Központ egészségügyi és szociális ellátásának támogatása</t>
  </si>
  <si>
    <t xml:space="preserve">              Alba Civitan Rehabilitációs Nonprofit Kft. támogatása</t>
  </si>
  <si>
    <t xml:space="preserve">              Székesfehérvár Fejlődéséért Alapítvány támogatása</t>
  </si>
  <si>
    <t xml:space="preserve">              Kégl György Program - Fejér Megyei Szent György Egyetemi Oktató Kórház működési és fejlesztési támogatása</t>
  </si>
  <si>
    <t xml:space="preserve">              Kégl György Program - Egészségügyi feladatok</t>
  </si>
  <si>
    <t xml:space="preserve">              Társulási orvosi ügyeleti feladatok ellátásához személygépjármű beszerzés kerete</t>
  </si>
  <si>
    <t xml:space="preserve">           Bory-Vár Alapítvány támogatása</t>
  </si>
  <si>
    <t xml:space="preserve">           Kákics Kulturális Egyesület</t>
  </si>
  <si>
    <t>~ ebből: Fehérvár FC Kft.</t>
  </si>
  <si>
    <t xml:space="preserve">             Alba Volán Sportclub Öttusa Szakosztály</t>
  </si>
  <si>
    <t xml:space="preserve">             Fehérvár Enthroners Sportegyesület</t>
  </si>
  <si>
    <t xml:space="preserve">             Fehérvár Frizbi Sportegyesület</t>
  </si>
  <si>
    <t>TÁMOGATÁSI ALAPOK (KERETEK, ALAPOK)</t>
  </si>
  <si>
    <t xml:space="preserve">ebből: Hídfelújítások </t>
  </si>
  <si>
    <t xml:space="preserve">          Balatoni u. járda töltésmegerősítés kiviteli terv készítés</t>
  </si>
  <si>
    <t>Iskolák előtti közösségi terek kialakítása</t>
  </si>
  <si>
    <t>Közösségi terek tervezése, létrehozása</t>
  </si>
  <si>
    <t>Bátky áteresz ikresítése</t>
  </si>
  <si>
    <t>Jancsár árok mederkotrása külterületen (1+053- 1+659 szelvények között)</t>
  </si>
  <si>
    <t>Jancsár árok mederkotrása belterületen, Bakony utca teljes hosszában,iszapelhelyezéssel</t>
  </si>
  <si>
    <t>Árpád-ház programhoz kapcsolódó tervezési, előkészítési feladatok figyelemmel az 1315/2016.(VII.1.) Korm.határozatra</t>
  </si>
  <si>
    <t>Középiskolai Campus</t>
  </si>
  <si>
    <t>Utastájékoztatás (arculattervezés, táblacsere, menetrend, menetrendfüzet)</t>
  </si>
  <si>
    <t>Budapesti Corvinus Egyetem Székesfehérvári Campusa elhelyezésével és működtetésével kapcsolatos beruházások elvégzésére (479/2016. (VI.24.) kgy. hat. alapján)</t>
  </si>
  <si>
    <t>Felsőváros vízrendezése II. ütem</t>
  </si>
  <si>
    <t>Kégl és Távírda utca csapadékcsatorna rekonstrukció</t>
  </si>
  <si>
    <t>Vásárhelyi út felújítása Batthyányi utcai csomópontjától az ipari és logisztikai területek eléréséig</t>
  </si>
  <si>
    <t>Székesfehérvár szennyvíztisztító telep biogáz vonalának fejlesztése</t>
  </si>
  <si>
    <t>Palotavárosi tavak sport és rekreációs célú hasznosítása</t>
  </si>
  <si>
    <t>Államháztartáson belüli megelőlegezések visszafizetése</t>
  </si>
  <si>
    <t xml:space="preserve">~ Intézményhez lebontva </t>
  </si>
  <si>
    <t>Kisléptékű közlekedési célú fejlesztés a munkaerő mobilitás és a gazdaságfejlesztés érdekében</t>
  </si>
  <si>
    <t>Székesfehérvári Sóstó Természetvédelmi Terület és Vidámparki Csónakázótó rehabilitációjára, figyelemmel a 1285/2015.(IV.30.) Korm. Határozatra, valamint a megvalósítás ütemezésére</t>
  </si>
  <si>
    <t>Feketehegyi Kultúrudvarhoz kapcsolódó fejlesztésekre (186/2017.(III.24.) kgy.hat.alapján)</t>
  </si>
  <si>
    <t>Sportcsarnok, egyéb létesítmények, felszíni parkolók, zöldfelület építésének önkormányzati önrésze (345/2017.(IV.28.) kgy.hat.alapján)</t>
  </si>
  <si>
    <t>Parkolóház kialakítására (282/2017.(IV.7.) kgy.hat.alapján)</t>
  </si>
  <si>
    <t>Honvéd u. 8. szám alatti ingatlan felújítása (292/2017.(IV.7.) kgy.hat.alapján)</t>
  </si>
  <si>
    <t xml:space="preserve">   Szociális ágazati összevont pótlék</t>
  </si>
  <si>
    <t xml:space="preserve">   Kulturális illetménypótlék</t>
  </si>
  <si>
    <t xml:space="preserve">   Nyugdíjazással kapcsolatos kifizetések</t>
  </si>
  <si>
    <t xml:space="preserve">   Jubileumi jutalom, jogszabályból fakadó személyi jellegű többlet kifizetések kerete</t>
  </si>
  <si>
    <t xml:space="preserve">   Intézményi kafetéria juttatás fedezetére</t>
  </si>
  <si>
    <t>~ Polgármesteri Hivatalhoz lebontva</t>
  </si>
  <si>
    <t>Költségvetési szerveknek lebontás
 (6)</t>
  </si>
  <si>
    <t>Kötlező feladat</t>
  </si>
  <si>
    <t>Önként vállat feladat</t>
  </si>
  <si>
    <t>Önként  vállalt feladat</t>
  </si>
  <si>
    <t>2018. évi bevételei eFt-ban</t>
  </si>
  <si>
    <t>12, Építményadó</t>
  </si>
  <si>
    <t>14, Iparűzési adó</t>
  </si>
  <si>
    <t>15, Értékesítési és forgalmi adók (14)</t>
  </si>
  <si>
    <t>16, Gépjárműadó</t>
  </si>
  <si>
    <t>17, Idegenforgalmi adó</t>
  </si>
  <si>
    <t>18, Egyéb áruhasználati és szolgáltatási adók (17)</t>
  </si>
  <si>
    <t>19, Termékek és szolgáltatások adói összesen (15+16+18):</t>
  </si>
  <si>
    <t>20, Egyéb települési adó</t>
  </si>
  <si>
    <t>21, Adópótlék, adóbírság</t>
  </si>
  <si>
    <t>22, Szabálysértési pénz és helyszíni bírság és közigazgatási bírság</t>
  </si>
  <si>
    <t>23, Egyéb bírság</t>
  </si>
  <si>
    <t>26, Működési bevételek</t>
  </si>
  <si>
    <t>27, Ingatlanok értékesítése</t>
  </si>
  <si>
    <t>29, Működési célú átvett pénzeszközök</t>
  </si>
  <si>
    <t>30, Felhalmozási célú átvett pénzeszközök</t>
  </si>
  <si>
    <t>31, Működési költségvetési bevételek összesen (8+25+26+29):</t>
  </si>
  <si>
    <t>32, Felhalmozási költségvetési bevételek összesen (11+28+30):</t>
  </si>
  <si>
    <t>33, Költségvetési bevételek összesen (31+32):</t>
  </si>
  <si>
    <t>2018. évi kiadásai eFt-ban</t>
  </si>
  <si>
    <t>összevont 2018. évi bevételi és kiadási  egyenlege eFt-ban</t>
  </si>
  <si>
    <t>összevont 2018. évi kiadásairól eFt-ban</t>
  </si>
  <si>
    <t>összevont 2018. évi bevételeiről eFt-ban</t>
  </si>
  <si>
    <t>Önkormányzat 2018. évi költségvetési kiadásai (eFt-ban)</t>
  </si>
  <si>
    <t>~3/2018.(II.8.) önkormányzati rendelet 6.§ (10) bekezdése szerinti átcsoportosítás</t>
  </si>
  <si>
    <t>Felújítási kiadások</t>
  </si>
  <si>
    <t>Az Önkormányzat költségvetési kiadásai feladatonkénti bontásban
(eFt-ban)</t>
  </si>
  <si>
    <t>Állami (államigaz-gatási feladat)</t>
  </si>
  <si>
    <t>x</t>
  </si>
  <si>
    <t xml:space="preserve">             Vadmadárkórház Természetvédelmi Alapítvány a Vadon Élő Madarak Megmentéséért</t>
  </si>
  <si>
    <t xml:space="preserve">             Egészség és Kultúra Egyesület - Skate Park és szurkolói klub működtetése</t>
  </si>
  <si>
    <t xml:space="preserve">            Helyi foglalkoztatási együttműködések Székesfehérvár és járása területén</t>
  </si>
  <si>
    <t xml:space="preserve">            Gaja Környezetvédő Egyesület működési támogatása</t>
  </si>
  <si>
    <t xml:space="preserve">            Önkormányzati közalapítványok támogatása (379/2016. (V.27.) kgy. hat. alapján)</t>
  </si>
  <si>
    <t xml:space="preserve">            Hadisírok, emlékművek helyreállítása, felújítása</t>
  </si>
  <si>
    <t xml:space="preserve">            Katonai Emlékpark Közhasznú Nonprofit Kft.- A Katonai Emlékpark kiemelt- elsősorban pedagógiai-programjainak támogatása</t>
  </si>
  <si>
    <t xml:space="preserve">           1956-os Magyar Szabadságharcosok Világszövetsége Egyesület</t>
  </si>
  <si>
    <t xml:space="preserve">           Honvédség és Társadalom Baráti Kör Székesfehérvári Szervezete</t>
  </si>
  <si>
    <t xml:space="preserve">           Dévai Szent Ferenc Alapítvány- Szent Imre Iskolaház működéséhez támogatás</t>
  </si>
  <si>
    <t xml:space="preserve">           Fehérvári Civil Központ üzemeltetése</t>
  </si>
  <si>
    <t xml:space="preserve">          III. Adventi Jótékonysági Futás és a VII. Székesfehérvári Jótékonysági Estély (744/2017.(X.20.) kgy.hat.alapján)</t>
  </si>
  <si>
    <t xml:space="preserve">           "Zöld fal" projekt</t>
  </si>
  <si>
    <t xml:space="preserve">           Civil Centrum Közhasznú Alapítvány - Esélykör működtetése</t>
  </si>
  <si>
    <t xml:space="preserve">           Ciszterci Szent István Gimnázium - prevenciós előadássorozat támogatása</t>
  </si>
  <si>
    <t xml:space="preserve">           Fiatalok Fehérvárért Egyesület</t>
  </si>
  <si>
    <t xml:space="preserve">           Székesfehérvári Református Egyházközség támogatási kerete</t>
  </si>
  <si>
    <t xml:space="preserve">           Magyar Vöröskereszt Fejér Megyei Szervezete</t>
  </si>
  <si>
    <t xml:space="preserve">           Tarsoly Ifjúságért Egyesület</t>
  </si>
  <si>
    <t xml:space="preserve">           Szociális keret</t>
  </si>
  <si>
    <t xml:space="preserve">          Nagycsaládosok Országos Egyesülete - székesfehérvári csoport támogatása</t>
  </si>
  <si>
    <t xml:space="preserve">              Fejér Megyei Rendőr-Főkapitányság - Székesfehérvári Rendőrkapitányság működésére</t>
  </si>
  <si>
    <t xml:space="preserve">              Fejér Megyei Katasztrófavédelmi Igazgatóság - Polgári Védelmi Kirendeltségének 2018. évi támogatására</t>
  </si>
  <si>
    <t xml:space="preserve">              Ingatlangazdálkodási Alap</t>
  </si>
  <si>
    <t>Közműellátási feladatok</t>
  </si>
  <si>
    <t xml:space="preserve">              "Aranyeső" Alapítvány az egészséges emberért támogatása - Hétpettyes Óvoda</t>
  </si>
  <si>
    <t xml:space="preserve">              "Lánczos Kornél-Szekfű Gyula" Ösztöndíj Közalapítvány támogatása</t>
  </si>
  <si>
    <t xml:space="preserve">              Tóth István és Tóth Terézia Ösztöndíj Közalapítvány támogatása</t>
  </si>
  <si>
    <t xml:space="preserve">              Színes Diploma átadó ünnepség megrendezésére - Pedagógusok Szakszervezete Fejér Megyei Szervezete</t>
  </si>
  <si>
    <t xml:space="preserve">              "Székesfehérvári felsőoktatási intézmények támogatása"</t>
  </si>
  <si>
    <t xml:space="preserve">              "Alba Regia" tanulmányi ösztöndíj</t>
  </si>
  <si>
    <t xml:space="preserve">              "Alapítvány a hunyadis diákokért"</t>
  </si>
  <si>
    <t xml:space="preserve">              "Barátod az alumínium - Kincsek Hulladékból Program"</t>
  </si>
  <si>
    <t xml:space="preserve">              Mozgássérültek Fejér Megyei Egyesülete (834/2017.(XII.1.) kgy.hat.alapján</t>
  </si>
  <si>
    <t xml:space="preserve">              Székesfehérvár Egészségügyi Ellátásáért Közalapítvány támogatása</t>
  </si>
  <si>
    <t xml:space="preserve">              HPV 9 komponensű oltóanyag beszerzése a székesfehérvári lakóhellyel rendelkező 2017. és 2018. évben 12. életévüket betöltő fiú gyermekek részére</t>
  </si>
  <si>
    <t xml:space="preserve">              Fehérvári Pályakezdő Orvosok Egyesülete támogatása</t>
  </si>
  <si>
    <t xml:space="preserve">              Sclerosis Multiplex Alapítvány</t>
  </si>
  <si>
    <t xml:space="preserve">              Segítő Fehérvár program</t>
  </si>
  <si>
    <t xml:space="preserve">           Városi rendezvények</t>
  </si>
  <si>
    <t xml:space="preserve">           "Szín-Tér"/Színjátszó-Versmondó/ Egyesület </t>
  </si>
  <si>
    <t xml:space="preserve">          "Quartettissimo Fesztivál- Károlyi József Alapítvány"</t>
  </si>
  <si>
    <t xml:space="preserve">          Fehérvári Zenei Napok - A Tehetséges Zenészekért Alapítvány</t>
  </si>
  <si>
    <t xml:space="preserve">          Fehérvári Zenei Napok - A Tehetséges Zenészekért Alapítvány - visszatérítendő támogatás</t>
  </si>
  <si>
    <t xml:space="preserve">          Magyar Éremgyűjtők Egyesülete támogatása</t>
  </si>
  <si>
    <t xml:space="preserve">         Fricsay Richárd Katonazenekari Fesztivál és Gála</t>
  </si>
  <si>
    <t xml:space="preserve">         Könyvkiadás</t>
  </si>
  <si>
    <t xml:space="preserve">         Székesfehérvári művészek támogatása</t>
  </si>
  <si>
    <t xml:space="preserve">         Kulturális célú kiadások év közben jelentkező többletfeladatok</t>
  </si>
  <si>
    <t xml:space="preserve">         Városházi rendezvények, - Díszterem</t>
  </si>
  <si>
    <t xml:space="preserve">         Világháborús megemlékezések</t>
  </si>
  <si>
    <t xml:space="preserve">         Jazz Fesztivál megrendezése- M.A.P.! Workshop Kft.</t>
  </si>
  <si>
    <t xml:space="preserve">         Székelyföldi Verstábor - Fortis Hungarorum Kulturális Egyesület</t>
  </si>
  <si>
    <t xml:space="preserve">         Reformáció Emlékéve</t>
  </si>
  <si>
    <t xml:space="preserve">         Magyar Zsidó Kulturális Egyesület</t>
  </si>
  <si>
    <t xml:space="preserve">         Bálok támogatása </t>
  </si>
  <si>
    <t xml:space="preserve">         XV. Alba Regia Nemzetközi Gyermekkórusfesztivál - "Kodály Zoltán Általános Iskola és Művészeti Központ" Alapítvány</t>
  </si>
  <si>
    <t xml:space="preserve">        Városrészi rendezvények</t>
  </si>
  <si>
    <t xml:space="preserve">        Emléktábla elhelyezéséhez támogatás</t>
  </si>
  <si>
    <t xml:space="preserve">        Fehéredő Múlt című film 4. rész elkészítése</t>
  </si>
  <si>
    <t xml:space="preserve">        Szent László nyomában, Erdélyben című film elkészítése</t>
  </si>
  <si>
    <t xml:space="preserve">        Mátyás király-emlékév</t>
  </si>
  <si>
    <t xml:space="preserve">             Fehérvár AV 19 Sport Club Jégkorong Szakosztály</t>
  </si>
  <si>
    <t>~ ebből: Fehérvár AV 19 Sport Club  - Ingatlan üzemeltetésével, fejlesztésével összefüggő költségekhez</t>
  </si>
  <si>
    <t xml:space="preserve">             Magyar Labdarúgó Szövetség Fejér Megyei Igazgatósága - "Alba Liga" kispályás labdarúgó bajnokság támogatása</t>
  </si>
  <si>
    <t xml:space="preserve">             Track&amp;Race - Sportügynökség Korlátolt Felelősségű Társaság - "Gyulai István Memorial-Atlétikai Magyar Nagydíj" </t>
  </si>
  <si>
    <t xml:space="preserve">             Alba Regia Atlétikai Klub - Országos atlétikai versenyek megrendezésére</t>
  </si>
  <si>
    <t xml:space="preserve">             Felsővárosi Fésüs Röplabda Akadémia Fehérvár</t>
  </si>
  <si>
    <t xml:space="preserve">            "Fehérvár Kiskút Teniszklub" Sportegyesület </t>
  </si>
  <si>
    <t xml:space="preserve">            Fehérvári Sakk Egyesület</t>
  </si>
  <si>
    <t xml:space="preserve">            MÁV Előre Sport Club </t>
  </si>
  <si>
    <t xml:space="preserve">            Év közben jelentkező sportcélú kiadások</t>
  </si>
  <si>
    <t xml:space="preserve">            Alba Volán Sportclub  Férfi-Női Öttusa Európabajnokság</t>
  </si>
  <si>
    <t xml:space="preserve">            Rotpunkt Sziklamászó Egyesület</t>
  </si>
  <si>
    <t xml:space="preserve">            2020. évi nemzetközi sportversenyekre</t>
  </si>
  <si>
    <t xml:space="preserve">            Tour de Hongrie 2018. székesfehérvári szakasza</t>
  </si>
  <si>
    <t xml:space="preserve">              Költségvetési szervek működési költségeinek  tartalék kerete, valamint az új illetve átszervezéssel érintett intézmények megalakulásával és átszervezésével kapcsolatos eseti költségeinek fedezetére</t>
  </si>
  <si>
    <t xml:space="preserve">              Közalkalmazottak illetményrendezési kerete</t>
  </si>
  <si>
    <t>Fejlesztési kiadások 2018. évi feladatonkénti megbontása
(eFt-ban)</t>
  </si>
  <si>
    <t>Székesfehérvár Város és Térsége Szennyvízcsatorna Hálózat Bővítési Önkormányzati Társulás 2018. évi önkormányzati önrésze</t>
  </si>
  <si>
    <t xml:space="preserve">Saára Gyula program </t>
  </si>
  <si>
    <t xml:space="preserve">          Kégl és Távírda utca felújítása</t>
  </si>
  <si>
    <t xml:space="preserve">          Arany János utca és kapcsolódó terek felújítása</t>
  </si>
  <si>
    <t xml:space="preserve">          Brassói u. járda és szegély helyreállítás költségeire</t>
  </si>
  <si>
    <t xml:space="preserve">          Pozsonyi út Zsolnai és Nagyszombati út között  kiviteli tervek (TOP forráson felül)</t>
  </si>
  <si>
    <t xml:space="preserve">          Salétrom utca sétány II. ütem + közvilágítás</t>
  </si>
  <si>
    <t xml:space="preserve">          Palotaváros forgalomszabályozás tervezés </t>
  </si>
  <si>
    <t xml:space="preserve">          Nagyszombati út felújításához kapcsolódó tervezési feladatok</t>
  </si>
  <si>
    <t xml:space="preserve">          Pozsonyi út felújítása Zsolnai és Nagyszombati út között</t>
  </si>
  <si>
    <t xml:space="preserve">          Szilvamag közterület fejlesztés folytatása</t>
  </si>
  <si>
    <t xml:space="preserve">          Mártírok útja jobbra kanyarodó sáv kialakítása</t>
  </si>
  <si>
    <t xml:space="preserve">          Börgöndi járda és csapadékcsatorna építése, buszforduló átépítése, parkolók kialakítása</t>
  </si>
  <si>
    <t xml:space="preserve">           Széchenyi út - Horvát István út új sáv kiépítése középsziget csökkentésével</t>
  </si>
  <si>
    <t xml:space="preserve">           Széchenyi út felújítása a Budai út és Horvát István utca között</t>
  </si>
  <si>
    <t xml:space="preserve">           Berényi út III. ütem útépítés</t>
  </si>
  <si>
    <t xml:space="preserve">          Fiskális út felújítása I. ütem</t>
  </si>
  <si>
    <t xml:space="preserve">          Zombori út felújítása</t>
  </si>
  <si>
    <t xml:space="preserve">          Salétrom utca IV. ütem KRESZ park kialakítása</t>
  </si>
  <si>
    <t xml:space="preserve">          Vásárhelyi út felújítása az 1+800 - 2+272,76 km között</t>
  </si>
  <si>
    <t xml:space="preserve">          Csanádi tér parkolók építése</t>
  </si>
  <si>
    <t>Jávor Ottó tér terület és parkrendezés</t>
  </si>
  <si>
    <t>Horváth I. ltp csapadékvíz elvezetése</t>
  </si>
  <si>
    <t>Varga csatorna árapasztó műtárgy tervei</t>
  </si>
  <si>
    <t>Varga csatorna árapasztó műtárgy kivitelezése</t>
  </si>
  <si>
    <t>Zrínyi utca csapadékcsatorna átépítés</t>
  </si>
  <si>
    <t>Berényi út III. csapadékcsatorna átépítése</t>
  </si>
  <si>
    <t>Zombori utca csapadékcsatorna átépítése</t>
  </si>
  <si>
    <t>Arany János u. 10. szám alatti ingatlan felújításával kapcsolatos tervezési feladatok</t>
  </si>
  <si>
    <t>Alba Geotrade Zrt. EKN. Vezetés, bemérések</t>
  </si>
  <si>
    <t>Tervfelülvizsgálatok, közműegyeztetések</t>
  </si>
  <si>
    <t>Székesfehérvári Stadionrekonstrukciós program megvalósítására, figyelemmel a 1285/2015.(IV.30.) Korm. Határozatra, valamint a megvalósítás ütemezésére</t>
  </si>
  <si>
    <t>Multifunkcionális csarnok megvalósításához szükséges tervezési, előkészítési feladatok</t>
  </si>
  <si>
    <t>Szent István Király  Múzeum épületének rekonstrukciója előkészítése</t>
  </si>
  <si>
    <t>Az árpád-ház program részét képező "Az ország bölcsője" kiemelt székesfehérvári alprogram második szakasz további elemeinek előzetes koncepciójáról szóló 1792/2017. (XI.8.) Kormányhatározat alapján</t>
  </si>
  <si>
    <t>Városmester üzemeltetés, fejlesztés</t>
  </si>
  <si>
    <t>TÁC-Gorsium külső ivó és szennyvízhálózat kiépítése</t>
  </si>
  <si>
    <t>Tác-Gorsium csapadékvíz elvezetése</t>
  </si>
  <si>
    <t>Székesfehérvár, 5531/44 hrsz-ú ingatlan felújítása (604/2017.(VIII.18.) kgy.hat.alapján)</t>
  </si>
  <si>
    <t>Bory-vár épületdiagnosztikai és tartószerkezeti vizsgálat</t>
  </si>
  <si>
    <t>Országzászló tér felúíjtása (492/2017.(VI.16.) kgy.hat. Alapján)</t>
  </si>
  <si>
    <t>Székesfehérvári 9732/4. hrsz. alatt nyilvántartott rugby pálya felújítása</t>
  </si>
  <si>
    <t>Internet optika kiépítése Csalára és leágazása Béla úti temetőbe</t>
  </si>
  <si>
    <t>Gárdonyi Géza Művelődési Ház és Könyvtár felújítására irányuló beruházás előkészítése (1841/2017.(XI.10.) Kormány határozat alapján)</t>
  </si>
  <si>
    <t>Bartók Béla tér fejlesztése  (TOP-7.1.1-16 )</t>
  </si>
  <si>
    <t>Zöld város - Fehérvár Tüdeje</t>
  </si>
  <si>
    <t>Fekete Sas Szálló rekonstrukciójához és fejlesztéséhez szükséges előkészítő és tervezési feladatok</t>
  </si>
  <si>
    <t>Velencei Gyermek- és Ifjúsági Tábor fejlesztése</t>
  </si>
  <si>
    <t>A belváros élhetőségének javítását szolgáló Zichy-liget projekt tervezése</t>
  </si>
  <si>
    <t>ITP keretében megvalósuló fejlesztések</t>
  </si>
  <si>
    <t>Fő és gyűjtőutak felújítása- Berényi u. II. ütem</t>
  </si>
  <si>
    <t>Székesfehérvár déli összekötőút megvalósítása</t>
  </si>
  <si>
    <t>Túrózsáki út melletti szabadidőpark létrehozása és sétány kialakiítása (Túrózsáki út-Bártfai út)</t>
  </si>
  <si>
    <t>Felsőváros vízrendezése I. ütem</t>
  </si>
  <si>
    <t>Felsőváros vízrendezése III. ütem</t>
  </si>
  <si>
    <t>Berényi u. II. ütem vízrendezés</t>
  </si>
  <si>
    <t>Bölcsődei intézmények eszközfejlesztése</t>
  </si>
  <si>
    <t>Óvodai udvarok megújítása</t>
  </si>
  <si>
    <t>Fenntartható városi közlekedés I. ütem</t>
  </si>
  <si>
    <t>Fenntartható városi közlekedés III. ütem</t>
  </si>
  <si>
    <t>Innovatív Szociális Szolgáltató Központ kialakítása Székesfehérváron</t>
  </si>
  <si>
    <t xml:space="preserve">A helyi identitás és kohézió erősítése- TOP-6.9.2-16 </t>
  </si>
  <si>
    <t>32.</t>
  </si>
  <si>
    <t>33.</t>
  </si>
  <si>
    <t>Javasolt módosítás 
(2)</t>
  </si>
  <si>
    <t>2018. évre áthúzódó
(4)</t>
  </si>
  <si>
    <t>2018. évi előirányzat     (5)</t>
  </si>
  <si>
    <t xml:space="preserve">          Szent Candid Alapítvány</t>
  </si>
  <si>
    <t xml:space="preserve">         Magyar Néprajzi Társaság</t>
  </si>
  <si>
    <t xml:space="preserve">         MARKÓ S. MÁRIA EMLÉKALAPÍTVÁNY AZ ESÉLYEGYENLŐSÉGÉRT Alapítvány</t>
  </si>
  <si>
    <t xml:space="preserve">          Székesfehérvári Otthon Segítünk Alapítvány</t>
  </si>
  <si>
    <t xml:space="preserve">          SZIVÁRVÁNY Szociális Alapítvány</t>
  </si>
  <si>
    <t xml:space="preserve">          Velence 2004 Kft-gasztroversenyeken történő részvétel támogatása</t>
  </si>
  <si>
    <t xml:space="preserve">              Oktatásfejlesztő Széchenyi Alapítvány</t>
  </si>
  <si>
    <t xml:space="preserve">          Gárdonyi Géza Művelődési Ház és Könyvtár Egyesület- programok támogatása</t>
  </si>
  <si>
    <t xml:space="preserve">          Fehérvári Kézművesek Egyesülete- programok támogatása</t>
  </si>
  <si>
    <t xml:space="preserve">        Magyar Olimpiai Akadémia 70. vándorgyűlése</t>
  </si>
  <si>
    <t xml:space="preserve">        M.A.P.! Workshop Kft. - Street Food Fest Fehérvár</t>
  </si>
  <si>
    <t xml:space="preserve">           Alba Triatlon és Szabadidős Sportegyesület</t>
  </si>
  <si>
    <t xml:space="preserve">           FREE SPIRIT TÁNC-SPORT EGYESÜLET</t>
  </si>
  <si>
    <t xml:space="preserve">          VIDEOTON FCF Baráti Kör Egyesület</t>
  </si>
  <si>
    <t xml:space="preserve">             KÖFÉM SPORT CLUB - visszatérítendő támogatás</t>
  </si>
  <si>
    <t>Székesfehérvári Balett Színház</t>
  </si>
  <si>
    <t>Költségvetési szervek 2018.évi kiadási előirányzata (eFt-ban)</t>
  </si>
  <si>
    <t>~ Főösszeget érintő saját hatáskörű átcsoportosítás</t>
  </si>
  <si>
    <t>~ Főösszeget nem érintő saját hatáskörű átcsoportosítás</t>
  </si>
  <si>
    <t xml:space="preserve">   Szociális ágazatban egészségügyi végzettséghez kötött munkakörben foglalkoztatottak egészségügyi kiegészítő pótléka</t>
  </si>
  <si>
    <t>Multifunkcionális csarnok kivitelezése és kapcsolódó feladatok</t>
  </si>
  <si>
    <t>Nemzeti Szabadidős-Egészség Sportpark Program önkormányzati saját erő (194/2018.(III.19.) kgy.hat.alapján)</t>
  </si>
  <si>
    <t xml:space="preserve">         Hiszek Benned Sport Program</t>
  </si>
  <si>
    <t xml:space="preserve">             Utcai szociális munkát végző szolgáltatók részére gépjármű vásárlás támogatása</t>
  </si>
  <si>
    <t xml:space="preserve">          Fejér Megyei Művelődési Központ</t>
  </si>
  <si>
    <t xml:space="preserve">         Államalapító Szent István Érdemrend és Díj Alapítvány</t>
  </si>
  <si>
    <t xml:space="preserve">          Fehérvári Vizilabda Sportegyesület- uszoda fejlesztéssel kapcsolatos tervek elkészítéséhez támogatás (230/2018.(IV.20.) kgy.hat.alapján)</t>
  </si>
  <si>
    <t xml:space="preserve">          Alba-Fehérvár Kosárlabda Kft.- Túrózsáki szabadidőpark sportburkolat kiépítésének támogatása (233/2018.(IV.20.) kgy.hat.alapján)</t>
  </si>
  <si>
    <t xml:space="preserve">             Rászoruló gyermekek intézményen kívüli szünidei étkeztetésének támogatása</t>
  </si>
  <si>
    <t xml:space="preserve">             Költségvetési szerveknél foglalkoztatottak bérkompenzációja</t>
  </si>
  <si>
    <t xml:space="preserve">             Szociális ágazati összevont pótlék</t>
  </si>
  <si>
    <t xml:space="preserve">             Szociális ágazatban egészségügyi végzettséghez kötött munkakörben foglalkoztatottak egészségügyi kiegészítő pótléka</t>
  </si>
  <si>
    <t xml:space="preserve">             Kulturális illetménypótlék</t>
  </si>
  <si>
    <t xml:space="preserve">             Közszolgáltatások fenntartására és fejlesztésére elkülönített keret</t>
  </si>
  <si>
    <t xml:space="preserve">             Önkormányzati feladatellátást szolgáló támogatási keret</t>
  </si>
  <si>
    <t>Új Módosított előirányzat</t>
  </si>
  <si>
    <t>Módosított előirányzat 
(1)</t>
  </si>
  <si>
    <t>Új Módosított előirányzat 
(3)=(1)+(2)</t>
  </si>
  <si>
    <t>Önkormányzat I. módosított előirányzata</t>
  </si>
  <si>
    <t xml:space="preserve">           Polgárdi iskola helyreállításához gyorssegély</t>
  </si>
  <si>
    <t>Város- és községgazdálkodás</t>
  </si>
  <si>
    <t>„Az ország bölcsője” kiemelt székesfehérvári alprogram első szakaszának megvalósításáról és a második szakasz egyes fejlesztési elemeinek bemutatásáról szóló 1469/2017. (VII.25.) Kormányhatározat értelmében</t>
  </si>
  <si>
    <t xml:space="preserve">   Protokoll költség</t>
  </si>
  <si>
    <t xml:space="preserve">   Határon túli magyar kapcsolatok</t>
  </si>
  <si>
    <t xml:space="preserve">   Megbízási díjak</t>
  </si>
  <si>
    <t xml:space="preserve">   Hatósági és egyéb díjak</t>
  </si>
  <si>
    <t xml:space="preserve">   Szemünk Fénye program</t>
  </si>
  <si>
    <t xml:space="preserve">   Székesfehérvári Stadionrekonstrukciós program megvalósítására, figyelemmel a 1285/2015.(IV.30.) Korm. Határozatra, valamint a megvalósítás ütemezésére</t>
  </si>
  <si>
    <t xml:space="preserve">   Székesfehérvári Sóstó Természetvédelmi Terület és Vidámparki Csónakázótó rehabilitációjára, figyelemmel a 1285/2015.(IV.30.) Korm. Határozatra, valamint a megvalósítás ütemezésére</t>
  </si>
  <si>
    <t xml:space="preserve">   Kégl és Távírda utca csapadékcsatorna rekonstrukció</t>
  </si>
  <si>
    <t xml:space="preserve">   Felsőváros vízrendezése III. ütem</t>
  </si>
  <si>
    <t xml:space="preserve">   Bölcsődei intézmények eszközfejlesztése</t>
  </si>
  <si>
    <t xml:space="preserve">   Innovatív Szociális Szolgáltató Központ kialakítása Székesfehérváron</t>
  </si>
  <si>
    <t xml:space="preserve">   Székesfehérvár déli összekötőút megvalósítása</t>
  </si>
  <si>
    <t xml:space="preserve">   „Az ország bölcsője” kiemelt székesfehérvári alprogram első szakaszának megvalósításáról és a második szakasz egyes fejlesztési elemeinek bemutatásáról szóló 1469/2017. (VII.25.) Kormányhatározat értelmében</t>
  </si>
  <si>
    <t>16, Államháztartáson belüli megelőlegezések visszafizetése</t>
  </si>
  <si>
    <t>2, Államháztartáson belüli megelőlegezések visszafizetése</t>
  </si>
  <si>
    <t>~ Igazgatási tevékenységet érintő belső átcsoportosítás</t>
  </si>
  <si>
    <t>3.sz.Bölcsőde</t>
  </si>
  <si>
    <t>7. sz. Bölcsőde</t>
  </si>
  <si>
    <t>8. sz. Bölcsőde</t>
  </si>
  <si>
    <t>Belvárosi Brunszvik T. Óvoda</t>
  </si>
  <si>
    <t>Gyöngyvirág Óvoda-Székesfehérvár-Kindergarten Maiglöckchen</t>
  </si>
  <si>
    <t>~ GDPR európai adatvédelmi rendelet (EU 2016/679 sz. rendelete) előírása szerint szakértői díjak fedezete</t>
  </si>
  <si>
    <t>Siklósi Gyula Várostörténeti Kutatóközpont</t>
  </si>
  <si>
    <t>~ ebből: Önként vállalt feladat e.i.</t>
  </si>
  <si>
    <t>Eredeti Módosított</t>
  </si>
  <si>
    <t>Rákóczi Úti Óvoda</t>
  </si>
  <si>
    <t>B53</t>
  </si>
  <si>
    <t>B54</t>
  </si>
  <si>
    <t>27/a, Egyéb tárgyi eszközök értékesítése</t>
  </si>
  <si>
    <t>27/b, Részesedések értékesítése</t>
  </si>
  <si>
    <t xml:space="preserve">         Vállalkozók és Munkáltatók Országos Szövetsége</t>
  </si>
  <si>
    <t xml:space="preserve">         TIMI-BEA Művészeti Szolgáltató, Kulturális Betéti Társaság</t>
  </si>
  <si>
    <t xml:space="preserve">         Vasútmodell kiállítás üzemeltetésének támogatása (310/2018.(V.18.) kgy.hat.alapján)</t>
  </si>
  <si>
    <t xml:space="preserve">        Prosperis Alba Kutatóközpont Nonprofit Kft. (544/2018. (VIII.17.) kgy.hat.alapján</t>
  </si>
  <si>
    <t xml:space="preserve">              Székesfehérvári Szakképzési Centrum - Székesfehérvári SZC Váci Mihály Ipari Szakgimnázium, Szakközépiskola és Kollégium épületenergetikai fejlesztésének támogatása (592/2018.(IX.14.) kgy.hat.alapján)</t>
  </si>
  <si>
    <t xml:space="preserve">        "Szín-Tér"/Színjátszó-Versmondó/ Egyesület (318/2018.(V.18.) kgy.hat.alapján)</t>
  </si>
  <si>
    <t>Sóstó-Újtelep II. lakóterület úthálózatának rendezésére (361/2018.(V.18.) kgy.hat.alapján)</t>
  </si>
  <si>
    <t>Szemünk Fénye program - eszközök vételára</t>
  </si>
  <si>
    <t>315/2018.(V.18.) kgy.hat.alapján ideiglenes moduláris rendszerű ebédlő telepítése</t>
  </si>
  <si>
    <t>7899/68 hrsz.-ú Juharfa utcában lévő ingatlan megvásárlása (548/2018.(VIII.17.) kgy.hat.alapján)</t>
  </si>
  <si>
    <t>Utótisztító műtárgy üzemeltetése (550/2018.(VIII.17.) kgy.hat.alapján)</t>
  </si>
  <si>
    <t>Széna Téri Sportcsarnok hőközpont létesítése (307/2018.(V.18.) kgy.hat.alapján)</t>
  </si>
  <si>
    <t>Csóri karsztakna védelembe helyezése előkészítő feladatok</t>
  </si>
  <si>
    <t>Halász utcai játszótér bővítése (1717/2017.(X.3.) Korm.határozat alapján, Székesfehérvár Városgondnoksága Kft-vel a Kbt. 9.§ (1) bekezdés h) pontja szerint)</t>
  </si>
  <si>
    <t xml:space="preserve">          Fehérvári Zenei Napok - A Tehetséges Zenészekért Alapítvány - 2019. évi programok előkészítésére</t>
  </si>
  <si>
    <t>Önkormányzat II. módosított előirányzata</t>
  </si>
  <si>
    <t xml:space="preserve">   Vásárhelyi út felújítása Batthyányi utcai csomópontjától az ipari és logisztikai területek eléréséig</t>
  </si>
  <si>
    <t xml:space="preserve">   Fenntartható városi közlekedés I. ütem</t>
  </si>
  <si>
    <t xml:space="preserve">   Árpád-ház programhoz kapcsolódó tervezési, előkészítési feladatok figyelemmel az 1315/2016.(VII.1.) Korm.határozatra</t>
  </si>
  <si>
    <t xml:space="preserve">           "Aranybulla" Könyvtár Alapítvány működési támogatása</t>
  </si>
  <si>
    <t>Székesfehérvári Balett Színház irodai helységeinek kialakítására (640/2018.(X.12.) kgy.hat.alapján)</t>
  </si>
  <si>
    <t>~ Képviselői Alapok</t>
  </si>
  <si>
    <t xml:space="preserve">        Székesfehérvári Zsidó Hitközség - 2018. évre tervezett, illetve részben megkezdett beruházásainak költségeihez</t>
  </si>
  <si>
    <t xml:space="preserve">        Állatotthonok működési támogatása - ASKA Alapítvány</t>
  </si>
  <si>
    <t xml:space="preserve">        Állatotthonok működési támogatása - FEMA Állatmentő és Állatvédelmi Egyesület</t>
  </si>
  <si>
    <t xml:space="preserve">        Állatotthonok működési támogatása - HEROSZ Fehérvár Állatotthona</t>
  </si>
  <si>
    <t xml:space="preserve">        IV. Adventi Jótékonysági Futás és a VIII. Székesfehérvári Jótékonysági Estély (673/2018.(X.12.) kgy.hat.alapján)</t>
  </si>
  <si>
    <t xml:space="preserve">        Sóstói Stadion megnyitó rendezvényének kerete </t>
  </si>
  <si>
    <t xml:space="preserve">        Magyarországi Zsidó Hitközségek Szövetsége - I. Székesfehérvári Zsidó Napok (738/2018.(XI.16.) kgy.hat.alapján)</t>
  </si>
  <si>
    <t>IV. módosítás</t>
  </si>
  <si>
    <t>Önkormányzat III. módosított előirányzata</t>
  </si>
  <si>
    <t>Felújítási kiadások 2018. évben
(eFt-ban)</t>
  </si>
  <si>
    <t>Tervezett felújítási munka</t>
  </si>
  <si>
    <t>Ybl Miklós-program: Intézményfelújítások</t>
  </si>
  <si>
    <t>I. számú Gondozási egység tetőtér beépítési munkáival készülő férőhely bővítés feladataira</t>
  </si>
  <si>
    <t>I. számú Gondozási egység villamos hálózat rekonstrukciója kiviteli terv alapján (tervezés és kivitelezés)</t>
  </si>
  <si>
    <t>III. számú gondozási központ lépcsőházi acél üvegportál cseréje műanyag szerkezetre, hőtükrös fóliázással</t>
  </si>
  <si>
    <t>III. számú gondozási központ villamos és gépészeti rendszerének felújításával kapcsolatos tervezési és kivitelezési feladatok, valamint a IV. számú gondozási központ bővítésével kapcsolatos tervezési feladatok</t>
  </si>
  <si>
    <t>Mészöly Géza u. Orvosi rendelő</t>
  </si>
  <si>
    <t>Akadálymentesítéshez, lift kialakításához kapcsolódó munkák</t>
  </si>
  <si>
    <t>Szárazréti Orvosi Rendelő</t>
  </si>
  <si>
    <t>Belső udvar felújítása</t>
  </si>
  <si>
    <t>7. számú Bölcsőde</t>
  </si>
  <si>
    <t>Tetőfelújítás, lemezfedés készítése</t>
  </si>
  <si>
    <t>Udvari gyermek vizesblokkok felújítása</t>
  </si>
  <si>
    <t>Belvárosi Brunszvik Teréz Óvoda</t>
  </si>
  <si>
    <t>Udvar felújítása (263/2018.(IV.20.) kgy.hat.alapján</t>
  </si>
  <si>
    <t>Udvari játszóeszközeinek felújítása (356/2018.(V.18.) kgy.hat.alapján)</t>
  </si>
  <si>
    <t>Csapadékvíz elvezetés kiépítése</t>
  </si>
  <si>
    <t>Szivárvány Óvoda Püspökkertvárosi Tagóvodája</t>
  </si>
  <si>
    <t>Tetőfelújítás</t>
  </si>
  <si>
    <t>Radiátorok cseréje</t>
  </si>
  <si>
    <t>Napsugár Óvoda Nefelejcs Tagóvodája</t>
  </si>
  <si>
    <t>Étellift csere</t>
  </si>
  <si>
    <t>Kazán csere</t>
  </si>
  <si>
    <t>Árpád úti Óvoda</t>
  </si>
  <si>
    <t>Villamos hálózat korszerűsítése</t>
  </si>
  <si>
    <t>Árpád úti Óvoda Vízivárosi Tagóvodája</t>
  </si>
  <si>
    <t>Homlokzati FENFA elemek és nyílászárók cseréje</t>
  </si>
  <si>
    <t xml:space="preserve">Fűtési rendszer felújítása </t>
  </si>
  <si>
    <t>Gyöngyvirág Óvoda</t>
  </si>
  <si>
    <t>Nyílászáró csere</t>
  </si>
  <si>
    <t xml:space="preserve">Arany János Óvoda, Általános Iskola, Speciális Szakiskola és EGYMI </t>
  </si>
  <si>
    <t>Felújítási munkálatokkal kapcsolatos feladatok</t>
  </si>
  <si>
    <t>Felsővárosi Általános Iskola</t>
  </si>
  <si>
    <t>Kerítés elemek javítása, felújítása, kisajtó készítése (308/2018.(V.18.) kgy.hat. alapján)</t>
  </si>
  <si>
    <t>Felsővárosi Közösségi Ház belső tereinek felújítási munkái</t>
  </si>
  <si>
    <t>Ady Endre utca 6. szám felöli tűzfalának javítása</t>
  </si>
  <si>
    <t>Csók István Képtár</t>
  </si>
  <si>
    <t>Homlokzat helyreállítása, árkádsor alatti világítás kiépítése lépcső helyreállítással</t>
  </si>
  <si>
    <t xml:space="preserve">Polgármesteri Hivatal </t>
  </si>
  <si>
    <t>Polgármesteri Hivatal épületeit érintő felújítások</t>
  </si>
  <si>
    <t>Budai u. 56/a ingatlan felújítása (Csemete Gyermekcentrum Bölcsőde)</t>
  </si>
  <si>
    <t>Konyha felújítás tervezése és homlokzati nyílászárók cseréje</t>
  </si>
  <si>
    <t>Tartalék keret</t>
  </si>
  <si>
    <t>Vis Maior</t>
  </si>
  <si>
    <t>Kégl György Program</t>
  </si>
  <si>
    <t>Verseci utcai Köfém orvosi rendelő</t>
  </si>
  <si>
    <t>Rendelő felújítási és akadálymentesítési munkák tervezése, kivitelezése</t>
  </si>
  <si>
    <t>Integrált Területi Program (ITP) felújításai</t>
  </si>
  <si>
    <t>3. számú Bölcsőde</t>
  </si>
  <si>
    <t>Épület energiahatékonysági rekonstrukcdiója, akadálymentesítés, külső terek felújítása, eszközök beszerzése a TOP 6.2. intézkedés kiírására figyelemmel</t>
  </si>
  <si>
    <t>Szászszorszép Bölcsőde</t>
  </si>
  <si>
    <t>Épület felújítása és eszközbeszerzés a TOP 6.6.1-16 kódszámú pályázati felhívás keretében</t>
  </si>
  <si>
    <t xml:space="preserve">Rákóczi Utcai Óvoda </t>
  </si>
  <si>
    <t>Épület energiahatékonysági rekonstrukciója, akadálymentesítése, külső terek felújítása, eszközök beszerzése a TOP 6.2. intézkedés kiírására figyelemmel</t>
  </si>
  <si>
    <t xml:space="preserve">Maroshegyi Óvoda </t>
  </si>
  <si>
    <t>Óvodaudvar korszerűsítése - udvari eszközök beszerzése</t>
  </si>
  <si>
    <t>Batthyány utcai Orvosi Rendelő</t>
  </si>
  <si>
    <t>Felnőtt háziorvosi rendelő felújítása</t>
  </si>
  <si>
    <t>Ybl Miklós lakótelepi rendelőépület</t>
  </si>
  <si>
    <t>Gyermekorvosi rendelő és védőnői tanácsadó átalakítása, bővítése, felújítása a TOP 6.2.1-16 kódszámú pályázati felhívás keretében</t>
  </si>
  <si>
    <t>Szekfű Gyula utcai rendelőépület</t>
  </si>
  <si>
    <t>Felnőtt fogászati, fogszabályzós szakrendelés, valamint háziorvosi rendelő felújítása, fejlesztése</t>
  </si>
  <si>
    <t>Integrált Területi Program (ITP) felújításai összesen:</t>
  </si>
  <si>
    <t>2018. évi terv</t>
  </si>
  <si>
    <t>Nevelési-oktatási intézmények által használt önkormányzat tulajdonában lévő ingatlanok udvarai zöldfelület felmérésének és fenntartási munkáinak elvégzése</t>
  </si>
  <si>
    <t>1000 fa ültetése projekt</t>
  </si>
  <si>
    <t>IV. Környezetvédelmi program létrehozása</t>
  </si>
  <si>
    <t>Környezetvédelemmel, környezettudatossággal kapcsolatos előadások, tájékoztatások költségei</t>
  </si>
  <si>
    <t xml:space="preserve">Környezetvédelmi Nevelési Alap </t>
  </si>
  <si>
    <t>Fel nem osztott keret</t>
  </si>
  <si>
    <t>~ Bevételi oldal rendezése (projekt megvalósítás miatt)</t>
  </si>
  <si>
    <t>~ Igazgatási tevékenységet érintő átcsoportosítás céltartalékról (projekt megvalósítás miatt)</t>
  </si>
  <si>
    <t xml:space="preserve">   Helyi foglalkoztatási együttműködések Székesfehérvár és járása területén </t>
  </si>
  <si>
    <t xml:space="preserve">   Segítő Fehérvár Program</t>
  </si>
  <si>
    <t xml:space="preserve">   Önkormányzati feladatellátást szolgáló támogatási keret- GDPR európai adatvédelmi rendelet előírása szerinti szakértői díjakra</t>
  </si>
  <si>
    <t xml:space="preserve">   Karácsonyi programok szervezéséhez, valamint tárgyi eszköz beszerzéséhez kapcsolódó, 2018. december 1. és 2019. június 30. napja között felmerülő személyi és dologi költségekhez (Frim Jakab Képességfejlesztő Szakosított Otthon)</t>
  </si>
  <si>
    <t xml:space="preserve">   A 2018. évben megvalósításra kerülő programokhoz, rendezvényekhez és tárgyi eszköz beszerzéshez kapcsolódó személyi és dologi költségekhez (Szárazréti Óvoda)</t>
  </si>
  <si>
    <t xml:space="preserve">   Az intézmény dolgozói, ellátottai részére karácsonyi programok szervezéséhez, valamint az intézmény számára tárgyi eszköz beszerzéshez kapcsolódó, 2018. december 1. és 2019. június 30. napja között felmerülő személyi és dologi költségekhez (Egyesített Szociális Intézmény)</t>
  </si>
  <si>
    <t xml:space="preserve">   Karácsonyi programok  szervezéséhez, ünnepi étkeztetéshez, valamint tárgyi eszköz beszerzéshez kapcsolódó, 2018. december 1. és 2019. június 30. napja között felmerülő személyi és dologi költségekhez (Kríziskezelő Központ)</t>
  </si>
  <si>
    <t xml:space="preserve">   A Mészöly Géza utcai Tagkönyvtára által 2018. évben megvalósításra kerülő programokhoz és tárgyi eszköz beszerzéshez kapcsolódó személyi és dologi költségekhez (Vörösmarty Könyvtár)</t>
  </si>
  <si>
    <t xml:space="preserve">   A 2018. november 1. és 2018. december 31. napja között megvalósításra kerülő rendezvények lebonyolításához kapcsolódó költségekhez (A Szabadművelődés Háza)</t>
  </si>
  <si>
    <t xml:space="preserve">   Az Öreghegyi Közösségi Ház számára 2018. december hónapban hangosító berendezés beszerzéséhez kapcsolódó dolgoi költségekhez, valamint immateriális javak, tárgyi eszközök költségeihez (A Szabadművelődés Háza)</t>
  </si>
  <si>
    <t xml:space="preserve">   Az Öreghegyi Nyugdíjas Klub által megvalósításra kerülő programokhoz kapcsolódó személyi és dologi költségekhez, valamint immateriális javak, tárgyi eszközök költségeihez (A Szabadművelődés Háza)</t>
  </si>
  <si>
    <t xml:space="preserve">   Az Öreghegyi Közösségi Ház számára rendezvények megvalósításához és tárgyi eszköz beszerzéséhez kapcsolódó dologi költségekhez, valamint immateriális javak, tárgyi eszközök költségeihez (A Szabadművelődés Háza)</t>
  </si>
  <si>
    <t xml:space="preserve">   A szülők kezdeményezésére megrendezésre kerülő Feketegy-Szárazréti Télapó Est szervezéséhez (A Szabadművelődés Háza)</t>
  </si>
  <si>
    <t xml:space="preserve">   A Székesfehérvári Vörösmarty Mihály Általános Iskola Farkasvermi úti Tagiskolája részére megvalósításra kerülő karácsonyi ünnepség szervezéséhez (A Szabadművelődés Háza)</t>
  </si>
  <si>
    <t xml:space="preserve">   A Fehérvári Nóta klub által 2018,. Július 1. és 2019. június 30. napja között megvalósításra kerülő programokhoz kapcsolódó személyi és dologi költségekhez (A Szabadművelődés Háza)</t>
  </si>
  <si>
    <t xml:space="preserve">   A hátrányos helyzetű gyermekek számára megrendezésre kerülő Mikulás ünnepség és ajándékozás lebonyolításához kapcsolódó, 2018. december 1 . És 2019. január 31. napja között felmerülő költségekhez (A Szabadművelődés Háza)</t>
  </si>
  <si>
    <t xml:space="preserve">   "Így tedd rá" programban résztvevő munkatársai számára a Pedagógus Expo 2019. rendezvényre kedvezményes árú tiszteletjegyek vásárlásának dologi költségeihez (Árpád Úti Óvoda)</t>
  </si>
  <si>
    <t xml:space="preserve">   Határon túli magyar kapcsolatok - 2018. november 30. és december 4. között a Schwabisch Gmündi Karácsonyi Vásár programjaihoz kapcsolódó szakmai látogatás során felmerülő személyi és dologi költségekhez (Vörösmarty Színház) </t>
  </si>
  <si>
    <t xml:space="preserve">   Kulturális célú kiadások év közben jelentkező többletfeladatok - 2019. május 11. napján megrendezésre kerülő Régiós Szenior Örömtánc Találkozó megvalósításának dologi költségeihez (A Szabadművelődés Háza)</t>
  </si>
  <si>
    <t xml:space="preserve">   Könyvkiadás - "Népi jogélet a Káli-medencében" című kötet 2019. évben történő megjelentetésének személyi és dologi költségekhez (Szent István Király Múzeum)</t>
  </si>
  <si>
    <t xml:space="preserve">   Fő és gyűjtőutak felújítása - Ligetsor (Ligetsor felújítás és parkolómező, körforgalom, iskola-óvoda előtti tér, sétány)</t>
  </si>
  <si>
    <t xml:space="preserve">   Fő és gyűjtőutak felújítása- Berényi u. II. ütem</t>
  </si>
  <si>
    <t xml:space="preserve">   Kisléptékű közlekedési célú fejlesztés a munkaerő mobilitás és a gazdaságfejlesztés érdekében</t>
  </si>
  <si>
    <t xml:space="preserve">   Túrózsáki út melletti szabadidőpark létrehozása és sétány kialakiítása (Túrózsáki út-Bártfai út)</t>
  </si>
  <si>
    <t xml:space="preserve">   Felsőváros vízrendezése I. ütem</t>
  </si>
  <si>
    <t xml:space="preserve">   Felsőváros vízrendezése II. ütem</t>
  </si>
  <si>
    <t xml:space="preserve">   Berényi u. II. ütem vízrendezés</t>
  </si>
  <si>
    <t xml:space="preserve">   Székesfehérvár szennyvíztisztító telep biogáz vonalának fejlesztése</t>
  </si>
  <si>
    <t xml:space="preserve">   Óvodai udvarok megújítása</t>
  </si>
  <si>
    <t xml:space="preserve">   Fenntartható városi közlekedés III. ütem</t>
  </si>
  <si>
    <t xml:space="preserve">   A helyi identitás és kohézió erősítése- TOP-6.9.2-16 </t>
  </si>
  <si>
    <t xml:space="preserve">   Multifunkcionális csarnok megvalósításához szükséges tervezési, előkészítési feladatok</t>
  </si>
  <si>
    <t xml:space="preserve">   Az árpád-ház program részét képező "Az ország bölcsője" kiemelt székesfehérvári alprogram második szakasz további elemeinek előzetes koncepciójáról szóló 1792/2017. (XI.8.) Kormányhatározat alapján</t>
  </si>
  <si>
    <t xml:space="preserve">   Gárdonyi Géza Művelődési Ház és Könyvtár felújítására irányuló beruházás előkészítése (1841/2017.(XI.10.) Kormány határozat alapján)</t>
  </si>
  <si>
    <t xml:space="preserve">   Bartók Béla tér fejlesztése  (TOP-7.1.1-16 )</t>
  </si>
  <si>
    <t xml:space="preserve">   Zöld város - Fehérvár Tüdeje</t>
  </si>
  <si>
    <t xml:space="preserve">   Fekete Sas Szálló rekonstrukciójához és fejlesztéséhez szükséges előkészítő és tervezési feladatok</t>
  </si>
  <si>
    <t xml:space="preserve">  3. számú Bölcsőde - Épület energiahatékonysági rekonstrukcdiója, akadálymentesítés, külső terek felújítása, eszközök beszerzése a TOP 6.2. intézkedés kiírására figyelemmel</t>
  </si>
  <si>
    <t xml:space="preserve">   Szászszorszép Bölcsőde - Épület felújítása és eszközbeszerzés a TOP 6.6.1-16 kódszámú pályázati felhívás keretében</t>
  </si>
  <si>
    <t xml:space="preserve">   Rákóczi Utcai Óvoda  - Épület energiahatékonysági rekonstrukciója, akadálymentesítése, külső terek felújítása, eszközök beszerzése a TOP 6.2. intézkedés kiírására figyelemmel</t>
  </si>
  <si>
    <t xml:space="preserve">   Maroshegyi Óvoda  - Óvodaudvar korszerűsítése - udvari eszközök beszerzése</t>
  </si>
  <si>
    <t xml:space="preserve">   Batthyány utcai Orvosi Rendelő - Felnőtt háziorvosi rendelő felújítása</t>
  </si>
  <si>
    <t xml:space="preserve">   Szekfű Gyula utcai rendelőépület - Felnőtt fogászati, fogszabályzós szakrendelés, valamint háziorvosi rendelő felújítása, fejlesztése</t>
  </si>
  <si>
    <t xml:space="preserve">   Ybl Miklós lakótelepi rendelőépület - Gyermekorvosi rendelő és védőnői tanácsadó átalakítása, bővítése, felújítása a TOP 6.2.1-16 kódszámú pályázati felhívás keretében</t>
  </si>
  <si>
    <t>~ Igazgatási tevékenységet érintő átcsoportosítás céltartalékra (projekt megvalósítás miatt)</t>
  </si>
  <si>
    <t>~ Bevételi oldal rendezése (projekt megvalósítás miatt) - Önkormányzati feladatellátást szolgáló támogatási keret</t>
  </si>
  <si>
    <t xml:space="preserve">   Kamatbevétel</t>
  </si>
  <si>
    <t xml:space="preserve">   Késedelmi kötbér</t>
  </si>
  <si>
    <t xml:space="preserve">   Visszaigényelt Áfa</t>
  </si>
  <si>
    <t xml:space="preserve">   Visszaigényelt Áfa rendezése</t>
  </si>
  <si>
    <t>~ Igazgatási tevékenységet érintő átcsoportosítás céltartalékra</t>
  </si>
  <si>
    <t xml:space="preserve">   Áfa befizetés</t>
  </si>
  <si>
    <t xml:space="preserve">   Államkötvény kamata</t>
  </si>
  <si>
    <t xml:space="preserve">   Bankköltség, forgalmi jutalék</t>
  </si>
  <si>
    <t xml:space="preserve">   Idegen adó átvezetése</t>
  </si>
  <si>
    <t xml:space="preserve">   Reprezentációs kiadások</t>
  </si>
  <si>
    <t xml:space="preserve">   Sóstói Stadion megnyitó rendezvény kerete</t>
  </si>
  <si>
    <t xml:space="preserve">   Rászorulókat segítő karácsonyi csomag</t>
  </si>
  <si>
    <t xml:space="preserve">   Városmartketing és kommunikáció máshová nem sorolható </t>
  </si>
  <si>
    <t xml:space="preserve">   Önkormányzati kitűntetések, címek</t>
  </si>
  <si>
    <t xml:space="preserve">   Ifjúsági feladatok és a székesfehérvári Diáktanács működése</t>
  </si>
  <si>
    <t xml:space="preserve">   Székesfehérvári születési támogatási program</t>
  </si>
  <si>
    <t xml:space="preserve">   Székesfehérvári érzékenyítő program</t>
  </si>
  <si>
    <t xml:space="preserve">   Reprezentáció</t>
  </si>
  <si>
    <t xml:space="preserve">   Nemzetközi kapcsolatok</t>
  </si>
  <si>
    <t xml:space="preserve">   Munkaadókat terhelő járulékok</t>
  </si>
  <si>
    <t xml:space="preserve">II. </t>
  </si>
  <si>
    <t>Hatósági tevékenység</t>
  </si>
  <si>
    <t xml:space="preserve">   Települési támogatás</t>
  </si>
  <si>
    <t xml:space="preserve">   Felsővárosi Óvoda - Udvar felújítása (263/2018.(IV.20.) kgy.hat.alapján</t>
  </si>
  <si>
    <t xml:space="preserve">   Belvárosi Brunszvik Teréz Óvoda - Udvar felújítása (263/2018.(IV.20.) kgy.hat.alapján</t>
  </si>
  <si>
    <t xml:space="preserve">   Budai u. 56/a ingatlan felújítása (Csemete Gyermekcentrum Bölcsőde) - Konyha felújítás tervezése és homlokzati nyílászárók cseréje</t>
  </si>
  <si>
    <t xml:space="preserve">   Széchenyi út - Horvát István út új sáv kiépítése középsziget csökkentésével</t>
  </si>
  <si>
    <t xml:space="preserve">   Bölcsődei intézmények eszközbeszerzése</t>
  </si>
  <si>
    <t xml:space="preserve">   Palotavárosi tavak sport és rekreációs célú hasznosítása</t>
  </si>
  <si>
    <t xml:space="preserve">   Felsőváros vízrendezése II.ütem</t>
  </si>
  <si>
    <t xml:space="preserve">   Kártérítés és járulékai költségei</t>
  </si>
  <si>
    <t>Vagyongazdálkodás</t>
  </si>
  <si>
    <t xml:space="preserve">   Garázs alatti terület bérlet, értékesítése</t>
  </si>
  <si>
    <t xml:space="preserve">   Ingatlanok belterületbe vonása</t>
  </si>
  <si>
    <t xml:space="preserve">   8532 hrsz.alatti ingatlan bérleti díj</t>
  </si>
  <si>
    <t xml:space="preserve">   Székesfehérvár Városfejlesztési Kft.</t>
  </si>
  <si>
    <t xml:space="preserve">   Kóborló állatok összegyűjtése, elszállítása</t>
  </si>
  <si>
    <t xml:space="preserve">   Székesfehérvári felsőoktatási intézmények támogatása</t>
  </si>
  <si>
    <t xml:space="preserve">   Alba Regia tanulmányi ösztöndíj</t>
  </si>
  <si>
    <t xml:space="preserve">   Városi rendezvények</t>
  </si>
  <si>
    <t xml:space="preserve">   Városrészi rendezvények</t>
  </si>
  <si>
    <t xml:space="preserve">   Könyvkiadások</t>
  </si>
  <si>
    <t>Egészségügyi Alap</t>
  </si>
  <si>
    <t xml:space="preserve">   Kulturális célú kiadások, év közben jelentkező többletfeladatok</t>
  </si>
  <si>
    <t xml:space="preserve">    Safecross intelligens gyalogátkelőhely építése</t>
  </si>
  <si>
    <t xml:space="preserve">  Önkormányzati feladatellátást szolgáló támogatási keret</t>
  </si>
  <si>
    <t>~ Intézménytől átcsoportosítás - Önkormányzati feladatellátást szolgáló támogatási keret</t>
  </si>
  <si>
    <t>12/a, Termőföld bérbeadásából származó jövedelem</t>
  </si>
  <si>
    <t>B311</t>
  </si>
  <si>
    <t>12/b, Telekadó</t>
  </si>
  <si>
    <t>27/c, Immateriális javak értékesítése</t>
  </si>
  <si>
    <t>B51</t>
  </si>
  <si>
    <t>B814</t>
  </si>
  <si>
    <t>5/a. Államháztartáson belüli megelőlegezések</t>
  </si>
  <si>
    <t>8. Finanszírozási bevételek összesen (5+5/a+6+7):</t>
  </si>
  <si>
    <t>23/a, Környezetvédelmi bírság</t>
  </si>
  <si>
    <t>13, Vagyoni típusú adók összesen: (12+12/b)</t>
  </si>
  <si>
    <t>25, Közhatalmi bevételek összesen (12/a+13+19+24):</t>
  </si>
  <si>
    <t>28, Felhalmozási bevételek összesen (27+27/a+27/b+27/c):</t>
  </si>
  <si>
    <t>bevétel miatti változás</t>
  </si>
  <si>
    <t>céltartalékból lebontás</t>
  </si>
  <si>
    <t>intézményi átcsoportosítás</t>
  </si>
  <si>
    <t>4. Államháztartáson belüli megelőlegezések</t>
  </si>
  <si>
    <t>~ Bérkompenzáció (XI. havi)</t>
  </si>
  <si>
    <t>~ Nyugdíjazáshoz kapcsolódó kifizetések</t>
  </si>
  <si>
    <t>~ Jogszabályból fakadó személyi jellegű többletkifizetések ( jubileumi jutalom, kettős bér kifizetése)</t>
  </si>
  <si>
    <t>~ Kafetéria (XI.XII. havi)</t>
  </si>
  <si>
    <t>~ Szociális ágazati összevont pótlék (XI. havi)</t>
  </si>
  <si>
    <t>~ GDPR európai adatvédelmi rendelet (EU 2016/679. sz. rendelete) előírása szerint szakértői díjak fedezete</t>
  </si>
  <si>
    <t>~ Karácsonyi programok szervezéséhez, valamint tárgyi eszköz beszerzéséhez kapcsolódó, 2018. december 1. és 2019.június 30. napja között felmerülő személyi és dologi költségekhez (Képviselői Alap)</t>
  </si>
  <si>
    <t>~ "Így tedd rá" programban résztvevő munkatársai számára a Pedagógus Expo 2019. rendezvényre kedvezményes áru tiszteletjegyek vásárlásának dologi költségeihez (Polgármesteri Keret)</t>
  </si>
  <si>
    <t>~ A 2018. évben megvalósításra kerülő programokhoz, rendezvényekhez, tárgyi eszköz beszerzésekhez kapcsolódó személyi és dologi költségekhez (Képviselői Alap)</t>
  </si>
  <si>
    <t>~ Egészségügyi kiegészítő pótlék (349/2017. 11.23.) Korm.rendelet alapján 2018. XII.havi</t>
  </si>
  <si>
    <t>~ Az intézmény dolgozói, ellátottai részére karácsonyi programok szervezéséhez, valamint az intézmény számára tárgyi eszköz beszerzéshez kapcsolódó, 2018. december 1. és 2019. június 30. napja között felmerülő személyi és dologi költségekhez (Képviselői Alap)</t>
  </si>
  <si>
    <t>~ Karácsonyi programok szervezéséhez, ünnepi étkeztetéshez, valamint tárgyi eszköz beszerzéshez kacsolódó, 2018. december 1. és 2019. június 30.napja között felmerülő személyi és dologi költségekhez (Képviselői Alap)</t>
  </si>
  <si>
    <t>~ Kulturális illetménypótlék (XI. havi)</t>
  </si>
  <si>
    <t>~ A Mészöly Géza utcai Tagkönyvtára által 2018. évben megvalósításra kerülő programokhoz és tárgyi eszköz beszerzésekhez kapcsolódó személyi és dologi költségekhez (Képviselői Alap)</t>
  </si>
  <si>
    <t>~ "Népi jogélet a Káli-medencében" című kötet 2019. évben történő megjelentetésének személyi és dologi költségekhez (Könyvkiadás)</t>
  </si>
  <si>
    <t>~ A 2018. november 1. és 2018. december 31. napja között megvalósításra kerülő rendezvények lebonyolításához kapcsolódó költségekhez (Képviselői Alap)</t>
  </si>
  <si>
    <t>~ A hátrányos helyzetű gyermekek számára megrendezésre kerülő Mikulás ünnepség és ajándékozás lebonyolításához kapcsolódó, 2018. december 1. és 2019. január 31. napja között felmerülő költségekhez (Képviselői Alap)</t>
  </si>
  <si>
    <t>~ A Fehérvári Nóta Klub által 2018. július 1. és 2019. június 30. napja között megvalósításra kerülő programokhoz kapcsolódó személyi sé dologi költségekhez (Képviselői Alap)</t>
  </si>
  <si>
    <t>~ A Székesfehérvári Vörösmarty Mihály Általános Iskola Farkasvermi úti Tagiskolája részére megvalósításra kerülő karácsonyi ünnepség szervezéséhez. (Képviselői Alap)</t>
  </si>
  <si>
    <t>~ A szülők kezdeményezésére megrendezésre kerülő Feketehegy-Szárazréti Télapó est szervezéséhez (Képviselői Alap)</t>
  </si>
  <si>
    <t>~ Az Öreghegyi Közösségi Ház számára rendezvények megvalósításához és tárgyi eszköz beszerzéséshez kapcsolódó dologi költségekhez, valamint immateriális javak, tárgyi eszközök költségeihez (Képviselői Alap)</t>
  </si>
  <si>
    <t>~ Az Öreghegyi Nyugdíjas Klub által megvalósításra kerülő programokhoz kapcsolódó személyi és dologi költségekhez, valamint immateriális javak, tárgyi eszközök költségeihez (Képviselői Alap)</t>
  </si>
  <si>
    <t>~ Az Öreghegyi Közösségi Ház számára 2018. december hónapban hangosító berendezés beszerzéséhez kapcsolódó dologi költségekhez, valamint immateriális javak, tárgyi eszközök költségeihez (Képviselői Alap)</t>
  </si>
  <si>
    <t>~ 2019. május 11. napján megrendezésre kerülő Régiós Szenior Örömtánc Találkozó megvalósításának dologi költségeihez (Kulturális célú kiadások év közben jelentkező többletfeladatok)</t>
  </si>
  <si>
    <t>~ Polgármesteri Keret (Árpád úti Óvoda)</t>
  </si>
  <si>
    <t>~ Nemzetközi kapcsolatok és reprezentáció-határon túli magyar kapcsolatok (Vörösmarty Színház)</t>
  </si>
  <si>
    <t>~ Kulturális  célú kiadások év közben jelentkező többletfeladatok (A Szabadművelődés Háza)</t>
  </si>
  <si>
    <t>~ Könyvkiadás (Szent István Király Múzeum)</t>
  </si>
  <si>
    <t xml:space="preserve">           Összesen</t>
  </si>
  <si>
    <t xml:space="preserve">            Kötelező feladat összesen</t>
  </si>
  <si>
    <t>~ Jogszabályból fakadó személyi jellegű többletkifizetések (jubileumi jutalom, kettős bér kifizetése)</t>
  </si>
  <si>
    <t>~ Kaferéria (XI., XII. havi)</t>
  </si>
  <si>
    <t>~ Szociális ágazati összevont pótlék (XI.havi)</t>
  </si>
  <si>
    <t>~ Karácsonyi programok szervezéséhez, valamint tárgyi eszköz beszerzéséhez kapcsolódó, 2018. december 1. és 2019. június 30. napja között felmerülő személyi és dologi költségekhez (Képviselői Alap)</t>
  </si>
  <si>
    <t>~ Fősszeget nem érintő saját hatáskörű átcsoportosítás</t>
  </si>
  <si>
    <t>~ˇ"Így tedd rá" programban résztvevő munkatársai számára a Pedagógus Expo 2019. rendezvényre kedvezményes árú tiszteletjegyek vásárlásának dologi költségeihez (Polgármesteri Keret)</t>
  </si>
  <si>
    <t>~ A 2018. évben megvalósításra kerülő programokhoz, rendezvényekhez és tárgyi eszköz beszerzéshez kapcsolódó személyi és dologi költségekhez (Képviselői Alap)</t>
  </si>
  <si>
    <t>~ Egészségügyi kiegészítő pótlék (349/2017. 11.23.) Korm.rendelet alapján 2018. XII. havi</t>
  </si>
  <si>
    <t>~ Karácsonyi programok szervezéséhez, ünnepi étkezéshez, valamint tárgyi eszköz beszerzéshez kapcsolódó, 2018. december 1. és 2019. június 30. napja között felmerülő személyi és dologi költségekhez (Képviselői Alap)</t>
  </si>
  <si>
    <t>~ Kulturális illetménypótlék (XI.havi)</t>
  </si>
  <si>
    <t>~ A Mészöly Géza utcai Tagkönyvtára által 2018. évben megvalósításra kerülő programokhoz és tárgyi eszköz beszerzéshez kapcsolódó személyi és dologi költségekhez (Képviselői Alap)</t>
  </si>
  <si>
    <t>~ "Népi jogélet a Káli-medencében" című kötet 2019. évben történő megjelentetésének szmélyi és dologi költségeihez (Könyvkiadás)</t>
  </si>
  <si>
    <t>~ Matuz János 2018. november 30. és december 4. között a Schwabisch Gmündi Karácsonyi Vásár programjaihoz kapcsolódó szakmai látogatása során felmerülő személyi és dologi költségekhez (Nemzetiközi kapcsolatok és reprezentáció- határon túli magyar kapcsolatok)</t>
  </si>
  <si>
    <t>~ A hátrányos helyzetű gyermekek számára megrendezésre  kerülő Mikulás ünnepség és ajándékozás lebonyolításához kapcsolódó, 2018. december 1. és 2019. január 31. napja között felmerülő költségekhez (Képviselői Alap)</t>
  </si>
  <si>
    <t>~ A Fehérvári Nóta Klub által 2018. július 1. és 2019. június 30. napja között megvalósításra kerülő programokhoz kapcsolódó személyi és dologi költségekhez (Képviselői Alap)</t>
  </si>
  <si>
    <t>~ A Székesfehérvári Vörösmarty Mihály Általános Iskola Farkasvermi úti Tagiskolája részére megvalósításra kerülő karácsonyi ünnepség szervezéséhez (Képviselői Alap)</t>
  </si>
  <si>
    <t>~ A szülők kezdeményezésére megrendezésre kerülő Feketehegy-Szárazréti Télapó Est szervezéséhez (Képviselői Alap)</t>
  </si>
  <si>
    <t>~ Az Öreghegyi Közösségi Ház számára rendezvények megvalósításához és tárgyi eszköz beszerzéséhez kapcsolódó dologi költségekhez, valamint immateriális javak, tárgyi eszköz költségeihez (Képviselői Alap)</t>
  </si>
  <si>
    <t>~ Egészségügyi kiegészítő pótlék (349/2017. 11.23.) Korm.rendelet alapján 2018. XII. havi (Egyesített Szociális Intézmény)</t>
  </si>
  <si>
    <t>~ Nemzetközi kapcsolatok és reprezentáció- határon túli magyar kapcsolatok (Vörösmarty Színház)</t>
  </si>
  <si>
    <t>~ Kulturális célú kiadások év közben jelentkező többletfeladatok (A Szabadművelődés Háza)</t>
  </si>
  <si>
    <t>~ Könyvkiadás ( Szent István Király Múzeum)</t>
  </si>
  <si>
    <t xml:space="preserve">           Kötelező feladat összesen</t>
  </si>
  <si>
    <t xml:space="preserve">           Államigazgatási feladat összesen</t>
  </si>
  <si>
    <t>Költségvetési szervek 2018. évi kiadási előirányzatán</t>
  </si>
  <si>
    <t xml:space="preserve"> belül a kiemelt dologi előirányzatok (eFt-ban)</t>
  </si>
  <si>
    <t>Közüzemi díjak</t>
  </si>
  <si>
    <t>Közüzemi díjak ÁFA</t>
  </si>
  <si>
    <t>Élelmezés</t>
  </si>
  <si>
    <t>Élelmezés  ÁFA</t>
  </si>
  <si>
    <t xml:space="preserve"> Eü. ellátás összesen</t>
  </si>
  <si>
    <t>Nyítnikék Bölcsőde</t>
  </si>
  <si>
    <t>8. számú Bölcsőde</t>
  </si>
  <si>
    <t>Belvárosi Bunszvik Teréz Óvoda</t>
  </si>
  <si>
    <t>Gyöngyvirág Óvoda-Székesfehérvár</t>
  </si>
  <si>
    <t xml:space="preserve">Humán Szolgáltató összesen </t>
  </si>
  <si>
    <t>Székesfehérvári Intézményi Központ</t>
  </si>
  <si>
    <t>Kulturális ellátás összesen</t>
  </si>
  <si>
    <t>Költségvetési szervek összesen:</t>
  </si>
  <si>
    <t>Ssz.</t>
  </si>
  <si>
    <t>Projekt megnevezése</t>
  </si>
  <si>
    <t>Státusz</t>
  </si>
  <si>
    <t>Projekt összköltség</t>
  </si>
  <si>
    <t>2015. évi támogatás</t>
  </si>
  <si>
    <t>2016. évi támogatás</t>
  </si>
  <si>
    <t>2017. évi támogatás</t>
  </si>
  <si>
    <t>2018. évi támogatás</t>
  </si>
  <si>
    <t>2019. évi támogatás</t>
  </si>
  <si>
    <t>2020. évi támogatás</t>
  </si>
  <si>
    <t>2021. évi támogatás</t>
  </si>
  <si>
    <t>2022. évi támogatás</t>
  </si>
  <si>
    <t>EU-s forrás</t>
  </si>
  <si>
    <t>Hazai forrás</t>
  </si>
  <si>
    <t>Varga csatorna mederrendezése</t>
  </si>
  <si>
    <t>Projektzárás alatt</t>
  </si>
  <si>
    <t>Fő és gyűjtőutak felújítása - Ligetsor</t>
  </si>
  <si>
    <t>Rákóczi Utcai Óvoda  - az épület energiahatékonysági rekonstrukciója, akadálymentesítése, külső terek felújítása, eszközök beszerzése</t>
  </si>
  <si>
    <t>Túrózsáki út melletti szabadidőpark létrehozása és sétány kialakítása</t>
  </si>
  <si>
    <t>Helyi foglalkoztatási együttműködések Székesfehérvár és járása területén</t>
  </si>
  <si>
    <t>Felsőváros vízrendezése II. üteme</t>
  </si>
  <si>
    <t xml:space="preserve">Maroshegyi Óvoda bővítése </t>
  </si>
  <si>
    <t>Fő és gyűjtőutak felújítása - Berényi u. II. ütem</t>
  </si>
  <si>
    <t>Végrehajtás alatt</t>
  </si>
  <si>
    <t>Székesfehérvár déli összekötőút megvalósítása, előkészítése</t>
  </si>
  <si>
    <t>Segítő Fehérvár program</t>
  </si>
  <si>
    <t>Székesfehérvári Stadionrekonstrukciós program megvalósítására, figyelemmel a 1285/2015.(IV.30.) Korm. Határozatra, valamint a megvalósítás ütemezésére *</t>
  </si>
  <si>
    <t>Székesfehérvári szennyvíztisztító telep biogáz vonalának fejlesztése</t>
  </si>
  <si>
    <t>Berényi út II. ütem vízrendezése</t>
  </si>
  <si>
    <t>Ybl Miklós lakótelepi rendelőépület - Gyermekorvosi rendelő és védőnői tanácsadó átalakítása, bővítése, felújítása</t>
  </si>
  <si>
    <t>Batthyány utcai Orvosi Rendelő - Felnőtt háziorvosi rendelő felújítása</t>
  </si>
  <si>
    <t>Szekfű Gyula utcai rendelőépület -Háziorvosi és fogorvosi rendelő felújítása, fejlesztése</t>
  </si>
  <si>
    <t>Szászszorszép Bölcsőde - Épület felújítása és eszközbeszerzés</t>
  </si>
  <si>
    <t xml:space="preserve">Szent István Király  Múzeum épületének rekonstrukciója, előkészítése </t>
  </si>
  <si>
    <t>Bartók Béla tér fejlesztése</t>
  </si>
  <si>
    <t>34.</t>
  </si>
  <si>
    <t>35.</t>
  </si>
  <si>
    <t>Fenntartható városi közlekedés II. ütem</t>
  </si>
  <si>
    <t>36.</t>
  </si>
  <si>
    <t>37.</t>
  </si>
  <si>
    <t>38.</t>
  </si>
  <si>
    <t>39.</t>
  </si>
  <si>
    <t>Helyi identitás és kohézió erősítése</t>
  </si>
  <si>
    <t>40.</t>
  </si>
  <si>
    <t>Halász utcai játszótér bővítése</t>
  </si>
  <si>
    <t>41.</t>
  </si>
  <si>
    <t>„Az ország bölcsője” kiemelt székesfehérvári alprogram első szakaszának megvalósításáról és a második szakasz egyes fejlesztési elemeinek bemutatásáról szóló 1469/2016. (VII.25.) értelmében</t>
  </si>
  <si>
    <t>42.</t>
  </si>
  <si>
    <t>43.</t>
  </si>
  <si>
    <t>Előkészítés alatt</t>
  </si>
  <si>
    <t>Mindösszesen</t>
  </si>
  <si>
    <t>* megjegyzés: a projekt összege Áfá-t nem tartalmaz.</t>
  </si>
  <si>
    <t xml:space="preserve">Európai uniós és hazai forrásból megvalósuló projektek </t>
  </si>
  <si>
    <t>támogatástartalmának bemutatása 2015-2022. évekre (eFt-ban)</t>
  </si>
  <si>
    <t>Safecross intelligens gyalogátkelőhely építése</t>
  </si>
  <si>
    <t>Államháztartáson belüli megelőlegezések</t>
  </si>
  <si>
    <t>K</t>
  </si>
  <si>
    <t>Ö</t>
  </si>
  <si>
    <t>ÖSSZ</t>
  </si>
  <si>
    <t>Személyi K1</t>
  </si>
  <si>
    <t>járulék K2</t>
  </si>
  <si>
    <t>dologi K3</t>
  </si>
  <si>
    <t>ellátottak K4</t>
  </si>
  <si>
    <t>egyéb műk. Célú K5</t>
  </si>
  <si>
    <t>beruházás K6</t>
  </si>
  <si>
    <t>felújítás K7</t>
  </si>
  <si>
    <t>egyéb felhalmozási célú K8</t>
  </si>
  <si>
    <t>ált. tartl</t>
  </si>
  <si>
    <t>céltart</t>
  </si>
  <si>
    <t xml:space="preserve">   Százszorszép Bölcsőde - Épület felújítása és eszközbeszerzés a TOP 6.6.1-16 kódszámú pályázati felhívás keretében</t>
  </si>
  <si>
    <t>24, Egyéb közhatalmi bevételek összesen (20+21+22+23+23/a):</t>
  </si>
  <si>
    <t>kötelező</t>
  </si>
  <si>
    <t>önként</t>
  </si>
  <si>
    <t>~ Bevételi oldal rendezése (projekttel kapcsolatos támogatás átütemezése miatt) - Önkormányzati feladatellátást szolgáló támogatási keret</t>
  </si>
  <si>
    <t>Életjáradék lakásért</t>
  </si>
  <si>
    <t>2018. évi tervezett   előirányzat</t>
  </si>
  <si>
    <t>KIADÁSOK</t>
  </si>
  <si>
    <t>Előző években értékesített lakások tárgyévi törlesztő részlete</t>
  </si>
  <si>
    <t>Tárgyévi lakásértékesítések bevételei</t>
  </si>
  <si>
    <t>BEVÉTELEK</t>
  </si>
  <si>
    <t>Lakáselidegenítés tervezett előirányzatainak felhasználása (eFt-ban)</t>
  </si>
  <si>
    <t>Lakóépület teljes vagy részleges felújításának részbeni fedezetére- Székesfehérvári Városfejlesztési Kft. 2018. évi üzleti tervében kerül biztosításra</t>
  </si>
  <si>
    <t>2018. év</t>
  </si>
  <si>
    <t>2019. év</t>
  </si>
  <si>
    <t>2020. év</t>
  </si>
  <si>
    <t>2021. év</t>
  </si>
  <si>
    <t>További évek összesen</t>
  </si>
  <si>
    <t>g.=b.+…+f.</t>
  </si>
  <si>
    <t>I. Európai uniós és hazai forrásból megvalósuló projektekkel kapcsolatos kiadások</t>
  </si>
  <si>
    <t>Szekfű Gyula utcai rendelőépület - Felnőtt fogászati, fogszabályzós szakrendelés, valamint háziorvosi rendelő felújítása, fejlesztése</t>
  </si>
  <si>
    <t>I. Európai uniós és hazai forrásból megvalósuló projektekkel kapcsolatos kiadások összesen</t>
  </si>
  <si>
    <t>II. Egyéb beruházási, felhalmozási kiadások</t>
  </si>
  <si>
    <t>Alba Geotrade Zrt. – központi közműnyilvántartás és alaptérkép vezetése</t>
  </si>
  <si>
    <t>Szemünk Fénye Program</t>
  </si>
  <si>
    <t>II. Egyéb beruházási, felhalmozási kiadások összesen</t>
  </si>
  <si>
    <t>III. Helyi közösségi közlekedéssel kapcsolatos kiadások</t>
  </si>
  <si>
    <t>Alba Volán Zrt. - 2006. január 1. napjától 2012. december 31. napjáig terjedő időszak veszteségének kiegyenlése</t>
  </si>
  <si>
    <t>III. Helyi közösségi közlekedéssel kapcsolatos kiadások összesen</t>
  </si>
  <si>
    <t>Szászszorszép Bölcsőde - Épület felújítása és eszközbeszerzés a TOP 6.6.1-16 kódszámú pályázati felhívás keretében</t>
  </si>
  <si>
    <t>Ybl Miklós lakótelepi rendelőépület - Gyermekorvosi rendelő és védőnői tanácsadó átalakítása, bővítése, felújítása a TOP 6.2.1-16 kódszámú pályázati felhívás keretében</t>
  </si>
  <si>
    <t>Több éves kihatással járó jelentősebb döntések</t>
  </si>
  <si>
    <t>(eFt-ban)</t>
  </si>
  <si>
    <t>~ 2018. november 30. és december 4. között a Schwabisch Gmündi Karácsonyi Vásár programjaihoz kapcsolódó szakmai látogatása során felmerülő személyi és dologi költségeihez (Nemzetközi kapcsolatok és reprezentáció - határon túli magyar kapcsolatok)</t>
  </si>
  <si>
    <t>Költségvetési szervek 2018.évi bevételi előirányzata (eFt-ban)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</si>
</sst>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F_t_-;\-* #,##0.00\ _F_t_-;_-* &quot;-&quot;??\ _F_t_-;_-@_-"/>
  </numFmts>
  <fonts count="76" x14ac:knownFonts="1">
    <font>
      <sz val="12"/>
      <name val="Times New Roman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2"/>
      <name val="Times New Roman CE"/>
      <charset val="238"/>
    </font>
    <font>
      <b/>
      <sz val="12"/>
      <name val="Times New Roman CE"/>
      <charset val="238"/>
    </font>
    <font>
      <i/>
      <sz val="12"/>
      <name val="Times New Roman CE"/>
      <charset val="238"/>
    </font>
    <font>
      <sz val="12"/>
      <name val="Times New Roman CE"/>
      <charset val="238"/>
    </font>
    <font>
      <sz val="11"/>
      <color indexed="8"/>
      <name val="Calibri"/>
      <family val="2"/>
      <charset val="238"/>
    </font>
    <font>
      <sz val="11"/>
      <color indexed="9"/>
      <name val="Calibri"/>
      <family val="2"/>
      <charset val="238"/>
    </font>
    <font>
      <sz val="11"/>
      <color indexed="62"/>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1"/>
      <color indexed="9"/>
      <name val="Calibri"/>
      <family val="2"/>
      <charset val="238"/>
    </font>
    <font>
      <sz val="11"/>
      <color indexed="10"/>
      <name val="Calibri"/>
      <family val="2"/>
      <charset val="238"/>
    </font>
    <font>
      <sz val="11"/>
      <color indexed="52"/>
      <name val="Calibri"/>
      <family val="2"/>
      <charset val="238"/>
    </font>
    <font>
      <sz val="11"/>
      <color indexed="17"/>
      <name val="Calibri"/>
      <family val="2"/>
      <charset val="238"/>
    </font>
    <font>
      <b/>
      <sz val="11"/>
      <color indexed="63"/>
      <name val="Calibri"/>
      <family val="2"/>
      <charset val="238"/>
    </font>
    <font>
      <i/>
      <sz val="11"/>
      <color indexed="23"/>
      <name val="Calibri"/>
      <family val="2"/>
      <charset val="238"/>
    </font>
    <font>
      <b/>
      <sz val="11"/>
      <color indexed="8"/>
      <name val="Calibri"/>
      <family val="2"/>
      <charset val="238"/>
    </font>
    <font>
      <sz val="11"/>
      <color indexed="20"/>
      <name val="Calibri"/>
      <family val="2"/>
      <charset val="238"/>
    </font>
    <font>
      <sz val="11"/>
      <color indexed="60"/>
      <name val="Calibri"/>
      <family val="2"/>
      <charset val="238"/>
    </font>
    <font>
      <b/>
      <sz val="11"/>
      <color indexed="52"/>
      <name val="Calibri"/>
      <family val="2"/>
      <charset val="238"/>
    </font>
    <font>
      <i/>
      <sz val="12"/>
      <name val="Times New Roman"/>
      <family val="1"/>
      <charset val="238"/>
    </font>
    <font>
      <sz val="10"/>
      <name val="Arial"/>
      <family val="2"/>
      <charset val="238"/>
    </font>
    <font>
      <sz val="8"/>
      <name val="Times New Roman CE"/>
      <charset val="238"/>
    </font>
    <font>
      <sz val="12"/>
      <color indexed="8"/>
      <name val="Times New Roman"/>
      <family val="2"/>
      <charset val="238"/>
    </font>
    <font>
      <sz val="10"/>
      <name val="Arial CE"/>
      <charset val="238"/>
    </font>
    <font>
      <b/>
      <sz val="12"/>
      <name val="Times New Roman"/>
      <family val="1"/>
      <charset val="238"/>
    </font>
    <font>
      <sz val="12"/>
      <name val="Times New Roman"/>
      <family val="1"/>
      <charset val="238"/>
    </font>
    <font>
      <b/>
      <i/>
      <sz val="12"/>
      <name val="Times New Roman"/>
      <family val="1"/>
      <charset val="238"/>
    </font>
    <font>
      <sz val="10"/>
      <name val="Arial"/>
      <family val="2"/>
      <charset val="238"/>
    </font>
    <font>
      <b/>
      <sz val="12"/>
      <name val="Times New Roman CE"/>
      <family val="1"/>
      <charset val="238"/>
    </font>
    <font>
      <sz val="12"/>
      <name val="Times New Roman CE"/>
      <family val="1"/>
      <charset val="238"/>
    </font>
    <font>
      <b/>
      <i/>
      <sz val="12"/>
      <name val="Times New Roman CE"/>
      <family val="1"/>
      <charset val="238"/>
    </font>
    <font>
      <b/>
      <i/>
      <sz val="12"/>
      <name val="Times New Roman CE"/>
      <charset val="238"/>
    </font>
    <font>
      <i/>
      <sz val="10"/>
      <name val="Arial CE"/>
      <charset val="238"/>
    </font>
    <font>
      <b/>
      <i/>
      <sz val="10"/>
      <name val="Arial CE"/>
      <charset val="238"/>
    </font>
    <font>
      <b/>
      <sz val="10"/>
      <name val="Arial CE"/>
      <charset val="238"/>
    </font>
    <font>
      <sz val="11"/>
      <name val="Arial CE"/>
      <charset val="238"/>
    </font>
    <font>
      <b/>
      <sz val="10"/>
      <name val="Times New Roman CE"/>
      <charset val="238"/>
    </font>
    <font>
      <i/>
      <sz val="12"/>
      <name val="Times New Roman CE"/>
      <family val="1"/>
      <charset val="238"/>
    </font>
    <font>
      <sz val="11"/>
      <color theme="1"/>
      <name val="Calibri"/>
      <family val="2"/>
      <charset val="238"/>
      <scheme val="minor"/>
    </font>
    <font>
      <sz val="12"/>
      <color theme="1"/>
      <name val="Times New Roman"/>
      <family val="2"/>
      <charset val="238"/>
    </font>
    <font>
      <i/>
      <sz val="11"/>
      <color theme="1"/>
      <name val="Calibri"/>
      <family val="2"/>
      <charset val="238"/>
      <scheme val="minor"/>
    </font>
    <font>
      <sz val="12"/>
      <name val="Times New Roman CE"/>
    </font>
    <font>
      <b/>
      <sz val="12"/>
      <name val="Times New Roman CE"/>
    </font>
    <font>
      <i/>
      <sz val="12"/>
      <name val="Times New Roman CE"/>
    </font>
    <font>
      <b/>
      <sz val="10"/>
      <name val="Times New Roman CE"/>
      <family val="1"/>
      <charset val="238"/>
    </font>
    <font>
      <b/>
      <sz val="10"/>
      <name val="Times New Roman CE"/>
    </font>
    <font>
      <b/>
      <sz val="11"/>
      <name val="Times New Roman CE"/>
      <family val="1"/>
      <charset val="238"/>
    </font>
    <font>
      <b/>
      <sz val="9"/>
      <name val="Times New Roman CE"/>
      <family val="1"/>
      <charset val="238"/>
    </font>
    <font>
      <b/>
      <sz val="11"/>
      <name val="Times New Roman CE"/>
      <charset val="238"/>
    </font>
    <font>
      <sz val="10"/>
      <color indexed="8"/>
      <name val="Calibri"/>
      <family val="2"/>
      <charset val="238"/>
    </font>
    <font>
      <b/>
      <sz val="8"/>
      <name val="Times New Roman CE"/>
    </font>
    <font>
      <sz val="10"/>
      <name val="Times New Roman CE"/>
      <family val="1"/>
      <charset val="238"/>
    </font>
    <font>
      <sz val="12"/>
      <color theme="1"/>
      <name val="Times New Roman"/>
      <family val="1"/>
      <charset val="238"/>
    </font>
    <font>
      <b/>
      <sz val="11"/>
      <color theme="1"/>
      <name val="Calibri"/>
      <family val="2"/>
      <charset val="238"/>
      <scheme val="minor"/>
    </font>
    <font>
      <b/>
      <sz val="14"/>
      <name val="Times New Roman"/>
      <family val="1"/>
      <charset val="238"/>
    </font>
    <font>
      <b/>
      <sz val="12"/>
      <color theme="1"/>
      <name val="Times New Roman"/>
      <family val="1"/>
      <charset val="238"/>
    </font>
    <font>
      <b/>
      <sz val="12"/>
      <color indexed="8"/>
      <name val="Times New Roman"/>
      <family val="1"/>
      <charset val="238"/>
    </font>
    <font>
      <sz val="12"/>
      <color indexed="8"/>
      <name val="Times New Roman"/>
      <family val="1"/>
      <charset val="238"/>
    </font>
    <font>
      <sz val="12"/>
      <name val="Times New Roman"/>
      <family val="2"/>
      <charset val="238"/>
    </font>
    <font>
      <i/>
      <sz val="12"/>
      <color indexed="8"/>
      <name val="Times New Roman"/>
      <family val="1"/>
      <charset val="238"/>
    </font>
    <font>
      <sz val="10"/>
      <name val="Times New Roman"/>
      <family val="1"/>
      <charset val="238"/>
    </font>
    <font>
      <b/>
      <sz val="10"/>
      <name val="Times New Roman"/>
      <family val="1"/>
      <charset val="238"/>
    </font>
    <font>
      <u/>
      <sz val="10"/>
      <name val="Times New Roman"/>
      <family val="1"/>
      <charset val="238"/>
    </font>
    <font>
      <b/>
      <i/>
      <sz val="10"/>
      <name val="Times New Roman"/>
      <family val="1"/>
      <charset val="238"/>
    </font>
    <font>
      <sz val="10"/>
      <name val="Times New Roman CE"/>
      <charset val="238"/>
    </font>
    <font>
      <b/>
      <sz val="14"/>
      <name val="Times New Roman CE"/>
      <charset val="23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theme="0" tint="-4.9989318521683403E-2"/>
        <bgColor indexed="64"/>
      </patternFill>
    </fill>
    <fill>
      <patternFill patternType="solid">
        <fgColor indexed="9"/>
        <bgColor indexed="64"/>
      </patternFill>
    </fill>
  </fills>
  <borders count="1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thick">
        <color indexed="64"/>
      </left>
      <right style="thick">
        <color indexed="64"/>
      </right>
      <top style="medium">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ck">
        <color indexed="64"/>
      </left>
      <right/>
      <top style="thick">
        <color indexed="64"/>
      </top>
      <bottom style="thick">
        <color indexed="64"/>
      </bottom>
      <diagonal/>
    </border>
    <border>
      <left style="thick">
        <color indexed="64"/>
      </left>
      <right style="thick">
        <color indexed="64"/>
      </right>
      <top/>
      <bottom style="thin">
        <color indexed="64"/>
      </bottom>
      <diagonal/>
    </border>
    <border>
      <left/>
      <right style="thick">
        <color indexed="64"/>
      </right>
      <top/>
      <bottom style="thin">
        <color indexed="64"/>
      </bottom>
      <diagonal/>
    </border>
    <border>
      <left style="thick">
        <color indexed="64"/>
      </left>
      <right style="thick">
        <color indexed="64"/>
      </right>
      <top style="thin">
        <color indexed="64"/>
      </top>
      <bottom/>
      <diagonal/>
    </border>
    <border>
      <left/>
      <right style="thick">
        <color indexed="64"/>
      </right>
      <top style="thin">
        <color indexed="64"/>
      </top>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indexed="64"/>
      </left>
      <right style="thick">
        <color indexed="64"/>
      </right>
      <top style="thick">
        <color indexed="64"/>
      </top>
      <bottom style="thin">
        <color indexed="64"/>
      </bottom>
      <diagonal/>
    </border>
    <border>
      <left/>
      <right style="thick">
        <color indexed="64"/>
      </right>
      <top style="thick">
        <color indexed="64"/>
      </top>
      <bottom style="medium">
        <color indexed="64"/>
      </bottom>
      <diagonal/>
    </border>
    <border>
      <left/>
      <right style="thick">
        <color indexed="64"/>
      </right>
      <top style="thick">
        <color indexed="64"/>
      </top>
      <bottom/>
      <diagonal/>
    </border>
    <border>
      <left style="thick">
        <color indexed="64"/>
      </left>
      <right style="thick">
        <color indexed="64"/>
      </right>
      <top style="medium">
        <color indexed="64"/>
      </top>
      <bottom style="medium">
        <color indexed="64"/>
      </bottom>
      <diagonal/>
    </border>
    <border>
      <left/>
      <right style="thick">
        <color indexed="64"/>
      </right>
      <top style="medium">
        <color indexed="64"/>
      </top>
      <bottom style="medium">
        <color indexed="64"/>
      </bottom>
      <diagonal/>
    </border>
    <border>
      <left/>
      <right style="thick">
        <color indexed="64"/>
      </right>
      <top/>
      <bottom/>
      <diagonal/>
    </border>
    <border>
      <left style="thick">
        <color indexed="64"/>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style="thick">
        <color indexed="64"/>
      </left>
      <right/>
      <top style="medium">
        <color indexed="64"/>
      </top>
      <bottom/>
      <diagonal/>
    </border>
    <border>
      <left style="thick">
        <color indexed="64"/>
      </left>
      <right/>
      <top/>
      <bottom/>
      <diagonal/>
    </border>
    <border>
      <left style="thick">
        <color indexed="64"/>
      </left>
      <right/>
      <top style="thick">
        <color indexed="64"/>
      </top>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style="medium">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ck">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ck">
        <color indexed="64"/>
      </top>
      <bottom style="medium">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ck">
        <color indexed="64"/>
      </right>
      <top style="thick">
        <color indexed="64"/>
      </top>
      <bottom style="medium">
        <color indexed="64"/>
      </bottom>
      <diagonal/>
    </border>
    <border>
      <left/>
      <right/>
      <top style="thick">
        <color indexed="64"/>
      </top>
      <bottom style="thick">
        <color indexed="64"/>
      </bottom>
      <diagonal/>
    </border>
    <border>
      <left/>
      <right/>
      <top style="thin">
        <color indexed="64"/>
      </top>
      <bottom/>
      <diagonal/>
    </border>
    <border>
      <left/>
      <right/>
      <top/>
      <bottom style="thick">
        <color indexed="64"/>
      </bottom>
      <diagonal/>
    </border>
    <border>
      <left style="thick">
        <color indexed="64"/>
      </left>
      <right style="thick">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ck">
        <color indexed="64"/>
      </top>
      <bottom style="thin">
        <color indexed="64"/>
      </bottom>
      <diagonal/>
    </border>
    <border>
      <left style="thick">
        <color indexed="64"/>
      </left>
      <right style="thick">
        <color indexed="64"/>
      </right>
      <top style="thick">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style="thick">
        <color indexed="64"/>
      </top>
      <bottom style="thin">
        <color indexed="64"/>
      </bottom>
      <diagonal/>
    </border>
    <border>
      <left/>
      <right style="thick">
        <color indexed="64"/>
      </right>
      <top style="thin">
        <color indexed="64"/>
      </top>
      <bottom style="thick">
        <color indexed="64"/>
      </bottom>
      <diagonal/>
    </border>
    <border>
      <left/>
      <right/>
      <top style="thin">
        <color indexed="64"/>
      </top>
      <bottom style="thick">
        <color indexed="64"/>
      </bottom>
      <diagonal/>
    </border>
    <border>
      <left style="thick">
        <color indexed="64"/>
      </left>
      <right/>
      <top/>
      <bottom style="thick">
        <color indexed="64"/>
      </bottom>
      <diagonal/>
    </border>
    <border>
      <left style="medium">
        <color indexed="64"/>
      </left>
      <right style="medium">
        <color indexed="64"/>
      </right>
      <top/>
      <bottom/>
      <diagonal/>
    </border>
    <border>
      <left style="medium">
        <color indexed="64"/>
      </left>
      <right/>
      <top style="thick">
        <color indexed="64"/>
      </top>
      <bottom style="medium">
        <color indexed="64"/>
      </bottom>
      <diagonal/>
    </border>
    <border>
      <left style="thin">
        <color indexed="64"/>
      </left>
      <right style="thick">
        <color indexed="64"/>
      </right>
      <top/>
      <bottom style="thick">
        <color indexed="64"/>
      </bottom>
      <diagonal/>
    </border>
    <border>
      <left/>
      <right style="thick">
        <color indexed="64"/>
      </right>
      <top style="thick">
        <color indexed="64"/>
      </top>
      <bottom style="thin">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thick">
        <color indexed="64"/>
      </left>
      <right style="thick">
        <color indexed="64"/>
      </right>
      <top style="medium">
        <color indexed="64"/>
      </top>
      <bottom/>
      <diagonal/>
    </border>
    <border>
      <left style="thick">
        <color indexed="64"/>
      </left>
      <right/>
      <top style="thin">
        <color indexed="64"/>
      </top>
      <bottom/>
      <diagonal/>
    </border>
    <border>
      <left/>
      <right style="thin">
        <color indexed="64"/>
      </right>
      <top style="thick">
        <color indexed="64"/>
      </top>
      <bottom style="thin">
        <color indexed="64"/>
      </bottom>
      <diagonal/>
    </border>
    <border>
      <left/>
      <right style="thin">
        <color indexed="64"/>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n">
        <color indexed="64"/>
      </top>
      <bottom style="thick">
        <color indexed="64"/>
      </bottom>
      <diagonal/>
    </border>
    <border>
      <left style="thick">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ck">
        <color indexed="64"/>
      </bottom>
      <diagonal/>
    </border>
    <border>
      <left/>
      <right style="medium">
        <color indexed="64"/>
      </right>
      <top style="thin">
        <color indexed="64"/>
      </top>
      <bottom/>
      <diagonal/>
    </border>
    <border>
      <left style="thin">
        <color indexed="64"/>
      </left>
      <right/>
      <top style="thin">
        <color indexed="64"/>
      </top>
      <bottom style="thick">
        <color indexed="64"/>
      </bottom>
      <diagonal/>
    </border>
  </borders>
  <cellStyleXfs count="265">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26" fillId="3" borderId="0" applyNumberFormat="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28" fillId="20" borderId="1" applyNumberFormat="0" applyAlignment="0" applyProtection="0"/>
    <xf numFmtId="0" fontId="19" fillId="21" borderId="2" applyNumberFormat="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24" fillId="0" borderId="0" applyNumberForma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2" fillId="4" borderId="0" applyNumberFormat="0" applyBorder="0" applyAlignment="0" applyProtection="0"/>
    <xf numFmtId="0" fontId="16" fillId="0" borderId="3"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14" fillId="7" borderId="1" applyNumberFormat="0" applyAlignment="0" applyProtection="0"/>
    <xf numFmtId="0" fontId="8" fillId="22" borderId="7" applyNumberFormat="0" applyFont="0" applyAlignment="0" applyProtection="0"/>
    <xf numFmtId="0" fontId="30" fillId="22" borderId="7" applyNumberFormat="0" applyFont="0" applyAlignment="0" applyProtection="0"/>
    <xf numFmtId="0" fontId="30" fillId="22" borderId="7" applyNumberFormat="0" applyFont="0" applyAlignment="0" applyProtection="0"/>
    <xf numFmtId="0" fontId="11" fillId="22" borderId="7" applyNumberFormat="0" applyFont="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3" fillId="20" borderId="8" applyNumberFormat="0" applyAlignment="0" applyProtection="0"/>
    <xf numFmtId="0" fontId="23" fillId="20" borderId="8" applyNumberFormat="0" applyAlignment="0" applyProtection="0"/>
    <xf numFmtId="0" fontId="23" fillId="20" borderId="8" applyNumberFormat="0" applyAlignment="0" applyProtection="0"/>
    <xf numFmtId="0" fontId="21" fillId="0" borderId="6"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7" fillId="23" borderId="0" applyNumberFormat="0" applyBorder="0" applyAlignment="0" applyProtection="0"/>
    <xf numFmtId="0" fontId="49" fillId="0" borderId="0"/>
    <xf numFmtId="0" fontId="11" fillId="0" borderId="0"/>
    <xf numFmtId="0" fontId="30" fillId="0" borderId="0"/>
    <xf numFmtId="0" fontId="30" fillId="0" borderId="0"/>
    <xf numFmtId="0" fontId="11" fillId="0" borderId="0"/>
    <xf numFmtId="0" fontId="8" fillId="0" borderId="0"/>
    <xf numFmtId="0" fontId="30" fillId="0" borderId="0"/>
    <xf numFmtId="0" fontId="48" fillId="0" borderId="0"/>
    <xf numFmtId="0" fontId="12" fillId="0" borderId="0"/>
    <xf numFmtId="0" fontId="30" fillId="0" borderId="0"/>
    <xf numFmtId="0" fontId="48" fillId="0" borderId="0"/>
    <xf numFmtId="0" fontId="12" fillId="0" borderId="0"/>
    <xf numFmtId="0" fontId="12" fillId="0" borderId="0"/>
    <xf numFmtId="0" fontId="12" fillId="0" borderId="0"/>
    <xf numFmtId="0" fontId="12" fillId="0" borderId="0"/>
    <xf numFmtId="0" fontId="49" fillId="0" borderId="0"/>
    <xf numFmtId="0" fontId="32" fillId="0" borderId="0"/>
    <xf numFmtId="0" fontId="11" fillId="0" borderId="0"/>
    <xf numFmtId="0" fontId="49" fillId="0" borderId="0"/>
    <xf numFmtId="0" fontId="49" fillId="0" borderId="0"/>
    <xf numFmtId="0" fontId="45" fillId="0" borderId="0"/>
    <xf numFmtId="0" fontId="33" fillId="0" borderId="0"/>
    <xf numFmtId="0" fontId="8" fillId="0" borderId="0"/>
    <xf numFmtId="0" fontId="8" fillId="0" borderId="0"/>
    <xf numFmtId="0" fontId="8" fillId="0" borderId="0"/>
    <xf numFmtId="0" fontId="11" fillId="0" borderId="0"/>
    <xf numFmtId="0" fontId="12" fillId="22" borderId="7" applyNumberFormat="0" applyFont="0" applyAlignment="0" applyProtection="0"/>
    <xf numFmtId="0" fontId="23" fillId="20" borderId="8" applyNumberFormat="0" applyAlignment="0" applyProtection="0"/>
    <xf numFmtId="0" fontId="25" fillId="0" borderId="9" applyNumberFormat="0" applyFill="0" applyAlignment="0" applyProtection="0"/>
    <xf numFmtId="0" fontId="25" fillId="0" borderId="9" applyNumberFormat="0" applyFill="0" applyAlignment="0" applyProtection="0"/>
    <xf numFmtId="0" fontId="25" fillId="0" borderId="9" applyNumberFormat="0" applyFill="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8" fillId="20" borderId="1" applyNumberFormat="0" applyAlignment="0" applyProtection="0"/>
    <xf numFmtId="0" fontId="28" fillId="20" borderId="1" applyNumberFormat="0" applyAlignment="0" applyProtection="0"/>
    <xf numFmtId="0" fontId="28" fillId="20" borderId="1" applyNumberFormat="0" applyAlignment="0" applyProtection="0"/>
    <xf numFmtId="0" fontId="15" fillId="0" borderId="0" applyNumberFormat="0" applyFill="0" applyBorder="0" applyAlignment="0" applyProtection="0"/>
    <xf numFmtId="0" fontId="25" fillId="0" borderId="9" applyNumberFormat="0" applyFill="0" applyAlignment="0" applyProtection="0"/>
    <xf numFmtId="0" fontId="20" fillId="0" borderId="0" applyNumberForma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7" fillId="0" borderId="0"/>
    <xf numFmtId="0" fontId="51" fillId="0" borderId="0"/>
    <xf numFmtId="0" fontId="51" fillId="0" borderId="0"/>
    <xf numFmtId="43" fontId="7" fillId="0" borderId="0" applyFont="0" applyFill="0" applyBorder="0" applyAlignment="0" applyProtection="0"/>
    <xf numFmtId="0" fontId="6" fillId="0" borderId="0"/>
    <xf numFmtId="0" fontId="6" fillId="0" borderId="0"/>
    <xf numFmtId="0" fontId="5" fillId="0" borderId="0"/>
    <xf numFmtId="0" fontId="8" fillId="0" borderId="0"/>
    <xf numFmtId="0" fontId="4" fillId="0" borderId="0"/>
    <xf numFmtId="0" fontId="4"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4" fillId="7" borderId="1" applyNumberFormat="0" applyAlignment="0" applyProtection="0"/>
    <xf numFmtId="0" fontId="15" fillId="0" borderId="0" applyNumberFormat="0" applyFill="0" applyBorder="0" applyAlignment="0" applyProtection="0"/>
    <xf numFmtId="0" fontId="16" fillId="0" borderId="3"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9" fillId="21" borderId="2" applyNumberFormat="0" applyAlignment="0" applyProtection="0"/>
    <xf numFmtId="0" fontId="20" fillId="0" borderId="0" applyNumberFormat="0" applyFill="0" applyBorder="0" applyAlignment="0" applyProtection="0"/>
    <xf numFmtId="0" fontId="21" fillId="0" borderId="6" applyNumberFormat="0" applyFill="0" applyAlignment="0" applyProtection="0"/>
    <xf numFmtId="0" fontId="8" fillId="22" borderId="7"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22" fillId="4" borderId="0" applyNumberFormat="0" applyBorder="0" applyAlignment="0" applyProtection="0"/>
    <xf numFmtId="0" fontId="23" fillId="20" borderId="8" applyNumberFormat="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3" borderId="0" applyNumberFormat="0" applyBorder="0" applyAlignment="0" applyProtection="0"/>
    <xf numFmtId="0" fontId="27" fillId="23" borderId="0" applyNumberFormat="0" applyBorder="0" applyAlignment="0" applyProtection="0"/>
    <xf numFmtId="0" fontId="28" fillId="20" borderId="1" applyNumberFormat="0" applyAlignment="0" applyProtection="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0" fillId="0" borderId="0"/>
    <xf numFmtId="0" fontId="1" fillId="0" borderId="0"/>
    <xf numFmtId="0" fontId="30" fillId="0" borderId="0"/>
    <xf numFmtId="0" fontId="8" fillId="0" borderId="0"/>
    <xf numFmtId="0" fontId="30" fillId="0" borderId="0"/>
    <xf numFmtId="0" fontId="33" fillId="0" borderId="0"/>
    <xf numFmtId="0" fontId="30" fillId="0" borderId="0"/>
    <xf numFmtId="0" fontId="33" fillId="0" borderId="0"/>
  </cellStyleXfs>
  <cellXfs count="1045">
    <xf numFmtId="0" fontId="0" fillId="0" borderId="0" xfId="0"/>
    <xf numFmtId="0" fontId="38" fillId="0" borderId="10" xfId="174" applyFont="1" applyBorder="1" applyAlignment="1">
      <alignment horizontal="center" wrapText="1"/>
    </xf>
    <xf numFmtId="3" fontId="9" fillId="0" borderId="35" xfId="174" applyNumberFormat="1" applyFont="1" applyBorder="1" applyAlignment="1">
      <alignment horizontal="center" wrapText="1"/>
    </xf>
    <xf numFmtId="0" fontId="33" fillId="0" borderId="0" xfId="172"/>
    <xf numFmtId="3" fontId="9" fillId="0" borderId="10" xfId="174" applyNumberFormat="1" applyFont="1" applyBorder="1" applyAlignment="1">
      <alignment horizontal="center" wrapText="1"/>
    </xf>
    <xf numFmtId="3" fontId="8" fillId="0" borderId="21" xfId="174" applyNumberFormat="1" applyFont="1" applyFill="1" applyBorder="1"/>
    <xf numFmtId="3" fontId="8" fillId="0" borderId="11" xfId="174" applyNumberFormat="1" applyFont="1" applyFill="1" applyBorder="1"/>
    <xf numFmtId="3" fontId="9" fillId="0" borderId="11" xfId="174" applyNumberFormat="1" applyFont="1" applyFill="1" applyBorder="1"/>
    <xf numFmtId="0" fontId="38" fillId="0" borderId="11" xfId="174" applyFont="1" applyBorder="1" applyAlignment="1">
      <alignment wrapText="1"/>
    </xf>
    <xf numFmtId="3" fontId="38" fillId="0" borderId="11" xfId="174" applyNumberFormat="1" applyFont="1" applyFill="1" applyBorder="1"/>
    <xf numFmtId="0" fontId="33" fillId="0" borderId="0" xfId="172" applyFont="1"/>
    <xf numFmtId="0" fontId="39" fillId="0" borderId="11" xfId="174" applyFont="1" applyBorder="1" applyAlignment="1">
      <alignment wrapText="1"/>
    </xf>
    <xf numFmtId="3" fontId="39" fillId="0" borderId="20" xfId="174" applyNumberFormat="1" applyFont="1" applyFill="1" applyBorder="1"/>
    <xf numFmtId="3" fontId="39" fillId="0" borderId="11" xfId="174" applyNumberFormat="1" applyFont="1" applyFill="1" applyBorder="1"/>
    <xf numFmtId="3" fontId="39" fillId="0" borderId="21" xfId="174" applyNumberFormat="1" applyFont="1" applyFill="1" applyBorder="1"/>
    <xf numFmtId="3" fontId="8" fillId="0" borderId="20" xfId="174" applyNumberFormat="1" applyFill="1" applyBorder="1"/>
    <xf numFmtId="3" fontId="8" fillId="0" borderId="11" xfId="174" applyNumberFormat="1" applyFill="1" applyBorder="1"/>
    <xf numFmtId="0" fontId="40" fillId="0" borderId="11" xfId="174" applyFont="1" applyBorder="1" applyAlignment="1">
      <alignment wrapText="1"/>
    </xf>
    <xf numFmtId="3" fontId="41" fillId="0" borderId="11" xfId="174" applyNumberFormat="1" applyFont="1" applyFill="1" applyBorder="1"/>
    <xf numFmtId="3" fontId="41" fillId="0" borderId="20" xfId="174" applyNumberFormat="1" applyFont="1" applyFill="1" applyBorder="1"/>
    <xf numFmtId="0" fontId="42" fillId="0" borderId="0" xfId="172" applyFont="1"/>
    <xf numFmtId="3" fontId="10" fillId="0" borderId="20" xfId="174" applyNumberFormat="1" applyFont="1" applyFill="1" applyBorder="1"/>
    <xf numFmtId="3" fontId="10" fillId="0" borderId="11" xfId="174" applyNumberFormat="1" applyFont="1" applyFill="1" applyBorder="1"/>
    <xf numFmtId="3" fontId="10" fillId="0" borderId="21" xfId="174" applyNumberFormat="1" applyFont="1" applyFill="1" applyBorder="1"/>
    <xf numFmtId="3" fontId="41" fillId="0" borderId="21" xfId="174" applyNumberFormat="1" applyFont="1" applyFill="1" applyBorder="1"/>
    <xf numFmtId="3" fontId="40" fillId="0" borderId="11" xfId="174" applyNumberFormat="1" applyFont="1" applyFill="1" applyBorder="1"/>
    <xf numFmtId="0" fontId="39" fillId="0" borderId="11" xfId="174" applyFont="1" applyFill="1" applyBorder="1" applyAlignment="1">
      <alignment wrapText="1"/>
    </xf>
    <xf numFmtId="0" fontId="33" fillId="0" borderId="0" xfId="172" applyFill="1"/>
    <xf numFmtId="0" fontId="33" fillId="0" borderId="0" xfId="172" applyFont="1" applyFill="1"/>
    <xf numFmtId="0" fontId="38" fillId="0" borderId="36" xfId="174" applyFont="1" applyBorder="1" applyAlignment="1">
      <alignment wrapText="1"/>
    </xf>
    <xf numFmtId="3" fontId="9" fillId="0" borderId="19" xfId="174" applyNumberFormat="1" applyFont="1" applyFill="1" applyBorder="1"/>
    <xf numFmtId="3" fontId="9" fillId="0" borderId="36" xfId="174" applyNumberFormat="1" applyFont="1" applyFill="1" applyBorder="1"/>
    <xf numFmtId="3" fontId="9" fillId="0" borderId="37" xfId="174" applyNumberFormat="1" applyFont="1" applyFill="1" applyBorder="1"/>
    <xf numFmtId="3" fontId="9" fillId="0" borderId="10" xfId="174" applyNumberFormat="1" applyFont="1" applyFill="1" applyBorder="1"/>
    <xf numFmtId="0" fontId="39" fillId="0" borderId="36" xfId="174" applyFont="1" applyBorder="1" applyAlignment="1">
      <alignment wrapText="1"/>
    </xf>
    <xf numFmtId="3" fontId="8" fillId="0" borderId="36" xfId="174" applyNumberFormat="1" applyFill="1" applyBorder="1"/>
    <xf numFmtId="3" fontId="8" fillId="0" borderId="37" xfId="174" applyNumberFormat="1" applyFill="1" applyBorder="1"/>
    <xf numFmtId="0" fontId="43" fillId="0" borderId="0" xfId="172" applyFont="1"/>
    <xf numFmtId="3" fontId="8" fillId="0" borderId="38" xfId="174" applyNumberFormat="1" applyFont="1" applyFill="1" applyBorder="1"/>
    <xf numFmtId="3" fontId="8" fillId="0" borderId="39" xfId="174" applyNumberFormat="1" applyFont="1" applyFill="1" applyBorder="1"/>
    <xf numFmtId="0" fontId="44" fillId="0" borderId="0" xfId="172" applyFont="1"/>
    <xf numFmtId="3" fontId="9" fillId="0" borderId="38" xfId="174" applyNumberFormat="1" applyFont="1" applyFill="1" applyBorder="1"/>
    <xf numFmtId="0" fontId="38" fillId="0" borderId="38" xfId="174" applyFont="1" applyBorder="1" applyAlignment="1">
      <alignment wrapText="1"/>
    </xf>
    <xf numFmtId="0" fontId="38" fillId="0" borderId="10" xfId="174" applyFont="1" applyBorder="1" applyAlignment="1">
      <alignment wrapText="1"/>
    </xf>
    <xf numFmtId="3" fontId="38" fillId="0" borderId="40" xfId="174" applyNumberFormat="1" applyFont="1" applyFill="1" applyBorder="1"/>
    <xf numFmtId="3" fontId="38" fillId="0" borderId="41" xfId="174" applyNumberFormat="1" applyFont="1" applyFill="1" applyBorder="1"/>
    <xf numFmtId="3" fontId="38" fillId="0" borderId="10" xfId="174" applyNumberFormat="1" applyFont="1" applyFill="1" applyBorder="1"/>
    <xf numFmtId="3" fontId="41" fillId="0" borderId="10" xfId="174" applyNumberFormat="1" applyFont="1" applyFill="1" applyBorder="1"/>
    <xf numFmtId="0" fontId="38" fillId="0" borderId="42" xfId="174" applyFont="1" applyBorder="1" applyAlignment="1">
      <alignment wrapText="1"/>
    </xf>
    <xf numFmtId="3" fontId="38" fillId="0" borderId="0" xfId="174" applyNumberFormat="1" applyFont="1" applyFill="1" applyBorder="1"/>
    <xf numFmtId="3" fontId="34" fillId="0" borderId="0" xfId="172" applyNumberFormat="1" applyFont="1" applyFill="1" applyBorder="1"/>
    <xf numFmtId="0" fontId="34" fillId="0" borderId="43" xfId="172" applyFont="1" applyBorder="1" applyAlignment="1">
      <alignment wrapText="1"/>
    </xf>
    <xf numFmtId="3" fontId="35" fillId="0" borderId="11" xfId="172" applyNumberFormat="1" applyFont="1" applyBorder="1" applyAlignment="1">
      <alignment wrapText="1"/>
    </xf>
    <xf numFmtId="3" fontId="35" fillId="0" borderId="24" xfId="172" applyNumberFormat="1" applyFont="1" applyFill="1" applyBorder="1" applyAlignment="1">
      <alignment wrapText="1"/>
    </xf>
    <xf numFmtId="3" fontId="35" fillId="0" borderId="22" xfId="172" applyNumberFormat="1" applyFont="1" applyFill="1" applyBorder="1"/>
    <xf numFmtId="0" fontId="34" fillId="0" borderId="11" xfId="172" applyFont="1" applyBorder="1" applyAlignment="1">
      <alignment wrapText="1"/>
    </xf>
    <xf numFmtId="3" fontId="35" fillId="0" borderId="11" xfId="172" applyNumberFormat="1" applyFont="1" applyFill="1" applyBorder="1" applyAlignment="1">
      <alignment wrapText="1"/>
    </xf>
    <xf numFmtId="3" fontId="35" fillId="0" borderId="0" xfId="172" applyNumberFormat="1" applyFont="1"/>
    <xf numFmtId="3" fontId="34" fillId="0" borderId="15" xfId="172" applyNumberFormat="1" applyFont="1" applyBorder="1"/>
    <xf numFmtId="3" fontId="35" fillId="0" borderId="0" xfId="172" applyNumberFormat="1" applyFont="1" applyAlignment="1"/>
    <xf numFmtId="3" fontId="35" fillId="0" borderId="0" xfId="172" applyNumberFormat="1" applyFont="1" applyBorder="1"/>
    <xf numFmtId="3" fontId="34" fillId="0" borderId="0" xfId="172" applyNumberFormat="1" applyFont="1" applyBorder="1"/>
    <xf numFmtId="0" fontId="35" fillId="0" borderId="0" xfId="172" applyFont="1"/>
    <xf numFmtId="3" fontId="35" fillId="0" borderId="0" xfId="174" applyNumberFormat="1" applyFont="1" applyBorder="1" applyAlignment="1">
      <alignment wrapText="1"/>
    </xf>
    <xf numFmtId="0" fontId="29" fillId="0" borderId="0" xfId="172" applyFont="1" applyBorder="1"/>
    <xf numFmtId="0" fontId="35" fillId="0" borderId="0" xfId="172" applyFont="1" applyBorder="1"/>
    <xf numFmtId="0" fontId="36" fillId="0" borderId="0" xfId="172" applyFont="1" applyBorder="1"/>
    <xf numFmtId="0" fontId="39" fillId="0" borderId="0" xfId="172" applyFont="1" applyBorder="1"/>
    <xf numFmtId="0" fontId="39" fillId="0" borderId="0" xfId="172" applyFont="1"/>
    <xf numFmtId="0" fontId="38" fillId="0" borderId="10" xfId="171" applyFont="1" applyBorder="1" applyAlignment="1">
      <alignment horizontal="centerContinuous"/>
    </xf>
    <xf numFmtId="3" fontId="38" fillId="0" borderId="10" xfId="171" applyNumberFormat="1" applyFont="1" applyBorder="1" applyAlignment="1">
      <alignment horizontal="centerContinuous" wrapText="1"/>
    </xf>
    <xf numFmtId="0" fontId="39" fillId="0" borderId="0" xfId="171" applyFont="1" applyAlignment="1">
      <alignment horizontal="centerContinuous"/>
    </xf>
    <xf numFmtId="3" fontId="38" fillId="0" borderId="44" xfId="171" applyNumberFormat="1" applyFont="1" applyBorder="1" applyAlignment="1">
      <alignment horizontal="centerContinuous" wrapText="1"/>
    </xf>
    <xf numFmtId="0" fontId="39" fillId="0" borderId="0" xfId="171" applyFont="1" applyAlignment="1">
      <alignment horizontal="centerContinuous" wrapText="1"/>
    </xf>
    <xf numFmtId="0" fontId="38" fillId="0" borderId="46" xfId="171" applyFont="1" applyBorder="1" applyAlignment="1">
      <alignment horizontal="centerContinuous" wrapText="1"/>
    </xf>
    <xf numFmtId="3" fontId="38" fillId="0" borderId="47" xfId="171" applyNumberFormat="1" applyFont="1" applyBorder="1" applyAlignment="1">
      <alignment horizontal="centerContinuous" wrapText="1"/>
    </xf>
    <xf numFmtId="3" fontId="38" fillId="0" borderId="48" xfId="171" applyNumberFormat="1" applyFont="1" applyBorder="1" applyAlignment="1">
      <alignment horizontal="centerContinuous" wrapText="1"/>
    </xf>
    <xf numFmtId="0" fontId="39" fillId="0" borderId="49" xfId="171" applyFont="1" applyBorder="1"/>
    <xf numFmtId="3" fontId="39" fillId="0" borderId="49" xfId="171" applyNumberFormat="1" applyFont="1" applyBorder="1"/>
    <xf numFmtId="3" fontId="39" fillId="0" borderId="50" xfId="171" applyNumberFormat="1" applyFont="1" applyBorder="1"/>
    <xf numFmtId="3" fontId="39" fillId="0" borderId="51" xfId="171" applyNumberFormat="1" applyFont="1" applyBorder="1"/>
    <xf numFmtId="3" fontId="39" fillId="0" borderId="52" xfId="171" applyNumberFormat="1" applyFont="1" applyBorder="1"/>
    <xf numFmtId="3" fontId="9" fillId="0" borderId="53" xfId="171" applyNumberFormat="1" applyFont="1" applyBorder="1"/>
    <xf numFmtId="3" fontId="9" fillId="0" borderId="54" xfId="171" applyNumberFormat="1" applyFont="1" applyBorder="1"/>
    <xf numFmtId="3" fontId="9" fillId="0" borderId="55" xfId="171" applyNumberFormat="1" applyFont="1" applyBorder="1"/>
    <xf numFmtId="3" fontId="9" fillId="0" borderId="45" xfId="171" applyNumberFormat="1" applyFont="1" applyBorder="1"/>
    <xf numFmtId="0" fontId="39" fillId="0" borderId="0" xfId="171" applyFont="1"/>
    <xf numFmtId="0" fontId="39" fillId="0" borderId="11" xfId="171" applyFont="1" applyBorder="1" applyAlignment="1">
      <alignment wrapText="1"/>
    </xf>
    <xf numFmtId="3" fontId="39" fillId="0" borderId="11" xfId="171" applyNumberFormat="1" applyFont="1" applyBorder="1"/>
    <xf numFmtId="3" fontId="39" fillId="0" borderId="12" xfId="171" applyNumberFormat="1" applyFont="1" applyBorder="1"/>
    <xf numFmtId="3" fontId="9" fillId="0" borderId="12" xfId="171" applyNumberFormat="1" applyFont="1" applyBorder="1"/>
    <xf numFmtId="3" fontId="9" fillId="0" borderId="56" xfId="171" applyNumberFormat="1" applyFont="1" applyBorder="1"/>
    <xf numFmtId="3" fontId="9" fillId="0" borderId="57" xfId="171" applyNumberFormat="1" applyFont="1" applyBorder="1"/>
    <xf numFmtId="3" fontId="9" fillId="0" borderId="11" xfId="171" applyNumberFormat="1" applyFont="1" applyBorder="1"/>
    <xf numFmtId="0" fontId="39" fillId="0" borderId="11" xfId="171" applyFont="1" applyBorder="1"/>
    <xf numFmtId="3" fontId="39" fillId="0" borderId="58" xfId="171" applyNumberFormat="1" applyFont="1" applyBorder="1"/>
    <xf numFmtId="3" fontId="9" fillId="0" borderId="58" xfId="171" applyNumberFormat="1" applyFont="1" applyBorder="1"/>
    <xf numFmtId="3" fontId="9" fillId="0" borderId="59" xfId="171" applyNumberFormat="1" applyFont="1" applyBorder="1"/>
    <xf numFmtId="3" fontId="9" fillId="0" borderId="48" xfId="171" applyNumberFormat="1" applyFont="1" applyBorder="1"/>
    <xf numFmtId="0" fontId="9" fillId="0" borderId="11" xfId="171" applyFont="1" applyBorder="1"/>
    <xf numFmtId="3" fontId="40" fillId="0" borderId="11" xfId="171" applyNumberFormat="1" applyFont="1" applyBorder="1"/>
    <xf numFmtId="3" fontId="40" fillId="0" borderId="12" xfId="171" applyNumberFormat="1" applyFont="1" applyBorder="1"/>
    <xf numFmtId="3" fontId="40" fillId="0" borderId="56" xfId="171" applyNumberFormat="1" applyFont="1" applyBorder="1"/>
    <xf numFmtId="3" fontId="40" fillId="0" borderId="21" xfId="171" applyNumberFormat="1" applyFont="1" applyBorder="1"/>
    <xf numFmtId="0" fontId="38" fillId="0" borderId="13" xfId="171" applyFont="1" applyBorder="1"/>
    <xf numFmtId="3" fontId="41" fillId="0" borderId="10" xfId="171" applyNumberFormat="1" applyFont="1" applyBorder="1"/>
    <xf numFmtId="0" fontId="9" fillId="0" borderId="13" xfId="171" applyFont="1" applyBorder="1"/>
    <xf numFmtId="0" fontId="9" fillId="0" borderId="0" xfId="171" applyFont="1"/>
    <xf numFmtId="3" fontId="39" fillId="0" borderId="0" xfId="171" applyNumberFormat="1" applyFont="1"/>
    <xf numFmtId="3" fontId="0" fillId="0" borderId="0" xfId="0" applyNumberFormat="1"/>
    <xf numFmtId="3" fontId="8" fillId="0" borderId="33" xfId="0" applyNumberFormat="1" applyFont="1" applyBorder="1" applyAlignment="1">
      <alignment wrapText="1"/>
    </xf>
    <xf numFmtId="3" fontId="46" fillId="0" borderId="33" xfId="0" applyNumberFormat="1" applyFont="1" applyFill="1" applyBorder="1" applyAlignment="1">
      <alignment horizontal="center" vertical="center" wrapText="1"/>
    </xf>
    <xf numFmtId="3" fontId="46" fillId="0" borderId="33" xfId="0" applyNumberFormat="1" applyFont="1" applyBorder="1" applyAlignment="1">
      <alignment horizontal="center" vertical="center" wrapText="1"/>
    </xf>
    <xf numFmtId="3" fontId="46" fillId="0" borderId="60" xfId="0" applyNumberFormat="1" applyFont="1" applyBorder="1" applyAlignment="1">
      <alignment horizontal="center" vertical="center" wrapText="1"/>
    </xf>
    <xf numFmtId="3" fontId="46" fillId="0" borderId="61" xfId="0" applyNumberFormat="1" applyFont="1" applyBorder="1" applyAlignment="1">
      <alignment horizontal="center" vertical="center" wrapText="1"/>
    </xf>
    <xf numFmtId="3" fontId="8" fillId="0" borderId="0" xfId="0" applyNumberFormat="1" applyFont="1" applyAlignment="1">
      <alignment wrapText="1"/>
    </xf>
    <xf numFmtId="3" fontId="9" fillId="0" borderId="33" xfId="0" applyNumberFormat="1" applyFont="1" applyBorder="1" applyAlignment="1">
      <alignment horizontal="center" vertical="center"/>
    </xf>
    <xf numFmtId="3" fontId="9" fillId="0" borderId="60" xfId="0" applyNumberFormat="1" applyFont="1" applyBorder="1" applyAlignment="1">
      <alignment horizontal="center" vertical="center"/>
    </xf>
    <xf numFmtId="3" fontId="9" fillId="0" borderId="0" xfId="0" applyNumberFormat="1" applyFont="1" applyAlignment="1">
      <alignment horizontal="center" vertical="center"/>
    </xf>
    <xf numFmtId="3" fontId="9" fillId="0" borderId="62" xfId="0" applyNumberFormat="1" applyFont="1" applyBorder="1"/>
    <xf numFmtId="3" fontId="9" fillId="0" borderId="30" xfId="0" applyNumberFormat="1" applyFont="1" applyBorder="1" applyAlignment="1">
      <alignment wrapText="1"/>
    </xf>
    <xf numFmtId="3" fontId="9" fillId="0" borderId="63" xfId="0" applyNumberFormat="1" applyFont="1" applyBorder="1"/>
    <xf numFmtId="3" fontId="9" fillId="0" borderId="0" xfId="0" applyNumberFormat="1" applyFont="1"/>
    <xf numFmtId="3" fontId="9" fillId="0" borderId="31" xfId="0" applyNumberFormat="1" applyFont="1" applyBorder="1" applyAlignment="1">
      <alignment wrapText="1"/>
    </xf>
    <xf numFmtId="3" fontId="9" fillId="0" borderId="59" xfId="0" applyNumberFormat="1" applyFont="1" applyBorder="1"/>
    <xf numFmtId="3" fontId="9" fillId="0" borderId="19" xfId="0" applyNumberFormat="1" applyFont="1" applyBorder="1"/>
    <xf numFmtId="3" fontId="0" fillId="0" borderId="63" xfId="0" applyNumberFormat="1" applyBorder="1"/>
    <xf numFmtId="3" fontId="9" fillId="0" borderId="56" xfId="0" applyNumberFormat="1" applyFont="1" applyBorder="1"/>
    <xf numFmtId="3" fontId="0" fillId="0" borderId="32" xfId="0" applyNumberFormat="1" applyBorder="1"/>
    <xf numFmtId="3" fontId="0" fillId="0" borderId="34" xfId="0" applyNumberFormat="1" applyBorder="1"/>
    <xf numFmtId="3" fontId="0" fillId="0" borderId="24" xfId="0" applyNumberFormat="1" applyBorder="1"/>
    <xf numFmtId="3" fontId="0" fillId="0" borderId="65" xfId="0" applyNumberFormat="1" applyBorder="1"/>
    <xf numFmtId="3" fontId="9" fillId="0" borderId="32" xfId="0" applyNumberFormat="1" applyFont="1" applyBorder="1"/>
    <xf numFmtId="3" fontId="9" fillId="0" borderId="34" xfId="0" applyNumberFormat="1" applyFont="1" applyBorder="1"/>
    <xf numFmtId="3" fontId="9" fillId="0" borderId="65" xfId="0" applyNumberFormat="1" applyFont="1" applyBorder="1"/>
    <xf numFmtId="3" fontId="9" fillId="0" borderId="20" xfId="0" applyNumberFormat="1" applyFont="1" applyBorder="1"/>
    <xf numFmtId="0" fontId="9" fillId="0" borderId="31" xfId="0" applyFont="1" applyBorder="1" applyAlignment="1">
      <alignment wrapText="1"/>
    </xf>
    <xf numFmtId="0" fontId="0" fillId="0" borderId="31" xfId="0" applyBorder="1" applyAlignment="1">
      <alignment wrapText="1"/>
    </xf>
    <xf numFmtId="0" fontId="0" fillId="0" borderId="31" xfId="0" applyFont="1" applyBorder="1" applyAlignment="1">
      <alignment wrapText="1"/>
    </xf>
    <xf numFmtId="3" fontId="0" fillId="0" borderId="24" xfId="0" applyNumberFormat="1" applyFill="1" applyBorder="1"/>
    <xf numFmtId="3" fontId="0" fillId="0" borderId="20" xfId="0" applyNumberFormat="1" applyBorder="1"/>
    <xf numFmtId="3" fontId="9" fillId="0" borderId="66" xfId="0" applyNumberFormat="1" applyFont="1" applyBorder="1"/>
    <xf numFmtId="3" fontId="9" fillId="0" borderId="67" xfId="0" applyNumberFormat="1" applyFont="1" applyBorder="1" applyAlignment="1">
      <alignment wrapText="1"/>
    </xf>
    <xf numFmtId="3" fontId="9" fillId="0" borderId="33" xfId="0" applyNumberFormat="1" applyFont="1" applyBorder="1"/>
    <xf numFmtId="3" fontId="0" fillId="0" borderId="62" xfId="0" applyNumberFormat="1" applyBorder="1"/>
    <xf numFmtId="3" fontId="9" fillId="0" borderId="69" xfId="0" applyNumberFormat="1" applyFont="1" applyBorder="1" applyAlignment="1">
      <alignment wrapText="1"/>
    </xf>
    <xf numFmtId="3" fontId="9" fillId="0" borderId="70" xfId="0" applyNumberFormat="1" applyFont="1" applyBorder="1"/>
    <xf numFmtId="3" fontId="9" fillId="0" borderId="71" xfId="0" applyNumberFormat="1" applyFont="1" applyBorder="1" applyAlignment="1">
      <alignment wrapText="1"/>
    </xf>
    <xf numFmtId="3" fontId="0" fillId="0" borderId="72" xfId="0" applyNumberFormat="1" applyBorder="1"/>
    <xf numFmtId="3" fontId="0" fillId="0" borderId="73" xfId="0" applyNumberFormat="1" applyBorder="1"/>
    <xf numFmtId="3" fontId="0" fillId="0" borderId="74" xfId="0" applyNumberFormat="1" applyBorder="1"/>
    <xf numFmtId="3" fontId="9" fillId="0" borderId="75" xfId="0" applyNumberFormat="1" applyFont="1" applyBorder="1"/>
    <xf numFmtId="3" fontId="9" fillId="0" borderId="72" xfId="0" applyNumberFormat="1" applyFont="1" applyBorder="1"/>
    <xf numFmtId="3" fontId="9" fillId="0" borderId="76" xfId="0" applyNumberFormat="1" applyFont="1" applyBorder="1"/>
    <xf numFmtId="3" fontId="0" fillId="0" borderId="0" xfId="0" applyNumberFormat="1" applyAlignment="1">
      <alignment wrapText="1"/>
    </xf>
    <xf numFmtId="0" fontId="38" fillId="0" borderId="10" xfId="173" applyFont="1" applyFill="1" applyBorder="1" applyAlignment="1">
      <alignment horizontal="center"/>
    </xf>
    <xf numFmtId="3" fontId="38" fillId="0" borderId="10" xfId="173" applyNumberFormat="1" applyFont="1" applyFill="1" applyBorder="1" applyAlignment="1">
      <alignment horizontal="center" wrapText="1"/>
    </xf>
    <xf numFmtId="0" fontId="8" fillId="0" borderId="0" xfId="173" applyFill="1"/>
    <xf numFmtId="3" fontId="38" fillId="0" borderId="22" xfId="173" applyNumberFormat="1" applyFont="1" applyFill="1" applyBorder="1" applyAlignment="1">
      <alignment wrapText="1"/>
    </xf>
    <xf numFmtId="0" fontId="38" fillId="0" borderId="0" xfId="173" applyFont="1" applyFill="1"/>
    <xf numFmtId="3" fontId="38" fillId="0" borderId="16" xfId="173" applyNumberFormat="1" applyFont="1" applyFill="1" applyBorder="1" applyAlignment="1">
      <alignment wrapText="1"/>
    </xf>
    <xf numFmtId="3" fontId="38" fillId="0" borderId="18" xfId="173" applyNumberFormat="1" applyFont="1" applyFill="1" applyBorder="1"/>
    <xf numFmtId="3" fontId="47" fillId="0" borderId="22" xfId="173" applyNumberFormat="1" applyFont="1" applyFill="1" applyBorder="1" applyAlignment="1">
      <alignment wrapText="1"/>
    </xf>
    <xf numFmtId="3" fontId="47" fillId="0" borderId="25" xfId="173" applyNumberFormat="1" applyFont="1" applyFill="1" applyBorder="1"/>
    <xf numFmtId="0" fontId="47" fillId="0" borderId="0" xfId="173" applyFont="1" applyFill="1"/>
    <xf numFmtId="3" fontId="47" fillId="0" borderId="77" xfId="173" applyNumberFormat="1" applyFont="1" applyFill="1" applyBorder="1" applyAlignment="1">
      <alignment wrapText="1"/>
    </xf>
    <xf numFmtId="0" fontId="8" fillId="0" borderId="77" xfId="173" applyFont="1" applyFill="1" applyBorder="1"/>
    <xf numFmtId="3" fontId="8" fillId="0" borderId="26" xfId="173" applyNumberFormat="1" applyFont="1" applyFill="1" applyBorder="1"/>
    <xf numFmtId="3" fontId="10" fillId="0" borderId="22" xfId="173" applyNumberFormat="1" applyFont="1" applyFill="1" applyBorder="1" applyAlignment="1">
      <alignment wrapText="1"/>
    </xf>
    <xf numFmtId="0" fontId="10" fillId="0" borderId="22" xfId="175" applyFont="1" applyFill="1" applyBorder="1" applyAlignment="1">
      <alignment wrapText="1"/>
    </xf>
    <xf numFmtId="3" fontId="10" fillId="0" borderId="25" xfId="173" applyNumberFormat="1" applyFont="1" applyFill="1" applyBorder="1"/>
    <xf numFmtId="3" fontId="40" fillId="0" borderId="10" xfId="173" applyNumberFormat="1" applyFont="1" applyFill="1" applyBorder="1" applyAlignment="1">
      <alignment wrapText="1"/>
    </xf>
    <xf numFmtId="3" fontId="40" fillId="0" borderId="10" xfId="173" applyNumberFormat="1" applyFont="1" applyFill="1" applyBorder="1"/>
    <xf numFmtId="0" fontId="40" fillId="0" borderId="0" xfId="173" applyFont="1" applyFill="1"/>
    <xf numFmtId="3" fontId="8" fillId="0" borderId="0" xfId="173" applyNumberFormat="1" applyFill="1" applyAlignment="1">
      <alignment wrapText="1"/>
    </xf>
    <xf numFmtId="3" fontId="8" fillId="0" borderId="0" xfId="173" applyNumberFormat="1" applyFill="1"/>
    <xf numFmtId="3" fontId="8" fillId="0" borderId="18" xfId="173" applyNumberFormat="1" applyFill="1" applyBorder="1"/>
    <xf numFmtId="0" fontId="8" fillId="0" borderId="0" xfId="173" applyFont="1" applyFill="1"/>
    <xf numFmtId="0" fontId="9" fillId="0" borderId="10" xfId="173" applyFont="1" applyFill="1" applyBorder="1" applyAlignment="1">
      <alignment horizontal="center" wrapText="1"/>
    </xf>
    <xf numFmtId="3" fontId="38" fillId="0" borderId="10" xfId="173" applyNumberFormat="1" applyFont="1" applyFill="1" applyBorder="1" applyAlignment="1">
      <alignment wrapText="1"/>
    </xf>
    <xf numFmtId="3" fontId="9" fillId="0" borderId="35" xfId="173" applyNumberFormat="1" applyFont="1" applyFill="1" applyBorder="1"/>
    <xf numFmtId="3" fontId="9" fillId="0" borderId="10" xfId="173" applyNumberFormat="1" applyFont="1" applyFill="1" applyBorder="1"/>
    <xf numFmtId="3" fontId="8" fillId="0" borderId="0" xfId="173" applyNumberFormat="1" applyFont="1" applyFill="1" applyAlignment="1">
      <alignment wrapText="1"/>
    </xf>
    <xf numFmtId="3" fontId="8" fillId="0" borderId="0" xfId="173" applyNumberFormat="1" applyFont="1" applyFill="1"/>
    <xf numFmtId="3" fontId="9" fillId="0" borderId="0" xfId="173" applyNumberFormat="1" applyFont="1" applyFill="1"/>
    <xf numFmtId="3" fontId="9" fillId="0" borderId="35" xfId="174" applyNumberFormat="1" applyFont="1" applyBorder="1" applyAlignment="1">
      <alignment horizontal="center"/>
    </xf>
    <xf numFmtId="0" fontId="38" fillId="0" borderId="35" xfId="171" applyFont="1" applyBorder="1" applyAlignment="1">
      <alignment horizontal="centerContinuous"/>
    </xf>
    <xf numFmtId="0" fontId="38" fillId="0" borderId="44" xfId="171" applyFont="1" applyBorder="1" applyAlignment="1">
      <alignment horizontal="centerContinuous" wrapText="1"/>
    </xf>
    <xf numFmtId="0" fontId="38" fillId="0" borderId="35" xfId="174" applyFont="1" applyBorder="1" applyAlignment="1">
      <alignment horizontal="center" wrapText="1"/>
    </xf>
    <xf numFmtId="0" fontId="38" fillId="0" borderId="47" xfId="171" applyFont="1" applyBorder="1" applyAlignment="1">
      <alignment horizontal="centerContinuous" wrapText="1"/>
    </xf>
    <xf numFmtId="0" fontId="9" fillId="0" borderId="12" xfId="171" applyFont="1" applyBorder="1"/>
    <xf numFmtId="0" fontId="9" fillId="0" borderId="40" xfId="171" applyFont="1" applyBorder="1"/>
    <xf numFmtId="0" fontId="38" fillId="0" borderId="79" xfId="171" applyFont="1" applyBorder="1" applyAlignment="1">
      <alignment horizontal="center" wrapText="1"/>
    </xf>
    <xf numFmtId="0" fontId="38" fillId="0" borderId="10" xfId="171" applyFont="1" applyBorder="1"/>
    <xf numFmtId="0" fontId="38" fillId="0" borderId="0" xfId="174" applyFont="1" applyBorder="1" applyAlignment="1">
      <alignment wrapText="1"/>
    </xf>
    <xf numFmtId="3" fontId="39" fillId="0" borderId="36" xfId="174" applyNumberFormat="1" applyFont="1" applyFill="1" applyBorder="1"/>
    <xf numFmtId="0" fontId="0" fillId="0" borderId="11" xfId="174" applyFont="1" applyBorder="1" applyAlignment="1">
      <alignment wrapText="1"/>
    </xf>
    <xf numFmtId="3" fontId="11" fillId="0" borderId="11" xfId="174" applyNumberFormat="1" applyFont="1" applyFill="1" applyBorder="1"/>
    <xf numFmtId="0" fontId="0" fillId="0" borderId="11" xfId="174" applyFont="1" applyFill="1" applyBorder="1" applyAlignment="1">
      <alignment wrapText="1"/>
    </xf>
    <xf numFmtId="3" fontId="8" fillId="0" borderId="19" xfId="174" applyNumberFormat="1" applyFill="1" applyBorder="1"/>
    <xf numFmtId="0" fontId="38" fillId="0" borderId="11" xfId="174" applyFont="1" applyBorder="1" applyAlignment="1">
      <alignment horizontal="left" wrapText="1"/>
    </xf>
    <xf numFmtId="0" fontId="38" fillId="0" borderId="10" xfId="171" applyFont="1" applyBorder="1" applyAlignment="1">
      <alignment horizontal="centerContinuous" wrapText="1"/>
    </xf>
    <xf numFmtId="3" fontId="9" fillId="0" borderId="10" xfId="174" applyNumberFormat="1" applyFont="1" applyBorder="1" applyAlignment="1">
      <alignment horizontal="center"/>
    </xf>
    <xf numFmtId="0" fontId="38" fillId="0" borderId="80" xfId="171" applyFont="1" applyBorder="1" applyAlignment="1">
      <alignment horizontal="centerContinuous" wrapText="1"/>
    </xf>
    <xf numFmtId="3" fontId="8" fillId="0" borderId="81" xfId="174" applyNumberFormat="1" applyFont="1" applyFill="1" applyBorder="1"/>
    <xf numFmtId="3" fontId="38" fillId="0" borderId="82" xfId="174" applyNumberFormat="1" applyFont="1" applyFill="1" applyBorder="1"/>
    <xf numFmtId="0" fontId="39" fillId="0" borderId="43" xfId="174" applyFont="1" applyFill="1" applyBorder="1" applyAlignment="1">
      <alignment wrapText="1"/>
    </xf>
    <xf numFmtId="3" fontId="39" fillId="0" borderId="43" xfId="174" applyNumberFormat="1" applyFont="1" applyFill="1" applyBorder="1"/>
    <xf numFmtId="0" fontId="39" fillId="0" borderId="38" xfId="174" applyFont="1" applyBorder="1" applyAlignment="1">
      <alignment wrapText="1"/>
    </xf>
    <xf numFmtId="0" fontId="38" fillId="0" borderId="40" xfId="174" applyFont="1" applyBorder="1" applyAlignment="1">
      <alignment wrapText="1"/>
    </xf>
    <xf numFmtId="3" fontId="34" fillId="0" borderId="22" xfId="172" applyNumberFormat="1" applyFont="1" applyFill="1" applyBorder="1"/>
    <xf numFmtId="0" fontId="39" fillId="0" borderId="11" xfId="171" applyFont="1" applyFill="1" applyBorder="1"/>
    <xf numFmtId="3" fontId="39" fillId="0" borderId="12" xfId="171" applyNumberFormat="1" applyFont="1" applyFill="1" applyBorder="1"/>
    <xf numFmtId="0" fontId="9" fillId="0" borderId="11" xfId="171" applyNumberFormat="1" applyFont="1" applyFill="1" applyBorder="1"/>
    <xf numFmtId="0" fontId="39" fillId="0" borderId="0" xfId="171" applyFont="1" applyFill="1"/>
    <xf numFmtId="0" fontId="0" fillId="0" borderId="0" xfId="0" applyFill="1"/>
    <xf numFmtId="0" fontId="10" fillId="0" borderId="83" xfId="171" applyFont="1" applyFill="1" applyBorder="1"/>
    <xf numFmtId="3" fontId="10" fillId="0" borderId="52" xfId="171" applyNumberFormat="1" applyFont="1" applyFill="1" applyBorder="1"/>
    <xf numFmtId="0" fontId="10" fillId="0" borderId="0" xfId="171" applyFont="1" applyFill="1"/>
    <xf numFmtId="0" fontId="10" fillId="0" borderId="0" xfId="0" applyFont="1" applyFill="1"/>
    <xf numFmtId="0" fontId="39" fillId="0" borderId="11" xfId="171" applyNumberFormat="1" applyFont="1" applyFill="1" applyBorder="1"/>
    <xf numFmtId="0" fontId="10" fillId="0" borderId="15" xfId="171" applyNumberFormat="1" applyFont="1" applyFill="1" applyBorder="1"/>
    <xf numFmtId="0" fontId="10" fillId="0" borderId="0" xfId="171" applyFont="1"/>
    <xf numFmtId="0" fontId="10" fillId="0" borderId="15" xfId="171" applyFont="1" applyBorder="1"/>
    <xf numFmtId="3" fontId="10" fillId="0" borderId="15" xfId="171" applyNumberFormat="1" applyFont="1" applyBorder="1"/>
    <xf numFmtId="3" fontId="38" fillId="0" borderId="38" xfId="174" applyNumberFormat="1" applyFont="1" applyFill="1" applyBorder="1"/>
    <xf numFmtId="3" fontId="38" fillId="0" borderId="81" xfId="174" applyNumberFormat="1" applyFont="1" applyFill="1" applyBorder="1"/>
    <xf numFmtId="3" fontId="38" fillId="0" borderId="39" xfId="174" applyNumberFormat="1" applyFont="1" applyFill="1" applyBorder="1"/>
    <xf numFmtId="3" fontId="34" fillId="0" borderId="24" xfId="172" applyNumberFormat="1" applyFont="1" applyFill="1" applyBorder="1"/>
    <xf numFmtId="3" fontId="35" fillId="0" borderId="20" xfId="172" applyNumberFormat="1" applyFont="1" applyFill="1" applyBorder="1" applyAlignment="1">
      <alignment wrapText="1"/>
    </xf>
    <xf numFmtId="3" fontId="34" fillId="0" borderId="20" xfId="172" applyNumberFormat="1" applyFont="1" applyFill="1" applyBorder="1"/>
    <xf numFmtId="3" fontId="34" fillId="0" borderId="16" xfId="172" applyNumberFormat="1" applyFont="1" applyBorder="1"/>
    <xf numFmtId="3" fontId="34" fillId="0" borderId="17" xfId="172" applyNumberFormat="1" applyFont="1" applyBorder="1"/>
    <xf numFmtId="3" fontId="35" fillId="0" borderId="22" xfId="172" applyNumberFormat="1" applyFont="1" applyBorder="1"/>
    <xf numFmtId="3" fontId="35" fillId="0" borderId="24" xfId="172" applyNumberFormat="1" applyFont="1" applyBorder="1"/>
    <xf numFmtId="3" fontId="35" fillId="0" borderId="24" xfId="172" applyNumberFormat="1" applyFont="1" applyFill="1" applyBorder="1"/>
    <xf numFmtId="3" fontId="35" fillId="0" borderId="22" xfId="172" applyNumberFormat="1" applyFont="1" applyFill="1" applyBorder="1" applyAlignment="1">
      <alignment wrapText="1"/>
    </xf>
    <xf numFmtId="3" fontId="34" fillId="0" borderId="27" xfId="172" applyNumberFormat="1" applyFont="1" applyBorder="1"/>
    <xf numFmtId="3" fontId="34" fillId="0" borderId="28" xfId="172" applyNumberFormat="1" applyFont="1" applyBorder="1"/>
    <xf numFmtId="3" fontId="35" fillId="0" borderId="20" xfId="172" applyNumberFormat="1" applyFont="1" applyFill="1" applyBorder="1"/>
    <xf numFmtId="0" fontId="9" fillId="0" borderId="0" xfId="0" applyFont="1"/>
    <xf numFmtId="3" fontId="9" fillId="0" borderId="15" xfId="171" applyNumberFormat="1" applyFont="1" applyBorder="1"/>
    <xf numFmtId="0" fontId="9" fillId="0" borderId="11" xfId="171" applyFont="1" applyBorder="1" applyAlignment="1">
      <alignment horizontal="left"/>
    </xf>
    <xf numFmtId="0" fontId="9" fillId="0" borderId="11" xfId="171" applyFont="1" applyBorder="1" applyAlignment="1">
      <alignment horizontal="left" wrapText="1"/>
    </xf>
    <xf numFmtId="0" fontId="9" fillId="0" borderId="38" xfId="171" applyNumberFormat="1" applyFont="1" applyFill="1" applyBorder="1"/>
    <xf numFmtId="3" fontId="9" fillId="0" borderId="38" xfId="171" applyNumberFormat="1" applyFont="1" applyBorder="1"/>
    <xf numFmtId="0" fontId="9" fillId="0" borderId="15" xfId="171" applyFont="1" applyBorder="1"/>
    <xf numFmtId="0" fontId="39" fillId="0" borderId="36" xfId="171" applyFont="1" applyBorder="1"/>
    <xf numFmtId="0" fontId="9" fillId="0" borderId="36" xfId="171" applyFont="1" applyBorder="1" applyAlignment="1">
      <alignment horizontal="left"/>
    </xf>
    <xf numFmtId="0" fontId="9" fillId="0" borderId="43" xfId="171" applyFont="1" applyBorder="1" applyAlignment="1">
      <alignment horizontal="left" wrapText="1"/>
    </xf>
    <xf numFmtId="0" fontId="9" fillId="0" borderId="86" xfId="171" applyFont="1" applyBorder="1" applyAlignment="1">
      <alignment horizontal="left" wrapText="1"/>
    </xf>
    <xf numFmtId="3" fontId="38" fillId="0" borderId="10" xfId="171" applyNumberFormat="1" applyFont="1" applyBorder="1" applyAlignment="1">
      <alignment horizontal="center"/>
    </xf>
    <xf numFmtId="3" fontId="9" fillId="0" borderId="36" xfId="171" applyNumberFormat="1" applyFont="1" applyBorder="1"/>
    <xf numFmtId="3" fontId="9" fillId="0" borderId="11" xfId="171" applyNumberFormat="1" applyFont="1" applyFill="1" applyBorder="1"/>
    <xf numFmtId="0" fontId="38" fillId="0" borderId="87" xfId="171" applyFont="1" applyBorder="1" applyAlignment="1">
      <alignment wrapText="1"/>
    </xf>
    <xf numFmtId="0" fontId="9" fillId="0" borderId="87" xfId="171" applyFont="1" applyBorder="1" applyAlignment="1">
      <alignment horizontal="center"/>
    </xf>
    <xf numFmtId="3" fontId="41" fillId="0" borderId="38" xfId="174" applyNumberFormat="1" applyFont="1" applyFill="1" applyBorder="1"/>
    <xf numFmtId="3" fontId="41" fillId="0" borderId="83" xfId="171" applyNumberFormat="1" applyFont="1" applyFill="1" applyBorder="1"/>
    <xf numFmtId="3" fontId="9" fillId="0" borderId="10" xfId="171" applyNumberFormat="1" applyFont="1" applyBorder="1"/>
    <xf numFmtId="3" fontId="46" fillId="0" borderId="68" xfId="0" applyNumberFormat="1" applyFont="1" applyBorder="1" applyAlignment="1">
      <alignment horizontal="center" vertical="center" wrapText="1"/>
    </xf>
    <xf numFmtId="3" fontId="9" fillId="0" borderId="91" xfId="0" applyNumberFormat="1" applyFont="1" applyBorder="1"/>
    <xf numFmtId="3" fontId="0" fillId="0" borderId="59" xfId="0" applyNumberFormat="1" applyBorder="1"/>
    <xf numFmtId="3" fontId="0" fillId="0" borderId="56" xfId="0" applyNumberFormat="1" applyBorder="1"/>
    <xf numFmtId="3" fontId="0" fillId="0" borderId="20" xfId="0" applyNumberFormat="1" applyFill="1" applyBorder="1"/>
    <xf numFmtId="3" fontId="8" fillId="0" borderId="20" xfId="0" applyNumberFormat="1" applyFont="1" applyBorder="1"/>
    <xf numFmtId="3" fontId="9" fillId="0" borderId="61" xfId="0" applyNumberFormat="1" applyFont="1" applyBorder="1" applyAlignment="1">
      <alignment horizontal="center" vertical="center"/>
    </xf>
    <xf numFmtId="3" fontId="9" fillId="0" borderId="68" xfId="0" applyNumberFormat="1" applyFont="1" applyBorder="1" applyAlignment="1">
      <alignment horizontal="center" vertical="center"/>
    </xf>
    <xf numFmtId="3" fontId="40" fillId="0" borderId="0" xfId="173" applyNumberFormat="1" applyFont="1" applyFill="1" applyBorder="1" applyAlignment="1">
      <alignment wrapText="1"/>
    </xf>
    <xf numFmtId="3" fontId="40" fillId="0" borderId="0" xfId="173" applyNumberFormat="1" applyFont="1" applyFill="1" applyBorder="1"/>
    <xf numFmtId="3" fontId="38" fillId="0" borderId="0" xfId="173" applyNumberFormat="1" applyFont="1" applyFill="1" applyBorder="1" applyAlignment="1">
      <alignment wrapText="1"/>
    </xf>
    <xf numFmtId="3" fontId="10" fillId="0" borderId="27" xfId="173" applyNumberFormat="1" applyFont="1" applyFill="1" applyBorder="1" applyAlignment="1">
      <alignment wrapText="1"/>
    </xf>
    <xf numFmtId="3" fontId="9" fillId="0" borderId="0" xfId="173" applyNumberFormat="1" applyFont="1" applyFill="1" applyBorder="1"/>
    <xf numFmtId="3" fontId="9" fillId="24" borderId="10" xfId="173" applyNumberFormat="1" applyFont="1" applyFill="1" applyBorder="1"/>
    <xf numFmtId="3" fontId="40" fillId="24" borderId="10" xfId="173" applyNumberFormat="1" applyFont="1" applyFill="1" applyBorder="1"/>
    <xf numFmtId="3" fontId="34" fillId="0" borderId="97" xfId="172" applyNumberFormat="1" applyFont="1" applyBorder="1"/>
    <xf numFmtId="3" fontId="35" fillId="0" borderId="65" xfId="172" applyNumberFormat="1" applyFont="1" applyBorder="1"/>
    <xf numFmtId="3" fontId="35" fillId="0" borderId="65" xfId="172" applyNumberFormat="1" applyFont="1" applyFill="1" applyBorder="1"/>
    <xf numFmtId="3" fontId="34" fillId="0" borderId="65" xfId="172" applyNumberFormat="1" applyFont="1" applyFill="1" applyBorder="1"/>
    <xf numFmtId="3" fontId="34" fillId="0" borderId="18" xfId="172" applyNumberFormat="1" applyFont="1" applyBorder="1"/>
    <xf numFmtId="3" fontId="35" fillId="0" borderId="25" xfId="172" applyNumberFormat="1" applyFont="1" applyBorder="1"/>
    <xf numFmtId="3" fontId="35" fillId="0" borderId="25" xfId="172" applyNumberFormat="1" applyFont="1" applyFill="1" applyBorder="1"/>
    <xf numFmtId="3" fontId="34" fillId="0" borderId="25" xfId="172" applyNumberFormat="1" applyFont="1" applyFill="1" applyBorder="1"/>
    <xf numFmtId="3" fontId="34" fillId="0" borderId="29" xfId="172" applyNumberFormat="1" applyFont="1" applyBorder="1"/>
    <xf numFmtId="3" fontId="34" fillId="0" borderId="86" xfId="172" applyNumberFormat="1" applyFont="1" applyBorder="1"/>
    <xf numFmtId="3" fontId="29" fillId="0" borderId="11" xfId="172" applyNumberFormat="1" applyFont="1" applyBorder="1" applyAlignment="1">
      <alignment wrapText="1"/>
    </xf>
    <xf numFmtId="3" fontId="35" fillId="0" borderId="20" xfId="172" applyNumberFormat="1" applyFont="1" applyBorder="1"/>
    <xf numFmtId="3" fontId="35" fillId="0" borderId="21" xfId="172" applyNumberFormat="1" applyFont="1" applyFill="1" applyBorder="1"/>
    <xf numFmtId="3" fontId="35" fillId="0" borderId="25" xfId="172" applyNumberFormat="1" applyFont="1" applyFill="1" applyBorder="1" applyAlignment="1">
      <alignment wrapText="1"/>
    </xf>
    <xf numFmtId="3" fontId="35" fillId="0" borderId="21" xfId="172" applyNumberFormat="1" applyFont="1" applyFill="1" applyBorder="1" applyAlignment="1">
      <alignment wrapText="1"/>
    </xf>
    <xf numFmtId="3" fontId="35" fillId="0" borderId="38" xfId="172" applyNumberFormat="1" applyFont="1" applyBorder="1" applyAlignment="1">
      <alignment wrapText="1"/>
    </xf>
    <xf numFmtId="3" fontId="35" fillId="0" borderId="77" xfId="172" applyNumberFormat="1" applyFont="1" applyFill="1" applyBorder="1"/>
    <xf numFmtId="3" fontId="35" fillId="0" borderId="73" xfId="172" applyNumberFormat="1" applyFont="1" applyFill="1" applyBorder="1"/>
    <xf numFmtId="3" fontId="35" fillId="0" borderId="39" xfId="172" applyNumberFormat="1" applyFont="1" applyFill="1" applyBorder="1"/>
    <xf numFmtId="3" fontId="35" fillId="0" borderId="81" xfId="172" applyNumberFormat="1" applyFont="1" applyFill="1" applyBorder="1"/>
    <xf numFmtId="3" fontId="35" fillId="0" borderId="78" xfId="172" applyNumberFormat="1" applyFont="1" applyFill="1" applyBorder="1"/>
    <xf numFmtId="3" fontId="29" fillId="0" borderId="38" xfId="172" applyNumberFormat="1" applyFont="1" applyBorder="1" applyAlignment="1">
      <alignment wrapText="1"/>
    </xf>
    <xf numFmtId="3" fontId="29" fillId="0" borderId="77" xfId="172" applyNumberFormat="1" applyFont="1" applyFill="1" applyBorder="1"/>
    <xf numFmtId="3" fontId="29" fillId="0" borderId="73" xfId="172" applyNumberFormat="1" applyFont="1" applyFill="1" applyBorder="1"/>
    <xf numFmtId="3" fontId="29" fillId="0" borderId="39" xfId="172" applyNumberFormat="1" applyFont="1" applyFill="1" applyBorder="1"/>
    <xf numFmtId="3" fontId="29" fillId="0" borderId="81" xfId="172" applyNumberFormat="1" applyFont="1" applyFill="1" applyBorder="1"/>
    <xf numFmtId="3" fontId="29" fillId="0" borderId="78" xfId="172" applyNumberFormat="1" applyFont="1" applyFill="1" applyBorder="1"/>
    <xf numFmtId="3" fontId="34" fillId="0" borderId="98" xfId="172" applyNumberFormat="1" applyFont="1" applyBorder="1"/>
    <xf numFmtId="3" fontId="34" fillId="0" borderId="99" xfId="172" applyNumberFormat="1" applyFont="1" applyBorder="1"/>
    <xf numFmtId="0" fontId="39" fillId="0" borderId="11" xfId="176" applyFont="1" applyFill="1" applyBorder="1" applyAlignment="1">
      <alignment wrapText="1"/>
    </xf>
    <xf numFmtId="0" fontId="0" fillId="0" borderId="83" xfId="171" applyFont="1" applyBorder="1" applyAlignment="1">
      <alignment wrapText="1"/>
    </xf>
    <xf numFmtId="0" fontId="0" fillId="0" borderId="83" xfId="171" applyFont="1" applyBorder="1"/>
    <xf numFmtId="3" fontId="11" fillId="0" borderId="36" xfId="171" applyNumberFormat="1" applyFont="1" applyBorder="1"/>
    <xf numFmtId="3" fontId="11" fillId="0" borderId="15" xfId="171" applyNumberFormat="1" applyFont="1" applyBorder="1"/>
    <xf numFmtId="3" fontId="11" fillId="0" borderId="11" xfId="171" applyNumberFormat="1" applyFont="1" applyBorder="1"/>
    <xf numFmtId="3" fontId="34" fillId="0" borderId="86" xfId="172" applyNumberFormat="1" applyFont="1" applyFill="1" applyBorder="1" applyAlignment="1">
      <alignment wrapText="1"/>
    </xf>
    <xf numFmtId="3" fontId="34" fillId="0" borderId="17" xfId="172" applyNumberFormat="1" applyFont="1" applyFill="1" applyBorder="1" applyAlignment="1">
      <alignment wrapText="1"/>
    </xf>
    <xf numFmtId="3" fontId="29" fillId="0" borderId="20" xfId="172" applyNumberFormat="1" applyFont="1" applyFill="1" applyBorder="1" applyAlignment="1">
      <alignment wrapText="1"/>
    </xf>
    <xf numFmtId="3" fontId="29" fillId="0" borderId="24" xfId="172" applyNumberFormat="1" applyFont="1" applyFill="1" applyBorder="1" applyAlignment="1">
      <alignment wrapText="1"/>
    </xf>
    <xf numFmtId="3" fontId="29" fillId="0" borderId="12" xfId="172" applyNumberFormat="1" applyFont="1" applyFill="1" applyBorder="1"/>
    <xf numFmtId="3" fontId="29" fillId="0" borderId="24" xfId="172" applyNumberFormat="1" applyFont="1" applyFill="1" applyBorder="1"/>
    <xf numFmtId="3" fontId="34" fillId="0" borderId="24" xfId="172" applyNumberFormat="1" applyFont="1" applyFill="1" applyBorder="1" applyAlignment="1">
      <alignment wrapText="1"/>
    </xf>
    <xf numFmtId="3" fontId="35" fillId="0" borderId="81" xfId="172" applyNumberFormat="1" applyFont="1" applyFill="1" applyBorder="1" applyAlignment="1">
      <alignment wrapText="1"/>
    </xf>
    <xf numFmtId="3" fontId="35" fillId="0" borderId="73" xfId="172" applyNumberFormat="1" applyFont="1" applyFill="1" applyBorder="1" applyAlignment="1">
      <alignment wrapText="1"/>
    </xf>
    <xf numFmtId="3" fontId="34" fillId="0" borderId="18" xfId="172" applyNumberFormat="1" applyFont="1" applyFill="1" applyBorder="1" applyAlignment="1">
      <alignment wrapText="1"/>
    </xf>
    <xf numFmtId="3" fontId="29" fillId="0" borderId="25" xfId="172" applyNumberFormat="1" applyFont="1" applyFill="1" applyBorder="1" applyAlignment="1">
      <alignment wrapText="1"/>
    </xf>
    <xf numFmtId="3" fontId="29" fillId="0" borderId="25" xfId="172" applyNumberFormat="1" applyFont="1" applyFill="1" applyBorder="1"/>
    <xf numFmtId="3" fontId="34" fillId="0" borderId="25" xfId="172" applyNumberFormat="1" applyFont="1" applyFill="1" applyBorder="1" applyAlignment="1">
      <alignment wrapText="1"/>
    </xf>
    <xf numFmtId="3" fontId="35" fillId="0" borderId="78" xfId="172" applyNumberFormat="1" applyFont="1" applyFill="1" applyBorder="1" applyAlignment="1">
      <alignment wrapText="1"/>
    </xf>
    <xf numFmtId="0" fontId="0" fillId="0" borderId="11" xfId="171" applyFont="1" applyBorder="1" applyAlignment="1">
      <alignment wrapText="1"/>
    </xf>
    <xf numFmtId="0" fontId="0" fillId="0" borderId="11" xfId="171" applyFont="1" applyBorder="1"/>
    <xf numFmtId="0" fontId="11" fillId="0" borderId="0" xfId="171" applyFont="1"/>
    <xf numFmtId="0" fontId="0" fillId="0" borderId="0" xfId="0" applyFont="1"/>
    <xf numFmtId="3" fontId="9" fillId="0" borderId="43" xfId="176" applyNumberFormat="1" applyFont="1" applyBorder="1" applyAlignment="1">
      <alignment horizontal="right" wrapText="1"/>
    </xf>
    <xf numFmtId="0" fontId="39" fillId="0" borderId="38" xfId="171" applyFont="1" applyBorder="1" applyAlignment="1">
      <alignment wrapText="1"/>
    </xf>
    <xf numFmtId="0" fontId="0" fillId="0" borderId="15" xfId="171" applyFont="1" applyBorder="1" applyAlignment="1">
      <alignment wrapText="1"/>
    </xf>
    <xf numFmtId="3" fontId="10" fillId="0" borderId="52" xfId="173" applyNumberFormat="1" applyFont="1" applyFill="1" applyBorder="1" applyAlignment="1">
      <alignment wrapText="1"/>
    </xf>
    <xf numFmtId="3" fontId="10" fillId="0" borderId="12" xfId="173" applyNumberFormat="1" applyFont="1" applyFill="1" applyBorder="1" applyAlignment="1">
      <alignment wrapText="1"/>
    </xf>
    <xf numFmtId="3" fontId="47" fillId="0" borderId="52" xfId="173" applyNumberFormat="1" applyFont="1" applyFill="1" applyBorder="1" applyAlignment="1">
      <alignment wrapText="1"/>
    </xf>
    <xf numFmtId="3" fontId="47" fillId="0" borderId="48" xfId="173" applyNumberFormat="1" applyFont="1" applyFill="1" applyBorder="1"/>
    <xf numFmtId="0" fontId="41" fillId="0" borderId="100" xfId="173" applyFont="1" applyFill="1" applyBorder="1" applyAlignment="1">
      <alignment wrapText="1"/>
    </xf>
    <xf numFmtId="3" fontId="35" fillId="0" borderId="11" xfId="157" applyNumberFormat="1" applyFont="1" applyFill="1" applyBorder="1"/>
    <xf numFmtId="0" fontId="9" fillId="0" borderId="11" xfId="171" applyFont="1" applyBorder="1" applyAlignment="1">
      <alignment wrapText="1"/>
    </xf>
    <xf numFmtId="3" fontId="9" fillId="0" borderId="35" xfId="174" applyNumberFormat="1" applyFont="1" applyBorder="1" applyAlignment="1">
      <alignment horizontal="center" wrapText="1"/>
    </xf>
    <xf numFmtId="3" fontId="9" fillId="0" borderId="35" xfId="174" applyNumberFormat="1" applyFont="1" applyBorder="1" applyAlignment="1">
      <alignment horizontal="center"/>
    </xf>
    <xf numFmtId="3" fontId="38" fillId="0" borderId="35" xfId="171" applyNumberFormat="1" applyFont="1" applyBorder="1" applyAlignment="1">
      <alignment horizontal="center" wrapText="1"/>
    </xf>
    <xf numFmtId="3" fontId="38" fillId="0" borderId="14" xfId="171" applyNumberFormat="1" applyFont="1" applyBorder="1" applyAlignment="1">
      <alignment horizontal="center" wrapText="1"/>
    </xf>
    <xf numFmtId="3" fontId="41" fillId="0" borderId="62" xfId="0" applyNumberFormat="1" applyFont="1" applyBorder="1"/>
    <xf numFmtId="3" fontId="41" fillId="0" borderId="31" xfId="0" applyNumberFormat="1" applyFont="1" applyBorder="1" applyAlignment="1">
      <alignment wrapText="1"/>
    </xf>
    <xf numFmtId="3" fontId="41" fillId="0" borderId="63" xfId="0" applyNumberFormat="1" applyFont="1" applyBorder="1"/>
    <xf numFmtId="3" fontId="41" fillId="0" borderId="24" xfId="0" applyNumberFormat="1" applyFont="1" applyBorder="1"/>
    <xf numFmtId="3" fontId="41" fillId="0" borderId="19" xfId="0" applyNumberFormat="1" applyFont="1" applyBorder="1"/>
    <xf numFmtId="3" fontId="41" fillId="0" borderId="59" xfId="0" applyNumberFormat="1" applyFont="1" applyBorder="1"/>
    <xf numFmtId="3" fontId="41" fillId="0" borderId="0" xfId="0" applyNumberFormat="1" applyFont="1"/>
    <xf numFmtId="3" fontId="0" fillId="0" borderId="19" xfId="0" applyNumberFormat="1" applyBorder="1"/>
    <xf numFmtId="3" fontId="0" fillId="0" borderId="34" xfId="0" applyNumberFormat="1" applyFont="1" applyBorder="1"/>
    <xf numFmtId="3" fontId="0" fillId="0" borderId="56" xfId="0" applyNumberFormat="1" applyFont="1" applyBorder="1"/>
    <xf numFmtId="0" fontId="10" fillId="0" borderId="31" xfId="0" applyFont="1" applyFill="1" applyBorder="1" applyAlignment="1">
      <alignment wrapText="1"/>
    </xf>
    <xf numFmtId="3" fontId="0" fillId="0" borderId="65" xfId="0" applyNumberFormat="1" applyFont="1" applyBorder="1"/>
    <xf numFmtId="0" fontId="0" fillId="0" borderId="31" xfId="194" applyFont="1" applyBorder="1" applyAlignment="1">
      <alignment wrapText="1"/>
    </xf>
    <xf numFmtId="0" fontId="10" fillId="0" borderId="31" xfId="0" applyFont="1" applyBorder="1" applyAlignment="1">
      <alignment wrapText="1"/>
    </xf>
    <xf numFmtId="0" fontId="10" fillId="0" borderId="31" xfId="194" applyFont="1" applyBorder="1" applyAlignment="1">
      <alignment wrapText="1"/>
    </xf>
    <xf numFmtId="3" fontId="9" fillId="0" borderId="102" xfId="0" applyNumberFormat="1" applyFont="1" applyBorder="1"/>
    <xf numFmtId="3" fontId="9" fillId="0" borderId="76" xfId="0" applyNumberFormat="1" applyFont="1" applyBorder="1" applyAlignment="1">
      <alignment wrapText="1"/>
    </xf>
    <xf numFmtId="3" fontId="9" fillId="0" borderId="0" xfId="0" applyNumberFormat="1" applyFont="1" applyAlignment="1">
      <alignment horizontal="center"/>
    </xf>
    <xf numFmtId="3" fontId="9" fillId="0" borderId="35" xfId="174" applyNumberFormat="1" applyFont="1" applyBorder="1" applyAlignment="1">
      <alignment horizontal="center" wrapText="1"/>
    </xf>
    <xf numFmtId="3" fontId="38" fillId="0" borderId="10" xfId="171" applyNumberFormat="1" applyFont="1" applyBorder="1" applyAlignment="1">
      <alignment horizontal="center" wrapText="1"/>
    </xf>
    <xf numFmtId="3" fontId="29" fillId="0" borderId="20" xfId="172" applyNumberFormat="1" applyFont="1" applyFill="1" applyBorder="1"/>
    <xf numFmtId="3" fontId="11" fillId="0" borderId="21" xfId="174" applyNumberFormat="1" applyFont="1" applyFill="1" applyBorder="1"/>
    <xf numFmtId="3" fontId="34" fillId="0" borderId="65" xfId="172" applyNumberFormat="1" applyFont="1" applyFill="1" applyBorder="1" applyAlignment="1">
      <alignment wrapText="1"/>
    </xf>
    <xf numFmtId="3" fontId="35" fillId="0" borderId="65" xfId="172" applyNumberFormat="1" applyFont="1" applyFill="1" applyBorder="1" applyAlignment="1">
      <alignment wrapText="1"/>
    </xf>
    <xf numFmtId="3" fontId="35" fillId="0" borderId="74" xfId="172" applyNumberFormat="1" applyFont="1" applyFill="1" applyBorder="1" applyAlignment="1">
      <alignment wrapText="1"/>
    </xf>
    <xf numFmtId="3" fontId="35" fillId="0" borderId="34" xfId="172" applyNumberFormat="1" applyFont="1" applyFill="1" applyBorder="1" applyAlignment="1">
      <alignment wrapText="1"/>
    </xf>
    <xf numFmtId="3" fontId="35" fillId="0" borderId="72" xfId="172" applyNumberFormat="1" applyFont="1" applyFill="1" applyBorder="1" applyAlignment="1">
      <alignment wrapText="1"/>
    </xf>
    <xf numFmtId="3" fontId="34" fillId="0" borderId="104" xfId="172" applyNumberFormat="1" applyFont="1" applyFill="1" applyBorder="1" applyAlignment="1">
      <alignment wrapText="1"/>
    </xf>
    <xf numFmtId="3" fontId="29" fillId="0" borderId="21" xfId="172" applyNumberFormat="1" applyFont="1" applyFill="1" applyBorder="1" applyAlignment="1">
      <alignment wrapText="1"/>
    </xf>
    <xf numFmtId="3" fontId="29" fillId="0" borderId="21" xfId="172" applyNumberFormat="1" applyFont="1" applyFill="1" applyBorder="1"/>
    <xf numFmtId="3" fontId="34" fillId="0" borderId="21" xfId="172" applyNumberFormat="1" applyFont="1" applyFill="1" applyBorder="1" applyAlignment="1">
      <alignment wrapText="1"/>
    </xf>
    <xf numFmtId="3" fontId="35" fillId="0" borderId="39" xfId="172" applyNumberFormat="1" applyFont="1" applyFill="1" applyBorder="1" applyAlignment="1">
      <alignment wrapText="1"/>
    </xf>
    <xf numFmtId="3" fontId="34" fillId="0" borderId="16" xfId="172" applyNumberFormat="1" applyFont="1" applyFill="1" applyBorder="1" applyAlignment="1">
      <alignment wrapText="1"/>
    </xf>
    <xf numFmtId="3" fontId="39" fillId="0" borderId="11" xfId="174" applyNumberFormat="1" applyFont="1" applyFill="1" applyBorder="1" applyAlignment="1">
      <alignment horizontal="right"/>
    </xf>
    <xf numFmtId="3" fontId="39" fillId="0" borderId="21" xfId="174" applyNumberFormat="1" applyFont="1" applyFill="1" applyBorder="1" applyAlignment="1">
      <alignment horizontal="right"/>
    </xf>
    <xf numFmtId="3" fontId="11" fillId="0" borderId="38" xfId="171" applyNumberFormat="1" applyFont="1" applyBorder="1"/>
    <xf numFmtId="3" fontId="38" fillId="0" borderId="105" xfId="171" applyNumberFormat="1" applyFont="1" applyBorder="1" applyAlignment="1">
      <alignment horizontal="centerContinuous" wrapText="1"/>
    </xf>
    <xf numFmtId="3" fontId="38" fillId="0" borderId="106" xfId="171" applyNumberFormat="1" applyFont="1" applyBorder="1" applyAlignment="1">
      <alignment horizontal="centerContinuous" wrapText="1"/>
    </xf>
    <xf numFmtId="3" fontId="9" fillId="0" borderId="35" xfId="174" applyNumberFormat="1" applyFont="1" applyBorder="1" applyAlignment="1">
      <alignment horizontal="center" wrapText="1"/>
    </xf>
    <xf numFmtId="3" fontId="39" fillId="0" borderId="87" xfId="171" applyNumberFormat="1" applyFont="1" applyBorder="1"/>
    <xf numFmtId="3" fontId="39" fillId="0" borderId="107" xfId="171" applyNumberFormat="1" applyFont="1" applyBorder="1"/>
    <xf numFmtId="3" fontId="38" fillId="0" borderId="79" xfId="171" applyNumberFormat="1" applyFont="1" applyBorder="1" applyAlignment="1">
      <alignment horizontal="centerContinuous" wrapText="1"/>
    </xf>
    <xf numFmtId="3" fontId="38" fillId="0" borderId="87" xfId="171" applyNumberFormat="1" applyFont="1" applyBorder="1" applyAlignment="1">
      <alignment horizontal="centerContinuous" wrapText="1"/>
    </xf>
    <xf numFmtId="0" fontId="9" fillId="0" borderId="0" xfId="171" applyFont="1" applyAlignment="1"/>
    <xf numFmtId="3" fontId="9" fillId="0" borderId="10" xfId="174" applyNumberFormat="1" applyFont="1" applyBorder="1" applyAlignment="1">
      <alignment horizontal="center" wrapText="1"/>
    </xf>
    <xf numFmtId="3" fontId="35" fillId="0" borderId="108" xfId="172" applyNumberFormat="1" applyFont="1" applyFill="1" applyBorder="1"/>
    <xf numFmtId="3" fontId="9" fillId="0" borderId="83" xfId="174" applyNumberFormat="1" applyFont="1" applyFill="1" applyBorder="1"/>
    <xf numFmtId="3" fontId="34" fillId="0" borderId="109" xfId="172" applyNumberFormat="1" applyFont="1" applyBorder="1"/>
    <xf numFmtId="3" fontId="35" fillId="0" borderId="34" xfId="172" applyNumberFormat="1" applyFont="1" applyBorder="1"/>
    <xf numFmtId="3" fontId="35" fillId="0" borderId="34" xfId="172" applyNumberFormat="1" applyFont="1" applyFill="1" applyBorder="1"/>
    <xf numFmtId="3" fontId="34" fillId="0" borderId="34" xfId="172" applyNumberFormat="1" applyFont="1" applyFill="1" applyBorder="1"/>
    <xf numFmtId="3" fontId="29" fillId="0" borderId="72" xfId="172" applyNumberFormat="1" applyFont="1" applyFill="1" applyBorder="1"/>
    <xf numFmtId="3" fontId="34" fillId="0" borderId="110" xfId="172" applyNumberFormat="1" applyFont="1" applyBorder="1"/>
    <xf numFmtId="3" fontId="34" fillId="0" borderId="111" xfId="172" applyNumberFormat="1" applyFont="1" applyBorder="1"/>
    <xf numFmtId="3" fontId="35" fillId="0" borderId="12" xfId="172" applyNumberFormat="1" applyFont="1" applyBorder="1"/>
    <xf numFmtId="3" fontId="35" fillId="0" borderId="12" xfId="172" applyNumberFormat="1" applyFont="1" applyFill="1" applyBorder="1"/>
    <xf numFmtId="3" fontId="34" fillId="0" borderId="12" xfId="172" applyNumberFormat="1" applyFont="1" applyFill="1" applyBorder="1"/>
    <xf numFmtId="3" fontId="35" fillId="0" borderId="12" xfId="172" applyNumberFormat="1" applyFont="1" applyFill="1" applyBorder="1" applyAlignment="1">
      <alignment wrapText="1"/>
    </xf>
    <xf numFmtId="3" fontId="29" fillId="0" borderId="108" xfId="172" applyNumberFormat="1" applyFont="1" applyFill="1" applyBorder="1"/>
    <xf numFmtId="3" fontId="34" fillId="0" borderId="112" xfId="172" applyNumberFormat="1" applyFont="1" applyBorder="1"/>
    <xf numFmtId="3" fontId="29" fillId="0" borderId="74" xfId="172" applyNumberFormat="1" applyFont="1" applyFill="1" applyBorder="1"/>
    <xf numFmtId="3" fontId="34" fillId="0" borderId="104" xfId="172" applyNumberFormat="1" applyFont="1" applyBorder="1"/>
    <xf numFmtId="3" fontId="35" fillId="0" borderId="21" xfId="172" applyNumberFormat="1" applyFont="1" applyBorder="1"/>
    <xf numFmtId="3" fontId="34" fillId="0" borderId="21" xfId="172" applyNumberFormat="1" applyFont="1" applyFill="1" applyBorder="1"/>
    <xf numFmtId="3" fontId="8" fillId="0" borderId="0" xfId="196" applyNumberFormat="1"/>
    <xf numFmtId="3" fontId="52" fillId="0" borderId="14" xfId="199" applyNumberFormat="1" applyFont="1" applyBorder="1" applyAlignment="1">
      <alignment wrapText="1"/>
    </xf>
    <xf numFmtId="3" fontId="39" fillId="0" borderId="10" xfId="200" applyNumberFormat="1" applyFont="1" applyBorder="1" applyAlignment="1">
      <alignment horizontal="right"/>
    </xf>
    <xf numFmtId="3" fontId="9" fillId="0" borderId="39" xfId="199" applyNumberFormat="1" applyFont="1" applyBorder="1" applyAlignment="1">
      <alignment wrapText="1"/>
    </xf>
    <xf numFmtId="3" fontId="38" fillId="0" borderId="36" xfId="200" applyNumberFormat="1" applyFont="1" applyBorder="1" applyAlignment="1">
      <alignment horizontal="right"/>
    </xf>
    <xf numFmtId="3" fontId="38" fillId="0" borderId="11" xfId="200" applyNumberFormat="1" applyFont="1" applyBorder="1" applyAlignment="1">
      <alignment horizontal="right"/>
    </xf>
    <xf numFmtId="3" fontId="41" fillId="0" borderId="39" xfId="199" applyNumberFormat="1" applyFont="1" applyBorder="1" applyAlignment="1">
      <alignment wrapText="1"/>
    </xf>
    <xf numFmtId="3" fontId="41" fillId="0" borderId="104" xfId="199" applyNumberFormat="1" applyFont="1" applyBorder="1" applyAlignment="1">
      <alignment wrapText="1"/>
    </xf>
    <xf numFmtId="3" fontId="39" fillId="0" borderId="43" xfId="200" applyNumberFormat="1" applyFont="1" applyBorder="1" applyAlignment="1">
      <alignment horizontal="right"/>
    </xf>
    <xf numFmtId="3" fontId="51" fillId="0" borderId="39" xfId="199" applyNumberFormat="1" applyFont="1" applyBorder="1" applyAlignment="1">
      <alignment wrapText="1"/>
    </xf>
    <xf numFmtId="3" fontId="10" fillId="0" borderId="39" xfId="199" applyNumberFormat="1" applyFont="1" applyBorder="1" applyAlignment="1">
      <alignment wrapText="1"/>
    </xf>
    <xf numFmtId="3" fontId="39" fillId="0" borderId="36" xfId="200" applyNumberFormat="1" applyFont="1" applyBorder="1" applyAlignment="1">
      <alignment horizontal="right"/>
    </xf>
    <xf numFmtId="0" fontId="51" fillId="0" borderId="39" xfId="199" applyFont="1" applyBorder="1" applyAlignment="1">
      <alignment wrapText="1"/>
    </xf>
    <xf numFmtId="3" fontId="51" fillId="0" borderId="21" xfId="199" applyNumberFormat="1" applyFont="1" applyBorder="1" applyAlignment="1">
      <alignment wrapText="1"/>
    </xf>
    <xf numFmtId="3" fontId="10" fillId="0" borderId="21" xfId="199" applyNumberFormat="1" applyFont="1" applyBorder="1" applyAlignment="1">
      <alignment wrapText="1"/>
    </xf>
    <xf numFmtId="3" fontId="39" fillId="0" borderId="11" xfId="200" applyNumberFormat="1" applyFont="1" applyBorder="1" applyAlignment="1">
      <alignment horizontal="right"/>
    </xf>
    <xf numFmtId="3" fontId="53" fillId="0" borderId="39" xfId="199" applyNumberFormat="1" applyFont="1" applyBorder="1" applyAlignment="1">
      <alignment wrapText="1"/>
    </xf>
    <xf numFmtId="3" fontId="47" fillId="0" borderId="11" xfId="200" applyNumberFormat="1" applyFont="1" applyBorder="1" applyAlignment="1">
      <alignment horizontal="right"/>
    </xf>
    <xf numFmtId="3" fontId="47" fillId="0" borderId="36" xfId="200" applyNumberFormat="1" applyFont="1" applyBorder="1" applyAlignment="1">
      <alignment horizontal="right"/>
    </xf>
    <xf numFmtId="3" fontId="51" fillId="0" borderId="37" xfId="199" applyNumberFormat="1" applyFont="1" applyBorder="1" applyAlignment="1">
      <alignment wrapText="1"/>
    </xf>
    <xf numFmtId="0" fontId="51" fillId="0" borderId="21" xfId="199" applyFont="1" applyBorder="1" applyAlignment="1">
      <alignment wrapText="1"/>
    </xf>
    <xf numFmtId="0" fontId="8" fillId="0" borderId="39" xfId="199" applyFont="1" applyBorder="1" applyAlignment="1">
      <alignment wrapText="1"/>
    </xf>
    <xf numFmtId="3" fontId="47" fillId="0" borderId="83" xfId="200" applyNumberFormat="1" applyFont="1" applyBorder="1" applyAlignment="1">
      <alignment horizontal="right"/>
    </xf>
    <xf numFmtId="3" fontId="39" fillId="0" borderId="83" xfId="200" applyNumberFormat="1" applyFont="1" applyBorder="1" applyAlignment="1">
      <alignment horizontal="right"/>
    </xf>
    <xf numFmtId="3" fontId="51" fillId="0" borderId="48" xfId="199" applyNumberFormat="1" applyFont="1" applyBorder="1" applyAlignment="1">
      <alignment wrapText="1"/>
    </xf>
    <xf numFmtId="3" fontId="52" fillId="0" borderId="104" xfId="199" applyNumberFormat="1" applyFont="1" applyBorder="1" applyAlignment="1">
      <alignment wrapText="1"/>
    </xf>
    <xf numFmtId="3" fontId="51" fillId="0" borderId="38" xfId="199" applyNumberFormat="1" applyFont="1" applyBorder="1" applyAlignment="1">
      <alignment wrapText="1"/>
    </xf>
    <xf numFmtId="3" fontId="10" fillId="0" borderId="38" xfId="199" applyNumberFormat="1" applyFont="1" applyBorder="1" applyAlignment="1">
      <alignment wrapText="1"/>
    </xf>
    <xf numFmtId="3" fontId="53" fillId="0" borderId="38" xfId="199" applyNumberFormat="1" applyFont="1" applyBorder="1" applyAlignment="1">
      <alignment wrapText="1"/>
    </xf>
    <xf numFmtId="3" fontId="10" fillId="0" borderId="11" xfId="199" applyNumberFormat="1" applyFont="1" applyBorder="1" applyAlignment="1">
      <alignment wrapText="1"/>
    </xf>
    <xf numFmtId="3" fontId="53" fillId="0" borderId="21" xfId="199" applyNumberFormat="1" applyFont="1" applyBorder="1" applyAlignment="1">
      <alignment wrapText="1"/>
    </xf>
    <xf numFmtId="3" fontId="53" fillId="0" borderId="11" xfId="199" applyNumberFormat="1" applyFont="1" applyBorder="1" applyAlignment="1">
      <alignment wrapText="1"/>
    </xf>
    <xf numFmtId="3" fontId="51" fillId="0" borderId="104" xfId="199" applyNumberFormat="1" applyFont="1" applyBorder="1" applyAlignment="1">
      <alignment wrapText="1"/>
    </xf>
    <xf numFmtId="3" fontId="51" fillId="0" borderId="43" xfId="199" applyNumberFormat="1" applyFont="1" applyBorder="1" applyAlignment="1">
      <alignment wrapText="1"/>
    </xf>
    <xf numFmtId="3" fontId="54" fillId="0" borderId="10" xfId="200" applyNumberFormat="1" applyFont="1" applyBorder="1" applyAlignment="1">
      <alignment horizontal="center"/>
    </xf>
    <xf numFmtId="3" fontId="54" fillId="0" borderId="41" xfId="200" applyNumberFormat="1" applyFont="1" applyBorder="1" applyAlignment="1">
      <alignment horizontal="center"/>
    </xf>
    <xf numFmtId="3" fontId="55" fillId="0" borderId="14" xfId="199" applyNumberFormat="1" applyFont="1" applyBorder="1" applyAlignment="1">
      <alignment horizontal="center" wrapText="1"/>
    </xf>
    <xf numFmtId="3" fontId="56" fillId="0" borderId="40" xfId="200" applyNumberFormat="1" applyFont="1" applyBorder="1" applyAlignment="1">
      <alignment horizontal="center" vertical="center" wrapText="1"/>
    </xf>
    <xf numFmtId="3" fontId="57" fillId="0" borderId="41" xfId="200" applyNumberFormat="1" applyFont="1" applyBorder="1" applyAlignment="1">
      <alignment horizontal="center" vertical="center" wrapText="1"/>
    </xf>
    <xf numFmtId="3" fontId="54" fillId="0" borderId="41" xfId="200" applyNumberFormat="1" applyFont="1" applyBorder="1" applyAlignment="1">
      <alignment horizontal="center" vertical="center" wrapText="1"/>
    </xf>
    <xf numFmtId="3" fontId="56" fillId="0" borderId="113" xfId="200" applyNumberFormat="1" applyFont="1" applyBorder="1" applyAlignment="1">
      <alignment horizontal="center" vertical="center" wrapText="1"/>
    </xf>
    <xf numFmtId="3" fontId="56" fillId="0" borderId="60" xfId="200" applyNumberFormat="1" applyFont="1" applyBorder="1" applyAlignment="1">
      <alignment horizontal="center" vertical="center" wrapText="1"/>
    </xf>
    <xf numFmtId="0" fontId="8" fillId="0" borderId="0" xfId="196"/>
    <xf numFmtId="3" fontId="52" fillId="0" borderId="10" xfId="200" applyNumberFormat="1" applyFont="1" applyBorder="1"/>
    <xf numFmtId="0" fontId="52" fillId="0" borderId="14" xfId="199" applyFont="1" applyBorder="1" applyAlignment="1">
      <alignment wrapText="1"/>
    </xf>
    <xf numFmtId="0" fontId="39" fillId="0" borderId="10" xfId="200" applyFont="1" applyBorder="1"/>
    <xf numFmtId="3" fontId="52" fillId="0" borderId="14" xfId="200" applyNumberFormat="1" applyFont="1" applyBorder="1"/>
    <xf numFmtId="3" fontId="41" fillId="0" borderId="21" xfId="199" applyNumberFormat="1" applyFont="1" applyBorder="1" applyAlignment="1">
      <alignment wrapText="1"/>
    </xf>
    <xf numFmtId="3" fontId="51" fillId="0" borderId="43" xfId="200" applyNumberFormat="1" applyFont="1" applyBorder="1"/>
    <xf numFmtId="3" fontId="51" fillId="0" borderId="97" xfId="200" applyNumberFormat="1" applyFont="1" applyBorder="1"/>
    <xf numFmtId="3" fontId="51" fillId="0" borderId="86" xfId="200" applyNumberFormat="1" applyFont="1" applyBorder="1"/>
    <xf numFmtId="3" fontId="51" fillId="0" borderId="17" xfId="200" applyNumberFormat="1" applyFont="1" applyBorder="1"/>
    <xf numFmtId="3" fontId="51" fillId="0" borderId="109" xfId="200" applyNumberFormat="1" applyFont="1" applyBorder="1"/>
    <xf numFmtId="0" fontId="41" fillId="0" borderId="104" xfId="199" applyFont="1" applyBorder="1" applyAlignment="1">
      <alignment wrapText="1"/>
    </xf>
    <xf numFmtId="0" fontId="39" fillId="0" borderId="43" xfId="200" applyFont="1" applyBorder="1"/>
    <xf numFmtId="0" fontId="25" fillId="0" borderId="0" xfId="196" applyFont="1"/>
    <xf numFmtId="3" fontId="25" fillId="0" borderId="0" xfId="196" applyNumberFormat="1" applyFont="1"/>
    <xf numFmtId="3" fontId="51" fillId="0" borderId="38" xfId="200" applyNumberFormat="1" applyFont="1" applyBorder="1"/>
    <xf numFmtId="3" fontId="51" fillId="0" borderId="11" xfId="200" applyNumberFormat="1" applyFont="1" applyBorder="1"/>
    <xf numFmtId="3" fontId="51" fillId="0" borderId="65" xfId="200" applyNumberFormat="1" applyFont="1" applyBorder="1"/>
    <xf numFmtId="3" fontId="51" fillId="0" borderId="20" xfId="200" applyNumberFormat="1" applyFont="1" applyBorder="1"/>
    <xf numFmtId="3" fontId="51" fillId="0" borderId="24" xfId="200" applyNumberFormat="1" applyFont="1" applyBorder="1"/>
    <xf numFmtId="3" fontId="51" fillId="0" borderId="73" xfId="200" applyNumberFormat="1" applyFont="1" applyBorder="1"/>
    <xf numFmtId="3" fontId="51" fillId="0" borderId="63" xfId="200" applyNumberFormat="1" applyFont="1" applyBorder="1"/>
    <xf numFmtId="0" fontId="39" fillId="0" borderId="36" xfId="200" applyFont="1" applyBorder="1"/>
    <xf numFmtId="0" fontId="10" fillId="0" borderId="39" xfId="199" applyFont="1" applyBorder="1" applyAlignment="1">
      <alignment wrapText="1"/>
    </xf>
    <xf numFmtId="3" fontId="51" fillId="0" borderId="34" xfId="200" applyNumberFormat="1" applyFont="1" applyBorder="1"/>
    <xf numFmtId="3" fontId="51" fillId="0" borderId="74" xfId="200" applyNumberFormat="1" applyFont="1" applyBorder="1"/>
    <xf numFmtId="3" fontId="51" fillId="0" borderId="72" xfId="200" applyNumberFormat="1" applyFont="1" applyBorder="1"/>
    <xf numFmtId="0" fontId="10" fillId="0" borderId="21" xfId="199" applyFont="1" applyBorder="1" applyAlignment="1">
      <alignment wrapText="1"/>
    </xf>
    <xf numFmtId="0" fontId="39" fillId="0" borderId="11" xfId="200" applyFont="1" applyBorder="1"/>
    <xf numFmtId="0" fontId="10" fillId="0" borderId="0" xfId="196" applyFont="1"/>
    <xf numFmtId="3" fontId="10" fillId="0" borderId="38" xfId="200" applyNumberFormat="1" applyFont="1" applyBorder="1"/>
    <xf numFmtId="3" fontId="10" fillId="0" borderId="11" xfId="200" applyNumberFormat="1" applyFont="1" applyBorder="1"/>
    <xf numFmtId="3" fontId="10" fillId="0" borderId="65" xfId="200" applyNumberFormat="1" applyFont="1" applyBorder="1"/>
    <xf numFmtId="3" fontId="10" fillId="0" borderId="20" xfId="200" applyNumberFormat="1" applyFont="1" applyBorder="1"/>
    <xf numFmtId="3" fontId="10" fillId="0" borderId="23" xfId="200" applyNumberFormat="1" applyFont="1" applyBorder="1"/>
    <xf numFmtId="3" fontId="10" fillId="0" borderId="64" xfId="200" applyNumberFormat="1" applyFont="1" applyBorder="1"/>
    <xf numFmtId="3" fontId="10" fillId="0" borderId="24" xfId="200" applyNumberFormat="1" applyFont="1" applyBorder="1"/>
    <xf numFmtId="3" fontId="10" fillId="0" borderId="63" xfId="200" applyNumberFormat="1" applyFont="1" applyBorder="1"/>
    <xf numFmtId="0" fontId="10" fillId="0" borderId="36" xfId="200" applyFont="1" applyBorder="1"/>
    <xf numFmtId="3" fontId="51" fillId="0" borderId="23" xfId="200" applyNumberFormat="1" applyFont="1" applyBorder="1"/>
    <xf numFmtId="3" fontId="51" fillId="0" borderId="64" xfId="200" applyNumberFormat="1" applyFont="1" applyBorder="1"/>
    <xf numFmtId="3" fontId="51" fillId="0" borderId="36" xfId="200" applyNumberFormat="1" applyFont="1" applyBorder="1"/>
    <xf numFmtId="3" fontId="51" fillId="0" borderId="19" xfId="200" applyNumberFormat="1" applyFont="1" applyBorder="1"/>
    <xf numFmtId="3" fontId="51" fillId="25" borderId="63" xfId="200" applyNumberFormat="1" applyFont="1" applyFill="1" applyBorder="1"/>
    <xf numFmtId="0" fontId="51" fillId="0" borderId="37" xfId="199" applyFont="1" applyBorder="1" applyAlignment="1">
      <alignment wrapText="1"/>
    </xf>
    <xf numFmtId="3" fontId="10" fillId="25" borderId="63" xfId="200" applyNumberFormat="1" applyFont="1" applyFill="1" applyBorder="1"/>
    <xf numFmtId="3" fontId="10" fillId="0" borderId="73" xfId="200" applyNumberFormat="1" applyFont="1" applyBorder="1"/>
    <xf numFmtId="3" fontId="10" fillId="0" borderId="74" xfId="200" applyNumberFormat="1" applyFont="1" applyBorder="1"/>
    <xf numFmtId="0" fontId="10" fillId="0" borderId="83" xfId="200" applyFont="1" applyBorder="1"/>
    <xf numFmtId="3" fontId="10" fillId="0" borderId="114" xfId="200" applyNumberFormat="1" applyFont="1" applyBorder="1"/>
    <xf numFmtId="3" fontId="10" fillId="0" borderId="115" xfId="200" applyNumberFormat="1" applyFont="1" applyBorder="1"/>
    <xf numFmtId="3" fontId="10" fillId="0" borderId="116" xfId="200" applyNumberFormat="1" applyFont="1" applyBorder="1"/>
    <xf numFmtId="3" fontId="51" fillId="0" borderId="25" xfId="200" applyNumberFormat="1" applyFont="1" applyBorder="1"/>
    <xf numFmtId="3" fontId="51" fillId="0" borderId="81" xfId="200" applyNumberFormat="1" applyFont="1" applyBorder="1"/>
    <xf numFmtId="3" fontId="10" fillId="0" borderId="25" xfId="200" applyNumberFormat="1" applyFont="1" applyBorder="1"/>
    <xf numFmtId="3" fontId="10" fillId="0" borderId="34" xfId="200" applyNumberFormat="1" applyFont="1" applyBorder="1"/>
    <xf numFmtId="0" fontId="10" fillId="0" borderId="11" xfId="200" applyFont="1" applyBorder="1"/>
    <xf numFmtId="3" fontId="10" fillId="0" borderId="21" xfId="200" applyNumberFormat="1" applyFont="1" applyBorder="1"/>
    <xf numFmtId="3" fontId="10" fillId="0" borderId="26" xfId="200" applyNumberFormat="1" applyFont="1" applyBorder="1"/>
    <xf numFmtId="0" fontId="52" fillId="0" borderId="10" xfId="199" applyFont="1" applyBorder="1" applyAlignment="1">
      <alignment wrapText="1"/>
    </xf>
    <xf numFmtId="0" fontId="51" fillId="0" borderId="48" xfId="199" applyFont="1" applyBorder="1" applyAlignment="1">
      <alignment wrapText="1"/>
    </xf>
    <xf numFmtId="3" fontId="52" fillId="0" borderId="43" xfId="200" applyNumberFormat="1" applyFont="1" applyBorder="1"/>
    <xf numFmtId="3" fontId="52" fillId="0" borderId="97" xfId="200" applyNumberFormat="1" applyFont="1" applyBorder="1"/>
    <xf numFmtId="3" fontId="52" fillId="0" borderId="17" xfId="200" applyNumberFormat="1" applyFont="1" applyBorder="1"/>
    <xf numFmtId="3" fontId="52" fillId="0" borderId="109" xfId="200" applyNumberFormat="1" applyFont="1" applyBorder="1"/>
    <xf numFmtId="3" fontId="52" fillId="0" borderId="86" xfId="200" applyNumberFormat="1" applyFont="1" applyBorder="1"/>
    <xf numFmtId="0" fontId="52" fillId="0" borderId="104" xfId="199" applyFont="1" applyBorder="1" applyAlignment="1">
      <alignment wrapText="1"/>
    </xf>
    <xf numFmtId="0" fontId="51" fillId="0" borderId="104" xfId="199" applyFont="1" applyBorder="1" applyAlignment="1">
      <alignment wrapText="1"/>
    </xf>
    <xf numFmtId="0" fontId="8" fillId="0" borderId="0" xfId="196" applyFont="1"/>
    <xf numFmtId="3" fontId="8" fillId="0" borderId="38" xfId="200" applyNumberFormat="1" applyFont="1" applyBorder="1"/>
    <xf numFmtId="3" fontId="8" fillId="0" borderId="11" xfId="200" applyNumberFormat="1" applyFont="1" applyBorder="1"/>
    <xf numFmtId="3" fontId="8" fillId="0" borderId="74" xfId="200" applyNumberFormat="1" applyFont="1" applyBorder="1"/>
    <xf numFmtId="3" fontId="8" fillId="0" borderId="81" xfId="200" applyNumberFormat="1" applyFont="1" applyBorder="1"/>
    <xf numFmtId="3" fontId="8" fillId="0" borderId="24" xfId="200" applyNumberFormat="1" applyFont="1" applyBorder="1"/>
    <xf numFmtId="3" fontId="8" fillId="0" borderId="65" xfId="200" applyNumberFormat="1" applyFont="1" applyBorder="1"/>
    <xf numFmtId="3" fontId="8" fillId="0" borderId="34" xfId="200" applyNumberFormat="1" applyFont="1" applyBorder="1"/>
    <xf numFmtId="0" fontId="8" fillId="0" borderId="36" xfId="200" applyFont="1" applyBorder="1"/>
    <xf numFmtId="3" fontId="10" fillId="0" borderId="81" xfId="200" applyNumberFormat="1" applyFont="1" applyBorder="1"/>
    <xf numFmtId="0" fontId="59" fillId="0" borderId="0" xfId="196" applyFont="1" applyAlignment="1">
      <alignment horizontal="center"/>
    </xf>
    <xf numFmtId="3" fontId="55" fillId="0" borderId="10" xfId="200" applyNumberFormat="1" applyFont="1" applyBorder="1" applyAlignment="1">
      <alignment horizontal="center"/>
    </xf>
    <xf numFmtId="3" fontId="55" fillId="0" borderId="35" xfId="200" applyNumberFormat="1" applyFont="1" applyBorder="1" applyAlignment="1">
      <alignment horizontal="center"/>
    </xf>
    <xf numFmtId="3" fontId="55" fillId="0" borderId="14" xfId="200" applyNumberFormat="1" applyFont="1" applyBorder="1" applyAlignment="1">
      <alignment horizontal="center"/>
    </xf>
    <xf numFmtId="3" fontId="60" fillId="0" borderId="10" xfId="200" applyNumberFormat="1" applyFont="1" applyBorder="1" applyAlignment="1">
      <alignment horizontal="center"/>
    </xf>
    <xf numFmtId="0" fontId="55" fillId="0" borderId="14" xfId="199" applyFont="1" applyBorder="1" applyAlignment="1">
      <alignment horizontal="center" wrapText="1"/>
    </xf>
    <xf numFmtId="0" fontId="61" fillId="0" borderId="10" xfId="200" applyFont="1" applyBorder="1" applyAlignment="1">
      <alignment horizontal="center"/>
    </xf>
    <xf numFmtId="3" fontId="56" fillId="0" borderId="10" xfId="200" applyNumberFormat="1" applyFont="1" applyBorder="1" applyAlignment="1">
      <alignment horizontal="center" vertical="center" wrapText="1"/>
    </xf>
    <xf numFmtId="3" fontId="56" fillId="0" borderId="35" xfId="200" applyNumberFormat="1" applyFont="1" applyBorder="1" applyAlignment="1">
      <alignment horizontal="center" vertical="center" wrapText="1"/>
    </xf>
    <xf numFmtId="0" fontId="56" fillId="0" borderId="10" xfId="200" applyFont="1" applyBorder="1" applyAlignment="1">
      <alignment horizontal="center" vertical="center" wrapText="1"/>
    </xf>
    <xf numFmtId="3" fontId="56" fillId="0" borderId="80" xfId="200" applyNumberFormat="1" applyFont="1" applyBorder="1" applyAlignment="1">
      <alignment horizontal="center" vertical="center" wrapText="1"/>
    </xf>
    <xf numFmtId="3" fontId="56" fillId="0" borderId="14" xfId="200" applyNumberFormat="1" applyFont="1" applyBorder="1" applyAlignment="1">
      <alignment horizontal="center" vertical="center" wrapText="1"/>
    </xf>
    <xf numFmtId="0" fontId="56" fillId="0" borderId="14" xfId="199" applyFont="1" applyBorder="1" applyAlignment="1">
      <alignment horizontal="center" vertical="center" wrapText="1"/>
    </xf>
    <xf numFmtId="0" fontId="31" fillId="0" borderId="10" xfId="200" applyFont="1" applyBorder="1" applyAlignment="1">
      <alignment horizontal="center"/>
    </xf>
    <xf numFmtId="3" fontId="9" fillId="0" borderId="32" xfId="0" applyNumberFormat="1" applyFont="1" applyFill="1" applyBorder="1"/>
    <xf numFmtId="0" fontId="0" fillId="0" borderId="31" xfId="0" applyFont="1" applyFill="1" applyBorder="1" applyAlignment="1">
      <alignment wrapText="1"/>
    </xf>
    <xf numFmtId="3" fontId="0" fillId="0" borderId="34" xfId="0" applyNumberFormat="1" applyFill="1" applyBorder="1"/>
    <xf numFmtId="3" fontId="9" fillId="0" borderId="59" xfId="0" applyNumberFormat="1" applyFont="1" applyFill="1" applyBorder="1"/>
    <xf numFmtId="3" fontId="0" fillId="0" borderId="65" xfId="0" applyNumberFormat="1" applyFill="1" applyBorder="1"/>
    <xf numFmtId="3" fontId="9" fillId="0" borderId="56" xfId="0" applyNumberFormat="1" applyFont="1" applyFill="1" applyBorder="1"/>
    <xf numFmtId="3" fontId="0" fillId="0" borderId="56" xfId="0" applyNumberFormat="1" applyFill="1" applyBorder="1"/>
    <xf numFmtId="3" fontId="0" fillId="0" borderId="0" xfId="0" applyNumberFormat="1" applyFill="1"/>
    <xf numFmtId="0" fontId="9" fillId="0" borderId="31" xfId="194" applyFont="1" applyBorder="1" applyAlignment="1">
      <alignment wrapText="1"/>
    </xf>
    <xf numFmtId="3" fontId="41" fillId="0" borderId="69" xfId="0" applyNumberFormat="1" applyFont="1" applyBorder="1" applyAlignment="1">
      <alignment wrapText="1"/>
    </xf>
    <xf numFmtId="0" fontId="8" fillId="0" borderId="11" xfId="200" applyFont="1" applyBorder="1"/>
    <xf numFmtId="3" fontId="8" fillId="0" borderId="20" xfId="200" applyNumberFormat="1" applyFont="1" applyBorder="1"/>
    <xf numFmtId="3" fontId="0" fillId="0" borderId="70" xfId="0" applyNumberFormat="1" applyBorder="1"/>
    <xf numFmtId="3" fontId="0" fillId="0" borderId="117" xfId="0" applyNumberFormat="1" applyFont="1" applyFill="1" applyBorder="1" applyAlignment="1">
      <alignment wrapText="1"/>
    </xf>
    <xf numFmtId="3" fontId="10" fillId="0" borderId="117" xfId="0" applyNumberFormat="1" applyFont="1" applyFill="1" applyBorder="1" applyAlignment="1">
      <alignment wrapText="1"/>
    </xf>
    <xf numFmtId="3" fontId="0" fillId="0" borderId="34" xfId="0" applyNumberFormat="1" applyFont="1" applyFill="1" applyBorder="1"/>
    <xf numFmtId="3" fontId="0" fillId="0" borderId="65" xfId="0" applyNumberFormat="1" applyFont="1" applyFill="1" applyBorder="1"/>
    <xf numFmtId="3" fontId="0" fillId="0" borderId="56" xfId="0" applyNumberFormat="1" applyFont="1" applyFill="1" applyBorder="1"/>
    <xf numFmtId="3" fontId="0" fillId="0" borderId="31" xfId="0" applyNumberFormat="1" applyFont="1" applyFill="1" applyBorder="1" applyAlignment="1">
      <alignment wrapText="1"/>
    </xf>
    <xf numFmtId="3" fontId="0" fillId="0" borderId="31" xfId="0" applyNumberFormat="1" applyFont="1" applyBorder="1" applyAlignment="1">
      <alignment wrapText="1"/>
    </xf>
    <xf numFmtId="3" fontId="10" fillId="0" borderId="31" xfId="0" applyNumberFormat="1" applyFont="1" applyBorder="1" applyAlignment="1">
      <alignment wrapText="1"/>
    </xf>
    <xf numFmtId="0" fontId="0" fillId="0" borderId="15" xfId="171" applyFont="1" applyBorder="1"/>
    <xf numFmtId="0" fontId="0" fillId="0" borderId="38" xfId="171" applyFont="1" applyBorder="1" applyAlignment="1">
      <alignment wrapText="1"/>
    </xf>
    <xf numFmtId="0" fontId="0" fillId="0" borderId="38" xfId="171" applyFont="1" applyBorder="1"/>
    <xf numFmtId="3" fontId="10" fillId="0" borderId="77" xfId="173" applyNumberFormat="1" applyFont="1" applyFill="1" applyBorder="1" applyAlignment="1">
      <alignment wrapText="1"/>
    </xf>
    <xf numFmtId="3" fontId="29" fillId="0" borderId="65" xfId="172" applyNumberFormat="1" applyFont="1" applyFill="1" applyBorder="1"/>
    <xf numFmtId="3" fontId="29" fillId="0" borderId="12" xfId="172" applyNumberFormat="1" applyFont="1" applyFill="1" applyBorder="1" applyAlignment="1">
      <alignment wrapText="1"/>
    </xf>
    <xf numFmtId="0" fontId="35" fillId="0" borderId="0" xfId="196" applyFont="1" applyFill="1"/>
    <xf numFmtId="3" fontId="35" fillId="0" borderId="0" xfId="196" applyNumberFormat="1" applyFont="1" applyFill="1"/>
    <xf numFmtId="0" fontId="34" fillId="0" borderId="10" xfId="196" applyFont="1" applyFill="1" applyBorder="1" applyAlignment="1">
      <alignment horizontal="center" vertical="center" wrapText="1"/>
    </xf>
    <xf numFmtId="0" fontId="35" fillId="0" borderId="0" xfId="196" applyFont="1" applyFill="1" applyAlignment="1">
      <alignment horizontal="center" vertical="center"/>
    </xf>
    <xf numFmtId="0" fontId="34" fillId="0" borderId="11" xfId="195" applyFont="1" applyFill="1" applyBorder="1" applyAlignment="1">
      <alignment wrapText="1"/>
    </xf>
    <xf numFmtId="0" fontId="35" fillId="0" borderId="0" xfId="157" applyFont="1" applyFill="1" applyBorder="1"/>
    <xf numFmtId="0" fontId="35" fillId="0" borderId="36" xfId="196" applyFont="1" applyFill="1" applyBorder="1" applyAlignment="1">
      <alignment wrapText="1"/>
    </xf>
    <xf numFmtId="3" fontId="35" fillId="0" borderId="11" xfId="196" applyNumberFormat="1" applyFont="1" applyFill="1" applyBorder="1"/>
    <xf numFmtId="0" fontId="34" fillId="0" borderId="36" xfId="196" applyFont="1" applyFill="1" applyBorder="1" applyAlignment="1">
      <alignment wrapText="1"/>
    </xf>
    <xf numFmtId="3" fontId="34" fillId="0" borderId="11" xfId="196" applyNumberFormat="1" applyFont="1" applyFill="1" applyBorder="1"/>
    <xf numFmtId="0" fontId="34" fillId="0" borderId="11" xfId="196" applyFont="1" applyFill="1" applyBorder="1" applyAlignment="1"/>
    <xf numFmtId="0" fontId="34" fillId="0" borderId="11" xfId="196" applyFont="1" applyFill="1" applyBorder="1" applyAlignment="1">
      <alignment wrapText="1"/>
    </xf>
    <xf numFmtId="3" fontId="34" fillId="0" borderId="11" xfId="196" applyNumberFormat="1" applyFont="1" applyFill="1" applyBorder="1" applyAlignment="1">
      <alignment wrapText="1"/>
    </xf>
    <xf numFmtId="0" fontId="35" fillId="0" borderId="11" xfId="196" applyFont="1" applyFill="1" applyBorder="1" applyAlignment="1"/>
    <xf numFmtId="0" fontId="35" fillId="0" borderId="11" xfId="196" applyFont="1" applyFill="1" applyBorder="1" applyAlignment="1">
      <alignment wrapText="1"/>
    </xf>
    <xf numFmtId="0" fontId="29" fillId="0" borderId="11" xfId="196" applyFont="1" applyFill="1" applyBorder="1" applyAlignment="1">
      <alignment wrapText="1"/>
    </xf>
    <xf numFmtId="0" fontId="36" fillId="0" borderId="11" xfId="196" applyFont="1" applyFill="1" applyBorder="1" applyAlignment="1"/>
    <xf numFmtId="3" fontId="36" fillId="0" borderId="11" xfId="196" applyNumberFormat="1" applyFont="1" applyFill="1" applyBorder="1"/>
    <xf numFmtId="3" fontId="34" fillId="0" borderId="38" xfId="196" applyNumberFormat="1" applyFont="1" applyFill="1" applyBorder="1"/>
    <xf numFmtId="0" fontId="35" fillId="0" borderId="38" xfId="196" applyFont="1" applyFill="1" applyBorder="1" applyAlignment="1">
      <alignment wrapText="1"/>
    </xf>
    <xf numFmtId="0" fontId="34" fillId="0" borderId="15" xfId="196" applyFont="1" applyFill="1" applyBorder="1" applyAlignment="1">
      <alignment wrapText="1"/>
    </xf>
    <xf numFmtId="3" fontId="34" fillId="0" borderId="15" xfId="196" applyNumberFormat="1" applyFont="1" applyFill="1" applyBorder="1"/>
    <xf numFmtId="3" fontId="39" fillId="0" borderId="103" xfId="173" applyNumberFormat="1" applyFont="1" applyFill="1" applyBorder="1"/>
    <xf numFmtId="0" fontId="0" fillId="0" borderId="31" xfId="0" applyFill="1" applyBorder="1" applyAlignment="1">
      <alignment wrapText="1"/>
    </xf>
    <xf numFmtId="3" fontId="0" fillId="0" borderId="31" xfId="0" applyNumberFormat="1" applyFill="1" applyBorder="1"/>
    <xf numFmtId="3" fontId="0" fillId="0" borderId="20" xfId="0" applyNumberFormat="1" applyFont="1" applyBorder="1"/>
    <xf numFmtId="3" fontId="0" fillId="0" borderId="31" xfId="0" applyNumberFormat="1" applyBorder="1"/>
    <xf numFmtId="3" fontId="10" fillId="0" borderId="36" xfId="200" applyNumberFormat="1" applyFont="1" applyBorder="1"/>
    <xf numFmtId="3" fontId="8" fillId="0" borderId="36" xfId="200" applyNumberFormat="1" applyFont="1" applyBorder="1"/>
    <xf numFmtId="3" fontId="8" fillId="0" borderId="63" xfId="200" applyNumberFormat="1" applyFont="1" applyBorder="1"/>
    <xf numFmtId="3" fontId="8" fillId="0" borderId="23" xfId="200" applyNumberFormat="1" applyFont="1" applyBorder="1"/>
    <xf numFmtId="3" fontId="8" fillId="0" borderId="64" xfId="200" applyNumberFormat="1" applyFont="1" applyBorder="1"/>
    <xf numFmtId="3" fontId="8" fillId="0" borderId="26" xfId="200" applyNumberFormat="1" applyFont="1" applyBorder="1"/>
    <xf numFmtId="3" fontId="8" fillId="0" borderId="21" xfId="200" applyNumberFormat="1" applyFont="1" applyBorder="1"/>
    <xf numFmtId="3" fontId="8" fillId="0" borderId="25" xfId="200" applyNumberFormat="1" applyFont="1" applyBorder="1"/>
    <xf numFmtId="3" fontId="8" fillId="25" borderId="63" xfId="200" applyNumberFormat="1" applyFont="1" applyFill="1" applyBorder="1"/>
    <xf numFmtId="0" fontId="9" fillId="0" borderId="11" xfId="200" applyFont="1" applyBorder="1"/>
    <xf numFmtId="0" fontId="9" fillId="0" borderId="39" xfId="199" applyFont="1" applyBorder="1" applyAlignment="1">
      <alignment wrapText="1"/>
    </xf>
    <xf numFmtId="3" fontId="9" fillId="25" borderId="34" xfId="200" applyNumberFormat="1" applyFont="1" applyFill="1" applyBorder="1"/>
    <xf numFmtId="3" fontId="9" fillId="25" borderId="65" xfId="200" applyNumberFormat="1" applyFont="1" applyFill="1" applyBorder="1"/>
    <xf numFmtId="3" fontId="9" fillId="25" borderId="11" xfId="200" applyNumberFormat="1" applyFont="1" applyFill="1" applyBorder="1"/>
    <xf numFmtId="0" fontId="9" fillId="0" borderId="0" xfId="196" applyFont="1"/>
    <xf numFmtId="3" fontId="8" fillId="0" borderId="39" xfId="199" applyNumberFormat="1" applyFont="1" applyBorder="1" applyAlignment="1">
      <alignment wrapText="1"/>
    </xf>
    <xf numFmtId="3" fontId="8" fillId="0" borderId="21" xfId="199" applyNumberFormat="1" applyFont="1" applyBorder="1" applyAlignment="1">
      <alignment wrapText="1"/>
    </xf>
    <xf numFmtId="3" fontId="8" fillId="0" borderId="38" xfId="199" applyNumberFormat="1" applyFont="1" applyBorder="1" applyAlignment="1">
      <alignment wrapText="1"/>
    </xf>
    <xf numFmtId="3" fontId="8" fillId="0" borderId="11" xfId="199" applyNumberFormat="1" applyFont="1" applyBorder="1" applyAlignment="1">
      <alignment wrapText="1"/>
    </xf>
    <xf numFmtId="3" fontId="52" fillId="0" borderId="39" xfId="199" applyNumberFormat="1" applyFont="1" applyBorder="1" applyAlignment="1">
      <alignment wrapText="1"/>
    </xf>
    <xf numFmtId="3" fontId="8" fillId="0" borderId="25" xfId="173" applyNumberFormat="1" applyFill="1" applyBorder="1"/>
    <xf numFmtId="3" fontId="47" fillId="0" borderId="78" xfId="173" applyNumberFormat="1" applyFont="1" applyFill="1" applyBorder="1"/>
    <xf numFmtId="3" fontId="47" fillId="0" borderId="29" xfId="173" applyNumberFormat="1" applyFont="1" applyFill="1" applyBorder="1"/>
    <xf numFmtId="3" fontId="38" fillId="0" borderId="10" xfId="173" applyNumberFormat="1" applyFont="1" applyFill="1" applyBorder="1"/>
    <xf numFmtId="3" fontId="38" fillId="0" borderId="0" xfId="173" applyNumberFormat="1" applyFont="1" applyFill="1" applyBorder="1"/>
    <xf numFmtId="3" fontId="0" fillId="0" borderId="31" xfId="0" applyNumberFormat="1" applyBorder="1" applyAlignment="1">
      <alignment wrapText="1"/>
    </xf>
    <xf numFmtId="3" fontId="10" fillId="0" borderId="31" xfId="0" applyNumberFormat="1" applyFont="1" applyFill="1" applyBorder="1" applyAlignment="1">
      <alignment wrapText="1"/>
    </xf>
    <xf numFmtId="0" fontId="35" fillId="0" borderId="58" xfId="205" applyFont="1" applyFill="1" applyBorder="1" applyAlignment="1">
      <alignment wrapText="1"/>
    </xf>
    <xf numFmtId="0" fontId="35" fillId="0" borderId="58" xfId="196" applyFont="1" applyFill="1" applyBorder="1" applyAlignment="1">
      <alignment wrapText="1"/>
    </xf>
    <xf numFmtId="0" fontId="35" fillId="0" borderId="22" xfId="205" applyFont="1" applyFill="1" applyBorder="1" applyAlignment="1">
      <alignment wrapText="1"/>
    </xf>
    <xf numFmtId="0" fontId="35" fillId="0" borderId="36" xfId="196" applyFont="1" applyFill="1" applyBorder="1"/>
    <xf numFmtId="0" fontId="0" fillId="0" borderId="31" xfId="194" applyFont="1" applyFill="1" applyBorder="1" applyAlignment="1">
      <alignment wrapText="1"/>
    </xf>
    <xf numFmtId="3" fontId="0" fillId="0" borderId="31" xfId="0" applyNumberFormat="1" applyFill="1" applyBorder="1" applyAlignment="1">
      <alignment wrapText="1"/>
    </xf>
    <xf numFmtId="3" fontId="41" fillId="0" borderId="23" xfId="0" applyNumberFormat="1" applyFont="1" applyBorder="1"/>
    <xf numFmtId="0" fontId="41" fillId="0" borderId="39" xfId="199" applyFont="1" applyBorder="1" applyAlignment="1">
      <alignment wrapText="1"/>
    </xf>
    <xf numFmtId="0" fontId="35" fillId="0" borderId="0" xfId="157" applyFont="1"/>
    <xf numFmtId="3" fontId="35" fillId="0" borderId="0" xfId="157" applyNumberFormat="1" applyFont="1"/>
    <xf numFmtId="3" fontId="35" fillId="0" borderId="0" xfId="157" applyNumberFormat="1" applyFont="1" applyAlignment="1">
      <alignment horizontal="right"/>
    </xf>
    <xf numFmtId="0" fontId="35" fillId="0" borderId="0" xfId="195" applyFont="1" applyFill="1"/>
    <xf numFmtId="0" fontId="35" fillId="0" borderId="0" xfId="195" applyFont="1"/>
    <xf numFmtId="0" fontId="35" fillId="0" borderId="0" xfId="195" applyFont="1" applyAlignment="1">
      <alignment horizontal="center"/>
    </xf>
    <xf numFmtId="0" fontId="34" fillId="0" borderId="88" xfId="195" applyFont="1" applyBorder="1" applyAlignment="1">
      <alignment horizontal="center"/>
    </xf>
    <xf numFmtId="0" fontId="34" fillId="0" borderId="88" xfId="195" applyFont="1" applyFill="1" applyBorder="1" applyAlignment="1">
      <alignment horizontal="center" wrapText="1"/>
    </xf>
    <xf numFmtId="3" fontId="34" fillId="0" borderId="92" xfId="195" applyNumberFormat="1" applyFont="1" applyFill="1" applyBorder="1" applyAlignment="1">
      <alignment horizontal="center" wrapText="1"/>
    </xf>
    <xf numFmtId="0" fontId="34" fillId="0" borderId="92" xfId="195" applyFont="1" applyFill="1" applyBorder="1" applyAlignment="1">
      <alignment horizontal="center" wrapText="1"/>
    </xf>
    <xf numFmtId="3" fontId="34" fillId="0" borderId="89" xfId="195" applyNumberFormat="1" applyFont="1" applyBorder="1" applyAlignment="1">
      <alignment horizontal="center" wrapText="1"/>
    </xf>
    <xf numFmtId="0" fontId="34" fillId="0" borderId="84" xfId="195" applyFont="1" applyBorder="1" applyAlignment="1">
      <alignment horizontal="right"/>
    </xf>
    <xf numFmtId="3" fontId="34" fillId="0" borderId="91" xfId="195" applyNumberFormat="1" applyFont="1" applyBorder="1" applyAlignment="1">
      <alignment wrapText="1"/>
    </xf>
    <xf numFmtId="3" fontId="34" fillId="0" borderId="93" xfId="195" applyNumberFormat="1" applyFont="1" applyFill="1" applyBorder="1" applyAlignment="1">
      <alignment horizontal="right"/>
    </xf>
    <xf numFmtId="3" fontId="34" fillId="0" borderId="93" xfId="195" applyNumberFormat="1" applyFont="1" applyFill="1" applyBorder="1" applyAlignment="1"/>
    <xf numFmtId="3" fontId="34" fillId="0" borderId="93" xfId="195" applyNumberFormat="1" applyFont="1" applyBorder="1" applyAlignment="1"/>
    <xf numFmtId="3" fontId="34" fillId="0" borderId="93" xfId="195" applyNumberFormat="1" applyFont="1" applyBorder="1" applyAlignment="1">
      <alignment horizontal="center"/>
    </xf>
    <xf numFmtId="0" fontId="34" fillId="0" borderId="85" xfId="195" applyFont="1" applyBorder="1" applyAlignment="1">
      <alignment horizontal="right"/>
    </xf>
    <xf numFmtId="3" fontId="34" fillId="0" borderId="56" xfId="195" applyNumberFormat="1" applyFont="1" applyBorder="1" applyAlignment="1">
      <alignment wrapText="1"/>
    </xf>
    <xf numFmtId="3" fontId="34" fillId="0" borderId="94" xfId="195" applyNumberFormat="1" applyFont="1" applyBorder="1" applyAlignment="1">
      <alignment wrapText="1"/>
    </xf>
    <xf numFmtId="3" fontId="34" fillId="0" borderId="31" xfId="195" applyNumberFormat="1" applyFont="1" applyFill="1" applyBorder="1" applyAlignment="1">
      <alignment horizontal="right"/>
    </xf>
    <xf numFmtId="3" fontId="34" fillId="0" borderId="31" xfId="195" applyNumberFormat="1" applyFont="1" applyFill="1" applyBorder="1" applyAlignment="1"/>
    <xf numFmtId="3" fontId="34" fillId="0" borderId="31" xfId="195" applyNumberFormat="1" applyFont="1" applyFill="1" applyBorder="1" applyAlignment="1">
      <alignment horizontal="center"/>
    </xf>
    <xf numFmtId="0" fontId="35" fillId="0" borderId="56" xfId="195" applyFont="1" applyFill="1" applyBorder="1" applyAlignment="1">
      <alignment wrapText="1"/>
    </xf>
    <xf numFmtId="3" fontId="35" fillId="0" borderId="94" xfId="195" applyNumberFormat="1" applyFont="1" applyFill="1" applyBorder="1" applyAlignment="1">
      <alignment wrapText="1"/>
    </xf>
    <xf numFmtId="3" fontId="35" fillId="0" borderId="94" xfId="195" applyNumberFormat="1" applyFont="1" applyFill="1" applyBorder="1" applyAlignment="1">
      <alignment horizontal="right" wrapText="1"/>
    </xf>
    <xf numFmtId="3" fontId="35" fillId="0" borderId="31" xfId="195" applyNumberFormat="1" applyFont="1" applyFill="1" applyBorder="1" applyAlignment="1"/>
    <xf numFmtId="3" fontId="62" fillId="0" borderId="31" xfId="195" applyNumberFormat="1" applyFont="1" applyBorder="1" applyAlignment="1">
      <alignment horizontal="center"/>
    </xf>
    <xf numFmtId="3" fontId="35" fillId="0" borderId="31" xfId="195" applyNumberFormat="1" applyFont="1" applyBorder="1" applyAlignment="1"/>
    <xf numFmtId="3" fontId="35" fillId="0" borderId="31" xfId="195" applyNumberFormat="1" applyFont="1" applyBorder="1" applyAlignment="1">
      <alignment horizontal="center"/>
    </xf>
    <xf numFmtId="0" fontId="62" fillId="0" borderId="56" xfId="195" applyFont="1" applyFill="1" applyBorder="1" applyAlignment="1">
      <alignment wrapText="1"/>
    </xf>
    <xf numFmtId="3" fontId="62" fillId="0" borderId="94" xfId="195" applyNumberFormat="1" applyFont="1" applyFill="1" applyBorder="1" applyAlignment="1">
      <alignment wrapText="1"/>
    </xf>
    <xf numFmtId="3" fontId="62" fillId="0" borderId="94" xfId="195" applyNumberFormat="1" applyFont="1" applyFill="1" applyBorder="1" applyAlignment="1">
      <alignment horizontal="right" wrapText="1"/>
    </xf>
    <xf numFmtId="0" fontId="34" fillId="0" borderId="56" xfId="195" applyFont="1" applyBorder="1" applyAlignment="1">
      <alignment wrapText="1"/>
    </xf>
    <xf numFmtId="3" fontId="34" fillId="0" borderId="94" xfId="195" applyNumberFormat="1" applyFont="1" applyFill="1" applyBorder="1" applyAlignment="1">
      <alignment horizontal="right" wrapText="1"/>
    </xf>
    <xf numFmtId="3" fontId="34" fillId="0" borderId="31" xfId="195" applyNumberFormat="1" applyFont="1" applyFill="1" applyBorder="1"/>
    <xf numFmtId="3" fontId="62" fillId="0" borderId="31" xfId="195" applyNumberFormat="1" applyFont="1" applyFill="1" applyBorder="1" applyAlignment="1">
      <alignment horizontal="center"/>
    </xf>
    <xf numFmtId="3" fontId="35" fillId="0" borderId="31" xfId="195" applyNumberFormat="1" applyFont="1" applyFill="1" applyBorder="1" applyAlignment="1">
      <alignment horizontal="center"/>
    </xf>
    <xf numFmtId="0" fontId="36" fillId="0" borderId="85" xfId="195" applyFont="1" applyFill="1" applyBorder="1" applyAlignment="1">
      <alignment horizontal="right"/>
    </xf>
    <xf numFmtId="0" fontId="29" fillId="0" borderId="56" xfId="195" applyFont="1" applyFill="1" applyBorder="1" applyAlignment="1">
      <alignment wrapText="1"/>
    </xf>
    <xf numFmtId="3" fontId="29" fillId="0" borderId="94" xfId="195" applyNumberFormat="1" applyFont="1" applyFill="1" applyBorder="1" applyAlignment="1">
      <alignment wrapText="1"/>
    </xf>
    <xf numFmtId="3" fontId="29" fillId="0" borderId="94" xfId="195" applyNumberFormat="1" applyFont="1" applyFill="1" applyBorder="1" applyAlignment="1">
      <alignment horizontal="right" wrapText="1"/>
    </xf>
    <xf numFmtId="3" fontId="29" fillId="0" borderId="31" xfId="195" applyNumberFormat="1" applyFont="1" applyFill="1" applyBorder="1" applyAlignment="1"/>
    <xf numFmtId="3" fontId="29" fillId="0" borderId="31" xfId="195" applyNumberFormat="1" applyFont="1" applyFill="1" applyBorder="1" applyAlignment="1">
      <alignment horizontal="center"/>
    </xf>
    <xf numFmtId="0" fontId="29" fillId="0" borderId="0" xfId="157" applyFont="1" applyFill="1"/>
    <xf numFmtId="3" fontId="29" fillId="0" borderId="94" xfId="195" applyNumberFormat="1" applyFont="1" applyFill="1" applyBorder="1" applyAlignment="1"/>
    <xf numFmtId="3" fontId="29" fillId="0" borderId="94" xfId="195" applyNumberFormat="1" applyFont="1" applyFill="1" applyBorder="1" applyAlignment="1">
      <alignment horizontal="center"/>
    </xf>
    <xf numFmtId="0" fontId="34" fillId="0" borderId="85" xfId="195" applyFont="1" applyFill="1" applyBorder="1" applyAlignment="1">
      <alignment horizontal="right"/>
    </xf>
    <xf numFmtId="0" fontId="29" fillId="0" borderId="56" xfId="157" applyFont="1" applyFill="1" applyBorder="1" applyAlignment="1">
      <alignment wrapText="1"/>
    </xf>
    <xf numFmtId="3" fontId="29" fillId="0" borderId="94" xfId="157" applyNumberFormat="1" applyFont="1" applyFill="1" applyBorder="1" applyAlignment="1">
      <alignment wrapText="1"/>
    </xf>
    <xf numFmtId="3" fontId="29" fillId="0" borderId="94" xfId="157" applyNumberFormat="1" applyFont="1" applyFill="1" applyBorder="1" applyAlignment="1">
      <alignment horizontal="right" wrapText="1"/>
    </xf>
    <xf numFmtId="3" fontId="29" fillId="0" borderId="94" xfId="157" applyNumberFormat="1" applyFont="1" applyBorder="1" applyAlignment="1">
      <alignment wrapText="1"/>
    </xf>
    <xf numFmtId="3" fontId="29" fillId="0" borderId="56" xfId="195" applyNumberFormat="1" applyFont="1" applyFill="1" applyBorder="1" applyAlignment="1">
      <alignment horizontal="center"/>
    </xf>
    <xf numFmtId="0" fontId="35" fillId="0" borderId="0" xfId="157" applyFont="1" applyFill="1"/>
    <xf numFmtId="0" fontId="35" fillId="0" borderId="56" xfId="195" applyFont="1" applyBorder="1" applyAlignment="1">
      <alignment wrapText="1"/>
    </xf>
    <xf numFmtId="3" fontId="35" fillId="0" borderId="94" xfId="195" applyNumberFormat="1" applyFont="1" applyBorder="1" applyAlignment="1">
      <alignment wrapText="1"/>
    </xf>
    <xf numFmtId="3" fontId="35" fillId="0" borderId="31" xfId="195" applyNumberFormat="1" applyFont="1" applyFill="1" applyBorder="1" applyAlignment="1">
      <alignment horizontal="right"/>
    </xf>
    <xf numFmtId="0" fontId="29" fillId="0" borderId="56" xfId="195" applyFont="1" applyBorder="1" applyAlignment="1">
      <alignment wrapText="1"/>
    </xf>
    <xf numFmtId="3" fontId="29" fillId="0" borderId="94" xfId="195" applyNumberFormat="1" applyFont="1" applyBorder="1" applyAlignment="1">
      <alignment wrapText="1"/>
    </xf>
    <xf numFmtId="3" fontId="29" fillId="0" borderId="94" xfId="195" applyNumberFormat="1" applyFont="1" applyBorder="1" applyAlignment="1">
      <alignment horizontal="right" wrapText="1"/>
    </xf>
    <xf numFmtId="3" fontId="29" fillId="0" borderId="94" xfId="195" applyNumberFormat="1" applyFont="1" applyBorder="1" applyAlignment="1"/>
    <xf numFmtId="3" fontId="29" fillId="0" borderId="94" xfId="195" applyNumberFormat="1" applyFont="1" applyBorder="1" applyAlignment="1">
      <alignment horizontal="center"/>
    </xf>
    <xf numFmtId="3" fontId="35" fillId="0" borderId="94" xfId="195" applyNumberFormat="1" applyFont="1" applyBorder="1" applyAlignment="1">
      <alignment horizontal="right" wrapText="1"/>
    </xf>
    <xf numFmtId="3" fontId="34" fillId="0" borderId="94" xfId="195" applyNumberFormat="1" applyFont="1" applyBorder="1" applyAlignment="1">
      <alignment horizontal="right" wrapText="1"/>
    </xf>
    <xf numFmtId="0" fontId="29" fillId="0" borderId="56" xfId="157" applyFont="1" applyBorder="1" applyAlignment="1">
      <alignment wrapText="1"/>
    </xf>
    <xf numFmtId="3" fontId="29" fillId="0" borderId="94" xfId="157" applyNumberFormat="1" applyFont="1" applyBorder="1" applyAlignment="1">
      <alignment horizontal="right" wrapText="1"/>
    </xf>
    <xf numFmtId="3" fontId="34" fillId="0" borderId="31" xfId="195" applyNumberFormat="1" applyFont="1" applyFill="1" applyBorder="1" applyAlignment="1">
      <alignment horizontal="right" wrapText="1"/>
    </xf>
    <xf numFmtId="3" fontId="34" fillId="0" borderId="31" xfId="195" applyNumberFormat="1" applyFont="1" applyFill="1" applyBorder="1" applyAlignment="1">
      <alignment wrapText="1"/>
    </xf>
    <xf numFmtId="3" fontId="34" fillId="0" borderId="31" xfId="195" applyNumberFormat="1" applyFont="1" applyBorder="1" applyAlignment="1">
      <alignment wrapText="1"/>
    </xf>
    <xf numFmtId="3" fontId="34" fillId="0" borderId="31" xfId="195" applyNumberFormat="1" applyFont="1" applyBorder="1" applyAlignment="1">
      <alignment horizontal="center" wrapText="1"/>
    </xf>
    <xf numFmtId="0" fontId="62" fillId="0" borderId="56" xfId="157" applyFont="1" applyFill="1" applyBorder="1" applyAlignment="1">
      <alignment wrapText="1"/>
    </xf>
    <xf numFmtId="3" fontId="62" fillId="0" borderId="94" xfId="157" applyNumberFormat="1" applyFont="1" applyFill="1" applyBorder="1" applyAlignment="1">
      <alignment wrapText="1"/>
    </xf>
    <xf numFmtId="3" fontId="62" fillId="0" borderId="94" xfId="157" applyNumberFormat="1" applyFont="1" applyFill="1" applyBorder="1" applyAlignment="1">
      <alignment horizontal="right" wrapText="1"/>
    </xf>
    <xf numFmtId="0" fontId="35" fillId="0" borderId="56" xfId="157" applyFont="1" applyBorder="1" applyAlignment="1">
      <alignment wrapText="1"/>
    </xf>
    <xf numFmtId="3" fontId="35" fillId="0" borderId="94" xfId="157" applyNumberFormat="1" applyFont="1" applyBorder="1" applyAlignment="1">
      <alignment wrapText="1"/>
    </xf>
    <xf numFmtId="3" fontId="35" fillId="0" borderId="94" xfId="157" applyNumberFormat="1" applyFont="1" applyFill="1" applyBorder="1" applyAlignment="1">
      <alignment horizontal="right" wrapText="1"/>
    </xf>
    <xf numFmtId="3" fontId="34" fillId="0" borderId="31" xfId="195" applyNumberFormat="1" applyFont="1" applyBorder="1" applyAlignment="1">
      <alignment horizontal="center"/>
    </xf>
    <xf numFmtId="3" fontId="34" fillId="0" borderId="31" xfId="195" applyNumberFormat="1" applyFont="1" applyBorder="1" applyAlignment="1"/>
    <xf numFmtId="3" fontId="35" fillId="0" borderId="94" xfId="157" applyNumberFormat="1" applyFont="1" applyFill="1" applyBorder="1" applyAlignment="1">
      <alignment wrapText="1"/>
    </xf>
    <xf numFmtId="3" fontId="29" fillId="0" borderId="31" xfId="195" applyNumberFormat="1" applyFont="1" applyBorder="1" applyAlignment="1">
      <alignment horizontal="center"/>
    </xf>
    <xf numFmtId="3" fontId="29" fillId="0" borderId="31" xfId="195" applyNumberFormat="1" applyFont="1" applyBorder="1" applyAlignment="1"/>
    <xf numFmtId="3" fontId="35" fillId="0" borderId="94" xfId="157" applyNumberFormat="1" applyFont="1" applyBorder="1" applyAlignment="1">
      <alignment horizontal="right" wrapText="1"/>
    </xf>
    <xf numFmtId="3" fontId="34" fillId="0" borderId="31" xfId="195" applyNumberFormat="1" applyFont="1" applyFill="1" applyBorder="1" applyAlignment="1">
      <alignment horizontal="center" wrapText="1"/>
    </xf>
    <xf numFmtId="3" fontId="62" fillId="0" borderId="31" xfId="195" applyNumberFormat="1" applyFont="1" applyBorder="1" applyAlignment="1"/>
    <xf numFmtId="0" fontId="35" fillId="0" borderId="101" xfId="157" applyFont="1" applyFill="1" applyBorder="1"/>
    <xf numFmtId="0" fontId="34" fillId="0" borderId="56" xfId="195" applyFont="1" applyFill="1" applyBorder="1" applyAlignment="1">
      <alignment wrapText="1"/>
    </xf>
    <xf numFmtId="3" fontId="34" fillId="0" borderId="94" xfId="195" applyNumberFormat="1" applyFont="1" applyFill="1" applyBorder="1" applyAlignment="1">
      <alignment wrapText="1"/>
    </xf>
    <xf numFmtId="0" fontId="34" fillId="0" borderId="94" xfId="195" applyFont="1" applyFill="1" applyBorder="1" applyAlignment="1">
      <alignment wrapText="1"/>
    </xf>
    <xf numFmtId="0" fontId="29" fillId="0" borderId="56" xfId="157" applyFont="1" applyFill="1" applyBorder="1" applyAlignment="1">
      <alignment horizontal="left" wrapText="1"/>
    </xf>
    <xf numFmtId="3" fontId="35" fillId="0" borderId="56" xfId="195" applyNumberFormat="1" applyFont="1" applyBorder="1" applyAlignment="1">
      <alignment horizontal="center"/>
    </xf>
    <xf numFmtId="3" fontId="35" fillId="0" borderId="94" xfId="195" applyNumberFormat="1" applyFont="1" applyFill="1" applyBorder="1" applyAlignment="1"/>
    <xf numFmtId="3" fontId="62" fillId="0" borderId="94" xfId="195" applyNumberFormat="1" applyFont="1" applyFill="1" applyBorder="1" applyAlignment="1">
      <alignment horizontal="center"/>
    </xf>
    <xf numFmtId="3" fontId="35" fillId="0" borderId="56" xfId="195" applyNumberFormat="1" applyFont="1" applyFill="1" applyBorder="1" applyAlignment="1">
      <alignment horizontal="center"/>
    </xf>
    <xf numFmtId="3" fontId="35" fillId="0" borderId="94" xfId="195" applyNumberFormat="1" applyFont="1" applyFill="1" applyBorder="1" applyAlignment="1">
      <alignment horizontal="center"/>
    </xf>
    <xf numFmtId="3" fontId="29" fillId="0" borderId="56" xfId="195" applyNumberFormat="1" applyFont="1" applyBorder="1" applyAlignment="1">
      <alignment horizontal="center"/>
    </xf>
    <xf numFmtId="3" fontId="34" fillId="0" borderId="56" xfId="195" applyNumberFormat="1" applyFont="1" applyBorder="1" applyAlignment="1">
      <alignment horizontal="center"/>
    </xf>
    <xf numFmtId="3" fontId="34" fillId="0" borderId="56" xfId="195" applyNumberFormat="1" applyFont="1" applyFill="1" applyBorder="1" applyAlignment="1">
      <alignment horizontal="center"/>
    </xf>
    <xf numFmtId="0" fontId="34" fillId="0" borderId="56" xfId="195" applyFont="1" applyBorder="1" applyAlignment="1">
      <alignment horizontal="right"/>
    </xf>
    <xf numFmtId="0" fontId="34" fillId="0" borderId="33" xfId="195" applyFont="1" applyBorder="1" applyAlignment="1">
      <alignment wrapText="1"/>
    </xf>
    <xf numFmtId="3" fontId="34" fillId="0" borderId="67" xfId="195" applyNumberFormat="1" applyFont="1" applyFill="1" applyBorder="1" applyAlignment="1">
      <alignment horizontal="right"/>
    </xf>
    <xf numFmtId="3" fontId="34" fillId="0" borderId="67" xfId="195" applyNumberFormat="1" applyFont="1" applyFill="1" applyBorder="1"/>
    <xf numFmtId="3" fontId="34" fillId="0" borderId="67" xfId="195" applyNumberFormat="1" applyFont="1" applyFill="1" applyBorder="1" applyAlignment="1">
      <alignment horizontal="center"/>
    </xf>
    <xf numFmtId="3" fontId="34" fillId="0" borderId="33" xfId="195" applyNumberFormat="1" applyFont="1" applyFill="1" applyBorder="1" applyAlignment="1">
      <alignment horizontal="center"/>
    </xf>
    <xf numFmtId="0" fontId="35" fillId="0" borderId="59" xfId="195" applyFont="1" applyBorder="1" applyAlignment="1">
      <alignment wrapText="1"/>
    </xf>
    <xf numFmtId="3" fontId="35" fillId="0" borderId="95" xfId="195" applyNumberFormat="1" applyFont="1" applyBorder="1" applyAlignment="1">
      <alignment wrapText="1"/>
    </xf>
    <xf numFmtId="3" fontId="35" fillId="0" borderId="95" xfId="195" applyNumberFormat="1" applyFont="1" applyFill="1" applyBorder="1" applyAlignment="1">
      <alignment horizontal="right" wrapText="1"/>
    </xf>
    <xf numFmtId="3" fontId="35" fillId="0" borderId="95" xfId="195" applyNumberFormat="1" applyFont="1" applyFill="1" applyBorder="1" applyAlignment="1">
      <alignment wrapText="1"/>
    </xf>
    <xf numFmtId="3" fontId="35" fillId="0" borderId="69" xfId="195" applyNumberFormat="1" applyFont="1" applyFill="1" applyBorder="1" applyAlignment="1"/>
    <xf numFmtId="3" fontId="35" fillId="0" borderId="69" xfId="195" applyNumberFormat="1" applyFont="1" applyBorder="1" applyAlignment="1">
      <alignment horizontal="center"/>
    </xf>
    <xf numFmtId="3" fontId="62" fillId="0" borderId="69" xfId="195" applyNumberFormat="1" applyFont="1" applyBorder="1" applyAlignment="1">
      <alignment horizontal="center"/>
    </xf>
    <xf numFmtId="3" fontId="35" fillId="0" borderId="69" xfId="195" applyNumberFormat="1" applyFont="1" applyBorder="1" applyAlignment="1"/>
    <xf numFmtId="3" fontId="35" fillId="0" borderId="59" xfId="195" applyNumberFormat="1" applyFont="1" applyBorder="1" applyAlignment="1">
      <alignment horizontal="center"/>
    </xf>
    <xf numFmtId="0" fontId="35" fillId="0" borderId="75" xfId="195" applyFont="1" applyBorder="1" applyAlignment="1">
      <alignment wrapText="1"/>
    </xf>
    <xf numFmtId="3" fontId="35" fillId="0" borderId="56" xfId="195" applyNumberFormat="1" applyFont="1" applyFill="1" applyBorder="1" applyAlignment="1">
      <alignment horizontal="right"/>
    </xf>
    <xf numFmtId="3" fontId="35" fillId="0" borderId="94" xfId="195" applyNumberFormat="1" applyFont="1" applyFill="1" applyBorder="1"/>
    <xf numFmtId="3" fontId="35" fillId="0" borderId="31" xfId="195" applyNumberFormat="1" applyFont="1" applyFill="1" applyBorder="1"/>
    <xf numFmtId="0" fontId="34" fillId="0" borderId="75" xfId="195" applyFont="1" applyBorder="1" applyAlignment="1">
      <alignment horizontal="right"/>
    </xf>
    <xf numFmtId="3" fontId="29" fillId="0" borderId="56" xfId="157" applyNumberFormat="1" applyFont="1" applyBorder="1" applyAlignment="1">
      <alignment wrapText="1"/>
    </xf>
    <xf numFmtId="3" fontId="29" fillId="0" borderId="95" xfId="157" applyNumberFormat="1" applyFont="1" applyFill="1" applyBorder="1" applyAlignment="1">
      <alignment horizontal="right" wrapText="1"/>
    </xf>
    <xf numFmtId="3" fontId="29" fillId="0" borderId="95" xfId="157" applyNumberFormat="1" applyFont="1" applyFill="1" applyBorder="1" applyAlignment="1">
      <alignment wrapText="1"/>
    </xf>
    <xf numFmtId="3" fontId="29" fillId="0" borderId="95" xfId="195" applyNumberFormat="1" applyFont="1" applyFill="1" applyBorder="1" applyAlignment="1"/>
    <xf numFmtId="3" fontId="29" fillId="0" borderId="69" xfId="195" applyNumberFormat="1" applyFont="1" applyFill="1" applyBorder="1" applyAlignment="1">
      <alignment horizontal="center"/>
    </xf>
    <xf numFmtId="3" fontId="29" fillId="0" borderId="69" xfId="195" applyNumberFormat="1" applyFont="1" applyFill="1" applyBorder="1" applyAlignment="1"/>
    <xf numFmtId="3" fontId="29" fillId="0" borderId="95" xfId="195" applyNumberFormat="1" applyFont="1" applyFill="1" applyBorder="1" applyAlignment="1">
      <alignment horizontal="center"/>
    </xf>
    <xf numFmtId="3" fontId="29" fillId="0" borderId="59" xfId="195" applyNumberFormat="1" applyFont="1" applyFill="1" applyBorder="1" applyAlignment="1">
      <alignment horizontal="center"/>
    </xf>
    <xf numFmtId="3" fontId="29" fillId="0" borderId="95" xfId="157" applyNumberFormat="1" applyFont="1" applyBorder="1" applyAlignment="1">
      <alignment wrapText="1"/>
    </xf>
    <xf numFmtId="3" fontId="29" fillId="0" borderId="95" xfId="195" applyNumberFormat="1" applyFont="1" applyBorder="1" applyAlignment="1">
      <alignment horizontal="center"/>
    </xf>
    <xf numFmtId="3" fontId="29" fillId="0" borderId="59" xfId="195" applyNumberFormat="1" applyFont="1" applyBorder="1" applyAlignment="1">
      <alignment horizontal="center"/>
    </xf>
    <xf numFmtId="3" fontId="29" fillId="0" borderId="95" xfId="195" applyNumberFormat="1" applyFont="1" applyBorder="1" applyAlignment="1"/>
    <xf numFmtId="3" fontId="29" fillId="0" borderId="69" xfId="195" applyNumberFormat="1" applyFont="1" applyBorder="1" applyAlignment="1">
      <alignment horizontal="center"/>
    </xf>
    <xf numFmtId="3" fontId="29" fillId="0" borderId="69" xfId="195" applyNumberFormat="1" applyFont="1" applyBorder="1" applyAlignment="1"/>
    <xf numFmtId="0" fontId="34" fillId="0" borderId="90" xfId="195" applyFont="1" applyBorder="1" applyAlignment="1">
      <alignment horizontal="right"/>
    </xf>
    <xf numFmtId="3" fontId="34" fillId="0" borderId="33" xfId="195" applyNumberFormat="1" applyFont="1" applyFill="1" applyBorder="1" applyAlignment="1">
      <alignment horizontal="right"/>
    </xf>
    <xf numFmtId="3" fontId="34" fillId="0" borderId="33" xfId="195" applyNumberFormat="1" applyFont="1" applyFill="1" applyBorder="1"/>
    <xf numFmtId="3" fontId="35" fillId="0" borderId="0" xfId="195" applyNumberFormat="1" applyFont="1"/>
    <xf numFmtId="3" fontId="35" fillId="0" borderId="0" xfId="195" applyNumberFormat="1" applyFont="1" applyAlignment="1">
      <alignment horizontal="center"/>
    </xf>
    <xf numFmtId="0" fontId="39" fillId="0" borderId="36" xfId="174" applyFont="1" applyFill="1" applyBorder="1" applyAlignment="1">
      <alignment wrapText="1"/>
    </xf>
    <xf numFmtId="0" fontId="38" fillId="0" borderId="11" xfId="174" applyFont="1" applyFill="1" applyBorder="1" applyAlignment="1">
      <alignment horizontal="left" wrapText="1"/>
    </xf>
    <xf numFmtId="3" fontId="0" fillId="0" borderId="63" xfId="0" applyNumberFormat="1" applyFill="1" applyBorder="1"/>
    <xf numFmtId="3" fontId="11" fillId="0" borderId="38" xfId="171" applyNumberFormat="1" applyFont="1" applyFill="1" applyBorder="1"/>
    <xf numFmtId="3" fontId="11" fillId="0" borderId="15" xfId="171" applyNumberFormat="1" applyFont="1" applyFill="1" applyBorder="1"/>
    <xf numFmtId="0" fontId="0" fillId="0" borderId="31" xfId="157" applyFont="1" applyBorder="1" applyAlignment="1">
      <alignment wrapText="1"/>
    </xf>
    <xf numFmtId="0" fontId="38" fillId="0" borderId="13" xfId="171" applyFont="1" applyFill="1" applyBorder="1"/>
    <xf numFmtId="0" fontId="38" fillId="0" borderId="40" xfId="171" applyFont="1" applyFill="1" applyBorder="1"/>
    <xf numFmtId="3" fontId="41" fillId="0" borderId="10" xfId="171" applyNumberFormat="1" applyFont="1" applyFill="1" applyBorder="1"/>
    <xf numFmtId="4" fontId="41" fillId="0" borderId="10" xfId="171" applyNumberFormat="1" applyFont="1" applyFill="1" applyBorder="1"/>
    <xf numFmtId="0" fontId="9" fillId="0" borderId="0" xfId="171" applyFont="1" applyFill="1"/>
    <xf numFmtId="0" fontId="62" fillId="0" borderId="0" xfId="205" applyFont="1"/>
    <xf numFmtId="0" fontId="62" fillId="0" borderId="0" xfId="205" applyFont="1" applyAlignment="1">
      <alignment wrapText="1"/>
    </xf>
    <xf numFmtId="3" fontId="62" fillId="0" borderId="0" xfId="205" applyNumberFormat="1" applyFont="1" applyFill="1"/>
    <xf numFmtId="0" fontId="65" fillId="0" borderId="33" xfId="205" applyFont="1" applyBorder="1" applyAlignment="1">
      <alignment horizontal="center" vertical="center" wrapText="1"/>
    </xf>
    <xf numFmtId="0" fontId="65" fillId="0" borderId="33" xfId="205" applyFont="1" applyBorder="1" applyAlignment="1">
      <alignment horizontal="center" vertical="center"/>
    </xf>
    <xf numFmtId="3" fontId="34" fillId="0" borderId="33" xfId="195" applyNumberFormat="1" applyFont="1" applyFill="1" applyBorder="1" applyAlignment="1">
      <alignment horizontal="center" vertical="center" wrapText="1"/>
    </xf>
    <xf numFmtId="0" fontId="62" fillId="0" borderId="0" xfId="205" applyFont="1" applyAlignment="1">
      <alignment horizontal="center"/>
    </xf>
    <xf numFmtId="0" fontId="34" fillId="0" borderId="56" xfId="196" applyFont="1" applyFill="1" applyBorder="1" applyAlignment="1">
      <alignment wrapText="1"/>
    </xf>
    <xf numFmtId="0" fontId="35" fillId="0" borderId="56" xfId="196" applyFont="1" applyFill="1" applyBorder="1" applyAlignment="1">
      <alignment wrapText="1"/>
    </xf>
    <xf numFmtId="3" fontId="35" fillId="0" borderId="56" xfId="197" applyNumberFormat="1" applyFont="1" applyFill="1" applyBorder="1"/>
    <xf numFmtId="3" fontId="34" fillId="0" borderId="56" xfId="196" applyNumberFormat="1" applyFont="1" applyFill="1" applyBorder="1" applyAlignment="1">
      <alignment wrapText="1"/>
    </xf>
    <xf numFmtId="0" fontId="34" fillId="0" borderId="0" xfId="196" applyFont="1" applyFill="1"/>
    <xf numFmtId="3" fontId="34" fillId="0" borderId="56" xfId="197" applyNumberFormat="1" applyFont="1" applyFill="1" applyBorder="1"/>
    <xf numFmtId="3" fontId="34" fillId="0" borderId="56" xfId="196" applyNumberFormat="1" applyFont="1" applyFill="1" applyBorder="1"/>
    <xf numFmtId="3" fontId="34" fillId="0" borderId="90" xfId="196" applyNumberFormat="1" applyFont="1" applyFill="1" applyBorder="1"/>
    <xf numFmtId="0" fontId="34" fillId="0" borderId="119" xfId="196" applyFont="1" applyFill="1" applyBorder="1" applyAlignment="1"/>
    <xf numFmtId="0" fontId="34" fillId="0" borderId="120" xfId="196" applyFont="1" applyFill="1" applyBorder="1" applyAlignment="1"/>
    <xf numFmtId="3" fontId="34" fillId="0" borderId="75" xfId="197" applyNumberFormat="1" applyFont="1" applyFill="1" applyBorder="1"/>
    <xf numFmtId="3" fontId="34" fillId="0" borderId="33" xfId="196" applyNumberFormat="1" applyFont="1" applyFill="1" applyBorder="1" applyAlignment="1">
      <alignment wrapText="1"/>
    </xf>
    <xf numFmtId="0" fontId="35" fillId="0" borderId="0" xfId="196" applyFont="1" applyFill="1" applyAlignment="1">
      <alignment wrapText="1"/>
    </xf>
    <xf numFmtId="0" fontId="62" fillId="0" borderId="0" xfId="205" applyFont="1" applyFill="1"/>
    <xf numFmtId="0" fontId="66" fillId="0" borderId="33" xfId="249" applyFont="1" applyBorder="1" applyAlignment="1">
      <alignment horizontal="center" wrapText="1"/>
    </xf>
    <xf numFmtId="3" fontId="66" fillId="0" borderId="33" xfId="249" applyNumberFormat="1" applyFont="1" applyBorder="1" applyAlignment="1">
      <alignment horizontal="center" wrapText="1"/>
    </xf>
    <xf numFmtId="0" fontId="32" fillId="0" borderId="0" xfId="249"/>
    <xf numFmtId="0" fontId="67" fillId="0" borderId="91" xfId="249" applyFont="1" applyBorder="1" applyAlignment="1">
      <alignment horizontal="left" wrapText="1"/>
    </xf>
    <xf numFmtId="3" fontId="67" fillId="0" borderId="91" xfId="249" applyNumberFormat="1" applyFont="1" applyBorder="1" applyAlignment="1">
      <alignment horizontal="right" wrapText="1"/>
    </xf>
    <xf numFmtId="0" fontId="68" fillId="0" borderId="56" xfId="249" applyFont="1" applyFill="1" applyBorder="1" applyAlignment="1">
      <alignment wrapText="1"/>
    </xf>
    <xf numFmtId="3" fontId="32" fillId="0" borderId="56" xfId="249" applyNumberFormat="1" applyFill="1" applyBorder="1"/>
    <xf numFmtId="0" fontId="68" fillId="0" borderId="56" xfId="249" applyFont="1" applyBorder="1" applyAlignment="1">
      <alignment wrapText="1"/>
    </xf>
    <xf numFmtId="3" fontId="32" fillId="0" borderId="56" xfId="249" applyNumberFormat="1" applyBorder="1"/>
    <xf numFmtId="0" fontId="69" fillId="0" borderId="56" xfId="249" applyFont="1" applyFill="1" applyBorder="1" applyAlignment="1">
      <alignment wrapText="1"/>
    </xf>
    <xf numFmtId="3" fontId="69" fillId="0" borderId="56" xfId="249" applyNumberFormat="1" applyFont="1" applyFill="1" applyBorder="1"/>
    <xf numFmtId="0" fontId="69" fillId="0" borderId="0" xfId="249" applyFont="1" applyFill="1"/>
    <xf numFmtId="0" fontId="66" fillId="0" borderId="33" xfId="249" applyFont="1" applyBorder="1" applyAlignment="1">
      <alignment wrapText="1"/>
    </xf>
    <xf numFmtId="3" fontId="66" fillId="0" borderId="33" xfId="249" applyNumberFormat="1" applyFont="1" applyBorder="1"/>
    <xf numFmtId="0" fontId="32" fillId="0" borderId="0" xfId="249" applyAlignment="1"/>
    <xf numFmtId="3" fontId="32" fillId="0" borderId="0" xfId="249" applyNumberFormat="1"/>
    <xf numFmtId="0" fontId="32" fillId="0" borderId="0" xfId="249" applyAlignment="1">
      <alignment wrapText="1"/>
    </xf>
    <xf numFmtId="3" fontId="0" fillId="0" borderId="69" xfId="0" applyNumberFormat="1" applyFont="1" applyBorder="1" applyAlignment="1">
      <alignment wrapText="1"/>
    </xf>
    <xf numFmtId="3" fontId="9" fillId="0" borderId="81" xfId="0" applyNumberFormat="1" applyFont="1" applyBorder="1"/>
    <xf numFmtId="3" fontId="56" fillId="0" borderId="88" xfId="200" applyNumberFormat="1" applyFont="1" applyBorder="1" applyAlignment="1">
      <alignment horizontal="center" vertical="center" wrapText="1"/>
    </xf>
    <xf numFmtId="3" fontId="56" fillId="0" borderId="41" xfId="200" applyNumberFormat="1" applyFont="1" applyBorder="1" applyAlignment="1">
      <alignment horizontal="center" vertical="center" wrapText="1"/>
    </xf>
    <xf numFmtId="3" fontId="0" fillId="0" borderId="19" xfId="0" applyNumberFormat="1" applyFont="1" applyBorder="1"/>
    <xf numFmtId="0" fontId="0" fillId="0" borderId="69" xfId="157" applyFont="1" applyBorder="1" applyAlignment="1">
      <alignment wrapText="1"/>
    </xf>
    <xf numFmtId="3" fontId="9" fillId="0" borderId="24" xfId="0" applyNumberFormat="1" applyFont="1" applyBorder="1"/>
    <xf numFmtId="3" fontId="0" fillId="0" borderId="69" xfId="0" applyNumberFormat="1" applyFont="1" applyFill="1" applyBorder="1" applyAlignment="1">
      <alignment wrapText="1"/>
    </xf>
    <xf numFmtId="3" fontId="0" fillId="0" borderId="0" xfId="0" applyNumberFormat="1" applyAlignment="1"/>
    <xf numFmtId="3" fontId="9" fillId="0" borderId="81" xfId="174" applyNumberFormat="1" applyFont="1" applyFill="1" applyBorder="1"/>
    <xf numFmtId="3" fontId="9" fillId="0" borderId="39" xfId="174" applyNumberFormat="1" applyFont="1" applyFill="1" applyBorder="1"/>
    <xf numFmtId="0" fontId="8" fillId="0" borderId="11" xfId="174" applyFont="1" applyBorder="1" applyAlignment="1">
      <alignment wrapText="1"/>
    </xf>
    <xf numFmtId="0" fontId="8" fillId="0" borderId="38" xfId="174" applyFont="1" applyBorder="1" applyAlignment="1">
      <alignment wrapText="1"/>
    </xf>
    <xf numFmtId="0" fontId="40" fillId="0" borderId="11" xfId="174" applyFont="1" applyFill="1" applyBorder="1" applyAlignment="1">
      <alignment wrapText="1"/>
    </xf>
    <xf numFmtId="3" fontId="2" fillId="0" borderId="0" xfId="256" applyNumberFormat="1"/>
    <xf numFmtId="3" fontId="50" fillId="0" borderId="0" xfId="256" applyNumberFormat="1" applyFont="1"/>
    <xf numFmtId="3" fontId="2" fillId="0" borderId="0" xfId="256" applyNumberFormat="1" applyFont="1"/>
    <xf numFmtId="3" fontId="63" fillId="0" borderId="0" xfId="256" applyNumberFormat="1" applyFont="1"/>
    <xf numFmtId="3" fontId="2" fillId="0" borderId="0" xfId="256" applyNumberFormat="1" applyFill="1"/>
    <xf numFmtId="3" fontId="2" fillId="0" borderId="0" xfId="256" applyNumberFormat="1" applyAlignment="1">
      <alignment horizontal="right"/>
    </xf>
    <xf numFmtId="0" fontId="1" fillId="0" borderId="0" xfId="258"/>
    <xf numFmtId="3" fontId="35" fillId="0" borderId="0" xfId="257" applyNumberFormat="1" applyFont="1" applyBorder="1" applyAlignment="1">
      <alignment horizontal="left"/>
    </xf>
    <xf numFmtId="3" fontId="35" fillId="0" borderId="0" xfId="257" applyNumberFormat="1" applyFont="1" applyBorder="1" applyAlignment="1">
      <alignment horizontal="right"/>
    </xf>
    <xf numFmtId="3" fontId="34" fillId="0" borderId="10" xfId="257" applyNumberFormat="1" applyFont="1" applyBorder="1" applyAlignment="1">
      <alignment horizontal="left" vertical="center" wrapText="1"/>
    </xf>
    <xf numFmtId="3" fontId="34" fillId="0" borderId="10" xfId="257" applyNumberFormat="1" applyFont="1" applyBorder="1" applyAlignment="1">
      <alignment horizontal="center" vertical="center" wrapText="1"/>
    </xf>
    <xf numFmtId="0" fontId="35" fillId="0" borderId="36" xfId="199" applyFont="1" applyBorder="1" applyAlignment="1">
      <alignment wrapText="1"/>
    </xf>
    <xf numFmtId="3" fontId="35" fillId="0" borderId="36" xfId="257" applyNumberFormat="1" applyFont="1" applyBorder="1" applyAlignment="1">
      <alignment horizontal="right"/>
    </xf>
    <xf numFmtId="0" fontId="35" fillId="0" borderId="38" xfId="199" applyFont="1" applyBorder="1" applyAlignment="1"/>
    <xf numFmtId="3" fontId="34" fillId="0" borderId="10" xfId="257" applyNumberFormat="1" applyFont="1" applyBorder="1" applyAlignment="1">
      <alignment horizontal="right"/>
    </xf>
    <xf numFmtId="3" fontId="35" fillId="0" borderId="37" xfId="257" applyNumberFormat="1" applyFont="1" applyBorder="1" applyAlignment="1">
      <alignment horizontal="right"/>
    </xf>
    <xf numFmtId="0" fontId="35" fillId="0" borderId="11" xfId="199" applyFont="1" applyBorder="1" applyAlignment="1">
      <alignment wrapText="1"/>
    </xf>
    <xf numFmtId="0" fontId="34" fillId="0" borderId="10" xfId="199" applyFont="1" applyBorder="1" applyAlignment="1">
      <alignment wrapText="1"/>
    </xf>
    <xf numFmtId="3" fontId="35" fillId="0" borderId="36" xfId="257" applyNumberFormat="1" applyFont="1" applyFill="1" applyBorder="1" applyAlignment="1">
      <alignment horizontal="right"/>
    </xf>
    <xf numFmtId="3" fontId="34" fillId="0" borderId="10" xfId="257" applyNumberFormat="1" applyFont="1" applyFill="1" applyBorder="1" applyAlignment="1">
      <alignment horizontal="right"/>
    </xf>
    <xf numFmtId="0" fontId="1" fillId="0" borderId="0" xfId="258" applyFill="1"/>
    <xf numFmtId="3" fontId="34" fillId="0" borderId="10" xfId="257" applyNumberFormat="1" applyFont="1" applyBorder="1" applyAlignment="1">
      <alignment horizontal="left"/>
    </xf>
    <xf numFmtId="3" fontId="34" fillId="0" borderId="79" xfId="257" applyNumberFormat="1" applyFont="1" applyBorder="1" applyAlignment="1">
      <alignment horizontal="left"/>
    </xf>
    <xf numFmtId="3" fontId="34" fillId="0" borderId="79" xfId="257" applyNumberFormat="1" applyFont="1" applyBorder="1" applyAlignment="1">
      <alignment horizontal="right"/>
    </xf>
    <xf numFmtId="0" fontId="70" fillId="0" borderId="0" xfId="259" applyFont="1"/>
    <xf numFmtId="0" fontId="70" fillId="0" borderId="0" xfId="259" applyFont="1" applyAlignment="1">
      <alignment wrapText="1"/>
    </xf>
    <xf numFmtId="0" fontId="70" fillId="0" borderId="0" xfId="259" applyFont="1" applyFill="1" applyAlignment="1">
      <alignment wrapText="1"/>
    </xf>
    <xf numFmtId="0" fontId="71" fillId="0" borderId="0" xfId="259" applyFont="1"/>
    <xf numFmtId="0" fontId="71" fillId="0" borderId="61" xfId="259" applyFont="1" applyBorder="1" applyAlignment="1">
      <alignment horizontal="center" wrapText="1"/>
    </xf>
    <xf numFmtId="0" fontId="71" fillId="0" borderId="33" xfId="259" applyFont="1" applyBorder="1" applyAlignment="1">
      <alignment horizontal="center" wrapText="1"/>
    </xf>
    <xf numFmtId="0" fontId="71" fillId="0" borderId="61" xfId="259" applyFont="1" applyFill="1" applyBorder="1" applyAlignment="1">
      <alignment horizontal="center" wrapText="1"/>
    </xf>
    <xf numFmtId="0" fontId="71" fillId="0" borderId="33" xfId="259" applyFont="1" applyFill="1" applyBorder="1" applyAlignment="1">
      <alignment horizontal="center" wrapText="1"/>
    </xf>
    <xf numFmtId="0" fontId="71" fillId="0" borderId="0" xfId="259" applyFont="1" applyAlignment="1">
      <alignment wrapText="1"/>
    </xf>
    <xf numFmtId="0" fontId="70" fillId="0" borderId="70" xfId="259" applyFont="1" applyBorder="1"/>
    <xf numFmtId="0" fontId="70" fillId="0" borderId="73" xfId="259" applyFont="1" applyFill="1" applyBorder="1" applyAlignment="1">
      <alignment wrapText="1"/>
    </xf>
    <xf numFmtId="0" fontId="70" fillId="0" borderId="94" xfId="259" applyFont="1" applyFill="1" applyBorder="1" applyAlignment="1">
      <alignment wrapText="1"/>
    </xf>
    <xf numFmtId="3" fontId="70" fillId="0" borderId="72" xfId="259" applyNumberFormat="1" applyFont="1" applyBorder="1"/>
    <xf numFmtId="3" fontId="70" fillId="0" borderId="31" xfId="259" applyNumberFormat="1" applyFont="1" applyBorder="1"/>
    <xf numFmtId="3" fontId="70" fillId="0" borderId="0" xfId="259" applyNumberFormat="1" applyFont="1"/>
    <xf numFmtId="3" fontId="70" fillId="0" borderId="0" xfId="259" applyNumberFormat="1" applyFont="1" applyFill="1"/>
    <xf numFmtId="0" fontId="70" fillId="0" borderId="32" xfId="259" applyFont="1" applyBorder="1"/>
    <xf numFmtId="0" fontId="70" fillId="0" borderId="24" xfId="259" applyFont="1" applyFill="1" applyBorder="1" applyAlignment="1">
      <alignment wrapText="1"/>
    </xf>
    <xf numFmtId="3" fontId="70" fillId="0" borderId="34" xfId="259" applyNumberFormat="1" applyFont="1" applyBorder="1"/>
    <xf numFmtId="3" fontId="70" fillId="0" borderId="24" xfId="259" applyNumberFormat="1" applyFont="1" applyBorder="1"/>
    <xf numFmtId="0" fontId="70" fillId="0" borderId="122" xfId="259" applyFont="1" applyFill="1" applyBorder="1" applyAlignment="1">
      <alignment wrapText="1"/>
    </xf>
    <xf numFmtId="3" fontId="70" fillId="0" borderId="72" xfId="259" applyNumberFormat="1" applyFont="1" applyFill="1" applyBorder="1"/>
    <xf numFmtId="3" fontId="70" fillId="0" borderId="34" xfId="259" applyNumberFormat="1" applyFont="1" applyFill="1" applyBorder="1"/>
    <xf numFmtId="0" fontId="71" fillId="0" borderId="33" xfId="259" applyFont="1" applyBorder="1"/>
    <xf numFmtId="0" fontId="71" fillId="0" borderId="33" xfId="259" applyFont="1" applyBorder="1" applyAlignment="1">
      <alignment wrapText="1"/>
    </xf>
    <xf numFmtId="0" fontId="71" fillId="0" borderId="33" xfId="259" applyFont="1" applyFill="1" applyBorder="1" applyAlignment="1">
      <alignment wrapText="1"/>
    </xf>
    <xf numFmtId="3" fontId="71" fillId="0" borderId="61" xfId="259" applyNumberFormat="1" applyFont="1" applyBorder="1"/>
    <xf numFmtId="0" fontId="71" fillId="0" borderId="0" xfId="259" applyFont="1" applyBorder="1"/>
    <xf numFmtId="0" fontId="71" fillId="0" borderId="0" xfId="259" applyFont="1" applyBorder="1" applyAlignment="1">
      <alignment wrapText="1"/>
    </xf>
    <xf numFmtId="0" fontId="71" fillId="0" borderId="0" xfId="259" applyFont="1" applyFill="1" applyBorder="1" applyAlignment="1">
      <alignment wrapText="1"/>
    </xf>
    <xf numFmtId="3" fontId="71" fillId="0" borderId="0" xfId="259" applyNumberFormat="1" applyFont="1" applyBorder="1"/>
    <xf numFmtId="0" fontId="72" fillId="0" borderId="0" xfId="259" applyFont="1" applyFill="1" applyAlignment="1">
      <alignment wrapText="1"/>
    </xf>
    <xf numFmtId="0" fontId="70" fillId="0" borderId="0" xfId="259" applyFont="1" applyFill="1" applyAlignment="1"/>
    <xf numFmtId="0" fontId="73" fillId="0" borderId="0" xfId="259" applyFont="1" applyFill="1" applyAlignment="1">
      <alignment horizontal="center" wrapText="1"/>
    </xf>
    <xf numFmtId="3" fontId="39" fillId="0" borderId="25" xfId="173" applyNumberFormat="1" applyFont="1" applyFill="1" applyBorder="1"/>
    <xf numFmtId="3" fontId="39" fillId="0" borderId="29" xfId="173" applyNumberFormat="1" applyFont="1" applyFill="1" applyBorder="1"/>
    <xf numFmtId="3" fontId="34" fillId="0" borderId="79" xfId="257" applyNumberFormat="1" applyFont="1" applyFill="1" applyBorder="1" applyAlignment="1">
      <alignment horizontal="left"/>
    </xf>
    <xf numFmtId="3" fontId="34" fillId="0" borderId="79" xfId="257" applyNumberFormat="1" applyFont="1" applyFill="1" applyBorder="1" applyAlignment="1">
      <alignment horizontal="right"/>
    </xf>
    <xf numFmtId="3" fontId="0" fillId="0" borderId="24" xfId="0" applyNumberFormat="1" applyFont="1" applyBorder="1" applyAlignment="1">
      <alignment wrapText="1"/>
    </xf>
    <xf numFmtId="3" fontId="8" fillId="0" borderId="24" xfId="0" applyNumberFormat="1" applyFont="1" applyBorder="1" applyAlignment="1">
      <alignment wrapText="1"/>
    </xf>
    <xf numFmtId="3" fontId="9" fillId="0" borderId="24" xfId="0" applyNumberFormat="1" applyFont="1" applyBorder="1" applyAlignment="1">
      <alignment horizontal="center" vertical="center"/>
    </xf>
    <xf numFmtId="3" fontId="0" fillId="0" borderId="24" xfId="0" applyNumberFormat="1" applyFont="1" applyBorder="1"/>
    <xf numFmtId="0" fontId="10" fillId="0" borderId="31" xfId="194" applyFont="1" applyFill="1" applyBorder="1" applyAlignment="1">
      <alignment wrapText="1"/>
    </xf>
    <xf numFmtId="3" fontId="9" fillId="0" borderId="0" xfId="0" applyNumberFormat="1" applyFont="1" applyFill="1" applyAlignment="1">
      <alignment horizontal="center"/>
    </xf>
    <xf numFmtId="3" fontId="9" fillId="0" borderId="33" xfId="0" applyNumberFormat="1" applyFont="1" applyFill="1" applyBorder="1" applyAlignment="1">
      <alignment horizontal="center" vertical="center"/>
    </xf>
    <xf numFmtId="3" fontId="41" fillId="0" borderId="59" xfId="0" applyNumberFormat="1" applyFont="1" applyFill="1" applyBorder="1"/>
    <xf numFmtId="3" fontId="9" fillId="0" borderId="33" xfId="0" applyNumberFormat="1" applyFont="1" applyFill="1" applyBorder="1"/>
    <xf numFmtId="3" fontId="9" fillId="0" borderId="121" xfId="0" applyNumberFormat="1" applyFont="1" applyFill="1" applyBorder="1"/>
    <xf numFmtId="3" fontId="9" fillId="0" borderId="76" xfId="0" applyNumberFormat="1" applyFont="1" applyFill="1" applyBorder="1"/>
    <xf numFmtId="0" fontId="8" fillId="0" borderId="0" xfId="260" applyFill="1"/>
    <xf numFmtId="0" fontId="8" fillId="0" borderId="0" xfId="260" applyFill="1" applyAlignment="1">
      <alignment wrapText="1"/>
    </xf>
    <xf numFmtId="0" fontId="8" fillId="0" borderId="0" xfId="260" applyFont="1" applyFill="1"/>
    <xf numFmtId="3" fontId="41" fillId="0" borderId="67" xfId="260" applyNumberFormat="1" applyFont="1" applyFill="1" applyBorder="1"/>
    <xf numFmtId="0" fontId="41" fillId="0" borderId="33" xfId="260" applyFont="1" applyFill="1" applyBorder="1" applyAlignment="1">
      <alignment wrapText="1"/>
    </xf>
    <xf numFmtId="3" fontId="8" fillId="25" borderId="94" xfId="260" applyNumberFormat="1" applyFont="1" applyFill="1" applyBorder="1" applyAlignment="1">
      <alignment horizontal="right" wrapText="1"/>
    </xf>
    <xf numFmtId="0" fontId="8" fillId="25" borderId="56" xfId="260" applyFont="1" applyFill="1" applyBorder="1" applyAlignment="1">
      <alignment horizontal="left" wrapText="1"/>
    </xf>
    <xf numFmtId="3" fontId="8" fillId="0" borderId="94" xfId="260" applyNumberFormat="1" applyFont="1" applyFill="1" applyBorder="1" applyAlignment="1">
      <alignment horizontal="right" wrapText="1"/>
    </xf>
    <xf numFmtId="0" fontId="8" fillId="0" borderId="56" xfId="260" applyFont="1" applyFill="1" applyBorder="1" applyAlignment="1">
      <alignment horizontal="left" wrapText="1"/>
    </xf>
    <xf numFmtId="3" fontId="34" fillId="0" borderId="33" xfId="261" applyNumberFormat="1" applyFont="1" applyFill="1" applyBorder="1" applyAlignment="1">
      <alignment horizontal="center" wrapText="1"/>
    </xf>
    <xf numFmtId="0" fontId="41" fillId="0" borderId="60" xfId="260" applyFont="1" applyFill="1" applyBorder="1" applyAlignment="1">
      <alignment wrapText="1"/>
    </xf>
    <xf numFmtId="3" fontId="8" fillId="0" borderId="0" xfId="260" applyNumberFormat="1" applyFill="1"/>
    <xf numFmtId="0" fontId="74" fillId="0" borderId="0" xfId="260" applyFont="1" applyFill="1"/>
    <xf numFmtId="0" fontId="74" fillId="0" borderId="0" xfId="260" applyFont="1" applyFill="1" applyAlignment="1">
      <alignment wrapText="1"/>
    </xf>
    <xf numFmtId="0" fontId="74" fillId="0" borderId="0" xfId="260" applyFont="1" applyFill="1" applyAlignment="1"/>
    <xf numFmtId="3" fontId="8" fillId="0" borderId="90" xfId="260" applyNumberFormat="1" applyFont="1" applyFill="1" applyBorder="1" applyAlignment="1"/>
    <xf numFmtId="3" fontId="8" fillId="0" borderId="56" xfId="260" applyNumberFormat="1" applyFont="1" applyFill="1" applyBorder="1" applyAlignment="1"/>
    <xf numFmtId="0" fontId="8" fillId="0" borderId="101" xfId="260" applyFont="1" applyFill="1" applyBorder="1" applyAlignment="1">
      <alignment wrapText="1"/>
    </xf>
    <xf numFmtId="0" fontId="8" fillId="0" borderId="0" xfId="260" applyFont="1" applyFill="1" applyAlignment="1">
      <alignment wrapText="1"/>
    </xf>
    <xf numFmtId="0" fontId="34" fillId="0" borderId="10" xfId="262" applyFont="1" applyFill="1" applyBorder="1" applyAlignment="1">
      <alignment horizontal="center" wrapText="1"/>
    </xf>
    <xf numFmtId="3" fontId="34" fillId="0" borderId="10" xfId="261" applyNumberFormat="1" applyFont="1" applyFill="1" applyBorder="1" applyAlignment="1">
      <alignment horizontal="center" wrapText="1"/>
    </xf>
    <xf numFmtId="0" fontId="35" fillId="0" borderId="0" xfId="261" applyFont="1" applyFill="1"/>
    <xf numFmtId="0" fontId="34" fillId="0" borderId="10" xfId="263" applyFont="1" applyFill="1" applyBorder="1" applyAlignment="1">
      <alignment horizontal="center" wrapText="1"/>
    </xf>
    <xf numFmtId="3" fontId="34" fillId="0" borderId="10" xfId="263" applyNumberFormat="1" applyFont="1" applyFill="1" applyBorder="1" applyAlignment="1">
      <alignment horizontal="center"/>
    </xf>
    <xf numFmtId="3" fontId="34" fillId="0" borderId="11" xfId="264" applyNumberFormat="1" applyFont="1" applyFill="1" applyBorder="1" applyAlignment="1">
      <alignment wrapText="1"/>
    </xf>
    <xf numFmtId="0" fontId="35" fillId="0" borderId="11" xfId="264" applyFont="1" applyFill="1" applyBorder="1"/>
    <xf numFmtId="3" fontId="35" fillId="0" borderId="11" xfId="261" applyNumberFormat="1" applyFont="1" applyFill="1" applyBorder="1"/>
    <xf numFmtId="3" fontId="34" fillId="0" borderId="11" xfId="261" applyNumberFormat="1" applyFont="1" applyFill="1" applyBorder="1"/>
    <xf numFmtId="3" fontId="35" fillId="0" borderId="21" xfId="261" applyNumberFormat="1" applyFont="1" applyFill="1" applyBorder="1"/>
    <xf numFmtId="3" fontId="34" fillId="0" borderId="13" xfId="264" applyNumberFormat="1" applyFont="1" applyFill="1" applyBorder="1" applyAlignment="1">
      <alignment wrapText="1"/>
    </xf>
    <xf numFmtId="3" fontId="34" fillId="0" borderId="14" xfId="261" applyNumberFormat="1" applyFont="1" applyFill="1" applyBorder="1"/>
    <xf numFmtId="3" fontId="34" fillId="0" borderId="83" xfId="264" applyNumberFormat="1" applyFont="1" applyFill="1" applyBorder="1" applyAlignment="1">
      <alignment wrapText="1"/>
    </xf>
    <xf numFmtId="3" fontId="34" fillId="0" borderId="48" xfId="261" applyNumberFormat="1" applyFont="1" applyFill="1" applyBorder="1"/>
    <xf numFmtId="3" fontId="35" fillId="0" borderId="11" xfId="264" applyNumberFormat="1" applyFont="1" applyFill="1" applyBorder="1" applyAlignment="1">
      <alignment wrapText="1"/>
    </xf>
    <xf numFmtId="0" fontId="35" fillId="0" borderId="11" xfId="196" applyNumberFormat="1" applyFont="1" applyBorder="1"/>
    <xf numFmtId="0" fontId="34" fillId="0" borderId="11" xfId="196" applyFont="1" applyFill="1" applyBorder="1"/>
    <xf numFmtId="0" fontId="35" fillId="0" borderId="83" xfId="196" applyFont="1" applyFill="1" applyBorder="1" applyAlignment="1">
      <alignment wrapText="1"/>
    </xf>
    <xf numFmtId="3" fontId="35" fillId="0" borderId="48" xfId="261" applyNumberFormat="1" applyFont="1" applyFill="1" applyBorder="1"/>
    <xf numFmtId="0" fontId="34" fillId="0" borderId="15" xfId="196" applyFont="1" applyFill="1" applyBorder="1"/>
    <xf numFmtId="3" fontId="34" fillId="0" borderId="15" xfId="261" applyNumberFormat="1" applyFont="1" applyFill="1" applyBorder="1"/>
    <xf numFmtId="3" fontId="34" fillId="0" borderId="0" xfId="261" applyNumberFormat="1" applyFont="1" applyFill="1"/>
    <xf numFmtId="0" fontId="0" fillId="0" borderId="56" xfId="260" applyFont="1" applyFill="1" applyBorder="1" applyAlignment="1">
      <alignment horizontal="left" wrapText="1"/>
    </xf>
    <xf numFmtId="0" fontId="10" fillId="0" borderId="56" xfId="260" applyFont="1" applyFill="1" applyBorder="1" applyAlignment="1">
      <alignment horizontal="left" wrapText="1"/>
    </xf>
    <xf numFmtId="3" fontId="10" fillId="0" borderId="94" xfId="260" applyNumberFormat="1" applyFont="1" applyFill="1" applyBorder="1" applyAlignment="1">
      <alignment horizontal="right" wrapText="1"/>
    </xf>
    <xf numFmtId="3" fontId="0" fillId="0" borderId="39" xfId="199" applyNumberFormat="1" applyFont="1" applyBorder="1" applyAlignment="1">
      <alignment wrapText="1"/>
    </xf>
    <xf numFmtId="3" fontId="9" fillId="0" borderId="21" xfId="199" applyNumberFormat="1" applyFont="1" applyBorder="1" applyAlignment="1">
      <alignment wrapText="1"/>
    </xf>
    <xf numFmtId="3" fontId="52" fillId="0" borderId="21" xfId="199" applyNumberFormat="1" applyFont="1" applyBorder="1" applyAlignment="1">
      <alignment wrapText="1"/>
    </xf>
    <xf numFmtId="0" fontId="39" fillId="0" borderId="15" xfId="200" applyFont="1" applyBorder="1"/>
    <xf numFmtId="0" fontId="51" fillId="0" borderId="98" xfId="199" applyFont="1" applyBorder="1" applyAlignment="1">
      <alignment wrapText="1"/>
    </xf>
    <xf numFmtId="3" fontId="51" fillId="0" borderId="110" xfId="200" applyNumberFormat="1" applyFont="1" applyBorder="1"/>
    <xf numFmtId="3" fontId="51" fillId="0" borderId="28" xfId="200" applyNumberFormat="1" applyFont="1" applyBorder="1"/>
    <xf numFmtId="3" fontId="51" fillId="0" borderId="123" xfId="200" applyNumberFormat="1" applyFont="1" applyBorder="1"/>
    <xf numFmtId="3" fontId="8" fillId="0" borderId="15" xfId="200" applyNumberFormat="1" applyFont="1" applyBorder="1"/>
    <xf numFmtId="3" fontId="51" fillId="0" borderId="99" xfId="200" applyNumberFormat="1" applyFont="1" applyBorder="1"/>
    <xf numFmtId="3" fontId="51" fillId="0" borderId="15" xfId="200" applyNumberFormat="1" applyFont="1" applyBorder="1"/>
    <xf numFmtId="3" fontId="8" fillId="0" borderId="110" xfId="200" applyNumberFormat="1" applyFont="1" applyBorder="1"/>
    <xf numFmtId="3" fontId="8" fillId="0" borderId="28" xfId="200" applyNumberFormat="1" applyFont="1" applyBorder="1"/>
    <xf numFmtId="3" fontId="8" fillId="0" borderId="123" xfId="200" applyNumberFormat="1" applyFont="1" applyBorder="1"/>
    <xf numFmtId="3" fontId="10" fillId="0" borderId="28" xfId="200" applyNumberFormat="1" applyFont="1" applyBorder="1"/>
    <xf numFmtId="3" fontId="10" fillId="0" borderId="99" xfId="200" applyNumberFormat="1" applyFont="1" applyBorder="1"/>
    <xf numFmtId="3" fontId="10" fillId="0" borderId="123" xfId="200" applyNumberFormat="1" applyFont="1" applyBorder="1"/>
    <xf numFmtId="3" fontId="10" fillId="0" borderId="15" xfId="200" applyNumberFormat="1" applyFont="1" applyBorder="1"/>
    <xf numFmtId="0" fontId="10" fillId="0" borderId="15" xfId="200" applyFont="1" applyBorder="1"/>
    <xf numFmtId="3" fontId="8" fillId="0" borderId="29" xfId="200" applyNumberFormat="1" applyFont="1" applyBorder="1"/>
    <xf numFmtId="3" fontId="8" fillId="0" borderId="99" xfId="200" applyNumberFormat="1" applyFont="1" applyBorder="1"/>
    <xf numFmtId="3" fontId="8" fillId="25" borderId="34" xfId="200" applyNumberFormat="1" applyFont="1" applyFill="1" applyBorder="1"/>
    <xf numFmtId="0" fontId="9" fillId="0" borderId="21" xfId="199" applyFont="1" applyBorder="1" applyAlignment="1">
      <alignment wrapText="1"/>
    </xf>
    <xf numFmtId="3" fontId="47" fillId="0" borderId="15" xfId="200" applyNumberFormat="1" applyFont="1" applyBorder="1" applyAlignment="1">
      <alignment horizontal="right"/>
    </xf>
    <xf numFmtId="3" fontId="8" fillId="0" borderId="98" xfId="199" applyNumberFormat="1" applyFont="1" applyBorder="1" applyAlignment="1">
      <alignment wrapText="1"/>
    </xf>
    <xf numFmtId="3" fontId="39" fillId="0" borderId="15" xfId="200" applyNumberFormat="1" applyFont="1" applyBorder="1" applyAlignment="1">
      <alignment horizontal="right"/>
    </xf>
    <xf numFmtId="3" fontId="51" fillId="0" borderId="98" xfId="199" applyNumberFormat="1" applyFont="1" applyBorder="1" applyAlignment="1">
      <alignment wrapText="1"/>
    </xf>
    <xf numFmtId="3" fontId="9" fillId="0" borderId="35" xfId="174" applyNumberFormat="1" applyFont="1" applyBorder="1" applyAlignment="1">
      <alignment horizontal="center"/>
    </xf>
    <xf numFmtId="3" fontId="9" fillId="0" borderId="80" xfId="174" applyNumberFormat="1" applyFont="1" applyBorder="1" applyAlignment="1">
      <alignment horizontal="center"/>
    </xf>
    <xf numFmtId="3" fontId="9" fillId="0" borderId="14" xfId="174" applyNumberFormat="1" applyFont="1" applyBorder="1" applyAlignment="1">
      <alignment horizontal="center"/>
    </xf>
    <xf numFmtId="3" fontId="9" fillId="0" borderId="35" xfId="174" applyNumberFormat="1" applyFont="1" applyBorder="1" applyAlignment="1">
      <alignment horizontal="center" wrapText="1"/>
    </xf>
    <xf numFmtId="3" fontId="9" fillId="0" borderId="80" xfId="174" applyNumberFormat="1" applyFont="1" applyBorder="1" applyAlignment="1">
      <alignment horizontal="center" wrapText="1"/>
    </xf>
    <xf numFmtId="3" fontId="9" fillId="0" borderId="14" xfId="174" applyNumberFormat="1" applyFont="1" applyBorder="1" applyAlignment="1">
      <alignment horizontal="center" wrapText="1"/>
    </xf>
    <xf numFmtId="3" fontId="9" fillId="0" borderId="10" xfId="174" applyNumberFormat="1" applyFont="1" applyBorder="1" applyAlignment="1">
      <alignment horizontal="center" wrapText="1"/>
    </xf>
    <xf numFmtId="3" fontId="9" fillId="0" borderId="35" xfId="174" applyNumberFormat="1" applyFont="1" applyFill="1" applyBorder="1" applyAlignment="1">
      <alignment horizontal="center" wrapText="1"/>
    </xf>
    <xf numFmtId="3" fontId="9" fillId="0" borderId="80" xfId="174" applyNumberFormat="1" applyFont="1" applyFill="1" applyBorder="1" applyAlignment="1">
      <alignment horizontal="center" wrapText="1"/>
    </xf>
    <xf numFmtId="3" fontId="9" fillId="0" borderId="14" xfId="174" applyNumberFormat="1" applyFont="1" applyFill="1" applyBorder="1" applyAlignment="1">
      <alignment horizontal="center" wrapText="1"/>
    </xf>
    <xf numFmtId="3" fontId="9" fillId="0" borderId="10" xfId="174" applyNumberFormat="1" applyFont="1" applyBorder="1" applyAlignment="1">
      <alignment horizontal="center"/>
    </xf>
    <xf numFmtId="0" fontId="34" fillId="0" borderId="0" xfId="172" applyFont="1" applyAlignment="1">
      <alignment horizontal="center"/>
    </xf>
    <xf numFmtId="0" fontId="9" fillId="0" borderId="0" xfId="171" applyFont="1" applyAlignment="1">
      <alignment horizontal="center"/>
    </xf>
    <xf numFmtId="3" fontId="38" fillId="0" borderId="35" xfId="171" applyNumberFormat="1" applyFont="1" applyBorder="1" applyAlignment="1">
      <alignment horizontal="center" wrapText="1"/>
    </xf>
    <xf numFmtId="3" fontId="38" fillId="0" borderId="80" xfId="171" applyNumberFormat="1" applyFont="1" applyBorder="1" applyAlignment="1">
      <alignment horizontal="center" wrapText="1"/>
    </xf>
    <xf numFmtId="3" fontId="38" fillId="0" borderId="14" xfId="171" applyNumberFormat="1" applyFont="1" applyBorder="1" applyAlignment="1">
      <alignment horizontal="center" wrapText="1"/>
    </xf>
    <xf numFmtId="3" fontId="38" fillId="0" borderId="10" xfId="171" applyNumberFormat="1" applyFont="1" applyBorder="1" applyAlignment="1">
      <alignment horizontal="center"/>
    </xf>
    <xf numFmtId="3" fontId="38" fillId="0" borderId="10" xfId="171" applyNumberFormat="1" applyFont="1" applyBorder="1" applyAlignment="1">
      <alignment horizontal="center" wrapText="1"/>
    </xf>
    <xf numFmtId="0" fontId="38" fillId="0" borderId="87" xfId="174" applyFont="1" applyBorder="1" applyAlignment="1">
      <alignment horizontal="center" wrapText="1"/>
    </xf>
    <xf numFmtId="0" fontId="38" fillId="0" borderId="40" xfId="174" applyFont="1" applyBorder="1" applyAlignment="1">
      <alignment horizontal="center" wrapText="1"/>
    </xf>
    <xf numFmtId="0" fontId="38" fillId="0" borderId="87" xfId="171" applyFont="1" applyBorder="1" applyAlignment="1">
      <alignment horizontal="center" wrapText="1"/>
    </xf>
    <xf numFmtId="0" fontId="38" fillId="0" borderId="40" xfId="171" applyFont="1" applyBorder="1" applyAlignment="1">
      <alignment horizontal="center" wrapText="1"/>
    </xf>
    <xf numFmtId="3" fontId="38" fillId="0" borderId="35" xfId="171" applyNumberFormat="1" applyFont="1" applyBorder="1" applyAlignment="1">
      <alignment horizontal="center"/>
    </xf>
    <xf numFmtId="3" fontId="38" fillId="0" borderId="80" xfId="171" applyNumberFormat="1" applyFont="1" applyBorder="1" applyAlignment="1">
      <alignment horizontal="center"/>
    </xf>
    <xf numFmtId="3" fontId="38" fillId="0" borderId="14" xfId="171" applyNumberFormat="1" applyFont="1" applyBorder="1" applyAlignment="1">
      <alignment horizontal="center"/>
    </xf>
    <xf numFmtId="3" fontId="56" fillId="0" borderId="88" xfId="200" applyNumberFormat="1" applyFont="1" applyBorder="1" applyAlignment="1">
      <alignment horizontal="center" vertical="center" wrapText="1"/>
    </xf>
    <xf numFmtId="3" fontId="56" fillId="0" borderId="96" xfId="200" applyNumberFormat="1" applyFont="1" applyBorder="1" applyAlignment="1">
      <alignment horizontal="center" vertical="center" wrapText="1"/>
    </xf>
    <xf numFmtId="3" fontId="65" fillId="0" borderId="0" xfId="256" applyNumberFormat="1" applyFont="1" applyAlignment="1">
      <alignment horizontal="center"/>
    </xf>
    <xf numFmtId="3" fontId="58" fillId="0" borderId="60" xfId="200" applyNumberFormat="1" applyFont="1" applyBorder="1" applyAlignment="1">
      <alignment horizontal="center"/>
    </xf>
    <xf numFmtId="3" fontId="58" fillId="0" borderId="61" xfId="200" applyNumberFormat="1" applyFont="1" applyBorder="1" applyAlignment="1">
      <alignment horizontal="center"/>
    </xf>
    <xf numFmtId="3" fontId="56" fillId="0" borderId="100" xfId="200" applyNumberFormat="1" applyFont="1" applyBorder="1" applyAlignment="1">
      <alignment horizontal="center" vertical="center" wrapText="1"/>
    </xf>
    <xf numFmtId="3" fontId="56" fillId="0" borderId="41" xfId="200" applyNumberFormat="1" applyFont="1" applyBorder="1" applyAlignment="1">
      <alignment horizontal="center" vertical="center" wrapText="1"/>
    </xf>
    <xf numFmtId="3" fontId="54" fillId="0" borderId="35" xfId="200" applyNumberFormat="1" applyFont="1" applyBorder="1" applyAlignment="1">
      <alignment horizontal="center"/>
    </xf>
    <xf numFmtId="3" fontId="54" fillId="0" borderId="14" xfId="200" applyNumberFormat="1" applyFont="1" applyBorder="1" applyAlignment="1">
      <alignment horizontal="center"/>
    </xf>
    <xf numFmtId="3" fontId="2" fillId="0" borderId="88" xfId="256" applyNumberFormat="1" applyBorder="1" applyAlignment="1">
      <alignment horizontal="right"/>
    </xf>
    <xf numFmtId="3" fontId="2" fillId="0" borderId="101" xfId="256" applyNumberFormat="1" applyBorder="1" applyAlignment="1">
      <alignment horizontal="right"/>
    </xf>
    <xf numFmtId="3" fontId="2" fillId="0" borderId="96" xfId="256" applyNumberFormat="1" applyBorder="1" applyAlignment="1">
      <alignment horizontal="right"/>
    </xf>
    <xf numFmtId="0" fontId="9" fillId="0" borderId="0" xfId="196" applyFont="1" applyAlignment="1">
      <alignment horizontal="center"/>
    </xf>
    <xf numFmtId="3" fontId="9" fillId="0" borderId="0" xfId="0" applyNumberFormat="1" applyFont="1" applyAlignment="1">
      <alignment horizontal="center"/>
    </xf>
    <xf numFmtId="0" fontId="64" fillId="0" borderId="0" xfId="157" applyFont="1" applyAlignment="1">
      <alignment horizontal="center" wrapText="1"/>
    </xf>
    <xf numFmtId="0" fontId="34" fillId="0" borderId="0" xfId="196" applyFont="1" applyFill="1" applyAlignment="1">
      <alignment horizontal="center" wrapText="1"/>
    </xf>
    <xf numFmtId="0" fontId="75" fillId="0" borderId="0" xfId="260" applyFont="1" applyFill="1" applyAlignment="1">
      <alignment horizontal="center" wrapText="1"/>
    </xf>
    <xf numFmtId="0" fontId="65" fillId="0" borderId="0" xfId="205" applyFont="1" applyAlignment="1">
      <alignment horizontal="center" wrapText="1"/>
    </xf>
    <xf numFmtId="0" fontId="34" fillId="0" borderId="84" xfId="195" applyFont="1" applyFill="1" applyBorder="1" applyAlignment="1">
      <alignment horizontal="center" wrapText="1"/>
    </xf>
    <xf numFmtId="0" fontId="34" fillId="0" borderId="118" xfId="195" applyFont="1" applyFill="1" applyBorder="1" applyAlignment="1">
      <alignment horizontal="center" wrapText="1"/>
    </xf>
    <xf numFmtId="0" fontId="34" fillId="0" borderId="93" xfId="195" applyFont="1" applyFill="1" applyBorder="1" applyAlignment="1">
      <alignment horizontal="center" wrapText="1"/>
    </xf>
    <xf numFmtId="0" fontId="34" fillId="0" borderId="85" xfId="196" applyFont="1" applyFill="1" applyBorder="1" applyAlignment="1">
      <alignment horizontal="center" wrapText="1"/>
    </xf>
    <xf numFmtId="0" fontId="34" fillId="0" borderId="20" xfId="196" applyFont="1" applyFill="1" applyBorder="1" applyAlignment="1">
      <alignment horizontal="center" wrapText="1"/>
    </xf>
    <xf numFmtId="0" fontId="34" fillId="0" borderId="94" xfId="196" applyFont="1" applyFill="1" applyBorder="1" applyAlignment="1">
      <alignment horizontal="center" wrapText="1"/>
    </xf>
    <xf numFmtId="0" fontId="34" fillId="0" borderId="33" xfId="196" applyFont="1" applyFill="1" applyBorder="1" applyAlignment="1">
      <alignment horizontal="center" wrapText="1"/>
    </xf>
    <xf numFmtId="3" fontId="9" fillId="24" borderId="10" xfId="173" applyNumberFormat="1" applyFont="1" applyFill="1" applyBorder="1" applyAlignment="1">
      <alignment horizontal="center" wrapText="1"/>
    </xf>
    <xf numFmtId="3" fontId="40" fillId="24" borderId="10" xfId="173" applyNumberFormat="1" applyFont="1" applyFill="1" applyBorder="1" applyAlignment="1">
      <alignment horizontal="center" wrapText="1"/>
    </xf>
    <xf numFmtId="3" fontId="9" fillId="0" borderId="0" xfId="173" applyNumberFormat="1" applyFont="1" applyFill="1" applyAlignment="1">
      <alignment horizontal="center" wrapText="1"/>
    </xf>
    <xf numFmtId="0" fontId="40" fillId="0" borderId="87" xfId="173" applyFont="1" applyFill="1" applyBorder="1" applyAlignment="1">
      <alignment horizontal="center" wrapText="1"/>
    </xf>
    <xf numFmtId="0" fontId="40" fillId="0" borderId="83" xfId="173" applyFont="1" applyFill="1" applyBorder="1" applyAlignment="1">
      <alignment horizontal="center" wrapText="1"/>
    </xf>
    <xf numFmtId="0" fontId="40" fillId="0" borderId="40" xfId="173" applyFont="1" applyFill="1" applyBorder="1" applyAlignment="1">
      <alignment horizontal="center" wrapText="1"/>
    </xf>
    <xf numFmtId="0" fontId="41" fillId="0" borderId="87" xfId="173" applyFont="1" applyFill="1" applyBorder="1" applyAlignment="1">
      <alignment horizontal="center" wrapText="1"/>
    </xf>
    <xf numFmtId="0" fontId="41" fillId="0" borderId="83" xfId="173" applyFont="1" applyFill="1" applyBorder="1" applyAlignment="1">
      <alignment horizontal="center" wrapText="1"/>
    </xf>
    <xf numFmtId="0" fontId="41" fillId="0" borderId="40" xfId="173" applyFont="1" applyFill="1" applyBorder="1" applyAlignment="1">
      <alignment horizontal="center" wrapText="1"/>
    </xf>
    <xf numFmtId="0" fontId="34" fillId="0" borderId="0" xfId="261" applyFont="1" applyFill="1" applyAlignment="1">
      <alignment horizontal="center"/>
    </xf>
    <xf numFmtId="0" fontId="70" fillId="0" borderId="0" xfId="259" applyFont="1" applyAlignment="1">
      <alignment horizontal="left" wrapText="1"/>
    </xf>
    <xf numFmtId="0" fontId="73" fillId="0" borderId="0" xfId="259" applyFont="1" applyFill="1" applyAlignment="1">
      <alignment horizontal="center" wrapText="1"/>
    </xf>
    <xf numFmtId="0" fontId="71" fillId="0" borderId="60" xfId="259" applyFont="1" applyBorder="1" applyAlignment="1">
      <alignment horizontal="center"/>
    </xf>
    <xf numFmtId="0" fontId="71" fillId="0" borderId="68" xfId="259" applyFont="1" applyBorder="1" applyAlignment="1">
      <alignment horizontal="center"/>
    </xf>
    <xf numFmtId="0" fontId="71" fillId="0" borderId="61" xfId="259" applyFont="1" applyBorder="1" applyAlignment="1">
      <alignment horizontal="center"/>
    </xf>
    <xf numFmtId="0" fontId="71" fillId="0" borderId="88" xfId="259" applyFont="1" applyBorder="1" applyAlignment="1">
      <alignment horizontal="center" vertical="center"/>
    </xf>
    <xf numFmtId="0" fontId="71" fillId="0" borderId="96" xfId="259" applyFont="1" applyBorder="1" applyAlignment="1">
      <alignment horizontal="center" vertical="center"/>
    </xf>
    <xf numFmtId="0" fontId="71" fillId="0" borderId="88" xfId="259" applyFont="1" applyBorder="1" applyAlignment="1">
      <alignment horizontal="center" vertical="center" wrapText="1"/>
    </xf>
    <xf numFmtId="0" fontId="70" fillId="0" borderId="96" xfId="259" applyFont="1" applyBorder="1" applyAlignment="1">
      <alignment vertical="center" wrapText="1"/>
    </xf>
    <xf numFmtId="0" fontId="71" fillId="0" borderId="88" xfId="259" applyFont="1" applyFill="1" applyBorder="1" applyAlignment="1">
      <alignment horizontal="center" vertical="center" wrapText="1"/>
    </xf>
    <xf numFmtId="0" fontId="71" fillId="0" borderId="96" xfId="259" applyFont="1" applyFill="1" applyBorder="1" applyAlignment="1">
      <alignment horizontal="center" vertical="center" wrapText="1"/>
    </xf>
    <xf numFmtId="0" fontId="71" fillId="0" borderId="96" xfId="259" applyFont="1" applyBorder="1" applyAlignment="1">
      <alignment horizontal="center" vertical="center" wrapText="1"/>
    </xf>
    <xf numFmtId="3" fontId="34" fillId="0" borderId="0" xfId="257" applyNumberFormat="1" applyFont="1" applyBorder="1" applyAlignment="1">
      <alignment horizontal="center"/>
    </xf>
    <xf numFmtId="3" fontId="35" fillId="0" borderId="0" xfId="257" applyNumberFormat="1" applyFont="1" applyFill="1" applyBorder="1" applyAlignment="1">
      <alignment horizontal="center"/>
    </xf>
  </cellXfs>
  <cellStyles count="265">
    <cellStyle name="20% - 1. jelölőszín" xfId="1" builtinId="30" customBuiltin="1"/>
    <cellStyle name="20% - 1. jelölőszín 2" xfId="2"/>
    <cellStyle name="20% - 1. jelölőszín 3" xfId="3"/>
    <cellStyle name="20% - 1. jelölőszín 4" xfId="208"/>
    <cellStyle name="20% - 2. jelölőszín" xfId="4" builtinId="34" customBuiltin="1"/>
    <cellStyle name="20% - 2. jelölőszín 2" xfId="5"/>
    <cellStyle name="20% - 2. jelölőszín 3" xfId="6"/>
    <cellStyle name="20% - 2. jelölőszín 4" xfId="209"/>
    <cellStyle name="20% - 3. jelölőszín" xfId="7" builtinId="38" customBuiltin="1"/>
    <cellStyle name="20% - 3. jelölőszín 2" xfId="8"/>
    <cellStyle name="20% - 3. jelölőszín 3" xfId="9"/>
    <cellStyle name="20% - 3. jelölőszín 4" xfId="210"/>
    <cellStyle name="20% - 4. jelölőszín" xfId="10" builtinId="42" customBuiltin="1"/>
    <cellStyle name="20% - 4. jelölőszín 2" xfId="11"/>
    <cellStyle name="20% - 4. jelölőszín 3" xfId="12"/>
    <cellStyle name="20% - 4. jelölőszín 4" xfId="211"/>
    <cellStyle name="20% - 5. jelölőszín" xfId="13" builtinId="46" customBuiltin="1"/>
    <cellStyle name="20% - 5. jelölőszín 2" xfId="14"/>
    <cellStyle name="20% - 5. jelölőszín 3" xfId="15"/>
    <cellStyle name="20% - 5. jelölőszín 4" xfId="212"/>
    <cellStyle name="20% - 6. jelölőszín" xfId="16" builtinId="50" customBuiltin="1"/>
    <cellStyle name="20% - 6. jelölőszín 2" xfId="17"/>
    <cellStyle name="20% - 6. jelölőszín 3" xfId="18"/>
    <cellStyle name="20% - 6. jelölőszín 4" xfId="213"/>
    <cellStyle name="20% - Accent1" xfId="19"/>
    <cellStyle name="20% - Accent2" xfId="20"/>
    <cellStyle name="20% - Accent3" xfId="21"/>
    <cellStyle name="20% - Accent4" xfId="22"/>
    <cellStyle name="20% - Accent5" xfId="23"/>
    <cellStyle name="20% - Accent6" xfId="24"/>
    <cellStyle name="40% - 1. jelölőszín" xfId="25" builtinId="31" customBuiltin="1"/>
    <cellStyle name="40% - 1. jelölőszín 2" xfId="26"/>
    <cellStyle name="40% - 1. jelölőszín 3" xfId="27"/>
    <cellStyle name="40% - 1. jelölőszín 4" xfId="214"/>
    <cellStyle name="40% - 2. jelölőszín" xfId="28" builtinId="35" customBuiltin="1"/>
    <cellStyle name="40% - 2. jelölőszín 2" xfId="29"/>
    <cellStyle name="40% - 2. jelölőszín 3" xfId="30"/>
    <cellStyle name="40% - 2. jelölőszín 4" xfId="215"/>
    <cellStyle name="40% - 3. jelölőszín" xfId="31" builtinId="39" customBuiltin="1"/>
    <cellStyle name="40% - 3. jelölőszín 2" xfId="32"/>
    <cellStyle name="40% - 3. jelölőszín 3" xfId="33"/>
    <cellStyle name="40% - 3. jelölőszín 4" xfId="216"/>
    <cellStyle name="40% - 4. jelölőszín" xfId="34" builtinId="43" customBuiltin="1"/>
    <cellStyle name="40% - 4. jelölőszín 2" xfId="35"/>
    <cellStyle name="40% - 4. jelölőszín 3" xfId="36"/>
    <cellStyle name="40% - 4. jelölőszín 4" xfId="217"/>
    <cellStyle name="40% - 5. jelölőszín" xfId="37" builtinId="47" customBuiltin="1"/>
    <cellStyle name="40% - 5. jelölőszín 2" xfId="38"/>
    <cellStyle name="40% - 5. jelölőszín 3" xfId="39"/>
    <cellStyle name="40% - 5. jelölőszín 4" xfId="218"/>
    <cellStyle name="40% - 6. jelölőszín" xfId="40" builtinId="51" customBuiltin="1"/>
    <cellStyle name="40% - 6. jelölőszín 2" xfId="41"/>
    <cellStyle name="40% - 6. jelölőszín 3" xfId="42"/>
    <cellStyle name="40% - 6. jelölőszín 4" xfId="219"/>
    <cellStyle name="40% - Accent1" xfId="43"/>
    <cellStyle name="40% - Accent2" xfId="44"/>
    <cellStyle name="40% - Accent3" xfId="45"/>
    <cellStyle name="40% - Accent4" xfId="46"/>
    <cellStyle name="40% - Accent5" xfId="47"/>
    <cellStyle name="40% - Accent6" xfId="48"/>
    <cellStyle name="60% - 1. jelölőszín" xfId="49" builtinId="32" customBuiltin="1"/>
    <cellStyle name="60% - 1. jelölőszín 2" xfId="50"/>
    <cellStyle name="60% - 1. jelölőszín 3" xfId="51"/>
    <cellStyle name="60% - 1. jelölőszín 4" xfId="220"/>
    <cellStyle name="60% - 2. jelölőszín" xfId="52" builtinId="36" customBuiltin="1"/>
    <cellStyle name="60% - 2. jelölőszín 2" xfId="53"/>
    <cellStyle name="60% - 2. jelölőszín 3" xfId="54"/>
    <cellStyle name="60% - 2. jelölőszín 4" xfId="221"/>
    <cellStyle name="60% - 3. jelölőszín" xfId="55" builtinId="40" customBuiltin="1"/>
    <cellStyle name="60% - 3. jelölőszín 2" xfId="56"/>
    <cellStyle name="60% - 3. jelölőszín 3" xfId="57"/>
    <cellStyle name="60% - 3. jelölőszín 4" xfId="222"/>
    <cellStyle name="60% - 4. jelölőszín" xfId="58" builtinId="44" customBuiltin="1"/>
    <cellStyle name="60% - 4. jelölőszín 2" xfId="59"/>
    <cellStyle name="60% - 4. jelölőszín 3" xfId="60"/>
    <cellStyle name="60% - 4. jelölőszín 4" xfId="223"/>
    <cellStyle name="60% - 5. jelölőszín" xfId="61" builtinId="48" customBuiltin="1"/>
    <cellStyle name="60% - 5. jelölőszín 2" xfId="62"/>
    <cellStyle name="60% - 5. jelölőszín 3" xfId="63"/>
    <cellStyle name="60% - 5. jelölőszín 4" xfId="224"/>
    <cellStyle name="60% - 6. jelölőszín" xfId="64" builtinId="52" customBuiltin="1"/>
    <cellStyle name="60% - 6. jelölőszín 2" xfId="65"/>
    <cellStyle name="60% - 6. jelölőszín 3" xfId="66"/>
    <cellStyle name="60% - 6. jelölőszín 4" xfId="225"/>
    <cellStyle name="60% - Accent1" xfId="67"/>
    <cellStyle name="60% - Accent2" xfId="68"/>
    <cellStyle name="60% - Accent3" xfId="69"/>
    <cellStyle name="60% - Accent4" xfId="70"/>
    <cellStyle name="60% - Accent5" xfId="71"/>
    <cellStyle name="60% - Accent6" xfId="72"/>
    <cellStyle name="Accent1" xfId="73"/>
    <cellStyle name="Accent2" xfId="74"/>
    <cellStyle name="Accent3" xfId="75"/>
    <cellStyle name="Accent4" xfId="76"/>
    <cellStyle name="Accent5" xfId="77"/>
    <cellStyle name="Accent6" xfId="78"/>
    <cellStyle name="Bad" xfId="79"/>
    <cellStyle name="Bevitel" xfId="80" builtinId="20" customBuiltin="1"/>
    <cellStyle name="Bevitel 2" xfId="81"/>
    <cellStyle name="Bevitel 3" xfId="82"/>
    <cellStyle name="Bevitel 4" xfId="226"/>
    <cellStyle name="Calculation" xfId="83"/>
    <cellStyle name="Check Cell" xfId="84"/>
    <cellStyle name="Cím" xfId="85" builtinId="15" customBuiltin="1"/>
    <cellStyle name="Cím 2" xfId="86"/>
    <cellStyle name="Cím 3" xfId="87"/>
    <cellStyle name="Cím 4" xfId="227"/>
    <cellStyle name="Címsor 1" xfId="88" builtinId="16" customBuiltin="1"/>
    <cellStyle name="Címsor 1 2" xfId="89"/>
    <cellStyle name="Címsor 1 3" xfId="90"/>
    <cellStyle name="Címsor 1 4" xfId="228"/>
    <cellStyle name="Címsor 2" xfId="91" builtinId="17" customBuiltin="1"/>
    <cellStyle name="Címsor 2 2" xfId="92"/>
    <cellStyle name="Címsor 2 3" xfId="93"/>
    <cellStyle name="Címsor 2 4" xfId="229"/>
    <cellStyle name="Címsor 3" xfId="94" builtinId="18" customBuiltin="1"/>
    <cellStyle name="Címsor 3 2" xfId="95"/>
    <cellStyle name="Címsor 3 3" xfId="96"/>
    <cellStyle name="Címsor 3 4" xfId="230"/>
    <cellStyle name="Címsor 4" xfId="97" builtinId="19" customBuiltin="1"/>
    <cellStyle name="Címsor 4 2" xfId="98"/>
    <cellStyle name="Címsor 4 3" xfId="99"/>
    <cellStyle name="Címsor 4 4" xfId="231"/>
    <cellStyle name="Ellenőrzőcella" xfId="100" builtinId="23" customBuiltin="1"/>
    <cellStyle name="Ellenőrzőcella 2" xfId="101"/>
    <cellStyle name="Ellenőrzőcella 3" xfId="102"/>
    <cellStyle name="Ellenőrzőcella 4" xfId="232"/>
    <cellStyle name="Explanatory Text" xfId="103"/>
    <cellStyle name="Ezres 2" xfId="104"/>
    <cellStyle name="Ezres 2 2" xfId="197"/>
    <cellStyle name="Ezres 3" xfId="105"/>
    <cellStyle name="Ezres 3 2" xfId="201"/>
    <cellStyle name="Figyelmeztetés" xfId="106" builtinId="11" customBuiltin="1"/>
    <cellStyle name="Figyelmeztetés 2" xfId="107"/>
    <cellStyle name="Figyelmeztetés 3" xfId="108"/>
    <cellStyle name="Figyelmeztetés 4" xfId="233"/>
    <cellStyle name="Good" xfId="109"/>
    <cellStyle name="Heading 1" xfId="110"/>
    <cellStyle name="Heading 2" xfId="111"/>
    <cellStyle name="Heading 3" xfId="112"/>
    <cellStyle name="Heading 4" xfId="113"/>
    <cellStyle name="Hivatkozott cella" xfId="114" builtinId="24" customBuiltin="1"/>
    <cellStyle name="Hivatkozott cella 2" xfId="115"/>
    <cellStyle name="Hivatkozott cella 3" xfId="116"/>
    <cellStyle name="Hivatkozott cella 4" xfId="234"/>
    <cellStyle name="Input" xfId="117"/>
    <cellStyle name="Jegyzet" xfId="118" builtinId="10" customBuiltin="1"/>
    <cellStyle name="Jegyzet 2" xfId="119"/>
    <cellStyle name="Jegyzet 3" xfId="120"/>
    <cellStyle name="Jegyzet 4" xfId="121"/>
    <cellStyle name="Jegyzet 5" xfId="235"/>
    <cellStyle name="Jelölőszín (1)" xfId="122" builtinId="29" customBuiltin="1"/>
    <cellStyle name="Jelölőszín (1) 2" xfId="123"/>
    <cellStyle name="Jelölőszín (1) 3" xfId="124"/>
    <cellStyle name="Jelölőszín (1) 4" xfId="236"/>
    <cellStyle name="Jelölőszín (2)" xfId="125" builtinId="33" customBuiltin="1"/>
    <cellStyle name="Jelölőszín (2) 2" xfId="126"/>
    <cellStyle name="Jelölőszín (2) 3" xfId="127"/>
    <cellStyle name="Jelölőszín (2) 4" xfId="237"/>
    <cellStyle name="Jelölőszín (3)" xfId="128" builtinId="37" customBuiltin="1"/>
    <cellStyle name="Jelölőszín (3) 2" xfId="129"/>
    <cellStyle name="Jelölőszín (3) 3" xfId="130"/>
    <cellStyle name="Jelölőszín (3) 4" xfId="238"/>
    <cellStyle name="Jelölőszín (4)" xfId="131" builtinId="41" customBuiltin="1"/>
    <cellStyle name="Jelölőszín (4) 2" xfId="132"/>
    <cellStyle name="Jelölőszín (4) 3" xfId="133"/>
    <cellStyle name="Jelölőszín (4) 4" xfId="239"/>
    <cellStyle name="Jelölőszín (5)" xfId="134" builtinId="45" customBuiltin="1"/>
    <cellStyle name="Jelölőszín (5) 2" xfId="135"/>
    <cellStyle name="Jelölőszín (5) 3" xfId="136"/>
    <cellStyle name="Jelölőszín (5) 4" xfId="240"/>
    <cellStyle name="Jelölőszín (6)" xfId="137" builtinId="49" customBuiltin="1"/>
    <cellStyle name="Jelölőszín (6) 2" xfId="138"/>
    <cellStyle name="Jelölőszín (6) 3" xfId="139"/>
    <cellStyle name="Jelölőszín (6) 4" xfId="241"/>
    <cellStyle name="Jó" xfId="140" builtinId="26" customBuiltin="1"/>
    <cellStyle name="Jó 2" xfId="141"/>
    <cellStyle name="Jó 3" xfId="142"/>
    <cellStyle name="Jó 4" xfId="242"/>
    <cellStyle name="Kimenet" xfId="143" builtinId="21" customBuiltin="1"/>
    <cellStyle name="Kimenet 2" xfId="144"/>
    <cellStyle name="Kimenet 3" xfId="145"/>
    <cellStyle name="Kimenet 4" xfId="243"/>
    <cellStyle name="Linked Cell" xfId="146"/>
    <cellStyle name="Magyarázó szöveg" xfId="147" builtinId="53" customBuiltin="1"/>
    <cellStyle name="Magyarázó szöveg 2" xfId="148"/>
    <cellStyle name="Magyarázó szöveg 3" xfId="149"/>
    <cellStyle name="Magyarázó szöveg 4" xfId="244"/>
    <cellStyle name="Neutral" xfId="150"/>
    <cellStyle name="Normál" xfId="0" builtinId="0"/>
    <cellStyle name="Normál 10" xfId="151"/>
    <cellStyle name="Normál 11" xfId="198"/>
    <cellStyle name="Normál 11 2" xfId="202"/>
    <cellStyle name="Normál 11 3" xfId="250"/>
    <cellStyle name="Normál 11 4" xfId="251"/>
    <cellStyle name="Normál 11 5" xfId="256"/>
    <cellStyle name="Normál 12" xfId="205"/>
    <cellStyle name="Normál 13" xfId="206"/>
    <cellStyle name="Normál 13 2" xfId="252"/>
    <cellStyle name="Normál 13 3" xfId="253"/>
    <cellStyle name="Normál 14" xfId="258"/>
    <cellStyle name="Normál 2" xfId="152"/>
    <cellStyle name="Normál 2 2" xfId="153"/>
    <cellStyle name="Normál 2 3" xfId="154"/>
    <cellStyle name="Normál 2 4" xfId="155"/>
    <cellStyle name="Normál 2 5" xfId="196"/>
    <cellStyle name="Normál 2_11.sz.melléklet_többéves" xfId="156"/>
    <cellStyle name="Normál 3" xfId="157"/>
    <cellStyle name="Normál 3 2" xfId="158"/>
    <cellStyle name="Normál 3 2 2" xfId="159"/>
    <cellStyle name="Normál 3 2 2 2" xfId="204"/>
    <cellStyle name="Normál 3 2 3" xfId="207"/>
    <cellStyle name="Normál 3 2 4" xfId="254"/>
    <cellStyle name="Normál 3 2 5" xfId="255"/>
    <cellStyle name="Normál 4" xfId="160"/>
    <cellStyle name="Normál 5" xfId="161"/>
    <cellStyle name="Normál 5 2" xfId="162"/>
    <cellStyle name="Normál 5 2 2" xfId="163"/>
    <cellStyle name="Normál 5 3" xfId="164"/>
    <cellStyle name="Normál 5 4" xfId="203"/>
    <cellStyle name="Normál 5_11.sz.melléklet_többéves" xfId="165"/>
    <cellStyle name="Normál 6" xfId="166"/>
    <cellStyle name="Normál 6 2" xfId="167"/>
    <cellStyle name="Normál 7" xfId="168"/>
    <cellStyle name="Normál 8" xfId="169"/>
    <cellStyle name="Normál 9" xfId="170"/>
    <cellStyle name="Normál_2001bev jó" xfId="257"/>
    <cellStyle name="Normál_2003év kiadás" xfId="171"/>
    <cellStyle name="Normál_2003költségvet" xfId="172"/>
    <cellStyle name="Normál_2003ktvmod2fin" xfId="264"/>
    <cellStyle name="Normál_2003terv" xfId="262"/>
    <cellStyle name="Normál_2006 költségv 2" xfId="259"/>
    <cellStyle name="Normál_2006éviköltségvetés 2 2" xfId="260"/>
    <cellStyle name="Normál_2009éviköltségvetés-Móricz Károly 2" xfId="173"/>
    <cellStyle name="Normál_37-2010. évi III.rendmód 2 2" xfId="195"/>
    <cellStyle name="Normál_37-2010. évi III.rendmód_4. sz. melléklet 2" xfId="194"/>
    <cellStyle name="Normál_Áhttáblák_76-3-hiányzó mellékletek" xfId="263"/>
    <cellStyle name="Normál_bevétel_bevétel_1" xfId="174"/>
    <cellStyle name="Normál_bevétel_bevétel_1 2" xfId="175"/>
    <cellStyle name="Normál_bevétel_bevétel_1 2 2" xfId="176"/>
    <cellStyle name="Normál_kiadás_1_2005aprilisrendmod" xfId="199"/>
    <cellStyle name="Normál_Környezetvédelmi Alap felosztása-01.21." xfId="249"/>
    <cellStyle name="Normál_kötelezettségváll 2009-ra" xfId="261"/>
    <cellStyle name="Normál_Munka2 (2)_1_2005aprilisrendmod" xfId="200"/>
    <cellStyle name="Note" xfId="177"/>
    <cellStyle name="Output" xfId="178"/>
    <cellStyle name="Összesen" xfId="179" builtinId="25" customBuiltin="1"/>
    <cellStyle name="Összesen 2" xfId="180"/>
    <cellStyle name="Összesen 3" xfId="181"/>
    <cellStyle name="Összesen 4" xfId="245"/>
    <cellStyle name="Rossz" xfId="182" builtinId="27" customBuiltin="1"/>
    <cellStyle name="Rossz 2" xfId="183"/>
    <cellStyle name="Rossz 3" xfId="184"/>
    <cellStyle name="Rossz 4" xfId="246"/>
    <cellStyle name="Semleges" xfId="185" builtinId="28" customBuiltin="1"/>
    <cellStyle name="Semleges 2" xfId="186"/>
    <cellStyle name="Semleges 3" xfId="187"/>
    <cellStyle name="Semleges 4" xfId="247"/>
    <cellStyle name="Számítás" xfId="188" builtinId="22" customBuiltin="1"/>
    <cellStyle name="Számítás 2" xfId="189"/>
    <cellStyle name="Számítás 3" xfId="190"/>
    <cellStyle name="Számítás 4" xfId="248"/>
    <cellStyle name="Title" xfId="191"/>
    <cellStyle name="Total" xfId="192"/>
    <cellStyle name="Warning Text" xfId="19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KISARINE/USER/KAISER/5MELLEK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KISARINE\USER\KAISER\5MELLEK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USER\KISARINE\USER\KAISER\5MELLEK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K&#246;lts&#233;gvet&#233;s\2012\Rendeletm&#243;dos&#237;t&#225;s\Decemberi%20rendeletm&#243;dos&#237;t&#225;s\Test&#252;leti\USER\KISARINE\USER\KAISER\5MELLEK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nka1"/>
      <sheetName val="Munka2"/>
      <sheetName val="Munka1 (2)"/>
      <sheetName val="Munka3"/>
    </sheetNames>
    <sheetDataSet>
      <sheetData sheetId="0" refreshError="1"/>
      <sheetData sheetId="1" refreshError="1"/>
      <sheetData sheetId="2" refreshError="1"/>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nka1"/>
      <sheetName val="Munka2"/>
      <sheetName val="Munka1 (2)"/>
      <sheetName val="Munka3"/>
    </sheetNames>
    <sheetDataSet>
      <sheetData sheetId="0" refreshError="1"/>
      <sheetData sheetId="1" refreshError="1"/>
      <sheetData sheetId="2" refreshError="1"/>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nka1"/>
      <sheetName val="Munka2"/>
      <sheetName val="Munka1 (2)"/>
      <sheetName val="Munka3"/>
    </sheetNames>
    <sheetDataSet>
      <sheetData sheetId="0" refreshError="1"/>
      <sheetData sheetId="1" refreshError="1"/>
      <sheetData sheetId="2" refreshError="1"/>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nka1"/>
      <sheetName val="Munka2"/>
      <sheetName val="Munka1 (2)"/>
      <sheetName val="Munka3"/>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L4953"/>
  <sheetViews>
    <sheetView zoomScaleNormal="100" workbookViewId="0">
      <pane xSplit="2" ySplit="8" topLeftCell="AA36" activePane="bottomRight" state="frozen"/>
      <selection activeCell="J10" sqref="J10"/>
      <selection pane="topRight" activeCell="J10" sqref="J10"/>
      <selection pane="bottomLeft" activeCell="J10" sqref="J10"/>
      <selection pane="bottomRight" activeCell="AD41" sqref="AD41"/>
    </sheetView>
  </sheetViews>
  <sheetFormatPr defaultColWidth="9.25" defaultRowHeight="15.75" x14ac:dyDescent="0.25"/>
  <cols>
    <col min="1" max="1" width="37.5" style="68" customWidth="1"/>
    <col min="2" max="2" width="10.375" style="68" customWidth="1"/>
    <col min="3" max="3" width="12.625" style="3" customWidth="1"/>
    <col min="4" max="4" width="13.5" style="3" customWidth="1"/>
    <col min="5" max="5" width="14.5" style="3" customWidth="1"/>
    <col min="6" max="8" width="13.875" style="3" customWidth="1"/>
    <col min="9" max="9" width="15.25" style="3" customWidth="1"/>
    <col min="10" max="12" width="13.875" style="3" customWidth="1"/>
    <col min="13" max="13" width="15" style="3" customWidth="1"/>
    <col min="14" max="14" width="13.875" style="3" customWidth="1"/>
    <col min="15" max="15" width="12.875" style="3" customWidth="1"/>
    <col min="16" max="16" width="13.25" style="3" customWidth="1"/>
    <col min="17" max="17" width="16" style="3" customWidth="1"/>
    <col min="18" max="18" width="14.75" style="3" customWidth="1"/>
    <col min="19" max="20" width="12.625" style="3" customWidth="1"/>
    <col min="21" max="21" width="15.875" style="3" customWidth="1"/>
    <col min="22" max="22" width="14" style="3" customWidth="1"/>
    <col min="23" max="24" width="12.625" style="3" customWidth="1"/>
    <col min="25" max="25" width="15.625" style="3" customWidth="1"/>
    <col min="26" max="26" width="14.25" style="3" customWidth="1"/>
    <col min="27" max="27" width="13.125" style="3" customWidth="1"/>
    <col min="28" max="28" width="13.75" style="3" customWidth="1"/>
    <col min="29" max="29" width="15.25" style="3" customWidth="1"/>
    <col min="30" max="30" width="13.875" style="3" customWidth="1"/>
    <col min="31" max="31" width="13.125" style="3" customWidth="1"/>
    <col min="32" max="32" width="13.75" style="3" customWidth="1"/>
    <col min="33" max="33" width="15.25" style="3" customWidth="1"/>
    <col min="34" max="34" width="13.875" style="3" customWidth="1"/>
    <col min="35" max="35" width="13.125" style="3" customWidth="1"/>
    <col min="36" max="36" width="13.75" style="3" customWidth="1"/>
    <col min="37" max="37" width="15.25" style="3" customWidth="1"/>
    <col min="38" max="38" width="14.25" style="3" customWidth="1"/>
    <col min="39" max="16384" width="9.25" style="3"/>
  </cols>
  <sheetData>
    <row r="1" spans="1:38" x14ac:dyDescent="0.25">
      <c r="C1" s="982" t="s">
        <v>407</v>
      </c>
      <c r="D1" s="982"/>
      <c r="E1" s="982"/>
      <c r="F1" s="982"/>
      <c r="G1" s="982"/>
      <c r="H1" s="982"/>
      <c r="I1" s="982"/>
      <c r="J1" s="982"/>
      <c r="K1" s="982"/>
      <c r="L1" s="982"/>
      <c r="M1" s="982"/>
      <c r="N1" s="982"/>
      <c r="O1" s="982" t="s">
        <v>407</v>
      </c>
      <c r="P1" s="982"/>
      <c r="Q1" s="982"/>
      <c r="R1" s="982"/>
      <c r="S1" s="982"/>
      <c r="T1" s="982"/>
      <c r="U1" s="982"/>
      <c r="V1" s="982"/>
      <c r="W1" s="982"/>
      <c r="X1" s="982"/>
      <c r="Y1" s="982"/>
      <c r="Z1" s="982"/>
      <c r="AA1" s="982" t="s">
        <v>407</v>
      </c>
      <c r="AB1" s="982"/>
      <c r="AC1" s="982"/>
      <c r="AD1" s="982"/>
      <c r="AE1" s="982"/>
      <c r="AF1" s="982"/>
      <c r="AG1" s="982"/>
      <c r="AH1" s="982"/>
      <c r="AI1" s="982"/>
      <c r="AJ1" s="982"/>
      <c r="AK1" s="982"/>
      <c r="AL1" s="982"/>
    </row>
    <row r="2" spans="1:38" x14ac:dyDescent="0.25">
      <c r="C2" s="982" t="s">
        <v>574</v>
      </c>
      <c r="D2" s="982"/>
      <c r="E2" s="982"/>
      <c r="F2" s="982"/>
      <c r="G2" s="982"/>
      <c r="H2" s="982"/>
      <c r="I2" s="982"/>
      <c r="J2" s="982"/>
      <c r="K2" s="982"/>
      <c r="L2" s="982"/>
      <c r="M2" s="982"/>
      <c r="N2" s="982"/>
      <c r="O2" s="982" t="s">
        <v>574</v>
      </c>
      <c r="P2" s="982"/>
      <c r="Q2" s="982"/>
      <c r="R2" s="982"/>
      <c r="S2" s="982"/>
      <c r="T2" s="982"/>
      <c r="U2" s="982"/>
      <c r="V2" s="982"/>
      <c r="W2" s="982"/>
      <c r="X2" s="982"/>
      <c r="Y2" s="982"/>
      <c r="Z2" s="982"/>
      <c r="AA2" s="982" t="s">
        <v>574</v>
      </c>
      <c r="AB2" s="982"/>
      <c r="AC2" s="982"/>
      <c r="AD2" s="982"/>
      <c r="AE2" s="982"/>
      <c r="AF2" s="982"/>
      <c r="AG2" s="982"/>
      <c r="AH2" s="982"/>
      <c r="AI2" s="982"/>
      <c r="AJ2" s="982"/>
      <c r="AK2" s="982"/>
      <c r="AL2" s="982"/>
    </row>
    <row r="3" spans="1:38" x14ac:dyDescent="0.25">
      <c r="C3" s="982" t="s">
        <v>850</v>
      </c>
      <c r="D3" s="982"/>
      <c r="E3" s="982"/>
      <c r="F3" s="982"/>
      <c r="G3" s="982"/>
      <c r="H3" s="982"/>
      <c r="I3" s="982"/>
      <c r="J3" s="982"/>
      <c r="K3" s="982"/>
      <c r="L3" s="982"/>
      <c r="M3" s="982"/>
      <c r="N3" s="982"/>
      <c r="O3" s="982" t="s">
        <v>850</v>
      </c>
      <c r="P3" s="982"/>
      <c r="Q3" s="982"/>
      <c r="R3" s="982"/>
      <c r="S3" s="982"/>
      <c r="T3" s="982"/>
      <c r="U3" s="982"/>
      <c r="V3" s="982"/>
      <c r="W3" s="982"/>
      <c r="X3" s="982"/>
      <c r="Y3" s="982"/>
      <c r="Z3" s="982"/>
      <c r="AA3" s="982" t="s">
        <v>850</v>
      </c>
      <c r="AB3" s="982"/>
      <c r="AC3" s="982"/>
      <c r="AD3" s="982"/>
      <c r="AE3" s="982"/>
      <c r="AF3" s="982"/>
      <c r="AG3" s="982"/>
      <c r="AH3" s="982"/>
      <c r="AI3" s="982"/>
      <c r="AJ3" s="982"/>
      <c r="AK3" s="982"/>
      <c r="AL3" s="982"/>
    </row>
    <row r="4" spans="1:38" ht="16.5" thickBot="1" x14ac:dyDescent="0.3"/>
    <row r="5" spans="1:38" ht="87" customHeight="1" thickTop="1" thickBot="1" x14ac:dyDescent="0.3">
      <c r="A5" s="1"/>
      <c r="B5" s="188"/>
      <c r="C5" s="974" t="s">
        <v>22</v>
      </c>
      <c r="D5" s="975"/>
      <c r="E5" s="975"/>
      <c r="F5" s="975"/>
      <c r="G5" s="975"/>
      <c r="H5" s="975"/>
      <c r="I5" s="975"/>
      <c r="J5" s="975"/>
      <c r="K5" s="975"/>
      <c r="L5" s="975"/>
      <c r="M5" s="975"/>
      <c r="N5" s="976"/>
      <c r="O5" s="978" t="s">
        <v>23</v>
      </c>
      <c r="P5" s="979"/>
      <c r="Q5" s="979"/>
      <c r="R5" s="979"/>
      <c r="S5" s="979"/>
      <c r="T5" s="979"/>
      <c r="U5" s="979"/>
      <c r="V5" s="979"/>
      <c r="W5" s="979"/>
      <c r="X5" s="979"/>
      <c r="Y5" s="979"/>
      <c r="Z5" s="980"/>
      <c r="AA5" s="971" t="s">
        <v>152</v>
      </c>
      <c r="AB5" s="972"/>
      <c r="AC5" s="972"/>
      <c r="AD5" s="972"/>
      <c r="AE5" s="972"/>
      <c r="AF5" s="972"/>
      <c r="AG5" s="972"/>
      <c r="AH5" s="972"/>
      <c r="AI5" s="972"/>
      <c r="AJ5" s="972"/>
      <c r="AK5" s="972"/>
      <c r="AL5" s="973"/>
    </row>
    <row r="6" spans="1:38" ht="33" customHeight="1" thickTop="1" thickBot="1" x14ac:dyDescent="0.3">
      <c r="A6" s="1" t="s">
        <v>145</v>
      </c>
      <c r="B6" s="188" t="s">
        <v>162</v>
      </c>
      <c r="C6" s="974" t="s">
        <v>387</v>
      </c>
      <c r="D6" s="975"/>
      <c r="E6" s="975"/>
      <c r="F6" s="976"/>
      <c r="G6" s="974" t="s">
        <v>388</v>
      </c>
      <c r="H6" s="975"/>
      <c r="I6" s="975"/>
      <c r="J6" s="976"/>
      <c r="K6" s="974" t="s">
        <v>784</v>
      </c>
      <c r="L6" s="975"/>
      <c r="M6" s="975"/>
      <c r="N6" s="976"/>
      <c r="O6" s="974" t="s">
        <v>387</v>
      </c>
      <c r="P6" s="975"/>
      <c r="Q6" s="975"/>
      <c r="R6" s="976"/>
      <c r="S6" s="977" t="s">
        <v>388</v>
      </c>
      <c r="T6" s="977"/>
      <c r="U6" s="977"/>
      <c r="V6" s="977"/>
      <c r="W6" s="977" t="s">
        <v>784</v>
      </c>
      <c r="X6" s="977"/>
      <c r="Y6" s="977"/>
      <c r="Z6" s="977"/>
      <c r="AA6" s="974" t="s">
        <v>387</v>
      </c>
      <c r="AB6" s="975"/>
      <c r="AC6" s="975"/>
      <c r="AD6" s="976"/>
      <c r="AE6" s="974" t="s">
        <v>388</v>
      </c>
      <c r="AF6" s="975"/>
      <c r="AG6" s="975"/>
      <c r="AH6" s="976"/>
      <c r="AI6" s="974" t="s">
        <v>784</v>
      </c>
      <c r="AJ6" s="975"/>
      <c r="AK6" s="975"/>
      <c r="AL6" s="976"/>
    </row>
    <row r="7" spans="1:38" ht="33" thickTop="1" thickBot="1" x14ac:dyDescent="0.3">
      <c r="A7" s="1"/>
      <c r="B7" s="188"/>
      <c r="C7" s="379" t="s">
        <v>139</v>
      </c>
      <c r="D7" s="385" t="s">
        <v>140</v>
      </c>
      <c r="E7" s="385" t="s">
        <v>367</v>
      </c>
      <c r="F7" s="385" t="s">
        <v>152</v>
      </c>
      <c r="G7" s="379" t="s">
        <v>139</v>
      </c>
      <c r="H7" s="379" t="s">
        <v>140</v>
      </c>
      <c r="I7" s="379" t="s">
        <v>367</v>
      </c>
      <c r="J7" s="379" t="s">
        <v>152</v>
      </c>
      <c r="K7" s="379" t="s">
        <v>139</v>
      </c>
      <c r="L7" s="379" t="s">
        <v>140</v>
      </c>
      <c r="M7" s="379" t="s">
        <v>367</v>
      </c>
      <c r="N7" s="385" t="s">
        <v>152</v>
      </c>
      <c r="O7" s="379" t="s">
        <v>139</v>
      </c>
      <c r="P7" s="385" t="s">
        <v>140</v>
      </c>
      <c r="Q7" s="385" t="s">
        <v>367</v>
      </c>
      <c r="R7" s="385" t="s">
        <v>152</v>
      </c>
      <c r="S7" s="379" t="s">
        <v>139</v>
      </c>
      <c r="T7" s="379" t="s">
        <v>140</v>
      </c>
      <c r="U7" s="379" t="s">
        <v>367</v>
      </c>
      <c r="V7" s="379" t="s">
        <v>152</v>
      </c>
      <c r="W7" s="379" t="s">
        <v>139</v>
      </c>
      <c r="X7" s="379" t="s">
        <v>140</v>
      </c>
      <c r="Y7" s="379" t="s">
        <v>367</v>
      </c>
      <c r="Z7" s="385" t="s">
        <v>152</v>
      </c>
      <c r="AA7" s="2" t="s">
        <v>139</v>
      </c>
      <c r="AB7" s="4" t="s">
        <v>140</v>
      </c>
      <c r="AC7" s="4" t="s">
        <v>367</v>
      </c>
      <c r="AD7" s="4" t="s">
        <v>152</v>
      </c>
      <c r="AE7" s="379" t="s">
        <v>139</v>
      </c>
      <c r="AF7" s="385" t="s">
        <v>140</v>
      </c>
      <c r="AG7" s="385" t="s">
        <v>367</v>
      </c>
      <c r="AH7" s="385" t="s">
        <v>152</v>
      </c>
      <c r="AI7" s="379" t="s">
        <v>139</v>
      </c>
      <c r="AJ7" s="385" t="s">
        <v>140</v>
      </c>
      <c r="AK7" s="385" t="s">
        <v>367</v>
      </c>
      <c r="AL7" s="385" t="s">
        <v>152</v>
      </c>
    </row>
    <row r="8" spans="1:38" ht="17.25" thickTop="1" thickBot="1" x14ac:dyDescent="0.3">
      <c r="A8" s="1" t="s">
        <v>146</v>
      </c>
      <c r="B8" s="188"/>
      <c r="C8" s="974" t="s">
        <v>398</v>
      </c>
      <c r="D8" s="975"/>
      <c r="E8" s="975"/>
      <c r="F8" s="976"/>
      <c r="G8" s="977" t="s">
        <v>399</v>
      </c>
      <c r="H8" s="977"/>
      <c r="I8" s="977"/>
      <c r="J8" s="977"/>
      <c r="K8" s="977" t="s">
        <v>400</v>
      </c>
      <c r="L8" s="977"/>
      <c r="M8" s="977"/>
      <c r="N8" s="977"/>
      <c r="O8" s="971" t="s">
        <v>401</v>
      </c>
      <c r="P8" s="972"/>
      <c r="Q8" s="972"/>
      <c r="R8" s="973"/>
      <c r="S8" s="981" t="s">
        <v>402</v>
      </c>
      <c r="T8" s="981"/>
      <c r="U8" s="981"/>
      <c r="V8" s="981"/>
      <c r="W8" s="981" t="s">
        <v>403</v>
      </c>
      <c r="X8" s="981"/>
      <c r="Y8" s="981"/>
      <c r="Z8" s="981"/>
      <c r="AA8" s="971" t="s">
        <v>404</v>
      </c>
      <c r="AB8" s="972"/>
      <c r="AC8" s="972"/>
      <c r="AD8" s="973"/>
      <c r="AE8" s="971" t="s">
        <v>405</v>
      </c>
      <c r="AF8" s="972"/>
      <c r="AG8" s="972"/>
      <c r="AH8" s="973"/>
      <c r="AI8" s="971" t="s">
        <v>406</v>
      </c>
      <c r="AJ8" s="972"/>
      <c r="AK8" s="972"/>
      <c r="AL8" s="973"/>
    </row>
    <row r="9" spans="1:38" s="27" customFormat="1" ht="32.25" thickTop="1" x14ac:dyDescent="0.25">
      <c r="A9" s="26" t="s">
        <v>197</v>
      </c>
      <c r="B9" s="206" t="s">
        <v>201</v>
      </c>
      <c r="C9" s="207">
        <v>3967</v>
      </c>
      <c r="D9" s="12"/>
      <c r="E9" s="13"/>
      <c r="F9" s="14">
        <f t="shared" ref="F9:F16" si="0">SUM(C9:E9)</f>
        <v>3967</v>
      </c>
      <c r="G9" s="14"/>
      <c r="H9" s="14"/>
      <c r="I9" s="14"/>
      <c r="J9" s="14">
        <f>SUM(G9:I9)</f>
        <v>0</v>
      </c>
      <c r="K9" s="14">
        <f>SUM(G9+C9)</f>
        <v>3967</v>
      </c>
      <c r="L9" s="14">
        <f t="shared" ref="L9:M9" si="1">SUM(H9+D9)</f>
        <v>0</v>
      </c>
      <c r="M9" s="14">
        <f t="shared" si="1"/>
        <v>0</v>
      </c>
      <c r="N9" s="14">
        <f>SUM(K9:M9)</f>
        <v>3967</v>
      </c>
      <c r="O9" s="13"/>
      <c r="P9" s="13"/>
      <c r="Q9" s="13"/>
      <c r="R9" s="13"/>
      <c r="S9" s="13"/>
      <c r="T9" s="13"/>
      <c r="U9" s="13"/>
      <c r="V9" s="13"/>
      <c r="W9" s="13"/>
      <c r="X9" s="13"/>
      <c r="Y9" s="13"/>
      <c r="Z9" s="13"/>
      <c r="AA9" s="7">
        <f t="shared" ref="AA9:AC11" si="2">SUM(O9+C9)</f>
        <v>3967</v>
      </c>
      <c r="AB9" s="7">
        <f t="shared" si="2"/>
        <v>0</v>
      </c>
      <c r="AC9" s="7">
        <f t="shared" si="2"/>
        <v>0</v>
      </c>
      <c r="AD9" s="7">
        <f>SUM(AA9:AC9)</f>
        <v>3967</v>
      </c>
      <c r="AE9" s="7">
        <f>SUM(S9+G9)</f>
        <v>0</v>
      </c>
      <c r="AF9" s="7">
        <f t="shared" ref="AE9:AG11" si="3">SUM(T9+H9)</f>
        <v>0</v>
      </c>
      <c r="AG9" s="7">
        <f t="shared" si="3"/>
        <v>0</v>
      </c>
      <c r="AH9" s="7">
        <f t="shared" ref="AH9:AH11" si="4">SUM(AE9:AG9)</f>
        <v>0</v>
      </c>
      <c r="AI9" s="7">
        <f>SUM(W9+K9)</f>
        <v>3967</v>
      </c>
      <c r="AJ9" s="7">
        <f t="shared" ref="AI9:AK11" si="5">SUM(X9+L9)</f>
        <v>0</v>
      </c>
      <c r="AK9" s="7">
        <f t="shared" si="5"/>
        <v>0</v>
      </c>
      <c r="AL9" s="7">
        <f t="shared" ref="AL9:AL11" si="6">SUM(AI9:AK9)</f>
        <v>3967</v>
      </c>
    </row>
    <row r="10" spans="1:38" s="27" customFormat="1" ht="31.5" x14ac:dyDescent="0.25">
      <c r="A10" s="26" t="s">
        <v>332</v>
      </c>
      <c r="B10" s="26" t="s">
        <v>202</v>
      </c>
      <c r="C10" s="13">
        <v>1867433</v>
      </c>
      <c r="D10" s="12"/>
      <c r="E10" s="13"/>
      <c r="F10" s="14">
        <f t="shared" si="0"/>
        <v>1867433</v>
      </c>
      <c r="G10" s="14">
        <v>17396</v>
      </c>
      <c r="H10" s="14"/>
      <c r="I10" s="14"/>
      <c r="J10" s="14">
        <f>SUM(G10:I10)</f>
        <v>17396</v>
      </c>
      <c r="K10" s="14">
        <f t="shared" ref="K10:K11" si="7">SUM(G10+C10)</f>
        <v>1884829</v>
      </c>
      <c r="L10" s="14">
        <f t="shared" ref="L10:L11" si="8">SUM(H10+D10)</f>
        <v>0</v>
      </c>
      <c r="M10" s="14">
        <f t="shared" ref="M10:M11" si="9">SUM(I10+E10)</f>
        <v>0</v>
      </c>
      <c r="N10" s="14">
        <f t="shared" ref="N10:N11" si="10">SUM(K10:M10)</f>
        <v>1884829</v>
      </c>
      <c r="O10" s="13"/>
      <c r="P10" s="13"/>
      <c r="Q10" s="13"/>
      <c r="R10" s="13"/>
      <c r="S10" s="13"/>
      <c r="T10" s="13"/>
      <c r="U10" s="13"/>
      <c r="V10" s="13"/>
      <c r="W10" s="13"/>
      <c r="X10" s="13"/>
      <c r="Y10" s="13"/>
      <c r="Z10" s="13"/>
      <c r="AA10" s="7">
        <f t="shared" si="2"/>
        <v>1867433</v>
      </c>
      <c r="AB10" s="7">
        <f t="shared" si="2"/>
        <v>0</v>
      </c>
      <c r="AC10" s="7">
        <f t="shared" si="2"/>
        <v>0</v>
      </c>
      <c r="AD10" s="7">
        <f>SUM(AA10:AC10)</f>
        <v>1867433</v>
      </c>
      <c r="AE10" s="7">
        <f t="shared" si="3"/>
        <v>17396</v>
      </c>
      <c r="AF10" s="7">
        <f t="shared" si="3"/>
        <v>0</v>
      </c>
      <c r="AG10" s="7">
        <f t="shared" si="3"/>
        <v>0</v>
      </c>
      <c r="AH10" s="7">
        <f t="shared" si="4"/>
        <v>17396</v>
      </c>
      <c r="AI10" s="7">
        <f t="shared" si="5"/>
        <v>1884829</v>
      </c>
      <c r="AJ10" s="7">
        <f t="shared" si="5"/>
        <v>0</v>
      </c>
      <c r="AK10" s="7">
        <f t="shared" si="5"/>
        <v>0</v>
      </c>
      <c r="AL10" s="7">
        <f t="shared" si="6"/>
        <v>1884829</v>
      </c>
    </row>
    <row r="11" spans="1:38" s="27" customFormat="1" ht="47.25" x14ac:dyDescent="0.25">
      <c r="A11" s="303" t="s">
        <v>327</v>
      </c>
      <c r="B11" s="26" t="s">
        <v>203</v>
      </c>
      <c r="C11" s="13">
        <v>1720015</v>
      </c>
      <c r="D11" s="12"/>
      <c r="E11" s="13"/>
      <c r="F11" s="14">
        <f t="shared" si="0"/>
        <v>1720015</v>
      </c>
      <c r="G11" s="14">
        <f>67706+15164+623</f>
        <v>83493</v>
      </c>
      <c r="H11" s="14"/>
      <c r="I11" s="14"/>
      <c r="J11" s="14">
        <f t="shared" ref="J11:J16" si="11">SUM(G11:I11)</f>
        <v>83493</v>
      </c>
      <c r="K11" s="13">
        <f t="shared" si="7"/>
        <v>1803508</v>
      </c>
      <c r="L11" s="14">
        <f t="shared" si="8"/>
        <v>0</v>
      </c>
      <c r="M11" s="14">
        <f t="shared" si="9"/>
        <v>0</v>
      </c>
      <c r="N11" s="14">
        <f t="shared" si="10"/>
        <v>1803508</v>
      </c>
      <c r="O11" s="13"/>
      <c r="P11" s="13"/>
      <c r="Q11" s="13"/>
      <c r="R11" s="13"/>
      <c r="S11" s="13"/>
      <c r="T11" s="13"/>
      <c r="U11" s="13"/>
      <c r="V11" s="13"/>
      <c r="W11" s="13"/>
      <c r="X11" s="13"/>
      <c r="Y11" s="13"/>
      <c r="Z11" s="13"/>
      <c r="AA11" s="7">
        <f t="shared" si="2"/>
        <v>1720015</v>
      </c>
      <c r="AB11" s="7">
        <f t="shared" si="2"/>
        <v>0</v>
      </c>
      <c r="AC11" s="7">
        <f t="shared" si="2"/>
        <v>0</v>
      </c>
      <c r="AD11" s="7">
        <f>SUM(AA11:AC11)</f>
        <v>1720015</v>
      </c>
      <c r="AE11" s="7">
        <f t="shared" si="3"/>
        <v>83493</v>
      </c>
      <c r="AF11" s="7">
        <f t="shared" si="3"/>
        <v>0</v>
      </c>
      <c r="AG11" s="7">
        <f t="shared" si="3"/>
        <v>0</v>
      </c>
      <c r="AH11" s="7">
        <f t="shared" si="4"/>
        <v>83493</v>
      </c>
      <c r="AI11" s="7">
        <f t="shared" si="5"/>
        <v>1803508</v>
      </c>
      <c r="AJ11" s="7">
        <f t="shared" si="5"/>
        <v>0</v>
      </c>
      <c r="AK11" s="7">
        <f t="shared" si="5"/>
        <v>0</v>
      </c>
      <c r="AL11" s="7">
        <f t="shared" si="6"/>
        <v>1803508</v>
      </c>
    </row>
    <row r="12" spans="1:38" s="27" customFormat="1" ht="31.5" x14ac:dyDescent="0.25">
      <c r="A12" s="26" t="s">
        <v>198</v>
      </c>
      <c r="B12" s="26" t="s">
        <v>204</v>
      </c>
      <c r="C12" s="13">
        <v>602527</v>
      </c>
      <c r="D12" s="12">
        <v>301800</v>
      </c>
      <c r="E12" s="13"/>
      <c r="F12" s="14">
        <f t="shared" si="0"/>
        <v>904327</v>
      </c>
      <c r="G12" s="14">
        <f>2485+7826</f>
        <v>10311</v>
      </c>
      <c r="H12" s="14"/>
      <c r="I12" s="14"/>
      <c r="J12" s="14">
        <f t="shared" si="11"/>
        <v>10311</v>
      </c>
      <c r="K12" s="13">
        <f t="shared" ref="K12:K16" si="12">SUM(G12+C12)</f>
        <v>612838</v>
      </c>
      <c r="L12" s="14">
        <f t="shared" ref="L12:L16" si="13">SUM(H12+D12)</f>
        <v>301800</v>
      </c>
      <c r="M12" s="14">
        <f t="shared" ref="M12:M16" si="14">SUM(I12+E12)</f>
        <v>0</v>
      </c>
      <c r="N12" s="14">
        <f t="shared" ref="N12:N16" si="15">SUM(K12:M12)</f>
        <v>914638</v>
      </c>
      <c r="O12" s="13"/>
      <c r="P12" s="13"/>
      <c r="Q12" s="13"/>
      <c r="R12" s="13"/>
      <c r="S12" s="13"/>
      <c r="T12" s="13"/>
      <c r="U12" s="13"/>
      <c r="V12" s="13"/>
      <c r="W12" s="13"/>
      <c r="X12" s="13"/>
      <c r="Y12" s="13"/>
      <c r="Z12" s="13"/>
      <c r="AA12" s="7">
        <f t="shared" ref="AA12:AD16" si="16">SUM(C12+O12)</f>
        <v>602527</v>
      </c>
      <c r="AB12" s="7">
        <f t="shared" si="16"/>
        <v>301800</v>
      </c>
      <c r="AC12" s="7">
        <f t="shared" si="16"/>
        <v>0</v>
      </c>
      <c r="AD12" s="7">
        <f t="shared" si="16"/>
        <v>904327</v>
      </c>
      <c r="AE12" s="7">
        <f t="shared" ref="AE12:AL16" si="17">SUM(G12+S12)</f>
        <v>10311</v>
      </c>
      <c r="AF12" s="7">
        <f t="shared" si="17"/>
        <v>0</v>
      </c>
      <c r="AG12" s="7">
        <f t="shared" si="17"/>
        <v>0</v>
      </c>
      <c r="AH12" s="7">
        <f t="shared" si="17"/>
        <v>10311</v>
      </c>
      <c r="AI12" s="7">
        <f t="shared" si="17"/>
        <v>612838</v>
      </c>
      <c r="AJ12" s="7">
        <f t="shared" si="17"/>
        <v>301800</v>
      </c>
      <c r="AK12" s="7">
        <f t="shared" si="17"/>
        <v>0</v>
      </c>
      <c r="AL12" s="7">
        <f t="shared" si="17"/>
        <v>914638</v>
      </c>
    </row>
    <row r="13" spans="1:38" s="28" customFormat="1" ht="31.5" x14ac:dyDescent="0.25">
      <c r="A13" s="26" t="s">
        <v>24</v>
      </c>
      <c r="B13" s="26"/>
      <c r="C13" s="13">
        <v>233300</v>
      </c>
      <c r="D13" s="12"/>
      <c r="E13" s="13"/>
      <c r="F13" s="14">
        <f t="shared" si="0"/>
        <v>233300</v>
      </c>
      <c r="G13" s="14"/>
      <c r="H13" s="14"/>
      <c r="I13" s="14"/>
      <c r="J13" s="14">
        <f t="shared" si="11"/>
        <v>0</v>
      </c>
      <c r="K13" s="13">
        <f t="shared" si="12"/>
        <v>233300</v>
      </c>
      <c r="L13" s="14">
        <f t="shared" si="13"/>
        <v>0</v>
      </c>
      <c r="M13" s="14">
        <f t="shared" si="14"/>
        <v>0</v>
      </c>
      <c r="N13" s="14">
        <f t="shared" si="15"/>
        <v>233300</v>
      </c>
      <c r="O13" s="13"/>
      <c r="P13" s="13"/>
      <c r="Q13" s="13"/>
      <c r="R13" s="13"/>
      <c r="S13" s="13"/>
      <c r="T13" s="13"/>
      <c r="U13" s="13"/>
      <c r="V13" s="13"/>
      <c r="W13" s="13"/>
      <c r="X13" s="13"/>
      <c r="Y13" s="13"/>
      <c r="Z13" s="13"/>
      <c r="AA13" s="7">
        <f t="shared" si="16"/>
        <v>233300</v>
      </c>
      <c r="AB13" s="7">
        <f t="shared" si="16"/>
        <v>0</v>
      </c>
      <c r="AC13" s="7">
        <f t="shared" si="16"/>
        <v>0</v>
      </c>
      <c r="AD13" s="7">
        <f t="shared" si="16"/>
        <v>233300</v>
      </c>
      <c r="AE13" s="7">
        <f t="shared" si="17"/>
        <v>0</v>
      </c>
      <c r="AF13" s="7">
        <f t="shared" si="17"/>
        <v>0</v>
      </c>
      <c r="AG13" s="7">
        <f t="shared" si="17"/>
        <v>0</v>
      </c>
      <c r="AH13" s="7">
        <f t="shared" si="17"/>
        <v>0</v>
      </c>
      <c r="AI13" s="7">
        <f t="shared" si="17"/>
        <v>233300</v>
      </c>
      <c r="AJ13" s="7">
        <f t="shared" si="17"/>
        <v>0</v>
      </c>
      <c r="AK13" s="7">
        <f t="shared" si="17"/>
        <v>0</v>
      </c>
      <c r="AL13" s="7">
        <f t="shared" si="17"/>
        <v>233300</v>
      </c>
    </row>
    <row r="14" spans="1:38" s="28" customFormat="1" ht="31.5" x14ac:dyDescent="0.25">
      <c r="A14" s="26" t="s">
        <v>25</v>
      </c>
      <c r="B14" s="26"/>
      <c r="C14" s="13">
        <v>176100</v>
      </c>
      <c r="D14" s="12"/>
      <c r="E14" s="13"/>
      <c r="F14" s="14">
        <f t="shared" si="0"/>
        <v>176100</v>
      </c>
      <c r="G14" s="14"/>
      <c r="H14" s="14"/>
      <c r="I14" s="14"/>
      <c r="J14" s="14">
        <f t="shared" si="11"/>
        <v>0</v>
      </c>
      <c r="K14" s="13">
        <f t="shared" si="12"/>
        <v>176100</v>
      </c>
      <c r="L14" s="14">
        <f t="shared" si="13"/>
        <v>0</v>
      </c>
      <c r="M14" s="14">
        <f t="shared" si="14"/>
        <v>0</v>
      </c>
      <c r="N14" s="14">
        <f t="shared" si="15"/>
        <v>176100</v>
      </c>
      <c r="O14" s="13"/>
      <c r="P14" s="13"/>
      <c r="Q14" s="13"/>
      <c r="R14" s="13"/>
      <c r="S14" s="13"/>
      <c r="T14" s="13"/>
      <c r="U14" s="13"/>
      <c r="V14" s="13"/>
      <c r="W14" s="13"/>
      <c r="X14" s="13"/>
      <c r="Y14" s="13"/>
      <c r="Z14" s="13"/>
      <c r="AA14" s="7">
        <f t="shared" si="16"/>
        <v>176100</v>
      </c>
      <c r="AB14" s="7">
        <f t="shared" si="16"/>
        <v>0</v>
      </c>
      <c r="AC14" s="7">
        <f t="shared" si="16"/>
        <v>0</v>
      </c>
      <c r="AD14" s="7">
        <f t="shared" si="16"/>
        <v>176100</v>
      </c>
      <c r="AE14" s="7">
        <f t="shared" si="17"/>
        <v>0</v>
      </c>
      <c r="AF14" s="7">
        <f t="shared" si="17"/>
        <v>0</v>
      </c>
      <c r="AG14" s="7">
        <f t="shared" si="17"/>
        <v>0</v>
      </c>
      <c r="AH14" s="7">
        <f t="shared" si="17"/>
        <v>0</v>
      </c>
      <c r="AI14" s="7">
        <f t="shared" si="17"/>
        <v>176100</v>
      </c>
      <c r="AJ14" s="7">
        <f t="shared" si="17"/>
        <v>0</v>
      </c>
      <c r="AK14" s="7">
        <f t="shared" si="17"/>
        <v>0</v>
      </c>
      <c r="AL14" s="7">
        <f t="shared" si="17"/>
        <v>176100</v>
      </c>
    </row>
    <row r="15" spans="1:38" s="28" customFormat="1" x14ac:dyDescent="0.25">
      <c r="A15" s="26" t="s">
        <v>26</v>
      </c>
      <c r="B15" s="26"/>
      <c r="C15" s="13"/>
      <c r="D15" s="12">
        <v>301800</v>
      </c>
      <c r="E15" s="13"/>
      <c r="F15" s="14">
        <f t="shared" si="0"/>
        <v>301800</v>
      </c>
      <c r="G15" s="14"/>
      <c r="H15" s="14"/>
      <c r="I15" s="14"/>
      <c r="J15" s="14">
        <f t="shared" si="11"/>
        <v>0</v>
      </c>
      <c r="K15" s="13">
        <f t="shared" si="12"/>
        <v>0</v>
      </c>
      <c r="L15" s="14">
        <f t="shared" si="13"/>
        <v>301800</v>
      </c>
      <c r="M15" s="14">
        <f t="shared" si="14"/>
        <v>0</v>
      </c>
      <c r="N15" s="14">
        <f t="shared" si="15"/>
        <v>301800</v>
      </c>
      <c r="O15" s="13"/>
      <c r="P15" s="13"/>
      <c r="Q15" s="13"/>
      <c r="R15" s="13"/>
      <c r="S15" s="13"/>
      <c r="T15" s="13"/>
      <c r="U15" s="13"/>
      <c r="V15" s="13"/>
      <c r="W15" s="13"/>
      <c r="X15" s="13"/>
      <c r="Y15" s="13"/>
      <c r="Z15" s="13"/>
      <c r="AA15" s="7">
        <f t="shared" si="16"/>
        <v>0</v>
      </c>
      <c r="AB15" s="7">
        <f t="shared" si="16"/>
        <v>301800</v>
      </c>
      <c r="AC15" s="7">
        <f t="shared" si="16"/>
        <v>0</v>
      </c>
      <c r="AD15" s="7">
        <f t="shared" si="16"/>
        <v>301800</v>
      </c>
      <c r="AE15" s="7">
        <f t="shared" si="17"/>
        <v>0</v>
      </c>
      <c r="AF15" s="7">
        <f t="shared" si="17"/>
        <v>0</v>
      </c>
      <c r="AG15" s="7">
        <f t="shared" si="17"/>
        <v>0</v>
      </c>
      <c r="AH15" s="7">
        <f t="shared" si="17"/>
        <v>0</v>
      </c>
      <c r="AI15" s="7">
        <f t="shared" si="17"/>
        <v>0</v>
      </c>
      <c r="AJ15" s="7">
        <f t="shared" si="17"/>
        <v>301800</v>
      </c>
      <c r="AK15" s="7">
        <f t="shared" si="17"/>
        <v>0</v>
      </c>
      <c r="AL15" s="7">
        <f t="shared" si="17"/>
        <v>301800</v>
      </c>
    </row>
    <row r="16" spans="1:38" s="28" customFormat="1" ht="36.75" customHeight="1" x14ac:dyDescent="0.25">
      <c r="A16" s="26" t="s">
        <v>199</v>
      </c>
      <c r="B16" s="26" t="s">
        <v>205</v>
      </c>
      <c r="C16" s="13">
        <v>292488</v>
      </c>
      <c r="D16" s="12"/>
      <c r="E16" s="13"/>
      <c r="F16" s="14">
        <f t="shared" si="0"/>
        <v>292488</v>
      </c>
      <c r="G16" s="14">
        <f>15+2410</f>
        <v>2425</v>
      </c>
      <c r="H16" s="14"/>
      <c r="I16" s="14"/>
      <c r="J16" s="14">
        <f t="shared" si="11"/>
        <v>2425</v>
      </c>
      <c r="K16" s="13">
        <f t="shared" si="12"/>
        <v>294913</v>
      </c>
      <c r="L16" s="14">
        <f t="shared" si="13"/>
        <v>0</v>
      </c>
      <c r="M16" s="14">
        <f t="shared" si="14"/>
        <v>0</v>
      </c>
      <c r="N16" s="14">
        <f t="shared" si="15"/>
        <v>294913</v>
      </c>
      <c r="O16" s="13"/>
      <c r="P16" s="13"/>
      <c r="Q16" s="13"/>
      <c r="R16" s="13"/>
      <c r="S16" s="13"/>
      <c r="T16" s="13"/>
      <c r="U16" s="13"/>
      <c r="V16" s="13"/>
      <c r="W16" s="13"/>
      <c r="X16" s="13"/>
      <c r="Y16" s="13"/>
      <c r="Z16" s="13"/>
      <c r="AA16" s="7">
        <f t="shared" si="16"/>
        <v>292488</v>
      </c>
      <c r="AB16" s="7">
        <f t="shared" si="16"/>
        <v>0</v>
      </c>
      <c r="AC16" s="7">
        <f t="shared" si="16"/>
        <v>0</v>
      </c>
      <c r="AD16" s="7">
        <f t="shared" si="16"/>
        <v>292488</v>
      </c>
      <c r="AE16" s="7">
        <f t="shared" si="17"/>
        <v>2425</v>
      </c>
      <c r="AF16" s="7">
        <f t="shared" si="17"/>
        <v>0</v>
      </c>
      <c r="AG16" s="7">
        <f t="shared" si="17"/>
        <v>0</v>
      </c>
      <c r="AH16" s="7">
        <f t="shared" si="17"/>
        <v>2425</v>
      </c>
      <c r="AI16" s="7">
        <f t="shared" si="17"/>
        <v>294913</v>
      </c>
      <c r="AJ16" s="7">
        <f t="shared" si="17"/>
        <v>0</v>
      </c>
      <c r="AK16" s="7">
        <f t="shared" si="17"/>
        <v>0</v>
      </c>
      <c r="AL16" s="7">
        <f t="shared" si="17"/>
        <v>294913</v>
      </c>
    </row>
    <row r="17" spans="1:38" s="20" customFormat="1" ht="31.5" x14ac:dyDescent="0.25">
      <c r="A17" s="17" t="s">
        <v>200</v>
      </c>
      <c r="B17" s="17" t="s">
        <v>206</v>
      </c>
      <c r="C17" s="18">
        <f t="shared" ref="C17:AD17" si="18">SUM(C9:C11,C12,C16)</f>
        <v>4486430</v>
      </c>
      <c r="D17" s="18">
        <f t="shared" si="18"/>
        <v>301800</v>
      </c>
      <c r="E17" s="18">
        <f t="shared" si="18"/>
        <v>0</v>
      </c>
      <c r="F17" s="18">
        <f t="shared" si="18"/>
        <v>4788230</v>
      </c>
      <c r="G17" s="18">
        <f t="shared" si="18"/>
        <v>113625</v>
      </c>
      <c r="H17" s="18">
        <f t="shared" si="18"/>
        <v>0</v>
      </c>
      <c r="I17" s="18">
        <f t="shared" si="18"/>
        <v>0</v>
      </c>
      <c r="J17" s="18">
        <f t="shared" si="18"/>
        <v>113625</v>
      </c>
      <c r="K17" s="18">
        <f t="shared" si="18"/>
        <v>4600055</v>
      </c>
      <c r="L17" s="18">
        <f t="shared" si="18"/>
        <v>301800</v>
      </c>
      <c r="M17" s="18">
        <f t="shared" si="18"/>
        <v>0</v>
      </c>
      <c r="N17" s="18">
        <f t="shared" si="18"/>
        <v>4901855</v>
      </c>
      <c r="O17" s="18">
        <f t="shared" si="18"/>
        <v>0</v>
      </c>
      <c r="P17" s="18">
        <f t="shared" si="18"/>
        <v>0</v>
      </c>
      <c r="Q17" s="18">
        <f t="shared" si="18"/>
        <v>0</v>
      </c>
      <c r="R17" s="18">
        <f t="shared" si="18"/>
        <v>0</v>
      </c>
      <c r="S17" s="18">
        <f t="shared" si="18"/>
        <v>0</v>
      </c>
      <c r="T17" s="18">
        <f t="shared" si="18"/>
        <v>0</v>
      </c>
      <c r="U17" s="18">
        <f t="shared" si="18"/>
        <v>0</v>
      </c>
      <c r="V17" s="18">
        <f t="shared" si="18"/>
        <v>0</v>
      </c>
      <c r="W17" s="18">
        <f t="shared" si="18"/>
        <v>0</v>
      </c>
      <c r="X17" s="18">
        <f t="shared" si="18"/>
        <v>0</v>
      </c>
      <c r="Y17" s="18">
        <f t="shared" si="18"/>
        <v>0</v>
      </c>
      <c r="Z17" s="18">
        <f t="shared" si="18"/>
        <v>0</v>
      </c>
      <c r="AA17" s="18">
        <f t="shared" si="18"/>
        <v>4486430</v>
      </c>
      <c r="AB17" s="18">
        <f t="shared" si="18"/>
        <v>301800</v>
      </c>
      <c r="AC17" s="18">
        <f t="shared" si="18"/>
        <v>0</v>
      </c>
      <c r="AD17" s="18">
        <f t="shared" si="18"/>
        <v>4788230</v>
      </c>
      <c r="AE17" s="18">
        <f t="shared" ref="AE17:AL17" si="19">SUM(AE9:AE11,AE12,AE16)</f>
        <v>113625</v>
      </c>
      <c r="AF17" s="18">
        <f t="shared" si="19"/>
        <v>0</v>
      </c>
      <c r="AG17" s="18">
        <f t="shared" si="19"/>
        <v>0</v>
      </c>
      <c r="AH17" s="18">
        <f t="shared" si="19"/>
        <v>113625</v>
      </c>
      <c r="AI17" s="18">
        <f t="shared" si="19"/>
        <v>4600055</v>
      </c>
      <c r="AJ17" s="18">
        <f t="shared" si="19"/>
        <v>301800</v>
      </c>
      <c r="AK17" s="18">
        <f t="shared" si="19"/>
        <v>0</v>
      </c>
      <c r="AL17" s="18">
        <f t="shared" si="19"/>
        <v>4901855</v>
      </c>
    </row>
    <row r="18" spans="1:38" s="20" customFormat="1" ht="31.5" x14ac:dyDescent="0.25">
      <c r="A18" s="17" t="s">
        <v>238</v>
      </c>
      <c r="B18" s="17" t="s">
        <v>239</v>
      </c>
      <c r="C18" s="18">
        <v>21326</v>
      </c>
      <c r="D18" s="18">
        <v>58272</v>
      </c>
      <c r="E18" s="18"/>
      <c r="F18" s="18">
        <f>SUM(C18:E18)</f>
        <v>79598</v>
      </c>
      <c r="G18" s="18">
        <f>3938+1320+23970+19408+240</f>
        <v>48876</v>
      </c>
      <c r="H18" s="18">
        <f>-17144+2060+1542+6513+4500+95000+12+56764-4376+2000</f>
        <v>146871</v>
      </c>
      <c r="I18" s="18"/>
      <c r="J18" s="18">
        <f>SUM(G18:I18)</f>
        <v>195747</v>
      </c>
      <c r="K18" s="18">
        <f t="shared" ref="K18" si="20">SUM(G18+C18)</f>
        <v>70202</v>
      </c>
      <c r="L18" s="18">
        <f t="shared" ref="L18" si="21">SUM(H18+D18)</f>
        <v>205143</v>
      </c>
      <c r="M18" s="18">
        <f t="shared" ref="M18" si="22">SUM(I18+E18)</f>
        <v>0</v>
      </c>
      <c r="N18" s="18">
        <f t="shared" ref="N18" si="23">SUM(K18:M18)</f>
        <v>275345</v>
      </c>
      <c r="O18" s="18">
        <v>998548</v>
      </c>
      <c r="P18" s="18">
        <v>443788</v>
      </c>
      <c r="Q18" s="18">
        <v>83427</v>
      </c>
      <c r="R18" s="18">
        <f>SUM(O18:Q18)</f>
        <v>1525763</v>
      </c>
      <c r="S18" s="18">
        <v>81338</v>
      </c>
      <c r="T18" s="18">
        <v>114648</v>
      </c>
      <c r="U18" s="18">
        <v>0</v>
      </c>
      <c r="V18" s="18">
        <f>SUM(S18:U18)</f>
        <v>195986</v>
      </c>
      <c r="W18" s="18">
        <f>SUM(S18+O18)</f>
        <v>1079886</v>
      </c>
      <c r="X18" s="18">
        <f>SUM(T18+P18)</f>
        <v>558436</v>
      </c>
      <c r="Y18" s="18">
        <f>SUM(Q18+U18)</f>
        <v>83427</v>
      </c>
      <c r="Z18" s="18">
        <f>SUM(W18:Y18)</f>
        <v>1721749</v>
      </c>
      <c r="AA18" s="7">
        <f>SUM(C18+O18)</f>
        <v>1019874</v>
      </c>
      <c r="AB18" s="7">
        <f>SUM(D18+P18)</f>
        <v>502060</v>
      </c>
      <c r="AC18" s="7">
        <f>SUM(E18+Q18)</f>
        <v>83427</v>
      </c>
      <c r="AD18" s="7">
        <f>SUM(F18+R18)</f>
        <v>1605361</v>
      </c>
      <c r="AE18" s="7">
        <f t="shared" ref="AE18:AL18" si="24">SUM(G18+S18)</f>
        <v>130214</v>
      </c>
      <c r="AF18" s="7">
        <f t="shared" si="24"/>
        <v>261519</v>
      </c>
      <c r="AG18" s="7">
        <f t="shared" si="24"/>
        <v>0</v>
      </c>
      <c r="AH18" s="7">
        <f t="shared" si="24"/>
        <v>391733</v>
      </c>
      <c r="AI18" s="7">
        <f t="shared" si="24"/>
        <v>1150088</v>
      </c>
      <c r="AJ18" s="7">
        <f t="shared" si="24"/>
        <v>763579</v>
      </c>
      <c r="AK18" s="7">
        <f t="shared" si="24"/>
        <v>83427</v>
      </c>
      <c r="AL18" s="7">
        <f t="shared" si="24"/>
        <v>1997094</v>
      </c>
    </row>
    <row r="19" spans="1:38" s="10" customFormat="1" ht="31.5" x14ac:dyDescent="0.25">
      <c r="A19" s="8" t="s">
        <v>240</v>
      </c>
      <c r="B19" s="8" t="s">
        <v>173</v>
      </c>
      <c r="C19" s="7">
        <f>SUM(C17+C18)</f>
        <v>4507756</v>
      </c>
      <c r="D19" s="7">
        <f t="shared" ref="D19:AD19" si="25">SUM(D17+D18)</f>
        <v>360072</v>
      </c>
      <c r="E19" s="7">
        <f t="shared" si="25"/>
        <v>0</v>
      </c>
      <c r="F19" s="7">
        <f t="shared" si="25"/>
        <v>4867828</v>
      </c>
      <c r="G19" s="7">
        <f t="shared" si="25"/>
        <v>162501</v>
      </c>
      <c r="H19" s="7">
        <f t="shared" si="25"/>
        <v>146871</v>
      </c>
      <c r="I19" s="7">
        <f t="shared" si="25"/>
        <v>0</v>
      </c>
      <c r="J19" s="7">
        <f t="shared" si="25"/>
        <v>309372</v>
      </c>
      <c r="K19" s="7">
        <f t="shared" si="25"/>
        <v>4670257</v>
      </c>
      <c r="L19" s="7">
        <f t="shared" si="25"/>
        <v>506943</v>
      </c>
      <c r="M19" s="7">
        <f t="shared" si="25"/>
        <v>0</v>
      </c>
      <c r="N19" s="7">
        <f t="shared" si="25"/>
        <v>5177200</v>
      </c>
      <c r="O19" s="7">
        <f t="shared" si="25"/>
        <v>998548</v>
      </c>
      <c r="P19" s="7">
        <f t="shared" si="25"/>
        <v>443788</v>
      </c>
      <c r="Q19" s="7">
        <f t="shared" si="25"/>
        <v>83427</v>
      </c>
      <c r="R19" s="7">
        <f t="shared" si="25"/>
        <v>1525763</v>
      </c>
      <c r="S19" s="7">
        <f t="shared" si="25"/>
        <v>81338</v>
      </c>
      <c r="T19" s="7">
        <f t="shared" si="25"/>
        <v>114648</v>
      </c>
      <c r="U19" s="7">
        <f t="shared" si="25"/>
        <v>0</v>
      </c>
      <c r="V19" s="7">
        <f t="shared" si="25"/>
        <v>195986</v>
      </c>
      <c r="W19" s="7">
        <f t="shared" si="25"/>
        <v>1079886</v>
      </c>
      <c r="X19" s="7">
        <f t="shared" si="25"/>
        <v>558436</v>
      </c>
      <c r="Y19" s="7">
        <f t="shared" si="25"/>
        <v>83427</v>
      </c>
      <c r="Z19" s="7">
        <f t="shared" si="25"/>
        <v>1721749</v>
      </c>
      <c r="AA19" s="7">
        <f t="shared" si="25"/>
        <v>5506304</v>
      </c>
      <c r="AB19" s="7">
        <f t="shared" si="25"/>
        <v>803860</v>
      </c>
      <c r="AC19" s="7">
        <f t="shared" si="25"/>
        <v>83427</v>
      </c>
      <c r="AD19" s="7">
        <f t="shared" si="25"/>
        <v>6393591</v>
      </c>
      <c r="AE19" s="7">
        <f t="shared" ref="AE19:AL19" si="26">SUM(AE17+AE18)</f>
        <v>243839</v>
      </c>
      <c r="AF19" s="7">
        <f t="shared" si="26"/>
        <v>261519</v>
      </c>
      <c r="AG19" s="7">
        <f t="shared" si="26"/>
        <v>0</v>
      </c>
      <c r="AH19" s="7">
        <f t="shared" si="26"/>
        <v>505358</v>
      </c>
      <c r="AI19" s="7">
        <f t="shared" si="26"/>
        <v>5750143</v>
      </c>
      <c r="AJ19" s="7">
        <f t="shared" si="26"/>
        <v>1065379</v>
      </c>
      <c r="AK19" s="7">
        <f t="shared" si="26"/>
        <v>83427</v>
      </c>
      <c r="AL19" s="7">
        <f t="shared" si="26"/>
        <v>6898949</v>
      </c>
    </row>
    <row r="20" spans="1:38" s="37" customFormat="1" ht="31.5" x14ac:dyDescent="0.25">
      <c r="A20" s="17" t="s">
        <v>241</v>
      </c>
      <c r="B20" s="208" t="s">
        <v>207</v>
      </c>
      <c r="C20" s="38">
        <v>488480</v>
      </c>
      <c r="D20" s="204">
        <v>0</v>
      </c>
      <c r="E20" s="38">
        <v>0</v>
      </c>
      <c r="F20" s="39">
        <f>SUM(C20:E20)</f>
        <v>488480</v>
      </c>
      <c r="G20" s="39">
        <v>3500</v>
      </c>
      <c r="H20" s="39">
        <f>393730+50000</f>
        <v>443730</v>
      </c>
      <c r="I20" s="39"/>
      <c r="J20" s="39">
        <f>SUM(G20:I20)</f>
        <v>447230</v>
      </c>
      <c r="K20" s="38">
        <f t="shared" ref="K20:K21" si="27">SUM(G20+C20)</f>
        <v>491980</v>
      </c>
      <c r="L20" s="39">
        <f t="shared" ref="L20:L21" si="28">SUM(H20+D20)</f>
        <v>443730</v>
      </c>
      <c r="M20" s="39">
        <f t="shared" ref="M20:M21" si="29">SUM(I20+E20)</f>
        <v>0</v>
      </c>
      <c r="N20" s="39">
        <f t="shared" ref="N20:N25" si="30">SUM(K20:M20)</f>
        <v>935710</v>
      </c>
      <c r="O20" s="38"/>
      <c r="P20" s="38"/>
      <c r="Q20" s="38"/>
      <c r="R20" s="38">
        <f>SUM(O20:Q20)</f>
        <v>0</v>
      </c>
      <c r="S20" s="38"/>
      <c r="T20" s="38"/>
      <c r="U20" s="38"/>
      <c r="V20" s="38">
        <f>SUM(S20:U20)</f>
        <v>0</v>
      </c>
      <c r="W20" s="38">
        <f>SUM(S20+O20)</f>
        <v>0</v>
      </c>
      <c r="X20" s="38">
        <f>SUM(T20+P20)</f>
        <v>0</v>
      </c>
      <c r="Y20" s="38">
        <f>SUM(Q20+U20)</f>
        <v>0</v>
      </c>
      <c r="Z20" s="38">
        <f>SUM(W20:Y20)</f>
        <v>0</v>
      </c>
      <c r="AA20" s="7">
        <f t="shared" ref="AA20:AD21" si="31">SUM(C20+O20)</f>
        <v>488480</v>
      </c>
      <c r="AB20" s="7">
        <f t="shared" si="31"/>
        <v>0</v>
      </c>
      <c r="AC20" s="7">
        <f t="shared" si="31"/>
        <v>0</v>
      </c>
      <c r="AD20" s="7">
        <f t="shared" si="31"/>
        <v>488480</v>
      </c>
      <c r="AE20" s="7">
        <f t="shared" ref="AE20:AL21" si="32">SUM(G20+S20)</f>
        <v>3500</v>
      </c>
      <c r="AF20" s="7">
        <f t="shared" si="32"/>
        <v>443730</v>
      </c>
      <c r="AG20" s="7">
        <f t="shared" si="32"/>
        <v>0</v>
      </c>
      <c r="AH20" s="7">
        <f t="shared" si="32"/>
        <v>447230</v>
      </c>
      <c r="AI20" s="7">
        <f t="shared" si="32"/>
        <v>491980</v>
      </c>
      <c r="AJ20" s="7">
        <f t="shared" si="32"/>
        <v>443730</v>
      </c>
      <c r="AK20" s="7">
        <f t="shared" si="32"/>
        <v>0</v>
      </c>
      <c r="AL20" s="7">
        <f t="shared" si="32"/>
        <v>935710</v>
      </c>
    </row>
    <row r="21" spans="1:38" s="37" customFormat="1" ht="31.5" x14ac:dyDescent="0.25">
      <c r="A21" s="17" t="s">
        <v>243</v>
      </c>
      <c r="B21" s="208" t="s">
        <v>242</v>
      </c>
      <c r="C21" s="38">
        <v>3426586</v>
      </c>
      <c r="D21" s="204">
        <v>11488964</v>
      </c>
      <c r="E21" s="38">
        <v>0</v>
      </c>
      <c r="F21" s="39">
        <f>SUM(C21:E21)</f>
        <v>14915550</v>
      </c>
      <c r="G21" s="39">
        <f>-29612-10657-151721-19685-27000-228083+5204-143302-109719-25900-111-205923-12547-5715-19744-14727-535-343-61075-229000-327+4700-4355-69000-90238-350716-240</f>
        <v>-1800371</v>
      </c>
      <c r="H21" s="39">
        <f>-1197135-244130-95000-21194-393730-50000-164000-1550000-88509-65000-17005-1298170+225-56764</f>
        <v>-5240412</v>
      </c>
      <c r="I21" s="39"/>
      <c r="J21" s="39">
        <f>SUM(G21:I21)</f>
        <v>-7040783</v>
      </c>
      <c r="K21" s="38">
        <f t="shared" si="27"/>
        <v>1626215</v>
      </c>
      <c r="L21" s="39">
        <f t="shared" si="28"/>
        <v>6248552</v>
      </c>
      <c r="M21" s="39">
        <f t="shared" si="29"/>
        <v>0</v>
      </c>
      <c r="N21" s="39">
        <f t="shared" si="30"/>
        <v>7874767</v>
      </c>
      <c r="O21" s="38">
        <v>9123</v>
      </c>
      <c r="P21" s="38">
        <v>0</v>
      </c>
      <c r="Q21" s="38">
        <v>0</v>
      </c>
      <c r="R21" s="38">
        <f>SUM(O21:Q21)</f>
        <v>9123</v>
      </c>
      <c r="S21" s="38"/>
      <c r="T21" s="38">
        <v>0</v>
      </c>
      <c r="U21" s="38">
        <v>0</v>
      </c>
      <c r="V21" s="38">
        <f>SUM(S21:U21)</f>
        <v>0</v>
      </c>
      <c r="W21" s="38">
        <f>SUM(S21+O21)</f>
        <v>9123</v>
      </c>
      <c r="X21" s="38">
        <f>SUM(T21+P21)</f>
        <v>0</v>
      </c>
      <c r="Y21" s="38">
        <f>SUM(Q21+U21)</f>
        <v>0</v>
      </c>
      <c r="Z21" s="38">
        <f>SUM(W21:Y21)</f>
        <v>9123</v>
      </c>
      <c r="AA21" s="7">
        <f t="shared" si="31"/>
        <v>3435709</v>
      </c>
      <c r="AB21" s="7">
        <f t="shared" si="31"/>
        <v>11488964</v>
      </c>
      <c r="AC21" s="7">
        <f t="shared" si="31"/>
        <v>0</v>
      </c>
      <c r="AD21" s="7">
        <f t="shared" si="31"/>
        <v>14924673</v>
      </c>
      <c r="AE21" s="7">
        <f t="shared" si="32"/>
        <v>-1800371</v>
      </c>
      <c r="AF21" s="7">
        <f t="shared" si="32"/>
        <v>-5240412</v>
      </c>
      <c r="AG21" s="7">
        <f t="shared" si="32"/>
        <v>0</v>
      </c>
      <c r="AH21" s="7">
        <f t="shared" si="32"/>
        <v>-7040783</v>
      </c>
      <c r="AI21" s="7">
        <f t="shared" si="32"/>
        <v>1635338</v>
      </c>
      <c r="AJ21" s="7">
        <f t="shared" si="32"/>
        <v>6248552</v>
      </c>
      <c r="AK21" s="7">
        <f t="shared" si="32"/>
        <v>0</v>
      </c>
      <c r="AL21" s="7">
        <f t="shared" si="32"/>
        <v>7883890</v>
      </c>
    </row>
    <row r="22" spans="1:38" s="40" customFormat="1" ht="31.5" x14ac:dyDescent="0.25">
      <c r="A22" s="8" t="s">
        <v>244</v>
      </c>
      <c r="B22" s="42" t="s">
        <v>174</v>
      </c>
      <c r="C22" s="41">
        <f>SUM(C20+C21)</f>
        <v>3915066</v>
      </c>
      <c r="D22" s="41">
        <f t="shared" ref="D22:AD22" si="33">SUM(D20+D21)</f>
        <v>11488964</v>
      </c>
      <c r="E22" s="41">
        <f t="shared" si="33"/>
        <v>0</v>
      </c>
      <c r="F22" s="41">
        <f t="shared" si="33"/>
        <v>15404030</v>
      </c>
      <c r="G22" s="41">
        <f t="shared" si="33"/>
        <v>-1796871</v>
      </c>
      <c r="H22" s="41">
        <f t="shared" si="33"/>
        <v>-4796682</v>
      </c>
      <c r="I22" s="41">
        <f t="shared" si="33"/>
        <v>0</v>
      </c>
      <c r="J22" s="41">
        <f t="shared" si="33"/>
        <v>-6593553</v>
      </c>
      <c r="K22" s="41">
        <f t="shared" si="33"/>
        <v>2118195</v>
      </c>
      <c r="L22" s="41">
        <f t="shared" si="33"/>
        <v>6692282</v>
      </c>
      <c r="M22" s="41">
        <f t="shared" si="33"/>
        <v>0</v>
      </c>
      <c r="N22" s="41">
        <f t="shared" si="33"/>
        <v>8810477</v>
      </c>
      <c r="O22" s="41">
        <f t="shared" si="33"/>
        <v>9123</v>
      </c>
      <c r="P22" s="41">
        <f t="shared" si="33"/>
        <v>0</v>
      </c>
      <c r="Q22" s="41">
        <f t="shared" si="33"/>
        <v>0</v>
      </c>
      <c r="R22" s="41">
        <f t="shared" si="33"/>
        <v>9123</v>
      </c>
      <c r="S22" s="41">
        <f t="shared" si="33"/>
        <v>0</v>
      </c>
      <c r="T22" s="41">
        <f t="shared" si="33"/>
        <v>0</v>
      </c>
      <c r="U22" s="41">
        <f t="shared" si="33"/>
        <v>0</v>
      </c>
      <c r="V22" s="41">
        <f t="shared" si="33"/>
        <v>0</v>
      </c>
      <c r="W22" s="41">
        <f t="shared" si="33"/>
        <v>9123</v>
      </c>
      <c r="X22" s="41">
        <f t="shared" si="33"/>
        <v>0</v>
      </c>
      <c r="Y22" s="41">
        <f t="shared" si="33"/>
        <v>0</v>
      </c>
      <c r="Z22" s="41">
        <f t="shared" si="33"/>
        <v>9123</v>
      </c>
      <c r="AA22" s="41">
        <f t="shared" si="33"/>
        <v>3924189</v>
      </c>
      <c r="AB22" s="41">
        <f t="shared" si="33"/>
        <v>11488964</v>
      </c>
      <c r="AC22" s="41">
        <f t="shared" si="33"/>
        <v>0</v>
      </c>
      <c r="AD22" s="41">
        <f t="shared" si="33"/>
        <v>15413153</v>
      </c>
      <c r="AE22" s="41">
        <f t="shared" ref="AE22:AL22" si="34">SUM(AE20+AE21)</f>
        <v>-1796871</v>
      </c>
      <c r="AF22" s="41">
        <f t="shared" si="34"/>
        <v>-4796682</v>
      </c>
      <c r="AG22" s="41">
        <f t="shared" si="34"/>
        <v>0</v>
      </c>
      <c r="AH22" s="41">
        <f t="shared" si="34"/>
        <v>-6593553</v>
      </c>
      <c r="AI22" s="41">
        <f t="shared" si="34"/>
        <v>2127318</v>
      </c>
      <c r="AJ22" s="41">
        <f t="shared" si="34"/>
        <v>6692282</v>
      </c>
      <c r="AK22" s="41">
        <f t="shared" si="34"/>
        <v>0</v>
      </c>
      <c r="AL22" s="41">
        <f t="shared" si="34"/>
        <v>8819600</v>
      </c>
    </row>
    <row r="23" spans="1:38" s="40" customFormat="1" ht="31.5" x14ac:dyDescent="0.25">
      <c r="A23" s="824" t="s">
        <v>1018</v>
      </c>
      <c r="B23" s="825" t="s">
        <v>1019</v>
      </c>
      <c r="C23" s="41"/>
      <c r="D23" s="822"/>
      <c r="E23" s="41"/>
      <c r="F23" s="823"/>
      <c r="G23" s="39">
        <v>239</v>
      </c>
      <c r="H23" s="823"/>
      <c r="I23" s="823"/>
      <c r="J23" s="39">
        <f>SUM(G23:I23)</f>
        <v>239</v>
      </c>
      <c r="K23" s="13">
        <f t="shared" ref="K23:K25" si="35">SUM(G23+C23)</f>
        <v>239</v>
      </c>
      <c r="L23" s="14">
        <f t="shared" ref="L23" si="36">SUM(H23+D23)</f>
        <v>0</v>
      </c>
      <c r="M23" s="14">
        <f t="shared" ref="M23" si="37">SUM(I23+E23)</f>
        <v>0</v>
      </c>
      <c r="N23" s="39">
        <f t="shared" ref="N23" si="38">SUM(K23:M23)</f>
        <v>239</v>
      </c>
      <c r="O23" s="41"/>
      <c r="P23" s="41"/>
      <c r="Q23" s="41"/>
      <c r="R23" s="16">
        <f>SUM(O23:Q23)</f>
        <v>0</v>
      </c>
      <c r="S23" s="41"/>
      <c r="T23" s="41"/>
      <c r="U23" s="41"/>
      <c r="V23" s="16">
        <f>SUM(S23:U23)</f>
        <v>0</v>
      </c>
      <c r="W23" s="16">
        <f t="shared" ref="W23:X25" si="39">SUM(S23+O23)</f>
        <v>0</v>
      </c>
      <c r="X23" s="16">
        <f t="shared" si="39"/>
        <v>0</v>
      </c>
      <c r="Y23" s="16">
        <f>SUM(Q23+U23)</f>
        <v>0</v>
      </c>
      <c r="Z23" s="16">
        <f>SUM(W23:Y23)</f>
        <v>0</v>
      </c>
      <c r="AA23" s="7">
        <f t="shared" ref="AA23:AC25" si="40">SUM(O23+C23)</f>
        <v>0</v>
      </c>
      <c r="AB23" s="16">
        <f t="shared" si="40"/>
        <v>0</v>
      </c>
      <c r="AC23" s="16">
        <f t="shared" si="40"/>
        <v>0</v>
      </c>
      <c r="AD23" s="16">
        <f>SUM(AA23:AC23)</f>
        <v>0</v>
      </c>
      <c r="AE23" s="7">
        <f t="shared" ref="AE23" si="41">SUM(S23+G23)</f>
        <v>239</v>
      </c>
      <c r="AF23" s="16">
        <f t="shared" ref="AF23" si="42">SUM(T23+H23)</f>
        <v>0</v>
      </c>
      <c r="AG23" s="16">
        <f t="shared" ref="AG23" si="43">SUM(U23+I23)</f>
        <v>0</v>
      </c>
      <c r="AH23" s="16">
        <f t="shared" ref="AH23" si="44">SUM(AE23:AG23)</f>
        <v>239</v>
      </c>
      <c r="AI23" s="7">
        <f t="shared" ref="AI23" si="45">SUM(W23+K23)</f>
        <v>239</v>
      </c>
      <c r="AJ23" s="16">
        <f t="shared" ref="AJ23" si="46">SUM(X23+L23)</f>
        <v>0</v>
      </c>
      <c r="AK23" s="16">
        <f t="shared" ref="AK23" si="47">SUM(Y23+M23)</f>
        <v>0</v>
      </c>
      <c r="AL23" s="16">
        <f t="shared" ref="AL23" si="48">SUM(AI23:AK23)</f>
        <v>239</v>
      </c>
    </row>
    <row r="24" spans="1:38" x14ac:dyDescent="0.25">
      <c r="A24" s="11" t="s">
        <v>575</v>
      </c>
      <c r="B24" s="11" t="s">
        <v>208</v>
      </c>
      <c r="C24" s="16">
        <v>1875000</v>
      </c>
      <c r="D24" s="15"/>
      <c r="E24" s="16"/>
      <c r="F24" s="14">
        <f>SUM(C24:E24)</f>
        <v>1875000</v>
      </c>
      <c r="G24" s="14">
        <v>75227</v>
      </c>
      <c r="H24" s="14"/>
      <c r="I24" s="14"/>
      <c r="J24" s="14">
        <f>SUM(G24:I24)</f>
        <v>75227</v>
      </c>
      <c r="K24" s="13">
        <f t="shared" si="35"/>
        <v>1950227</v>
      </c>
      <c r="L24" s="14">
        <f t="shared" ref="L24:L25" si="49">SUM(H24+D24)</f>
        <v>0</v>
      </c>
      <c r="M24" s="14">
        <f t="shared" ref="M24:M25" si="50">SUM(I24+E24)</f>
        <v>0</v>
      </c>
      <c r="N24" s="39">
        <f t="shared" si="30"/>
        <v>1950227</v>
      </c>
      <c r="O24" s="16"/>
      <c r="P24" s="16"/>
      <c r="Q24" s="16"/>
      <c r="R24" s="16">
        <f>SUM(O24:Q24)</f>
        <v>0</v>
      </c>
      <c r="S24" s="16"/>
      <c r="T24" s="16"/>
      <c r="U24" s="16"/>
      <c r="V24" s="16">
        <f>SUM(S24:U24)</f>
        <v>0</v>
      </c>
      <c r="W24" s="16">
        <f t="shared" si="39"/>
        <v>0</v>
      </c>
      <c r="X24" s="16">
        <f t="shared" si="39"/>
        <v>0</v>
      </c>
      <c r="Y24" s="16">
        <f>SUM(Q24+U24)</f>
        <v>0</v>
      </c>
      <c r="Z24" s="16">
        <f>SUM(W24:Y24)</f>
        <v>0</v>
      </c>
      <c r="AA24" s="7">
        <f t="shared" si="40"/>
        <v>1875000</v>
      </c>
      <c r="AB24" s="16">
        <f t="shared" si="40"/>
        <v>0</v>
      </c>
      <c r="AC24" s="16">
        <f t="shared" si="40"/>
        <v>0</v>
      </c>
      <c r="AD24" s="16">
        <f>SUM(AA24:AC24)</f>
        <v>1875000</v>
      </c>
      <c r="AE24" s="7">
        <f t="shared" ref="AE24:AG25" si="51">SUM(S24+G24)</f>
        <v>75227</v>
      </c>
      <c r="AF24" s="16">
        <f t="shared" si="51"/>
        <v>0</v>
      </c>
      <c r="AG24" s="16">
        <f t="shared" si="51"/>
        <v>0</v>
      </c>
      <c r="AH24" s="16">
        <f t="shared" ref="AH24:AH25" si="52">SUM(AE24:AG24)</f>
        <v>75227</v>
      </c>
      <c r="AI24" s="7">
        <f t="shared" ref="AI24:AK25" si="53">SUM(W24+K24)</f>
        <v>1950227</v>
      </c>
      <c r="AJ24" s="16">
        <f t="shared" si="53"/>
        <v>0</v>
      </c>
      <c r="AK24" s="16">
        <f t="shared" si="53"/>
        <v>0</v>
      </c>
      <c r="AL24" s="16">
        <f t="shared" ref="AL24:AL25" si="54">SUM(AI24:AK24)</f>
        <v>1950227</v>
      </c>
    </row>
    <row r="25" spans="1:38" x14ac:dyDescent="0.25">
      <c r="A25" s="11" t="s">
        <v>1020</v>
      </c>
      <c r="B25" s="11" t="s">
        <v>208</v>
      </c>
      <c r="C25" s="16"/>
      <c r="D25" s="15"/>
      <c r="E25" s="16"/>
      <c r="F25" s="14"/>
      <c r="G25" s="14">
        <v>61</v>
      </c>
      <c r="H25" s="14"/>
      <c r="I25" s="14"/>
      <c r="J25" s="39">
        <f>SUM(G25:I25)</f>
        <v>61</v>
      </c>
      <c r="K25" s="13">
        <f t="shared" si="35"/>
        <v>61</v>
      </c>
      <c r="L25" s="14">
        <f t="shared" si="49"/>
        <v>0</v>
      </c>
      <c r="M25" s="14">
        <f t="shared" si="50"/>
        <v>0</v>
      </c>
      <c r="N25" s="39">
        <f t="shared" si="30"/>
        <v>61</v>
      </c>
      <c r="O25" s="16"/>
      <c r="P25" s="16"/>
      <c r="Q25" s="16"/>
      <c r="R25" s="16">
        <f>SUM(O25:Q25)</f>
        <v>0</v>
      </c>
      <c r="S25" s="16"/>
      <c r="T25" s="16"/>
      <c r="U25" s="16"/>
      <c r="V25" s="16">
        <f>SUM(S25:U25)</f>
        <v>0</v>
      </c>
      <c r="W25" s="16">
        <f t="shared" si="39"/>
        <v>0</v>
      </c>
      <c r="X25" s="16">
        <f t="shared" si="39"/>
        <v>0</v>
      </c>
      <c r="Y25" s="16">
        <f>SUM(Q25+U25)</f>
        <v>0</v>
      </c>
      <c r="Z25" s="16">
        <f>SUM(W25:Y25)</f>
        <v>0</v>
      </c>
      <c r="AA25" s="7">
        <f t="shared" si="40"/>
        <v>0</v>
      </c>
      <c r="AB25" s="16">
        <f t="shared" si="40"/>
        <v>0</v>
      </c>
      <c r="AC25" s="16">
        <f t="shared" si="40"/>
        <v>0</v>
      </c>
      <c r="AD25" s="16">
        <f>SUM(AA25:AC25)</f>
        <v>0</v>
      </c>
      <c r="AE25" s="7">
        <f t="shared" si="51"/>
        <v>61</v>
      </c>
      <c r="AF25" s="16">
        <f t="shared" si="51"/>
        <v>0</v>
      </c>
      <c r="AG25" s="16">
        <f t="shared" si="51"/>
        <v>0</v>
      </c>
      <c r="AH25" s="16">
        <f t="shared" si="52"/>
        <v>61</v>
      </c>
      <c r="AI25" s="7">
        <f t="shared" si="53"/>
        <v>61</v>
      </c>
      <c r="AJ25" s="16">
        <f t="shared" si="53"/>
        <v>0</v>
      </c>
      <c r="AK25" s="16">
        <f t="shared" si="53"/>
        <v>0</v>
      </c>
      <c r="AL25" s="16">
        <f t="shared" si="54"/>
        <v>61</v>
      </c>
    </row>
    <row r="26" spans="1:38" s="20" customFormat="1" ht="31.5" x14ac:dyDescent="0.25">
      <c r="A26" s="17" t="s">
        <v>1027</v>
      </c>
      <c r="B26" s="17" t="s">
        <v>208</v>
      </c>
      <c r="C26" s="18">
        <f>SUM(C24:C25)</f>
        <v>1875000</v>
      </c>
      <c r="D26" s="18">
        <f t="shared" ref="D26:AL26" si="55">SUM(D24:D25)</f>
        <v>0</v>
      </c>
      <c r="E26" s="18">
        <f t="shared" si="55"/>
        <v>0</v>
      </c>
      <c r="F26" s="18">
        <f t="shared" si="55"/>
        <v>1875000</v>
      </c>
      <c r="G26" s="18">
        <f t="shared" si="55"/>
        <v>75288</v>
      </c>
      <c r="H26" s="18">
        <f t="shared" si="55"/>
        <v>0</v>
      </c>
      <c r="I26" s="18">
        <f t="shared" si="55"/>
        <v>0</v>
      </c>
      <c r="J26" s="18">
        <f t="shared" si="55"/>
        <v>75288</v>
      </c>
      <c r="K26" s="18">
        <f t="shared" si="55"/>
        <v>1950288</v>
      </c>
      <c r="L26" s="18">
        <f t="shared" si="55"/>
        <v>0</v>
      </c>
      <c r="M26" s="18">
        <f t="shared" si="55"/>
        <v>0</v>
      </c>
      <c r="N26" s="18">
        <f t="shared" si="55"/>
        <v>1950288</v>
      </c>
      <c r="O26" s="18">
        <f t="shared" si="55"/>
        <v>0</v>
      </c>
      <c r="P26" s="18">
        <f t="shared" si="55"/>
        <v>0</v>
      </c>
      <c r="Q26" s="18">
        <f t="shared" si="55"/>
        <v>0</v>
      </c>
      <c r="R26" s="18">
        <f t="shared" si="55"/>
        <v>0</v>
      </c>
      <c r="S26" s="18">
        <f t="shared" si="55"/>
        <v>0</v>
      </c>
      <c r="T26" s="18">
        <f t="shared" si="55"/>
        <v>0</v>
      </c>
      <c r="U26" s="18">
        <f t="shared" si="55"/>
        <v>0</v>
      </c>
      <c r="V26" s="18">
        <f t="shared" si="55"/>
        <v>0</v>
      </c>
      <c r="W26" s="18">
        <f t="shared" si="55"/>
        <v>0</v>
      </c>
      <c r="X26" s="18">
        <f t="shared" si="55"/>
        <v>0</v>
      </c>
      <c r="Y26" s="18">
        <f t="shared" si="55"/>
        <v>0</v>
      </c>
      <c r="Z26" s="18">
        <f t="shared" si="55"/>
        <v>0</v>
      </c>
      <c r="AA26" s="18">
        <f t="shared" si="55"/>
        <v>1875000</v>
      </c>
      <c r="AB26" s="18">
        <f t="shared" si="55"/>
        <v>0</v>
      </c>
      <c r="AC26" s="18">
        <f t="shared" si="55"/>
        <v>0</v>
      </c>
      <c r="AD26" s="18">
        <f t="shared" si="55"/>
        <v>1875000</v>
      </c>
      <c r="AE26" s="18">
        <f t="shared" si="55"/>
        <v>75288</v>
      </c>
      <c r="AF26" s="18">
        <f t="shared" si="55"/>
        <v>0</v>
      </c>
      <c r="AG26" s="18">
        <f t="shared" si="55"/>
        <v>0</v>
      </c>
      <c r="AH26" s="18">
        <f t="shared" si="55"/>
        <v>75288</v>
      </c>
      <c r="AI26" s="18">
        <f t="shared" si="55"/>
        <v>1950288</v>
      </c>
      <c r="AJ26" s="18">
        <f t="shared" si="55"/>
        <v>0</v>
      </c>
      <c r="AK26" s="18">
        <f t="shared" si="55"/>
        <v>0</v>
      </c>
      <c r="AL26" s="18">
        <f t="shared" si="55"/>
        <v>1950288</v>
      </c>
    </row>
    <row r="27" spans="1:38" x14ac:dyDescent="0.25">
      <c r="A27" s="11" t="s">
        <v>576</v>
      </c>
      <c r="B27" s="11" t="s">
        <v>209</v>
      </c>
      <c r="C27" s="16">
        <v>16000000</v>
      </c>
      <c r="D27" s="15"/>
      <c r="E27" s="16"/>
      <c r="F27" s="14">
        <f>SUM(C27:E27)</f>
        <v>16000000</v>
      </c>
      <c r="G27" s="14">
        <v>2105794</v>
      </c>
      <c r="H27" s="14"/>
      <c r="I27" s="14"/>
      <c r="J27" s="14">
        <f>SUM(G27:I27)</f>
        <v>2105794</v>
      </c>
      <c r="K27" s="13">
        <f t="shared" ref="K27" si="56">SUM(G27+C27)</f>
        <v>18105794</v>
      </c>
      <c r="L27" s="14">
        <f t="shared" ref="L27" si="57">SUM(H27+D27)</f>
        <v>0</v>
      </c>
      <c r="M27" s="14">
        <f t="shared" ref="M27" si="58">SUM(I27+E27)</f>
        <v>0</v>
      </c>
      <c r="N27" s="14">
        <f t="shared" ref="N27" si="59">SUM(K27:M27)</f>
        <v>18105794</v>
      </c>
      <c r="O27" s="16"/>
      <c r="P27" s="16"/>
      <c r="Q27" s="16"/>
      <c r="R27" s="16">
        <f>SUM(O27:Q27)</f>
        <v>0</v>
      </c>
      <c r="S27" s="16"/>
      <c r="T27" s="16"/>
      <c r="U27" s="16"/>
      <c r="V27" s="16">
        <f>SUM(S27:U27)</f>
        <v>0</v>
      </c>
      <c r="W27" s="16">
        <f>SUM(S27+O27)</f>
        <v>0</v>
      </c>
      <c r="X27" s="16">
        <f>SUM(T27+P27)</f>
        <v>0</v>
      </c>
      <c r="Y27" s="16">
        <f>SUM(Q27+U27)</f>
        <v>0</v>
      </c>
      <c r="Z27" s="16">
        <f>SUM(W27:Y27)</f>
        <v>0</v>
      </c>
      <c r="AA27" s="7">
        <f>SUM(O27+C27)</f>
        <v>16000000</v>
      </c>
      <c r="AB27" s="16">
        <f>SUM(P27+D27)</f>
        <v>0</v>
      </c>
      <c r="AC27" s="16">
        <f>SUM(Q27+E27)</f>
        <v>0</v>
      </c>
      <c r="AD27" s="16">
        <f>SUM(AA27:AC27)</f>
        <v>16000000</v>
      </c>
      <c r="AE27" s="7">
        <f t="shared" ref="AE27:AG27" si="60">SUM(S27+G27)</f>
        <v>2105794</v>
      </c>
      <c r="AF27" s="16">
        <f t="shared" si="60"/>
        <v>0</v>
      </c>
      <c r="AG27" s="16">
        <f t="shared" si="60"/>
        <v>0</v>
      </c>
      <c r="AH27" s="16">
        <f t="shared" ref="AH27" si="61">SUM(AE27:AG27)</f>
        <v>2105794</v>
      </c>
      <c r="AI27" s="7">
        <f t="shared" ref="AI27:AK27" si="62">SUM(W27+K27)</f>
        <v>18105794</v>
      </c>
      <c r="AJ27" s="16">
        <f t="shared" si="62"/>
        <v>0</v>
      </c>
      <c r="AK27" s="16">
        <f t="shared" si="62"/>
        <v>0</v>
      </c>
      <c r="AL27" s="16">
        <f t="shared" ref="AL27" si="63">SUM(AI27:AK27)</f>
        <v>18105794</v>
      </c>
    </row>
    <row r="28" spans="1:38" s="37" customFormat="1" x14ac:dyDescent="0.25">
      <c r="A28" s="17" t="s">
        <v>577</v>
      </c>
      <c r="B28" s="17" t="s">
        <v>209</v>
      </c>
      <c r="C28" s="18">
        <f>SUM(C27)</f>
        <v>16000000</v>
      </c>
      <c r="D28" s="18">
        <f t="shared" ref="D28:AD28" si="64">SUM(D27)</f>
        <v>0</v>
      </c>
      <c r="E28" s="18">
        <f t="shared" si="64"/>
        <v>0</v>
      </c>
      <c r="F28" s="18">
        <f t="shared" si="64"/>
        <v>16000000</v>
      </c>
      <c r="G28" s="18">
        <f t="shared" si="64"/>
        <v>2105794</v>
      </c>
      <c r="H28" s="18">
        <f t="shared" si="64"/>
        <v>0</v>
      </c>
      <c r="I28" s="18">
        <f t="shared" si="64"/>
        <v>0</v>
      </c>
      <c r="J28" s="18">
        <f t="shared" si="64"/>
        <v>2105794</v>
      </c>
      <c r="K28" s="18">
        <f t="shared" si="64"/>
        <v>18105794</v>
      </c>
      <c r="L28" s="18">
        <f t="shared" si="64"/>
        <v>0</v>
      </c>
      <c r="M28" s="18">
        <f t="shared" si="64"/>
        <v>0</v>
      </c>
      <c r="N28" s="18">
        <f t="shared" si="64"/>
        <v>18105794</v>
      </c>
      <c r="O28" s="18">
        <f t="shared" si="64"/>
        <v>0</v>
      </c>
      <c r="P28" s="18">
        <f t="shared" si="64"/>
        <v>0</v>
      </c>
      <c r="Q28" s="18">
        <f t="shared" si="64"/>
        <v>0</v>
      </c>
      <c r="R28" s="18">
        <f t="shared" si="64"/>
        <v>0</v>
      </c>
      <c r="S28" s="18">
        <f t="shared" si="64"/>
        <v>0</v>
      </c>
      <c r="T28" s="18">
        <f t="shared" si="64"/>
        <v>0</v>
      </c>
      <c r="U28" s="18">
        <f t="shared" si="64"/>
        <v>0</v>
      </c>
      <c r="V28" s="18">
        <f t="shared" si="64"/>
        <v>0</v>
      </c>
      <c r="W28" s="18">
        <f t="shared" si="64"/>
        <v>0</v>
      </c>
      <c r="X28" s="18">
        <f t="shared" si="64"/>
        <v>0</v>
      </c>
      <c r="Y28" s="18">
        <f t="shared" si="64"/>
        <v>0</v>
      </c>
      <c r="Z28" s="18">
        <f t="shared" si="64"/>
        <v>0</v>
      </c>
      <c r="AA28" s="18">
        <f t="shared" si="64"/>
        <v>16000000</v>
      </c>
      <c r="AB28" s="18">
        <f t="shared" si="64"/>
        <v>0</v>
      </c>
      <c r="AC28" s="18">
        <f t="shared" si="64"/>
        <v>0</v>
      </c>
      <c r="AD28" s="18">
        <f t="shared" si="64"/>
        <v>16000000</v>
      </c>
      <c r="AE28" s="18">
        <f t="shared" ref="AE28:AL28" si="65">SUM(AE27)</f>
        <v>2105794</v>
      </c>
      <c r="AF28" s="18">
        <f t="shared" si="65"/>
        <v>0</v>
      </c>
      <c r="AG28" s="18">
        <f t="shared" si="65"/>
        <v>0</v>
      </c>
      <c r="AH28" s="18">
        <f t="shared" si="65"/>
        <v>2105794</v>
      </c>
      <c r="AI28" s="18">
        <f t="shared" si="65"/>
        <v>18105794</v>
      </c>
      <c r="AJ28" s="18">
        <f t="shared" si="65"/>
        <v>0</v>
      </c>
      <c r="AK28" s="18">
        <f t="shared" si="65"/>
        <v>0</v>
      </c>
      <c r="AL28" s="18">
        <f t="shared" si="65"/>
        <v>18105794</v>
      </c>
    </row>
    <row r="29" spans="1:38" s="37" customFormat="1" x14ac:dyDescent="0.25">
      <c r="A29" s="17" t="s">
        <v>578</v>
      </c>
      <c r="B29" s="17" t="s">
        <v>210</v>
      </c>
      <c r="C29" s="18">
        <v>360000</v>
      </c>
      <c r="D29" s="19"/>
      <c r="E29" s="18"/>
      <c r="F29" s="24">
        <f>SUM(C29:E29)</f>
        <v>360000</v>
      </c>
      <c r="G29" s="24">
        <v>39651</v>
      </c>
      <c r="H29" s="24"/>
      <c r="I29" s="24"/>
      <c r="J29" s="24">
        <f>SUM(G29:I29)</f>
        <v>39651</v>
      </c>
      <c r="K29" s="18">
        <f t="shared" ref="K29:K30" si="66">SUM(G29+C29)</f>
        <v>399651</v>
      </c>
      <c r="L29" s="24">
        <f t="shared" ref="L29:L30" si="67">SUM(H29+D29)</f>
        <v>0</v>
      </c>
      <c r="M29" s="24">
        <f t="shared" ref="M29:M30" si="68">SUM(I29+E29)</f>
        <v>0</v>
      </c>
      <c r="N29" s="24">
        <f t="shared" ref="N29:N30" si="69">SUM(K29:M29)</f>
        <v>399651</v>
      </c>
      <c r="O29" s="25"/>
      <c r="P29" s="25"/>
      <c r="Q29" s="25"/>
      <c r="R29" s="25"/>
      <c r="S29" s="25"/>
      <c r="T29" s="25"/>
      <c r="U29" s="25"/>
      <c r="V29" s="25">
        <f>SUM(S29:U29)</f>
        <v>0</v>
      </c>
      <c r="W29" s="25">
        <f t="shared" ref="W29:W30" si="70">SUM(S29+O29)</f>
        <v>0</v>
      </c>
      <c r="X29" s="25">
        <f t="shared" ref="X29:X30" si="71">SUM(T29+P29)</f>
        <v>0</v>
      </c>
      <c r="Y29" s="25">
        <f t="shared" ref="Y29:Y30" si="72">SUM(Q29+U29)</f>
        <v>0</v>
      </c>
      <c r="Z29" s="25">
        <f t="shared" ref="Z29:Z30" si="73">SUM(W29:Y29)</f>
        <v>0</v>
      </c>
      <c r="AA29" s="18">
        <f t="shared" ref="AA29:AC30" si="74">SUM(O29+C29)</f>
        <v>360000</v>
      </c>
      <c r="AB29" s="25">
        <f t="shared" si="74"/>
        <v>0</v>
      </c>
      <c r="AC29" s="25">
        <f t="shared" si="74"/>
        <v>0</v>
      </c>
      <c r="AD29" s="25">
        <f>SUM(AA29:AC29)</f>
        <v>360000</v>
      </c>
      <c r="AE29" s="18">
        <f t="shared" ref="AE29:AG30" si="75">SUM(S29+G29)</f>
        <v>39651</v>
      </c>
      <c r="AF29" s="25">
        <f t="shared" si="75"/>
        <v>0</v>
      </c>
      <c r="AG29" s="25">
        <f t="shared" si="75"/>
        <v>0</v>
      </c>
      <c r="AH29" s="25">
        <f t="shared" ref="AH29:AH30" si="76">SUM(AE29:AG29)</f>
        <v>39651</v>
      </c>
      <c r="AI29" s="18">
        <f t="shared" ref="AI29:AK30" si="77">SUM(W29+K29)</f>
        <v>399651</v>
      </c>
      <c r="AJ29" s="25">
        <f t="shared" si="77"/>
        <v>0</v>
      </c>
      <c r="AK29" s="25">
        <f t="shared" si="77"/>
        <v>0</v>
      </c>
      <c r="AL29" s="25">
        <f t="shared" ref="AL29:AL30" si="78">SUM(AI29:AK29)</f>
        <v>399651</v>
      </c>
    </row>
    <row r="30" spans="1:38" x14ac:dyDescent="0.25">
      <c r="A30" s="11" t="s">
        <v>579</v>
      </c>
      <c r="B30" s="11" t="s">
        <v>211</v>
      </c>
      <c r="C30" s="16">
        <v>60000</v>
      </c>
      <c r="D30" s="15"/>
      <c r="E30" s="16"/>
      <c r="F30" s="14">
        <f>SUM(C30:E30)</f>
        <v>60000</v>
      </c>
      <c r="G30" s="14">
        <v>7246</v>
      </c>
      <c r="H30" s="14"/>
      <c r="I30" s="14"/>
      <c r="J30" s="14">
        <f>SUM(G30:I30)</f>
        <v>7246</v>
      </c>
      <c r="K30" s="13">
        <f t="shared" si="66"/>
        <v>67246</v>
      </c>
      <c r="L30" s="14">
        <f t="shared" si="67"/>
        <v>0</v>
      </c>
      <c r="M30" s="14">
        <f t="shared" si="68"/>
        <v>0</v>
      </c>
      <c r="N30" s="14">
        <f t="shared" si="69"/>
        <v>67246</v>
      </c>
      <c r="O30" s="16"/>
      <c r="P30" s="16"/>
      <c r="Q30" s="16"/>
      <c r="R30" s="16">
        <f>SUM(O30:Q30)</f>
        <v>0</v>
      </c>
      <c r="S30" s="16"/>
      <c r="T30" s="16"/>
      <c r="U30" s="16"/>
      <c r="V30" s="6">
        <f>SUM(S30:U30)</f>
        <v>0</v>
      </c>
      <c r="W30" s="16">
        <f t="shared" si="70"/>
        <v>0</v>
      </c>
      <c r="X30" s="16">
        <f t="shared" si="71"/>
        <v>0</v>
      </c>
      <c r="Y30" s="16">
        <f t="shared" si="72"/>
        <v>0</v>
      </c>
      <c r="Z30" s="16">
        <f t="shared" si="73"/>
        <v>0</v>
      </c>
      <c r="AA30" s="7">
        <f t="shared" si="74"/>
        <v>60000</v>
      </c>
      <c r="AB30" s="16">
        <f t="shared" si="74"/>
        <v>0</v>
      </c>
      <c r="AC30" s="16">
        <f t="shared" si="74"/>
        <v>0</v>
      </c>
      <c r="AD30" s="16">
        <f>SUM(AA30:AC30)</f>
        <v>60000</v>
      </c>
      <c r="AE30" s="7">
        <f t="shared" si="75"/>
        <v>7246</v>
      </c>
      <c r="AF30" s="16">
        <f t="shared" si="75"/>
        <v>0</v>
      </c>
      <c r="AG30" s="16">
        <f t="shared" si="75"/>
        <v>0</v>
      </c>
      <c r="AH30" s="16">
        <f t="shared" si="76"/>
        <v>7246</v>
      </c>
      <c r="AI30" s="7">
        <f t="shared" si="77"/>
        <v>67246</v>
      </c>
      <c r="AJ30" s="16">
        <f t="shared" si="77"/>
        <v>0</v>
      </c>
      <c r="AK30" s="16">
        <f t="shared" si="77"/>
        <v>0</v>
      </c>
      <c r="AL30" s="16">
        <f t="shared" si="78"/>
        <v>67246</v>
      </c>
    </row>
    <row r="31" spans="1:38" s="37" customFormat="1" ht="31.5" x14ac:dyDescent="0.25">
      <c r="A31" s="17" t="s">
        <v>580</v>
      </c>
      <c r="B31" s="17" t="s">
        <v>211</v>
      </c>
      <c r="C31" s="18">
        <f t="shared" ref="C31:AL31" si="79">SUM(C30:C30)</f>
        <v>60000</v>
      </c>
      <c r="D31" s="18">
        <f t="shared" si="79"/>
        <v>0</v>
      </c>
      <c r="E31" s="18">
        <f t="shared" si="79"/>
        <v>0</v>
      </c>
      <c r="F31" s="18">
        <f t="shared" si="79"/>
        <v>60000</v>
      </c>
      <c r="G31" s="18">
        <f t="shared" si="79"/>
        <v>7246</v>
      </c>
      <c r="H31" s="18">
        <f t="shared" si="79"/>
        <v>0</v>
      </c>
      <c r="I31" s="18">
        <f t="shared" si="79"/>
        <v>0</v>
      </c>
      <c r="J31" s="18">
        <f t="shared" si="79"/>
        <v>7246</v>
      </c>
      <c r="K31" s="18">
        <f t="shared" si="79"/>
        <v>67246</v>
      </c>
      <c r="L31" s="18">
        <f t="shared" si="79"/>
        <v>0</v>
      </c>
      <c r="M31" s="18">
        <f t="shared" si="79"/>
        <v>0</v>
      </c>
      <c r="N31" s="18">
        <f t="shared" si="79"/>
        <v>67246</v>
      </c>
      <c r="O31" s="18">
        <f t="shared" si="79"/>
        <v>0</v>
      </c>
      <c r="P31" s="18">
        <f t="shared" si="79"/>
        <v>0</v>
      </c>
      <c r="Q31" s="18">
        <f t="shared" si="79"/>
        <v>0</v>
      </c>
      <c r="R31" s="18">
        <f t="shared" si="79"/>
        <v>0</v>
      </c>
      <c r="S31" s="18">
        <f t="shared" si="79"/>
        <v>0</v>
      </c>
      <c r="T31" s="18">
        <f t="shared" si="79"/>
        <v>0</v>
      </c>
      <c r="U31" s="18">
        <f t="shared" si="79"/>
        <v>0</v>
      </c>
      <c r="V31" s="18">
        <f t="shared" si="79"/>
        <v>0</v>
      </c>
      <c r="W31" s="18">
        <f t="shared" si="79"/>
        <v>0</v>
      </c>
      <c r="X31" s="18">
        <f t="shared" si="79"/>
        <v>0</v>
      </c>
      <c r="Y31" s="18">
        <f t="shared" si="79"/>
        <v>0</v>
      </c>
      <c r="Z31" s="18">
        <f t="shared" si="79"/>
        <v>0</v>
      </c>
      <c r="AA31" s="18">
        <f t="shared" si="79"/>
        <v>60000</v>
      </c>
      <c r="AB31" s="18">
        <f t="shared" si="79"/>
        <v>0</v>
      </c>
      <c r="AC31" s="18">
        <f t="shared" si="79"/>
        <v>0</v>
      </c>
      <c r="AD31" s="18">
        <f t="shared" si="79"/>
        <v>60000</v>
      </c>
      <c r="AE31" s="18">
        <f t="shared" si="79"/>
        <v>7246</v>
      </c>
      <c r="AF31" s="18">
        <f t="shared" si="79"/>
        <v>0</v>
      </c>
      <c r="AG31" s="18">
        <f t="shared" si="79"/>
        <v>0</v>
      </c>
      <c r="AH31" s="18">
        <f t="shared" si="79"/>
        <v>7246</v>
      </c>
      <c r="AI31" s="18">
        <f t="shared" si="79"/>
        <v>67246</v>
      </c>
      <c r="AJ31" s="18">
        <f t="shared" si="79"/>
        <v>0</v>
      </c>
      <c r="AK31" s="18">
        <f t="shared" si="79"/>
        <v>0</v>
      </c>
      <c r="AL31" s="18">
        <f t="shared" si="79"/>
        <v>67246</v>
      </c>
    </row>
    <row r="32" spans="1:38" s="37" customFormat="1" ht="31.5" x14ac:dyDescent="0.25">
      <c r="A32" s="17" t="s">
        <v>581</v>
      </c>
      <c r="B32" s="17" t="s">
        <v>212</v>
      </c>
      <c r="C32" s="18">
        <f t="shared" ref="C32:AL32" si="80">SUM(C31+C29+C28)</f>
        <v>16420000</v>
      </c>
      <c r="D32" s="18">
        <f t="shared" si="80"/>
        <v>0</v>
      </c>
      <c r="E32" s="18">
        <f t="shared" si="80"/>
        <v>0</v>
      </c>
      <c r="F32" s="18">
        <f t="shared" si="80"/>
        <v>16420000</v>
      </c>
      <c r="G32" s="18">
        <f t="shared" si="80"/>
        <v>2152691</v>
      </c>
      <c r="H32" s="18">
        <f t="shared" si="80"/>
        <v>0</v>
      </c>
      <c r="I32" s="18">
        <f t="shared" si="80"/>
        <v>0</v>
      </c>
      <c r="J32" s="18">
        <f t="shared" si="80"/>
        <v>2152691</v>
      </c>
      <c r="K32" s="18">
        <f t="shared" si="80"/>
        <v>18572691</v>
      </c>
      <c r="L32" s="18">
        <f t="shared" si="80"/>
        <v>0</v>
      </c>
      <c r="M32" s="18">
        <f t="shared" si="80"/>
        <v>0</v>
      </c>
      <c r="N32" s="18">
        <f t="shared" si="80"/>
        <v>18572691</v>
      </c>
      <c r="O32" s="18">
        <f t="shared" si="80"/>
        <v>0</v>
      </c>
      <c r="P32" s="18">
        <f t="shared" si="80"/>
        <v>0</v>
      </c>
      <c r="Q32" s="18">
        <f t="shared" si="80"/>
        <v>0</v>
      </c>
      <c r="R32" s="18">
        <f t="shared" si="80"/>
        <v>0</v>
      </c>
      <c r="S32" s="18">
        <f t="shared" si="80"/>
        <v>0</v>
      </c>
      <c r="T32" s="18">
        <f t="shared" si="80"/>
        <v>0</v>
      </c>
      <c r="U32" s="18">
        <f t="shared" si="80"/>
        <v>0</v>
      </c>
      <c r="V32" s="18">
        <f t="shared" si="80"/>
        <v>0</v>
      </c>
      <c r="W32" s="18">
        <f t="shared" si="80"/>
        <v>0</v>
      </c>
      <c r="X32" s="18">
        <f t="shared" si="80"/>
        <v>0</v>
      </c>
      <c r="Y32" s="18">
        <f t="shared" si="80"/>
        <v>0</v>
      </c>
      <c r="Z32" s="18">
        <f t="shared" si="80"/>
        <v>0</v>
      </c>
      <c r="AA32" s="18">
        <f t="shared" si="80"/>
        <v>16420000</v>
      </c>
      <c r="AB32" s="18">
        <f t="shared" si="80"/>
        <v>0</v>
      </c>
      <c r="AC32" s="18">
        <f t="shared" si="80"/>
        <v>0</v>
      </c>
      <c r="AD32" s="18">
        <f t="shared" si="80"/>
        <v>16420000</v>
      </c>
      <c r="AE32" s="18">
        <f t="shared" si="80"/>
        <v>2152691</v>
      </c>
      <c r="AF32" s="18">
        <f t="shared" si="80"/>
        <v>0</v>
      </c>
      <c r="AG32" s="18">
        <f t="shared" si="80"/>
        <v>0</v>
      </c>
      <c r="AH32" s="18">
        <f t="shared" si="80"/>
        <v>2152691</v>
      </c>
      <c r="AI32" s="18">
        <f t="shared" si="80"/>
        <v>18572691</v>
      </c>
      <c r="AJ32" s="18">
        <f t="shared" si="80"/>
        <v>0</v>
      </c>
      <c r="AK32" s="18">
        <f t="shared" si="80"/>
        <v>0</v>
      </c>
      <c r="AL32" s="18">
        <f t="shared" si="80"/>
        <v>18572691</v>
      </c>
    </row>
    <row r="33" spans="1:38" s="10" customFormat="1" x14ac:dyDescent="0.25">
      <c r="A33" s="11" t="s">
        <v>582</v>
      </c>
      <c r="B33" s="11" t="s">
        <v>213</v>
      </c>
      <c r="C33" s="13">
        <v>10000</v>
      </c>
      <c r="D33" s="12"/>
      <c r="E33" s="13"/>
      <c r="F33" s="14">
        <f t="shared" ref="F33:F37" si="81">SUM(C33:E33)</f>
        <v>10000</v>
      </c>
      <c r="G33" s="14"/>
      <c r="H33" s="14"/>
      <c r="I33" s="14"/>
      <c r="J33" s="14">
        <f>SUM(G33:I33)</f>
        <v>0</v>
      </c>
      <c r="K33" s="13">
        <f t="shared" ref="K33:K36" si="82">SUM(G33+C33)</f>
        <v>10000</v>
      </c>
      <c r="L33" s="14">
        <f t="shared" ref="L33:L36" si="83">SUM(H33+D33)</f>
        <v>0</v>
      </c>
      <c r="M33" s="14">
        <f t="shared" ref="M33:M36" si="84">SUM(I33+E33)</f>
        <v>0</v>
      </c>
      <c r="N33" s="14">
        <f t="shared" ref="N33:N36" si="85">SUM(K33:M33)</f>
        <v>10000</v>
      </c>
      <c r="O33" s="13"/>
      <c r="P33" s="13"/>
      <c r="Q33" s="13"/>
      <c r="R33" s="13">
        <f>SUM(O33:Q33)</f>
        <v>0</v>
      </c>
      <c r="S33" s="13"/>
      <c r="T33" s="13"/>
      <c r="U33" s="13"/>
      <c r="V33" s="13">
        <f>SUM(S33:U33)</f>
        <v>0</v>
      </c>
      <c r="W33" s="13">
        <f t="shared" ref="W33:W36" si="86">SUM(S33+O33)</f>
        <v>0</v>
      </c>
      <c r="X33" s="13">
        <f t="shared" ref="X33:X36" si="87">SUM(T33+P33)</f>
        <v>0</v>
      </c>
      <c r="Y33" s="13">
        <f t="shared" ref="Y33:Y36" si="88">SUM(Q33+U33)</f>
        <v>0</v>
      </c>
      <c r="Z33" s="13">
        <f t="shared" ref="Z33:Z36" si="89">SUM(W33:Y33)</f>
        <v>0</v>
      </c>
      <c r="AA33" s="6">
        <f t="shared" ref="AA33:AC36" si="90">SUM(O33+C33)</f>
        <v>10000</v>
      </c>
      <c r="AB33" s="13">
        <f t="shared" si="90"/>
        <v>0</v>
      </c>
      <c r="AC33" s="13">
        <f t="shared" si="90"/>
        <v>0</v>
      </c>
      <c r="AD33" s="13">
        <f t="shared" ref="AD33:AD36" si="91">SUM(AA33:AC33)</f>
        <v>10000</v>
      </c>
      <c r="AE33" s="6">
        <f t="shared" ref="AE33:AG36" si="92">SUM(S33+G33)</f>
        <v>0</v>
      </c>
      <c r="AF33" s="13">
        <f t="shared" si="92"/>
        <v>0</v>
      </c>
      <c r="AG33" s="13">
        <f t="shared" si="92"/>
        <v>0</v>
      </c>
      <c r="AH33" s="13">
        <f t="shared" ref="AH33:AH36" si="93">SUM(AE33:AG33)</f>
        <v>0</v>
      </c>
      <c r="AI33" s="6">
        <f t="shared" ref="AI33:AK36" si="94">SUM(W33+K33)</f>
        <v>10000</v>
      </c>
      <c r="AJ33" s="13">
        <f t="shared" si="94"/>
        <v>0</v>
      </c>
      <c r="AK33" s="13">
        <f t="shared" si="94"/>
        <v>0</v>
      </c>
      <c r="AL33" s="13">
        <f t="shared" ref="AL33:AL36" si="95">SUM(AI33:AK33)</f>
        <v>10000</v>
      </c>
    </row>
    <row r="34" spans="1:38" s="10" customFormat="1" x14ac:dyDescent="0.25">
      <c r="A34" s="11" t="s">
        <v>583</v>
      </c>
      <c r="B34" s="11" t="s">
        <v>213</v>
      </c>
      <c r="C34" s="22">
        <v>50000</v>
      </c>
      <c r="D34" s="21"/>
      <c r="E34" s="22"/>
      <c r="F34" s="23">
        <f t="shared" si="81"/>
        <v>50000</v>
      </c>
      <c r="G34" s="23"/>
      <c r="H34" s="23"/>
      <c r="I34" s="23"/>
      <c r="J34" s="5">
        <f t="shared" ref="J34:J37" si="96">SUM(G34:I34)</f>
        <v>0</v>
      </c>
      <c r="K34" s="22">
        <f t="shared" si="82"/>
        <v>50000</v>
      </c>
      <c r="L34" s="23">
        <f t="shared" si="83"/>
        <v>0</v>
      </c>
      <c r="M34" s="23">
        <f t="shared" si="84"/>
        <v>0</v>
      </c>
      <c r="N34" s="23">
        <f t="shared" si="85"/>
        <v>50000</v>
      </c>
      <c r="O34" s="6"/>
      <c r="P34" s="6"/>
      <c r="Q34" s="6"/>
      <c r="R34" s="13">
        <f t="shared" ref="R34:R37" si="97">SUM(O34:Q34)</f>
        <v>0</v>
      </c>
      <c r="S34" s="6"/>
      <c r="T34" s="6"/>
      <c r="U34" s="6"/>
      <c r="V34" s="13">
        <f t="shared" ref="V34:V37" si="98">SUM(S34:U34)</f>
        <v>0</v>
      </c>
      <c r="W34" s="6">
        <f t="shared" si="86"/>
        <v>0</v>
      </c>
      <c r="X34" s="6">
        <f t="shared" si="87"/>
        <v>0</v>
      </c>
      <c r="Y34" s="6">
        <f t="shared" si="88"/>
        <v>0</v>
      </c>
      <c r="Z34" s="6">
        <f t="shared" si="89"/>
        <v>0</v>
      </c>
      <c r="AA34" s="6">
        <f t="shared" si="90"/>
        <v>50000</v>
      </c>
      <c r="AB34" s="6">
        <f t="shared" si="90"/>
        <v>0</v>
      </c>
      <c r="AC34" s="6">
        <f t="shared" si="90"/>
        <v>0</v>
      </c>
      <c r="AD34" s="6">
        <f t="shared" si="91"/>
        <v>50000</v>
      </c>
      <c r="AE34" s="6">
        <f t="shared" si="92"/>
        <v>0</v>
      </c>
      <c r="AF34" s="6">
        <f t="shared" si="92"/>
        <v>0</v>
      </c>
      <c r="AG34" s="6">
        <f t="shared" si="92"/>
        <v>0</v>
      </c>
      <c r="AH34" s="6">
        <f t="shared" si="93"/>
        <v>0</v>
      </c>
      <c r="AI34" s="6">
        <f t="shared" si="94"/>
        <v>50000</v>
      </c>
      <c r="AJ34" s="6">
        <f t="shared" si="94"/>
        <v>0</v>
      </c>
      <c r="AK34" s="6">
        <f t="shared" si="94"/>
        <v>0</v>
      </c>
      <c r="AL34" s="6">
        <f t="shared" si="95"/>
        <v>50000</v>
      </c>
    </row>
    <row r="35" spans="1:38" s="10" customFormat="1" ht="31.5" x14ac:dyDescent="0.25">
      <c r="A35" s="11" t="s">
        <v>584</v>
      </c>
      <c r="B35" s="11" t="s">
        <v>213</v>
      </c>
      <c r="C35" s="22">
        <v>27500</v>
      </c>
      <c r="D35" s="21"/>
      <c r="E35" s="22"/>
      <c r="F35" s="23">
        <f t="shared" si="81"/>
        <v>27500</v>
      </c>
      <c r="G35" s="23">
        <v>-7017</v>
      </c>
      <c r="H35" s="23"/>
      <c r="I35" s="23"/>
      <c r="J35" s="5">
        <f t="shared" si="96"/>
        <v>-7017</v>
      </c>
      <c r="K35" s="22">
        <f t="shared" si="82"/>
        <v>20483</v>
      </c>
      <c r="L35" s="23">
        <f t="shared" si="83"/>
        <v>0</v>
      </c>
      <c r="M35" s="23">
        <f t="shared" si="84"/>
        <v>0</v>
      </c>
      <c r="N35" s="23">
        <f t="shared" si="85"/>
        <v>20483</v>
      </c>
      <c r="O35" s="6"/>
      <c r="P35" s="6"/>
      <c r="Q35" s="6"/>
      <c r="R35" s="13">
        <f t="shared" si="97"/>
        <v>0</v>
      </c>
      <c r="S35" s="6"/>
      <c r="T35" s="6"/>
      <c r="U35" s="6"/>
      <c r="V35" s="13">
        <f t="shared" si="98"/>
        <v>0</v>
      </c>
      <c r="W35" s="6">
        <f t="shared" si="86"/>
        <v>0</v>
      </c>
      <c r="X35" s="6">
        <f t="shared" si="87"/>
        <v>0</v>
      </c>
      <c r="Y35" s="6">
        <f t="shared" si="88"/>
        <v>0</v>
      </c>
      <c r="Z35" s="6">
        <f t="shared" si="89"/>
        <v>0</v>
      </c>
      <c r="AA35" s="6">
        <f t="shared" si="90"/>
        <v>27500</v>
      </c>
      <c r="AB35" s="6">
        <f t="shared" si="90"/>
        <v>0</v>
      </c>
      <c r="AC35" s="6">
        <f t="shared" si="90"/>
        <v>0</v>
      </c>
      <c r="AD35" s="6">
        <f t="shared" si="91"/>
        <v>27500</v>
      </c>
      <c r="AE35" s="6">
        <f t="shared" si="92"/>
        <v>-7017</v>
      </c>
      <c r="AF35" s="6">
        <f t="shared" si="92"/>
        <v>0</v>
      </c>
      <c r="AG35" s="6">
        <f t="shared" si="92"/>
        <v>0</v>
      </c>
      <c r="AH35" s="6">
        <f t="shared" si="93"/>
        <v>-7017</v>
      </c>
      <c r="AI35" s="6">
        <f t="shared" si="94"/>
        <v>20483</v>
      </c>
      <c r="AJ35" s="6">
        <f t="shared" si="94"/>
        <v>0</v>
      </c>
      <c r="AK35" s="6">
        <f t="shared" si="94"/>
        <v>0</v>
      </c>
      <c r="AL35" s="6">
        <f t="shared" si="95"/>
        <v>20483</v>
      </c>
    </row>
    <row r="36" spans="1:38" s="10" customFormat="1" x14ac:dyDescent="0.25">
      <c r="A36" s="11" t="s">
        <v>585</v>
      </c>
      <c r="B36" s="11" t="s">
        <v>213</v>
      </c>
      <c r="C36" s="22">
        <v>5000</v>
      </c>
      <c r="D36" s="21"/>
      <c r="E36" s="22"/>
      <c r="F36" s="23">
        <f t="shared" si="81"/>
        <v>5000</v>
      </c>
      <c r="G36" s="23"/>
      <c r="H36" s="23"/>
      <c r="I36" s="23"/>
      <c r="J36" s="5">
        <f t="shared" si="96"/>
        <v>0</v>
      </c>
      <c r="K36" s="22">
        <f t="shared" si="82"/>
        <v>5000</v>
      </c>
      <c r="L36" s="23">
        <f t="shared" si="83"/>
        <v>0</v>
      </c>
      <c r="M36" s="23">
        <f t="shared" si="84"/>
        <v>0</v>
      </c>
      <c r="N36" s="23">
        <f t="shared" si="85"/>
        <v>5000</v>
      </c>
      <c r="O36" s="6"/>
      <c r="P36" s="6"/>
      <c r="Q36" s="6">
        <v>200</v>
      </c>
      <c r="R36" s="13">
        <f t="shared" si="97"/>
        <v>200</v>
      </c>
      <c r="S36" s="6"/>
      <c r="T36" s="6"/>
      <c r="U36" s="6">
        <v>1450</v>
      </c>
      <c r="V36" s="13">
        <f t="shared" si="98"/>
        <v>1450</v>
      </c>
      <c r="W36" s="6">
        <f t="shared" si="86"/>
        <v>0</v>
      </c>
      <c r="X36" s="6">
        <f t="shared" si="87"/>
        <v>0</v>
      </c>
      <c r="Y36" s="6">
        <f t="shared" si="88"/>
        <v>1650</v>
      </c>
      <c r="Z36" s="6">
        <f t="shared" si="89"/>
        <v>1650</v>
      </c>
      <c r="AA36" s="6">
        <f t="shared" si="90"/>
        <v>5000</v>
      </c>
      <c r="AB36" s="6">
        <f t="shared" si="90"/>
        <v>0</v>
      </c>
      <c r="AC36" s="6">
        <f t="shared" si="90"/>
        <v>200</v>
      </c>
      <c r="AD36" s="6">
        <f t="shared" si="91"/>
        <v>5200</v>
      </c>
      <c r="AE36" s="6">
        <f t="shared" si="92"/>
        <v>0</v>
      </c>
      <c r="AF36" s="6">
        <f t="shared" si="92"/>
        <v>0</v>
      </c>
      <c r="AG36" s="6">
        <f t="shared" si="92"/>
        <v>1450</v>
      </c>
      <c r="AH36" s="6">
        <f t="shared" si="93"/>
        <v>1450</v>
      </c>
      <c r="AI36" s="6">
        <f t="shared" si="94"/>
        <v>5000</v>
      </c>
      <c r="AJ36" s="6">
        <f t="shared" si="94"/>
        <v>0</v>
      </c>
      <c r="AK36" s="6">
        <f t="shared" si="94"/>
        <v>1650</v>
      </c>
      <c r="AL36" s="6">
        <f t="shared" si="95"/>
        <v>6650</v>
      </c>
    </row>
    <row r="37" spans="1:38" s="10" customFormat="1" x14ac:dyDescent="0.25">
      <c r="A37" s="11" t="s">
        <v>1026</v>
      </c>
      <c r="B37" s="11" t="s">
        <v>213</v>
      </c>
      <c r="C37" s="22"/>
      <c r="D37" s="21"/>
      <c r="E37" s="22"/>
      <c r="F37" s="23">
        <f t="shared" si="81"/>
        <v>0</v>
      </c>
      <c r="G37" s="23">
        <v>444</v>
      </c>
      <c r="H37" s="23"/>
      <c r="I37" s="23"/>
      <c r="J37" s="5">
        <f t="shared" si="96"/>
        <v>444</v>
      </c>
      <c r="K37" s="22">
        <f t="shared" ref="K37" si="99">SUM(G37+C37)</f>
        <v>444</v>
      </c>
      <c r="L37" s="23">
        <f t="shared" ref="L37" si="100">SUM(H37+D37)</f>
        <v>0</v>
      </c>
      <c r="M37" s="23">
        <f t="shared" ref="M37" si="101">SUM(I37+E37)</f>
        <v>0</v>
      </c>
      <c r="N37" s="23">
        <f t="shared" ref="N37" si="102">SUM(K37:M37)</f>
        <v>444</v>
      </c>
      <c r="O37" s="6"/>
      <c r="P37" s="6"/>
      <c r="Q37" s="6"/>
      <c r="R37" s="13">
        <f t="shared" si="97"/>
        <v>0</v>
      </c>
      <c r="S37" s="6"/>
      <c r="T37" s="6"/>
      <c r="U37" s="6"/>
      <c r="V37" s="13">
        <f t="shared" si="98"/>
        <v>0</v>
      </c>
      <c r="W37" s="6">
        <f t="shared" ref="W37" si="103">SUM(S37+O37)</f>
        <v>0</v>
      </c>
      <c r="X37" s="6">
        <f t="shared" ref="X37" si="104">SUM(T37+P37)</f>
        <v>0</v>
      </c>
      <c r="Y37" s="6">
        <f t="shared" ref="Y37" si="105">SUM(Q37+U37)</f>
        <v>0</v>
      </c>
      <c r="Z37" s="6">
        <f t="shared" ref="Z37" si="106">SUM(W37:Y37)</f>
        <v>0</v>
      </c>
      <c r="AA37" s="6">
        <f t="shared" ref="AA37" si="107">SUM(O37+C37)</f>
        <v>0</v>
      </c>
      <c r="AB37" s="6">
        <f t="shared" ref="AB37" si="108">SUM(P37+D37)</f>
        <v>0</v>
      </c>
      <c r="AC37" s="6">
        <f t="shared" ref="AC37" si="109">SUM(Q37+E37)</f>
        <v>0</v>
      </c>
      <c r="AD37" s="6">
        <f t="shared" ref="AD37" si="110">SUM(AA37:AC37)</f>
        <v>0</v>
      </c>
      <c r="AE37" s="6">
        <f t="shared" ref="AE37" si="111">SUM(S37+G37)</f>
        <v>444</v>
      </c>
      <c r="AF37" s="6">
        <f t="shared" ref="AF37" si="112">SUM(T37+H37)</f>
        <v>0</v>
      </c>
      <c r="AG37" s="6">
        <f t="shared" ref="AG37" si="113">SUM(U37+I37)</f>
        <v>0</v>
      </c>
      <c r="AH37" s="6">
        <f t="shared" ref="AH37" si="114">SUM(AE37:AG37)</f>
        <v>444</v>
      </c>
      <c r="AI37" s="6">
        <f t="shared" ref="AI37" si="115">SUM(W37+K37)</f>
        <v>444</v>
      </c>
      <c r="AJ37" s="6">
        <f t="shared" ref="AJ37" si="116">SUM(X37+L37)</f>
        <v>0</v>
      </c>
      <c r="AK37" s="6">
        <f t="shared" ref="AK37" si="117">SUM(Y37+M37)</f>
        <v>0</v>
      </c>
      <c r="AL37" s="6">
        <f t="shared" ref="AL37" si="118">SUM(AI37:AK37)</f>
        <v>444</v>
      </c>
    </row>
    <row r="38" spans="1:38" s="37" customFormat="1" ht="31.5" x14ac:dyDescent="0.25">
      <c r="A38" s="17" t="s">
        <v>1173</v>
      </c>
      <c r="B38" s="17" t="s">
        <v>213</v>
      </c>
      <c r="C38" s="18">
        <f>SUM(C33:C37)</f>
        <v>92500</v>
      </c>
      <c r="D38" s="18">
        <f t="shared" ref="D38:AL38" si="119">SUM(D33:D37)</f>
        <v>0</v>
      </c>
      <c r="E38" s="18">
        <f t="shared" si="119"/>
        <v>0</v>
      </c>
      <c r="F38" s="18">
        <f t="shared" si="119"/>
        <v>92500</v>
      </c>
      <c r="G38" s="18">
        <f t="shared" si="119"/>
        <v>-6573</v>
      </c>
      <c r="H38" s="18">
        <f t="shared" si="119"/>
        <v>0</v>
      </c>
      <c r="I38" s="18">
        <f t="shared" si="119"/>
        <v>0</v>
      </c>
      <c r="J38" s="18">
        <f t="shared" si="119"/>
        <v>-6573</v>
      </c>
      <c r="K38" s="18">
        <f t="shared" si="119"/>
        <v>85927</v>
      </c>
      <c r="L38" s="18">
        <f t="shared" si="119"/>
        <v>0</v>
      </c>
      <c r="M38" s="18">
        <f t="shared" si="119"/>
        <v>0</v>
      </c>
      <c r="N38" s="18">
        <f t="shared" si="119"/>
        <v>85927</v>
      </c>
      <c r="O38" s="18">
        <f t="shared" si="119"/>
        <v>0</v>
      </c>
      <c r="P38" s="18">
        <f t="shared" si="119"/>
        <v>0</v>
      </c>
      <c r="Q38" s="18">
        <f t="shared" si="119"/>
        <v>200</v>
      </c>
      <c r="R38" s="18">
        <f t="shared" si="119"/>
        <v>200</v>
      </c>
      <c r="S38" s="18">
        <f t="shared" si="119"/>
        <v>0</v>
      </c>
      <c r="T38" s="18">
        <f t="shared" si="119"/>
        <v>0</v>
      </c>
      <c r="U38" s="18">
        <f t="shared" si="119"/>
        <v>1450</v>
      </c>
      <c r="V38" s="18">
        <f t="shared" si="119"/>
        <v>1450</v>
      </c>
      <c r="W38" s="18">
        <f t="shared" si="119"/>
        <v>0</v>
      </c>
      <c r="X38" s="18">
        <f t="shared" si="119"/>
        <v>0</v>
      </c>
      <c r="Y38" s="18">
        <f t="shared" si="119"/>
        <v>1650</v>
      </c>
      <c r="Z38" s="18">
        <f t="shared" si="119"/>
        <v>1650</v>
      </c>
      <c r="AA38" s="18">
        <f t="shared" si="119"/>
        <v>92500</v>
      </c>
      <c r="AB38" s="18">
        <f t="shared" si="119"/>
        <v>0</v>
      </c>
      <c r="AC38" s="18">
        <f t="shared" si="119"/>
        <v>200</v>
      </c>
      <c r="AD38" s="18">
        <f t="shared" si="119"/>
        <v>92700</v>
      </c>
      <c r="AE38" s="18">
        <f t="shared" si="119"/>
        <v>-6573</v>
      </c>
      <c r="AF38" s="18">
        <f t="shared" si="119"/>
        <v>0</v>
      </c>
      <c r="AG38" s="18">
        <f t="shared" si="119"/>
        <v>1450</v>
      </c>
      <c r="AH38" s="18">
        <f t="shared" si="119"/>
        <v>-5123</v>
      </c>
      <c r="AI38" s="18">
        <f t="shared" si="119"/>
        <v>85927</v>
      </c>
      <c r="AJ38" s="18">
        <f t="shared" si="119"/>
        <v>0</v>
      </c>
      <c r="AK38" s="18">
        <f t="shared" si="119"/>
        <v>1650</v>
      </c>
      <c r="AL38" s="18">
        <f t="shared" si="119"/>
        <v>87577</v>
      </c>
    </row>
    <row r="39" spans="1:38" s="10" customFormat="1" ht="31.5" x14ac:dyDescent="0.25">
      <c r="A39" s="8" t="s">
        <v>1028</v>
      </c>
      <c r="B39" s="8" t="s">
        <v>175</v>
      </c>
      <c r="C39" s="9">
        <f>SUM(C26+C32+C38+C23)</f>
        <v>18387500</v>
      </c>
      <c r="D39" s="9">
        <f t="shared" ref="D39:AL39" si="120">SUM(D26+D32+D38+D23)</f>
        <v>0</v>
      </c>
      <c r="E39" s="9">
        <f t="shared" si="120"/>
        <v>0</v>
      </c>
      <c r="F39" s="9">
        <f t="shared" si="120"/>
        <v>18387500</v>
      </c>
      <c r="G39" s="9">
        <f t="shared" si="120"/>
        <v>2221645</v>
      </c>
      <c r="H39" s="9">
        <f t="shared" si="120"/>
        <v>0</v>
      </c>
      <c r="I39" s="9">
        <f t="shared" si="120"/>
        <v>0</v>
      </c>
      <c r="J39" s="9">
        <f t="shared" si="120"/>
        <v>2221645</v>
      </c>
      <c r="K39" s="9">
        <f t="shared" si="120"/>
        <v>20609145</v>
      </c>
      <c r="L39" s="9">
        <f t="shared" si="120"/>
        <v>0</v>
      </c>
      <c r="M39" s="9">
        <f t="shared" si="120"/>
        <v>0</v>
      </c>
      <c r="N39" s="9">
        <f t="shared" si="120"/>
        <v>20609145</v>
      </c>
      <c r="O39" s="9">
        <f t="shared" si="120"/>
        <v>0</v>
      </c>
      <c r="P39" s="9">
        <f t="shared" si="120"/>
        <v>0</v>
      </c>
      <c r="Q39" s="9">
        <f t="shared" si="120"/>
        <v>200</v>
      </c>
      <c r="R39" s="9">
        <f t="shared" si="120"/>
        <v>200</v>
      </c>
      <c r="S39" s="9">
        <f t="shared" si="120"/>
        <v>0</v>
      </c>
      <c r="T39" s="9">
        <f t="shared" si="120"/>
        <v>0</v>
      </c>
      <c r="U39" s="9">
        <f t="shared" si="120"/>
        <v>1450</v>
      </c>
      <c r="V39" s="9">
        <f t="shared" si="120"/>
        <v>1450</v>
      </c>
      <c r="W39" s="9">
        <f t="shared" si="120"/>
        <v>0</v>
      </c>
      <c r="X39" s="9">
        <f t="shared" si="120"/>
        <v>0</v>
      </c>
      <c r="Y39" s="9">
        <f t="shared" si="120"/>
        <v>1650</v>
      </c>
      <c r="Z39" s="9">
        <f t="shared" si="120"/>
        <v>1650</v>
      </c>
      <c r="AA39" s="9">
        <f t="shared" si="120"/>
        <v>18387500</v>
      </c>
      <c r="AB39" s="9">
        <f t="shared" si="120"/>
        <v>0</v>
      </c>
      <c r="AC39" s="9">
        <f t="shared" si="120"/>
        <v>200</v>
      </c>
      <c r="AD39" s="9">
        <f t="shared" si="120"/>
        <v>18387700</v>
      </c>
      <c r="AE39" s="9">
        <f t="shared" si="120"/>
        <v>2221645</v>
      </c>
      <c r="AF39" s="9">
        <f t="shared" si="120"/>
        <v>0</v>
      </c>
      <c r="AG39" s="9">
        <f t="shared" si="120"/>
        <v>1450</v>
      </c>
      <c r="AH39" s="9">
        <f t="shared" si="120"/>
        <v>2223095</v>
      </c>
      <c r="AI39" s="9">
        <f t="shared" si="120"/>
        <v>20609145</v>
      </c>
      <c r="AJ39" s="9">
        <f t="shared" si="120"/>
        <v>0</v>
      </c>
      <c r="AK39" s="9">
        <f t="shared" si="120"/>
        <v>1650</v>
      </c>
      <c r="AL39" s="9">
        <f t="shared" si="120"/>
        <v>20610795</v>
      </c>
    </row>
    <row r="40" spans="1:38" s="10" customFormat="1" x14ac:dyDescent="0.25">
      <c r="A40" s="8" t="s">
        <v>586</v>
      </c>
      <c r="B40" s="8" t="s">
        <v>176</v>
      </c>
      <c r="C40" s="9">
        <v>1074081</v>
      </c>
      <c r="D40" s="9">
        <v>4197044</v>
      </c>
      <c r="E40" s="9"/>
      <c r="F40" s="9">
        <f t="shared" ref="F40:F46" si="121">SUM(C40:E40)</f>
        <v>5271125</v>
      </c>
      <c r="G40" s="9">
        <f>60-85+1403-2794+3976+23829+138+759+395+18710+8+142+39+22621+84+77+17+39+30074+681+359+37-407+379+205-33750+6108+137693+84+13+3930+130+17+230+11+365+7+65+2+1540+1285+16108</f>
        <v>234584</v>
      </c>
      <c r="H40" s="9">
        <f>7+1552+1008+272+61+3078+1030+221-83+5+319+2-907317+50+819+1454+19+3710+561+4736</f>
        <v>-888496</v>
      </c>
      <c r="I40" s="9"/>
      <c r="J40" s="9">
        <f>SUM(G40:I40)</f>
        <v>-653912</v>
      </c>
      <c r="K40" s="9">
        <f t="shared" ref="K40:K44" si="122">SUM(G40+C40)</f>
        <v>1308665</v>
      </c>
      <c r="L40" s="9">
        <f t="shared" ref="L40:L44" si="123">SUM(H40+D40)</f>
        <v>3308548</v>
      </c>
      <c r="M40" s="9">
        <f t="shared" ref="M40:M44" si="124">SUM(I40+E40)</f>
        <v>0</v>
      </c>
      <c r="N40" s="9">
        <f t="shared" ref="N40:N44" si="125">SUM(K40:M40)</f>
        <v>4617213</v>
      </c>
      <c r="O40" s="9">
        <v>1073480</v>
      </c>
      <c r="P40" s="9">
        <v>334094</v>
      </c>
      <c r="Q40" s="9">
        <v>2268</v>
      </c>
      <c r="R40" s="9">
        <f>SUM(O40:Q40)</f>
        <v>1409842</v>
      </c>
      <c r="S40" s="9">
        <v>225862</v>
      </c>
      <c r="T40" s="9">
        <v>37961</v>
      </c>
      <c r="U40" s="9">
        <v>0</v>
      </c>
      <c r="V40" s="9">
        <f>SUM(S40:U40)</f>
        <v>263823</v>
      </c>
      <c r="W40" s="9">
        <f t="shared" ref="W40:W44" si="126">SUM(S40+O40)</f>
        <v>1299342</v>
      </c>
      <c r="X40" s="9">
        <f t="shared" ref="X40:X44" si="127">SUM(T40+P40)</f>
        <v>372055</v>
      </c>
      <c r="Y40" s="9">
        <f t="shared" ref="Y40:Y44" si="128">SUM(Q40+U40)</f>
        <v>2268</v>
      </c>
      <c r="Z40" s="9">
        <f t="shared" ref="Z40:Z44" si="129">SUM(W40:Y40)</f>
        <v>1673665</v>
      </c>
      <c r="AA40" s="7">
        <f t="shared" ref="AA40:AC43" si="130">SUM(O40+C40)</f>
        <v>2147561</v>
      </c>
      <c r="AB40" s="7">
        <f t="shared" si="130"/>
        <v>4531138</v>
      </c>
      <c r="AC40" s="7">
        <f t="shared" si="130"/>
        <v>2268</v>
      </c>
      <c r="AD40" s="7">
        <f>SUM(AA40:AC40)</f>
        <v>6680967</v>
      </c>
      <c r="AE40" s="7">
        <f t="shared" ref="AE40:AG43" si="131">SUM(S40+G40)</f>
        <v>460446</v>
      </c>
      <c r="AF40" s="7">
        <f t="shared" si="131"/>
        <v>-850535</v>
      </c>
      <c r="AG40" s="7">
        <f t="shared" si="131"/>
        <v>0</v>
      </c>
      <c r="AH40" s="7">
        <f t="shared" ref="AH40:AH43" si="132">SUM(AE40:AG40)</f>
        <v>-390089</v>
      </c>
      <c r="AI40" s="7">
        <f t="shared" ref="AI40:AK43" si="133">SUM(W40+K40)</f>
        <v>2608007</v>
      </c>
      <c r="AJ40" s="7">
        <f t="shared" si="133"/>
        <v>3680603</v>
      </c>
      <c r="AK40" s="7">
        <f t="shared" si="133"/>
        <v>2268</v>
      </c>
      <c r="AL40" s="7">
        <f t="shared" ref="AL40:AL43" si="134">SUM(AI40:AK40)</f>
        <v>6290878</v>
      </c>
    </row>
    <row r="41" spans="1:38" s="10" customFormat="1" x14ac:dyDescent="0.25">
      <c r="A41" s="11" t="s">
        <v>222</v>
      </c>
      <c r="B41" s="11" t="s">
        <v>214</v>
      </c>
      <c r="C41" s="13">
        <v>393785</v>
      </c>
      <c r="D41" s="12"/>
      <c r="E41" s="195"/>
      <c r="F41" s="12">
        <f t="shared" si="121"/>
        <v>393785</v>
      </c>
      <c r="G41" s="13">
        <f>-85+1403-2794</f>
        <v>-1476</v>
      </c>
      <c r="H41" s="13"/>
      <c r="I41" s="13"/>
      <c r="J41" s="13">
        <f>SUM(G41:I41)</f>
        <v>-1476</v>
      </c>
      <c r="K41" s="13">
        <f t="shared" si="122"/>
        <v>392309</v>
      </c>
      <c r="L41" s="13">
        <f t="shared" si="123"/>
        <v>0</v>
      </c>
      <c r="M41" s="13">
        <f t="shared" si="124"/>
        <v>0</v>
      </c>
      <c r="N41" s="14">
        <f t="shared" si="125"/>
        <v>392309</v>
      </c>
      <c r="O41" s="13"/>
      <c r="P41" s="13"/>
      <c r="Q41" s="13"/>
      <c r="R41" s="13">
        <f>SUM(O41:Q41)</f>
        <v>0</v>
      </c>
      <c r="S41" s="13"/>
      <c r="T41" s="13"/>
      <c r="U41" s="13"/>
      <c r="V41" s="13">
        <f>SUM(S41:U41)</f>
        <v>0</v>
      </c>
      <c r="W41" s="13">
        <f t="shared" si="126"/>
        <v>0</v>
      </c>
      <c r="X41" s="13">
        <f t="shared" si="127"/>
        <v>0</v>
      </c>
      <c r="Y41" s="13">
        <f t="shared" si="128"/>
        <v>0</v>
      </c>
      <c r="Z41" s="13">
        <f t="shared" si="129"/>
        <v>0</v>
      </c>
      <c r="AA41" s="6">
        <f t="shared" si="130"/>
        <v>393785</v>
      </c>
      <c r="AB41" s="6">
        <f t="shared" si="130"/>
        <v>0</v>
      </c>
      <c r="AC41" s="6">
        <f t="shared" si="130"/>
        <v>0</v>
      </c>
      <c r="AD41" s="6">
        <f>SUM(AA41:AC41)</f>
        <v>393785</v>
      </c>
      <c r="AE41" s="6">
        <f t="shared" si="131"/>
        <v>-1476</v>
      </c>
      <c r="AF41" s="6">
        <f t="shared" si="131"/>
        <v>0</v>
      </c>
      <c r="AG41" s="6">
        <f t="shared" si="131"/>
        <v>0</v>
      </c>
      <c r="AH41" s="6">
        <f t="shared" si="132"/>
        <v>-1476</v>
      </c>
      <c r="AI41" s="6">
        <f t="shared" si="133"/>
        <v>392309</v>
      </c>
      <c r="AJ41" s="6">
        <f t="shared" si="133"/>
        <v>0</v>
      </c>
      <c r="AK41" s="6">
        <f t="shared" si="133"/>
        <v>0</v>
      </c>
      <c r="AL41" s="6">
        <f t="shared" si="134"/>
        <v>392309</v>
      </c>
    </row>
    <row r="42" spans="1:38" s="28" customFormat="1" ht="31.5" x14ac:dyDescent="0.25">
      <c r="A42" s="198" t="s">
        <v>223</v>
      </c>
      <c r="B42" s="26" t="s">
        <v>224</v>
      </c>
      <c r="C42" s="13">
        <v>141643</v>
      </c>
      <c r="D42" s="12">
        <v>2905176</v>
      </c>
      <c r="E42" s="195"/>
      <c r="F42" s="12">
        <f t="shared" si="121"/>
        <v>3046819</v>
      </c>
      <c r="G42" s="13">
        <f>84+77+17+39+30074+681+359+37-407+379+205-33750+6108+137693</f>
        <v>141596</v>
      </c>
      <c r="H42" s="13">
        <f>272+61+3078+1030+221-83+5+319+2-907317</f>
        <v>-902412</v>
      </c>
      <c r="I42" s="13"/>
      <c r="J42" s="13">
        <f t="shared" ref="J42:J47" si="135">SUM(G42:I42)</f>
        <v>-760816</v>
      </c>
      <c r="K42" s="13">
        <f t="shared" si="122"/>
        <v>283239</v>
      </c>
      <c r="L42" s="13">
        <f t="shared" si="123"/>
        <v>2002764</v>
      </c>
      <c r="M42" s="13">
        <f t="shared" si="124"/>
        <v>0</v>
      </c>
      <c r="N42" s="14">
        <f t="shared" si="125"/>
        <v>2286003</v>
      </c>
      <c r="O42" s="13">
        <v>270078</v>
      </c>
      <c r="P42" s="13">
        <v>108794</v>
      </c>
      <c r="Q42" s="13"/>
      <c r="R42" s="13">
        <f>SUM(O42:Q42)</f>
        <v>378872</v>
      </c>
      <c r="S42" s="13">
        <f>38936+275</f>
        <v>39211</v>
      </c>
      <c r="T42" s="13">
        <v>484</v>
      </c>
      <c r="U42" s="13">
        <v>0</v>
      </c>
      <c r="V42" s="13">
        <f t="shared" ref="V42:V47" si="136">SUM(S42:U42)</f>
        <v>39695</v>
      </c>
      <c r="W42" s="13">
        <f t="shared" si="126"/>
        <v>309289</v>
      </c>
      <c r="X42" s="13">
        <f t="shared" si="127"/>
        <v>109278</v>
      </c>
      <c r="Y42" s="13">
        <f t="shared" si="128"/>
        <v>0</v>
      </c>
      <c r="Z42" s="13">
        <f t="shared" si="129"/>
        <v>418567</v>
      </c>
      <c r="AA42" s="6">
        <f t="shared" si="130"/>
        <v>411721</v>
      </c>
      <c r="AB42" s="6">
        <f t="shared" si="130"/>
        <v>3013970</v>
      </c>
      <c r="AC42" s="6">
        <f t="shared" si="130"/>
        <v>0</v>
      </c>
      <c r="AD42" s="6">
        <f>SUM(AA42:AC42)</f>
        <v>3425691</v>
      </c>
      <c r="AE42" s="6">
        <f t="shared" si="131"/>
        <v>180807</v>
      </c>
      <c r="AF42" s="6">
        <f t="shared" si="131"/>
        <v>-901928</v>
      </c>
      <c r="AG42" s="6">
        <f t="shared" si="131"/>
        <v>0</v>
      </c>
      <c r="AH42" s="6">
        <f t="shared" si="132"/>
        <v>-721121</v>
      </c>
      <c r="AI42" s="6">
        <f t="shared" si="133"/>
        <v>592528</v>
      </c>
      <c r="AJ42" s="6">
        <f t="shared" si="133"/>
        <v>2112042</v>
      </c>
      <c r="AK42" s="6">
        <f t="shared" si="133"/>
        <v>0</v>
      </c>
      <c r="AL42" s="6">
        <f t="shared" si="134"/>
        <v>2704570</v>
      </c>
    </row>
    <row r="43" spans="1:38" s="28" customFormat="1" x14ac:dyDescent="0.25">
      <c r="A43" s="198" t="s">
        <v>225</v>
      </c>
      <c r="B43" s="26" t="s">
        <v>215</v>
      </c>
      <c r="C43" s="13">
        <v>116000</v>
      </c>
      <c r="D43" s="12"/>
      <c r="E43" s="195"/>
      <c r="F43" s="12">
        <f t="shared" si="121"/>
        <v>116000</v>
      </c>
      <c r="G43" s="13">
        <v>16108</v>
      </c>
      <c r="H43" s="13"/>
      <c r="I43" s="13"/>
      <c r="J43" s="13">
        <f t="shared" si="135"/>
        <v>16108</v>
      </c>
      <c r="K43" s="13">
        <f t="shared" si="122"/>
        <v>132108</v>
      </c>
      <c r="L43" s="13">
        <f t="shared" si="123"/>
        <v>0</v>
      </c>
      <c r="M43" s="13">
        <f t="shared" si="124"/>
        <v>0</v>
      </c>
      <c r="N43" s="14">
        <f t="shared" si="125"/>
        <v>132108</v>
      </c>
      <c r="O43" s="13"/>
      <c r="P43" s="13"/>
      <c r="Q43" s="13"/>
      <c r="R43" s="13">
        <f>SUM(O43:Q43)</f>
        <v>0</v>
      </c>
      <c r="S43" s="13">
        <v>56</v>
      </c>
      <c r="T43" s="13"/>
      <c r="U43" s="13"/>
      <c r="V43" s="13">
        <f t="shared" si="136"/>
        <v>56</v>
      </c>
      <c r="W43" s="13">
        <f t="shared" si="126"/>
        <v>56</v>
      </c>
      <c r="X43" s="13">
        <f t="shared" si="127"/>
        <v>0</v>
      </c>
      <c r="Y43" s="13">
        <f t="shared" si="128"/>
        <v>0</v>
      </c>
      <c r="Z43" s="13">
        <f t="shared" si="129"/>
        <v>56</v>
      </c>
      <c r="AA43" s="6">
        <f t="shared" si="130"/>
        <v>116000</v>
      </c>
      <c r="AB43" s="6">
        <f t="shared" si="130"/>
        <v>0</v>
      </c>
      <c r="AC43" s="6">
        <f t="shared" si="130"/>
        <v>0</v>
      </c>
      <c r="AD43" s="6">
        <f>SUM(AA43:AC43)</f>
        <v>116000</v>
      </c>
      <c r="AE43" s="6">
        <f t="shared" si="131"/>
        <v>16164</v>
      </c>
      <c r="AF43" s="6">
        <f t="shared" si="131"/>
        <v>0</v>
      </c>
      <c r="AG43" s="6">
        <f t="shared" si="131"/>
        <v>0</v>
      </c>
      <c r="AH43" s="6">
        <f t="shared" si="132"/>
        <v>16164</v>
      </c>
      <c r="AI43" s="6">
        <f t="shared" si="133"/>
        <v>132164</v>
      </c>
      <c r="AJ43" s="6">
        <f t="shared" si="133"/>
        <v>0</v>
      </c>
      <c r="AK43" s="6">
        <f t="shared" si="133"/>
        <v>0</v>
      </c>
      <c r="AL43" s="6">
        <f t="shared" si="134"/>
        <v>132164</v>
      </c>
    </row>
    <row r="44" spans="1:38" x14ac:dyDescent="0.25">
      <c r="A44" s="34" t="s">
        <v>587</v>
      </c>
      <c r="B44" s="34" t="s">
        <v>216</v>
      </c>
      <c r="C44" s="35">
        <v>190500</v>
      </c>
      <c r="D44" s="199">
        <v>88300</v>
      </c>
      <c r="E44" s="35"/>
      <c r="F44" s="36">
        <f t="shared" si="121"/>
        <v>278800</v>
      </c>
      <c r="G44" s="36">
        <f>-24774+11400+16569+33426+1260</f>
        <v>37881</v>
      </c>
      <c r="H44" s="36"/>
      <c r="I44" s="36"/>
      <c r="J44" s="13">
        <f t="shared" si="135"/>
        <v>37881</v>
      </c>
      <c r="K44" s="35">
        <f t="shared" si="122"/>
        <v>228381</v>
      </c>
      <c r="L44" s="36">
        <f t="shared" si="123"/>
        <v>88300</v>
      </c>
      <c r="M44" s="36">
        <f t="shared" si="124"/>
        <v>0</v>
      </c>
      <c r="N44" s="36">
        <f t="shared" si="125"/>
        <v>316681</v>
      </c>
      <c r="O44" s="35"/>
      <c r="P44" s="35"/>
      <c r="Q44" s="35"/>
      <c r="R44" s="13">
        <f>SUM(O44:Q44)</f>
        <v>0</v>
      </c>
      <c r="S44" s="13"/>
      <c r="T44" s="13"/>
      <c r="U44" s="13"/>
      <c r="V44" s="13">
        <f t="shared" si="136"/>
        <v>0</v>
      </c>
      <c r="W44" s="13">
        <f t="shared" si="126"/>
        <v>0</v>
      </c>
      <c r="X44" s="13">
        <f t="shared" si="127"/>
        <v>0</v>
      </c>
      <c r="Y44" s="13">
        <f t="shared" si="128"/>
        <v>0</v>
      </c>
      <c r="Z44" s="13">
        <f t="shared" si="129"/>
        <v>0</v>
      </c>
      <c r="AA44" s="6">
        <f>SUM(C44+O44)</f>
        <v>190500</v>
      </c>
      <c r="AB44" s="6">
        <f>SUM(D44+P44)</f>
        <v>88300</v>
      </c>
      <c r="AC44" s="6">
        <f>SUM(E44+Q44)</f>
        <v>0</v>
      </c>
      <c r="AD44" s="6">
        <f>SUM(F44+R44)</f>
        <v>278800</v>
      </c>
      <c r="AE44" s="6">
        <f t="shared" ref="AE44:AL44" si="137">SUM(G44+S44)</f>
        <v>37881</v>
      </c>
      <c r="AF44" s="6">
        <f t="shared" si="137"/>
        <v>0</v>
      </c>
      <c r="AG44" s="6">
        <f t="shared" si="137"/>
        <v>0</v>
      </c>
      <c r="AH44" s="6">
        <f t="shared" si="137"/>
        <v>37881</v>
      </c>
      <c r="AI44" s="6">
        <f t="shared" si="137"/>
        <v>228381</v>
      </c>
      <c r="AJ44" s="6">
        <f t="shared" si="137"/>
        <v>88300</v>
      </c>
      <c r="AK44" s="6">
        <f t="shared" si="137"/>
        <v>0</v>
      </c>
      <c r="AL44" s="6">
        <f t="shared" si="137"/>
        <v>316681</v>
      </c>
    </row>
    <row r="45" spans="1:38" x14ac:dyDescent="0.25">
      <c r="A45" s="34" t="s">
        <v>819</v>
      </c>
      <c r="B45" s="34" t="s">
        <v>817</v>
      </c>
      <c r="C45" s="35">
        <v>0</v>
      </c>
      <c r="D45" s="199">
        <v>1200</v>
      </c>
      <c r="E45" s="35"/>
      <c r="F45" s="36">
        <f t="shared" si="121"/>
        <v>1200</v>
      </c>
      <c r="G45" s="36"/>
      <c r="H45" s="36"/>
      <c r="I45" s="36"/>
      <c r="J45" s="13">
        <f t="shared" si="135"/>
        <v>0</v>
      </c>
      <c r="K45" s="35">
        <f t="shared" ref="K45:K46" si="138">SUM(G45+C45)</f>
        <v>0</v>
      </c>
      <c r="L45" s="36">
        <f t="shared" ref="L45:L46" si="139">SUM(H45+D45)</f>
        <v>1200</v>
      </c>
      <c r="M45" s="36">
        <f t="shared" ref="M45:M46" si="140">SUM(I45+E45)</f>
        <v>0</v>
      </c>
      <c r="N45" s="36">
        <f t="shared" ref="N45:N46" si="141">SUM(K45:M45)</f>
        <v>1200</v>
      </c>
      <c r="O45" s="35"/>
      <c r="P45" s="35"/>
      <c r="Q45" s="35"/>
      <c r="R45" s="13">
        <f t="shared" ref="R45:R47" si="142">SUM(O45:Q45)</f>
        <v>0</v>
      </c>
      <c r="S45" s="13">
        <v>300</v>
      </c>
      <c r="T45" s="13">
        <v>486</v>
      </c>
      <c r="U45" s="13"/>
      <c r="V45" s="13">
        <f t="shared" si="136"/>
        <v>786</v>
      </c>
      <c r="W45" s="13">
        <f t="shared" ref="W45:W46" si="143">SUM(S45+O45)</f>
        <v>300</v>
      </c>
      <c r="X45" s="13">
        <f t="shared" ref="X45:X46" si="144">SUM(T45+P45)</f>
        <v>486</v>
      </c>
      <c r="Y45" s="13">
        <f t="shared" ref="Y45:Y46" si="145">SUM(Q45+U45)</f>
        <v>0</v>
      </c>
      <c r="Z45" s="13">
        <f t="shared" ref="Z45:Z46" si="146">SUM(W45:Y45)</f>
        <v>786</v>
      </c>
      <c r="AA45" s="6">
        <f t="shared" ref="AA45:AA46" si="147">SUM(C45+O45)</f>
        <v>0</v>
      </c>
      <c r="AB45" s="6">
        <f t="shared" ref="AB45:AB46" si="148">SUM(D45+P45)</f>
        <v>1200</v>
      </c>
      <c r="AC45" s="6">
        <f t="shared" ref="AC45:AC46" si="149">SUM(E45+Q45)</f>
        <v>0</v>
      </c>
      <c r="AD45" s="6">
        <f t="shared" ref="AD45:AD46" si="150">SUM(F45+R45)</f>
        <v>1200</v>
      </c>
      <c r="AE45" s="6">
        <f t="shared" ref="AE45:AE46" si="151">SUM(G45+S45)</f>
        <v>300</v>
      </c>
      <c r="AF45" s="6">
        <f t="shared" ref="AF45:AF46" si="152">SUM(H45+T45)</f>
        <v>486</v>
      </c>
      <c r="AG45" s="6">
        <f t="shared" ref="AG45:AG46" si="153">SUM(I45+U45)</f>
        <v>0</v>
      </c>
      <c r="AH45" s="6">
        <f t="shared" ref="AH45:AH46" si="154">SUM(J45+V45)</f>
        <v>786</v>
      </c>
      <c r="AI45" s="6">
        <f t="shared" ref="AI45:AI46" si="155">SUM(K45+W45)</f>
        <v>300</v>
      </c>
      <c r="AJ45" s="6">
        <f t="shared" ref="AJ45:AJ46" si="156">SUM(L45+X45)</f>
        <v>1686</v>
      </c>
      <c r="AK45" s="6">
        <f t="shared" ref="AK45:AK46" si="157">SUM(M45+Y45)</f>
        <v>0</v>
      </c>
      <c r="AL45" s="6">
        <f t="shared" ref="AL45:AL46" si="158">SUM(N45+Z45)</f>
        <v>1986</v>
      </c>
    </row>
    <row r="46" spans="1:38" x14ac:dyDescent="0.25">
      <c r="A46" s="34" t="s">
        <v>820</v>
      </c>
      <c r="B46" s="34" t="s">
        <v>818</v>
      </c>
      <c r="C46" s="35">
        <v>0</v>
      </c>
      <c r="D46" s="199">
        <v>2860</v>
      </c>
      <c r="E46" s="35"/>
      <c r="F46" s="36">
        <f t="shared" si="121"/>
        <v>2860</v>
      </c>
      <c r="G46" s="36"/>
      <c r="H46" s="36">
        <v>-1</v>
      </c>
      <c r="I46" s="36"/>
      <c r="J46" s="13">
        <f t="shared" si="135"/>
        <v>-1</v>
      </c>
      <c r="K46" s="35">
        <f t="shared" si="138"/>
        <v>0</v>
      </c>
      <c r="L46" s="36">
        <f t="shared" si="139"/>
        <v>2859</v>
      </c>
      <c r="M46" s="36">
        <f t="shared" si="140"/>
        <v>0</v>
      </c>
      <c r="N46" s="36">
        <f t="shared" si="141"/>
        <v>2859</v>
      </c>
      <c r="O46" s="35"/>
      <c r="P46" s="35"/>
      <c r="Q46" s="35"/>
      <c r="R46" s="13">
        <f t="shared" si="142"/>
        <v>0</v>
      </c>
      <c r="S46" s="13"/>
      <c r="T46" s="13"/>
      <c r="U46" s="13"/>
      <c r="V46" s="13">
        <f t="shared" si="136"/>
        <v>0</v>
      </c>
      <c r="W46" s="13">
        <f t="shared" si="143"/>
        <v>0</v>
      </c>
      <c r="X46" s="13">
        <f t="shared" si="144"/>
        <v>0</v>
      </c>
      <c r="Y46" s="13">
        <f t="shared" si="145"/>
        <v>0</v>
      </c>
      <c r="Z46" s="13">
        <f t="shared" si="146"/>
        <v>0</v>
      </c>
      <c r="AA46" s="6">
        <f t="shared" si="147"/>
        <v>0</v>
      </c>
      <c r="AB46" s="6">
        <f t="shared" si="148"/>
        <v>2860</v>
      </c>
      <c r="AC46" s="6">
        <f t="shared" si="149"/>
        <v>0</v>
      </c>
      <c r="AD46" s="6">
        <f t="shared" si="150"/>
        <v>2860</v>
      </c>
      <c r="AE46" s="6">
        <f t="shared" si="151"/>
        <v>0</v>
      </c>
      <c r="AF46" s="6">
        <f t="shared" si="152"/>
        <v>-1</v>
      </c>
      <c r="AG46" s="6">
        <f t="shared" si="153"/>
        <v>0</v>
      </c>
      <c r="AH46" s="6">
        <f t="shared" si="154"/>
        <v>-1</v>
      </c>
      <c r="AI46" s="6">
        <f t="shared" si="155"/>
        <v>0</v>
      </c>
      <c r="AJ46" s="6">
        <f t="shared" si="156"/>
        <v>2859</v>
      </c>
      <c r="AK46" s="6">
        <f t="shared" si="157"/>
        <v>0</v>
      </c>
      <c r="AL46" s="6">
        <f t="shared" si="158"/>
        <v>2859</v>
      </c>
    </row>
    <row r="47" spans="1:38" x14ac:dyDescent="0.25">
      <c r="A47" s="34" t="s">
        <v>1021</v>
      </c>
      <c r="B47" s="34" t="s">
        <v>1022</v>
      </c>
      <c r="C47" s="35"/>
      <c r="D47" s="199"/>
      <c r="E47" s="35"/>
      <c r="F47" s="36"/>
      <c r="G47" s="36"/>
      <c r="H47" s="36">
        <v>285</v>
      </c>
      <c r="I47" s="36"/>
      <c r="J47" s="13">
        <f t="shared" si="135"/>
        <v>285</v>
      </c>
      <c r="K47" s="35">
        <f t="shared" ref="K47" si="159">SUM(G47+C47)</f>
        <v>0</v>
      </c>
      <c r="L47" s="36">
        <f t="shared" ref="L47" si="160">SUM(H47+D47)</f>
        <v>285</v>
      </c>
      <c r="M47" s="36">
        <f t="shared" ref="M47" si="161">SUM(I47+E47)</f>
        <v>0</v>
      </c>
      <c r="N47" s="36">
        <f t="shared" ref="N47" si="162">SUM(K47:M47)</f>
        <v>285</v>
      </c>
      <c r="O47" s="35"/>
      <c r="P47" s="35"/>
      <c r="Q47" s="35"/>
      <c r="R47" s="13">
        <f t="shared" si="142"/>
        <v>0</v>
      </c>
      <c r="S47" s="13"/>
      <c r="T47" s="13"/>
      <c r="U47" s="13"/>
      <c r="V47" s="13">
        <f t="shared" si="136"/>
        <v>0</v>
      </c>
      <c r="W47" s="13">
        <f t="shared" ref="W47" si="163">SUM(S47+O47)</f>
        <v>0</v>
      </c>
      <c r="X47" s="13">
        <f t="shared" ref="X47" si="164">SUM(T47+P47)</f>
        <v>0</v>
      </c>
      <c r="Y47" s="13">
        <f t="shared" ref="Y47" si="165">SUM(Q47+U47)</f>
        <v>0</v>
      </c>
      <c r="Z47" s="13">
        <f t="shared" ref="Z47" si="166">SUM(W47:Y47)</f>
        <v>0</v>
      </c>
      <c r="AA47" s="6">
        <f t="shared" ref="AA47" si="167">SUM(C47+O47)</f>
        <v>0</v>
      </c>
      <c r="AB47" s="6">
        <f t="shared" ref="AB47" si="168">SUM(D47+P47)</f>
        <v>0</v>
      </c>
      <c r="AC47" s="6">
        <f t="shared" ref="AC47" si="169">SUM(E47+Q47)</f>
        <v>0</v>
      </c>
      <c r="AD47" s="6">
        <f t="shared" ref="AD47" si="170">SUM(F47+R47)</f>
        <v>0</v>
      </c>
      <c r="AE47" s="6">
        <f t="shared" ref="AE47" si="171">SUM(G47+S47)</f>
        <v>0</v>
      </c>
      <c r="AF47" s="6">
        <f t="shared" ref="AF47" si="172">SUM(H47+T47)</f>
        <v>285</v>
      </c>
      <c r="AG47" s="6">
        <f t="shared" ref="AG47" si="173">SUM(I47+U47)</f>
        <v>0</v>
      </c>
      <c r="AH47" s="6">
        <f t="shared" ref="AH47" si="174">SUM(J47+V47)</f>
        <v>285</v>
      </c>
      <c r="AI47" s="6">
        <f t="shared" ref="AI47" si="175">SUM(K47+W47)</f>
        <v>0</v>
      </c>
      <c r="AJ47" s="6">
        <f t="shared" ref="AJ47" si="176">SUM(L47+X47)</f>
        <v>285</v>
      </c>
      <c r="AK47" s="6">
        <f t="shared" ref="AK47" si="177">SUM(M47+Y47)</f>
        <v>0</v>
      </c>
      <c r="AL47" s="6">
        <f t="shared" ref="AL47" si="178">SUM(N47+Z47)</f>
        <v>285</v>
      </c>
    </row>
    <row r="48" spans="1:38" s="10" customFormat="1" ht="31.5" x14ac:dyDescent="0.25">
      <c r="A48" s="200" t="s">
        <v>1029</v>
      </c>
      <c r="B48" s="200" t="s">
        <v>177</v>
      </c>
      <c r="C48" s="7">
        <f>SUM(C44:C47)</f>
        <v>190500</v>
      </c>
      <c r="D48" s="7">
        <f t="shared" ref="D48:AL48" si="179">SUM(D44:D47)</f>
        <v>92360</v>
      </c>
      <c r="E48" s="7">
        <f t="shared" si="179"/>
        <v>0</v>
      </c>
      <c r="F48" s="7">
        <f t="shared" si="179"/>
        <v>282860</v>
      </c>
      <c r="G48" s="7">
        <f t="shared" si="179"/>
        <v>37881</v>
      </c>
      <c r="H48" s="7">
        <f t="shared" si="179"/>
        <v>284</v>
      </c>
      <c r="I48" s="7">
        <f t="shared" si="179"/>
        <v>0</v>
      </c>
      <c r="J48" s="7">
        <f t="shared" si="179"/>
        <v>38165</v>
      </c>
      <c r="K48" s="7">
        <f t="shared" si="179"/>
        <v>228381</v>
      </c>
      <c r="L48" s="7">
        <f t="shared" si="179"/>
        <v>92644</v>
      </c>
      <c r="M48" s="7">
        <f t="shared" si="179"/>
        <v>0</v>
      </c>
      <c r="N48" s="7">
        <f t="shared" si="179"/>
        <v>321025</v>
      </c>
      <c r="O48" s="7">
        <f t="shared" si="179"/>
        <v>0</v>
      </c>
      <c r="P48" s="7">
        <f t="shared" si="179"/>
        <v>0</v>
      </c>
      <c r="Q48" s="7">
        <f t="shared" si="179"/>
        <v>0</v>
      </c>
      <c r="R48" s="7">
        <f t="shared" si="179"/>
        <v>0</v>
      </c>
      <c r="S48" s="7">
        <f t="shared" si="179"/>
        <v>300</v>
      </c>
      <c r="T48" s="7">
        <f t="shared" si="179"/>
        <v>486</v>
      </c>
      <c r="U48" s="7">
        <f t="shared" si="179"/>
        <v>0</v>
      </c>
      <c r="V48" s="7">
        <f t="shared" si="179"/>
        <v>786</v>
      </c>
      <c r="W48" s="7">
        <f t="shared" si="179"/>
        <v>300</v>
      </c>
      <c r="X48" s="7">
        <f t="shared" si="179"/>
        <v>486</v>
      </c>
      <c r="Y48" s="7">
        <f t="shared" si="179"/>
        <v>0</v>
      </c>
      <c r="Z48" s="7">
        <f t="shared" si="179"/>
        <v>786</v>
      </c>
      <c r="AA48" s="7">
        <f t="shared" si="179"/>
        <v>190500</v>
      </c>
      <c r="AB48" s="7">
        <f t="shared" si="179"/>
        <v>92360</v>
      </c>
      <c r="AC48" s="7">
        <f t="shared" si="179"/>
        <v>0</v>
      </c>
      <c r="AD48" s="7">
        <f t="shared" si="179"/>
        <v>282860</v>
      </c>
      <c r="AE48" s="7">
        <f t="shared" si="179"/>
        <v>38181</v>
      </c>
      <c r="AF48" s="7">
        <f t="shared" si="179"/>
        <v>770</v>
      </c>
      <c r="AG48" s="7">
        <f t="shared" si="179"/>
        <v>0</v>
      </c>
      <c r="AH48" s="7">
        <f t="shared" si="179"/>
        <v>38951</v>
      </c>
      <c r="AI48" s="7">
        <f t="shared" si="179"/>
        <v>228681</v>
      </c>
      <c r="AJ48" s="7">
        <f t="shared" si="179"/>
        <v>93130</v>
      </c>
      <c r="AK48" s="7">
        <f t="shared" si="179"/>
        <v>0</v>
      </c>
      <c r="AL48" s="7">
        <f t="shared" si="179"/>
        <v>321811</v>
      </c>
    </row>
    <row r="49" spans="1:38" s="10" customFormat="1" x14ac:dyDescent="0.25">
      <c r="A49" s="29" t="s">
        <v>588</v>
      </c>
      <c r="B49" s="29" t="s">
        <v>178</v>
      </c>
      <c r="C49" s="31">
        <v>29517</v>
      </c>
      <c r="D49" s="30">
        <v>391845</v>
      </c>
      <c r="E49" s="31"/>
      <c r="F49" s="32">
        <f>SUM(C49:E49)</f>
        <v>421362</v>
      </c>
      <c r="G49" s="32">
        <v>30</v>
      </c>
      <c r="H49" s="32">
        <f>320+158+125+71+794+300+30+404+4+224+30+70-30000-350000</f>
        <v>-377470</v>
      </c>
      <c r="I49" s="32"/>
      <c r="J49" s="32">
        <f>SUM(G49:I49)</f>
        <v>-377440</v>
      </c>
      <c r="K49" s="31">
        <f t="shared" ref="K49:K50" si="180">SUM(G49+C49)</f>
        <v>29547</v>
      </c>
      <c r="L49" s="32">
        <f t="shared" ref="L49:L50" si="181">SUM(H49+D49)</f>
        <v>14375</v>
      </c>
      <c r="M49" s="32">
        <f t="shared" ref="M49:M50" si="182">SUM(I49+E49)</f>
        <v>0</v>
      </c>
      <c r="N49" s="32">
        <f t="shared" ref="N49:N50" si="183">SUM(K49:M49)</f>
        <v>43922</v>
      </c>
      <c r="O49" s="31">
        <v>6545</v>
      </c>
      <c r="P49" s="31">
        <v>137218</v>
      </c>
      <c r="Q49" s="31">
        <v>0</v>
      </c>
      <c r="R49" s="31">
        <f>SUM(O49:Q49)</f>
        <v>143763</v>
      </c>
      <c r="S49" s="31">
        <v>-365</v>
      </c>
      <c r="T49" s="31">
        <v>251</v>
      </c>
      <c r="U49" s="31">
        <v>0</v>
      </c>
      <c r="V49" s="31">
        <f>SUM(S49:U49)</f>
        <v>-114</v>
      </c>
      <c r="W49" s="31">
        <f t="shared" ref="W49:W50" si="184">SUM(S49+O49)</f>
        <v>6180</v>
      </c>
      <c r="X49" s="31">
        <f t="shared" ref="X49:X50" si="185">SUM(T49+P49)</f>
        <v>137469</v>
      </c>
      <c r="Y49" s="31">
        <f t="shared" ref="Y49:Y50" si="186">SUM(Q49+U49)</f>
        <v>0</v>
      </c>
      <c r="Z49" s="31">
        <f t="shared" ref="Z49:Z50" si="187">SUM(W49:Y49)</f>
        <v>143649</v>
      </c>
      <c r="AA49" s="7">
        <f t="shared" ref="AA49:AD50" si="188">SUM(C49+O49)</f>
        <v>36062</v>
      </c>
      <c r="AB49" s="7">
        <f t="shared" si="188"/>
        <v>529063</v>
      </c>
      <c r="AC49" s="7">
        <f t="shared" si="188"/>
        <v>0</v>
      </c>
      <c r="AD49" s="7">
        <f t="shared" si="188"/>
        <v>565125</v>
      </c>
      <c r="AE49" s="7">
        <f t="shared" ref="AE49:AL50" si="189">SUM(G49+S49)</f>
        <v>-335</v>
      </c>
      <c r="AF49" s="7">
        <f t="shared" si="189"/>
        <v>-377219</v>
      </c>
      <c r="AG49" s="7">
        <f t="shared" si="189"/>
        <v>0</v>
      </c>
      <c r="AH49" s="7">
        <f t="shared" si="189"/>
        <v>-377554</v>
      </c>
      <c r="AI49" s="7">
        <f t="shared" si="189"/>
        <v>35727</v>
      </c>
      <c r="AJ49" s="7">
        <f t="shared" si="189"/>
        <v>151844</v>
      </c>
      <c r="AK49" s="7">
        <f t="shared" si="189"/>
        <v>0</v>
      </c>
      <c r="AL49" s="7">
        <f t="shared" si="189"/>
        <v>187571</v>
      </c>
    </row>
    <row r="50" spans="1:38" s="10" customFormat="1" ht="16.5" thickBot="1" x14ac:dyDescent="0.3">
      <c r="A50" s="42" t="s">
        <v>589</v>
      </c>
      <c r="B50" s="42" t="s">
        <v>179</v>
      </c>
      <c r="C50" s="225">
        <v>91900</v>
      </c>
      <c r="D50" s="226">
        <v>28475</v>
      </c>
      <c r="E50" s="225"/>
      <c r="F50" s="227">
        <f>SUM(C50:E50)</f>
        <v>120375</v>
      </c>
      <c r="G50" s="227">
        <f>1968-23919+67+1986</f>
        <v>-19898</v>
      </c>
      <c r="H50" s="227">
        <f>300+1879+253-500+1</f>
        <v>1933</v>
      </c>
      <c r="I50" s="227"/>
      <c r="J50" s="227">
        <f>SUM(G50:I50)</f>
        <v>-17965</v>
      </c>
      <c r="K50" s="225">
        <f t="shared" si="180"/>
        <v>72002</v>
      </c>
      <c r="L50" s="227">
        <f t="shared" si="181"/>
        <v>30408</v>
      </c>
      <c r="M50" s="227">
        <f t="shared" si="182"/>
        <v>0</v>
      </c>
      <c r="N50" s="227">
        <f t="shared" si="183"/>
        <v>102410</v>
      </c>
      <c r="O50" s="225">
        <v>486</v>
      </c>
      <c r="P50" s="225"/>
      <c r="Q50" s="225"/>
      <c r="R50" s="31">
        <f>SUM(O50:Q50)</f>
        <v>486</v>
      </c>
      <c r="S50" s="387">
        <v>630</v>
      </c>
      <c r="T50" s="387">
        <v>-486</v>
      </c>
      <c r="U50" s="387">
        <v>0</v>
      </c>
      <c r="V50" s="387">
        <f>SUM(S50:U50)</f>
        <v>144</v>
      </c>
      <c r="W50" s="387">
        <f t="shared" si="184"/>
        <v>1116</v>
      </c>
      <c r="X50" s="387">
        <f t="shared" si="185"/>
        <v>-486</v>
      </c>
      <c r="Y50" s="387">
        <f t="shared" si="186"/>
        <v>0</v>
      </c>
      <c r="Z50" s="387">
        <f t="shared" si="187"/>
        <v>630</v>
      </c>
      <c r="AA50" s="41">
        <f t="shared" si="188"/>
        <v>92386</v>
      </c>
      <c r="AB50" s="41">
        <f t="shared" si="188"/>
        <v>28475</v>
      </c>
      <c r="AC50" s="41">
        <f t="shared" si="188"/>
        <v>0</v>
      </c>
      <c r="AD50" s="41">
        <f t="shared" si="188"/>
        <v>120861</v>
      </c>
      <c r="AE50" s="41">
        <f t="shared" si="189"/>
        <v>-19268</v>
      </c>
      <c r="AF50" s="41">
        <f t="shared" si="189"/>
        <v>1447</v>
      </c>
      <c r="AG50" s="41">
        <f t="shared" si="189"/>
        <v>0</v>
      </c>
      <c r="AH50" s="41">
        <f t="shared" si="189"/>
        <v>-17821</v>
      </c>
      <c r="AI50" s="41">
        <f t="shared" si="189"/>
        <v>73118</v>
      </c>
      <c r="AJ50" s="41">
        <f t="shared" si="189"/>
        <v>29922</v>
      </c>
      <c r="AK50" s="41">
        <f t="shared" si="189"/>
        <v>0</v>
      </c>
      <c r="AL50" s="41">
        <f t="shared" si="189"/>
        <v>103040</v>
      </c>
    </row>
    <row r="51" spans="1:38" s="10" customFormat="1" ht="33" thickTop="1" thickBot="1" x14ac:dyDescent="0.3">
      <c r="A51" s="43" t="s">
        <v>590</v>
      </c>
      <c r="B51" s="43"/>
      <c r="C51" s="46">
        <f t="shared" ref="C51:AL51" si="190">SUM(C49+C40+C39+C19)</f>
        <v>23998854</v>
      </c>
      <c r="D51" s="46">
        <f t="shared" si="190"/>
        <v>4948961</v>
      </c>
      <c r="E51" s="46">
        <f t="shared" si="190"/>
        <v>0</v>
      </c>
      <c r="F51" s="46">
        <f t="shared" si="190"/>
        <v>28947815</v>
      </c>
      <c r="G51" s="46">
        <f t="shared" si="190"/>
        <v>2618760</v>
      </c>
      <c r="H51" s="46">
        <f t="shared" si="190"/>
        <v>-1119095</v>
      </c>
      <c r="I51" s="46">
        <f t="shared" si="190"/>
        <v>0</v>
      </c>
      <c r="J51" s="46">
        <f t="shared" si="190"/>
        <v>1499665</v>
      </c>
      <c r="K51" s="46">
        <f t="shared" si="190"/>
        <v>26617614</v>
      </c>
      <c r="L51" s="46">
        <f t="shared" si="190"/>
        <v>3829866</v>
      </c>
      <c r="M51" s="46">
        <f t="shared" si="190"/>
        <v>0</v>
      </c>
      <c r="N51" s="46">
        <f t="shared" si="190"/>
        <v>30447480</v>
      </c>
      <c r="O51" s="46">
        <f t="shared" si="190"/>
        <v>2078573</v>
      </c>
      <c r="P51" s="46">
        <f t="shared" si="190"/>
        <v>915100</v>
      </c>
      <c r="Q51" s="46">
        <f t="shared" si="190"/>
        <v>85895</v>
      </c>
      <c r="R51" s="46">
        <f t="shared" si="190"/>
        <v>3079568</v>
      </c>
      <c r="S51" s="46">
        <f t="shared" si="190"/>
        <v>306835</v>
      </c>
      <c r="T51" s="46">
        <f t="shared" si="190"/>
        <v>152860</v>
      </c>
      <c r="U51" s="46">
        <f t="shared" si="190"/>
        <v>1450</v>
      </c>
      <c r="V51" s="46">
        <f t="shared" si="190"/>
        <v>461145</v>
      </c>
      <c r="W51" s="46">
        <f t="shared" si="190"/>
        <v>2385408</v>
      </c>
      <c r="X51" s="46">
        <f t="shared" si="190"/>
        <v>1067960</v>
      </c>
      <c r="Y51" s="46">
        <f t="shared" si="190"/>
        <v>87345</v>
      </c>
      <c r="Z51" s="46">
        <f t="shared" si="190"/>
        <v>3540713</v>
      </c>
      <c r="AA51" s="46">
        <f t="shared" si="190"/>
        <v>26077427</v>
      </c>
      <c r="AB51" s="46">
        <f t="shared" si="190"/>
        <v>5864061</v>
      </c>
      <c r="AC51" s="46">
        <f t="shared" si="190"/>
        <v>85895</v>
      </c>
      <c r="AD51" s="46">
        <f t="shared" si="190"/>
        <v>32027383</v>
      </c>
      <c r="AE51" s="46">
        <f t="shared" si="190"/>
        <v>2925595</v>
      </c>
      <c r="AF51" s="46">
        <f t="shared" si="190"/>
        <v>-966235</v>
      </c>
      <c r="AG51" s="46">
        <f t="shared" si="190"/>
        <v>1450</v>
      </c>
      <c r="AH51" s="46">
        <f t="shared" si="190"/>
        <v>1960810</v>
      </c>
      <c r="AI51" s="46">
        <f t="shared" si="190"/>
        <v>29003022</v>
      </c>
      <c r="AJ51" s="46">
        <f t="shared" si="190"/>
        <v>4897826</v>
      </c>
      <c r="AK51" s="46">
        <f t="shared" si="190"/>
        <v>87345</v>
      </c>
      <c r="AL51" s="46">
        <f t="shared" si="190"/>
        <v>33988193</v>
      </c>
    </row>
    <row r="52" spans="1:38" s="10" customFormat="1" ht="33" thickTop="1" thickBot="1" x14ac:dyDescent="0.3">
      <c r="A52" s="43" t="s">
        <v>591</v>
      </c>
      <c r="B52" s="43"/>
      <c r="C52" s="46">
        <f t="shared" ref="C52:AL52" si="191">SUM(C22+C48+C50)</f>
        <v>4197466</v>
      </c>
      <c r="D52" s="46">
        <f t="shared" si="191"/>
        <v>11609799</v>
      </c>
      <c r="E52" s="46">
        <f t="shared" si="191"/>
        <v>0</v>
      </c>
      <c r="F52" s="46">
        <f t="shared" si="191"/>
        <v>15807265</v>
      </c>
      <c r="G52" s="46">
        <f t="shared" si="191"/>
        <v>-1778888</v>
      </c>
      <c r="H52" s="46">
        <f t="shared" si="191"/>
        <v>-4794465</v>
      </c>
      <c r="I52" s="46">
        <f t="shared" si="191"/>
        <v>0</v>
      </c>
      <c r="J52" s="46">
        <f t="shared" si="191"/>
        <v>-6573353</v>
      </c>
      <c r="K52" s="46">
        <f t="shared" si="191"/>
        <v>2418578</v>
      </c>
      <c r="L52" s="46">
        <f t="shared" si="191"/>
        <v>6815334</v>
      </c>
      <c r="M52" s="46">
        <f t="shared" si="191"/>
        <v>0</v>
      </c>
      <c r="N52" s="46">
        <f t="shared" si="191"/>
        <v>9233912</v>
      </c>
      <c r="O52" s="46">
        <f t="shared" si="191"/>
        <v>9609</v>
      </c>
      <c r="P52" s="46">
        <f t="shared" si="191"/>
        <v>0</v>
      </c>
      <c r="Q52" s="46">
        <f t="shared" si="191"/>
        <v>0</v>
      </c>
      <c r="R52" s="46">
        <f t="shared" si="191"/>
        <v>9609</v>
      </c>
      <c r="S52" s="46">
        <f t="shared" si="191"/>
        <v>930</v>
      </c>
      <c r="T52" s="46">
        <f t="shared" si="191"/>
        <v>0</v>
      </c>
      <c r="U52" s="46">
        <f t="shared" si="191"/>
        <v>0</v>
      </c>
      <c r="V52" s="46">
        <f t="shared" si="191"/>
        <v>930</v>
      </c>
      <c r="W52" s="46">
        <f t="shared" si="191"/>
        <v>10539</v>
      </c>
      <c r="X52" s="46">
        <f t="shared" si="191"/>
        <v>0</v>
      </c>
      <c r="Y52" s="46">
        <f t="shared" si="191"/>
        <v>0</v>
      </c>
      <c r="Z52" s="46">
        <f t="shared" si="191"/>
        <v>10539</v>
      </c>
      <c r="AA52" s="46">
        <f t="shared" si="191"/>
        <v>4207075</v>
      </c>
      <c r="AB52" s="46">
        <f t="shared" si="191"/>
        <v>11609799</v>
      </c>
      <c r="AC52" s="46">
        <f t="shared" si="191"/>
        <v>0</v>
      </c>
      <c r="AD52" s="46">
        <f t="shared" si="191"/>
        <v>15816874</v>
      </c>
      <c r="AE52" s="46">
        <f t="shared" si="191"/>
        <v>-1777958</v>
      </c>
      <c r="AF52" s="46">
        <f t="shared" si="191"/>
        <v>-4794465</v>
      </c>
      <c r="AG52" s="46">
        <f t="shared" si="191"/>
        <v>0</v>
      </c>
      <c r="AH52" s="46">
        <f t="shared" si="191"/>
        <v>-6572423</v>
      </c>
      <c r="AI52" s="46">
        <f t="shared" si="191"/>
        <v>2429117</v>
      </c>
      <c r="AJ52" s="46">
        <f t="shared" si="191"/>
        <v>6815334</v>
      </c>
      <c r="AK52" s="46">
        <f t="shared" si="191"/>
        <v>0</v>
      </c>
      <c r="AL52" s="46">
        <f t="shared" si="191"/>
        <v>9244451</v>
      </c>
    </row>
    <row r="53" spans="1:38" ht="33" thickTop="1" thickBot="1" x14ac:dyDescent="0.3">
      <c r="A53" s="43" t="s">
        <v>592</v>
      </c>
      <c r="B53" s="43" t="s">
        <v>287</v>
      </c>
      <c r="C53" s="33">
        <f>SUM(C51+C52)</f>
        <v>28196320</v>
      </c>
      <c r="D53" s="33">
        <f t="shared" ref="D53:AD53" si="192">SUM(D51+D52)</f>
        <v>16558760</v>
      </c>
      <c r="E53" s="33">
        <f t="shared" si="192"/>
        <v>0</v>
      </c>
      <c r="F53" s="33">
        <f t="shared" si="192"/>
        <v>44755080</v>
      </c>
      <c r="G53" s="33">
        <f t="shared" ref="G53:N53" si="193">SUM(G51+G52)</f>
        <v>839872</v>
      </c>
      <c r="H53" s="33">
        <f t="shared" si="193"/>
        <v>-5913560</v>
      </c>
      <c r="I53" s="33">
        <f t="shared" si="193"/>
        <v>0</v>
      </c>
      <c r="J53" s="33">
        <f t="shared" si="193"/>
        <v>-5073688</v>
      </c>
      <c r="K53" s="33">
        <f t="shared" si="193"/>
        <v>29036192</v>
      </c>
      <c r="L53" s="33">
        <f t="shared" si="193"/>
        <v>10645200</v>
      </c>
      <c r="M53" s="33">
        <f t="shared" si="193"/>
        <v>0</v>
      </c>
      <c r="N53" s="33">
        <f t="shared" si="193"/>
        <v>39681392</v>
      </c>
      <c r="O53" s="33">
        <f t="shared" si="192"/>
        <v>2088182</v>
      </c>
      <c r="P53" s="33">
        <f t="shared" si="192"/>
        <v>915100</v>
      </c>
      <c r="Q53" s="33">
        <f t="shared" si="192"/>
        <v>85895</v>
      </c>
      <c r="R53" s="33">
        <f t="shared" si="192"/>
        <v>3089177</v>
      </c>
      <c r="S53" s="33">
        <f t="shared" ref="S53:Z53" si="194">SUM(S51+S52)</f>
        <v>307765</v>
      </c>
      <c r="T53" s="33">
        <f t="shared" si="194"/>
        <v>152860</v>
      </c>
      <c r="U53" s="33">
        <f t="shared" si="194"/>
        <v>1450</v>
      </c>
      <c r="V53" s="33">
        <f t="shared" si="194"/>
        <v>462075</v>
      </c>
      <c r="W53" s="33">
        <f t="shared" si="194"/>
        <v>2395947</v>
      </c>
      <c r="X53" s="33">
        <f t="shared" si="194"/>
        <v>1067960</v>
      </c>
      <c r="Y53" s="33">
        <f t="shared" si="194"/>
        <v>87345</v>
      </c>
      <c r="Z53" s="33">
        <f t="shared" si="194"/>
        <v>3551252</v>
      </c>
      <c r="AA53" s="33">
        <f t="shared" si="192"/>
        <v>30284502</v>
      </c>
      <c r="AB53" s="33">
        <f t="shared" si="192"/>
        <v>17473860</v>
      </c>
      <c r="AC53" s="33">
        <f t="shared" si="192"/>
        <v>85895</v>
      </c>
      <c r="AD53" s="33">
        <f t="shared" si="192"/>
        <v>47844257</v>
      </c>
      <c r="AE53" s="33">
        <f t="shared" ref="AE53:AL53" si="195">SUM(AE51+AE52)</f>
        <v>1147637</v>
      </c>
      <c r="AF53" s="33">
        <f t="shared" si="195"/>
        <v>-5760700</v>
      </c>
      <c r="AG53" s="33">
        <f t="shared" si="195"/>
        <v>1450</v>
      </c>
      <c r="AH53" s="33">
        <f t="shared" si="195"/>
        <v>-4611613</v>
      </c>
      <c r="AI53" s="33">
        <f t="shared" si="195"/>
        <v>31432139</v>
      </c>
      <c r="AJ53" s="33">
        <f t="shared" si="195"/>
        <v>11713160</v>
      </c>
      <c r="AK53" s="33">
        <f t="shared" si="195"/>
        <v>87345</v>
      </c>
      <c r="AL53" s="33">
        <f t="shared" si="195"/>
        <v>43232644</v>
      </c>
    </row>
    <row r="54" spans="1:38" ht="17.25" thickTop="1" thickBot="1" x14ac:dyDescent="0.3">
      <c r="A54" s="43"/>
      <c r="B54" s="209"/>
      <c r="C54" s="44"/>
      <c r="D54" s="205"/>
      <c r="E54" s="44"/>
      <c r="F54" s="45"/>
      <c r="G54" s="45"/>
      <c r="H54" s="45"/>
      <c r="I54" s="45"/>
      <c r="J54" s="45"/>
      <c r="K54" s="45"/>
      <c r="L54" s="45"/>
      <c r="M54" s="45"/>
      <c r="N54" s="45"/>
      <c r="O54" s="46"/>
      <c r="P54" s="46"/>
      <c r="Q54" s="46"/>
      <c r="R54" s="46"/>
      <c r="S54" s="46"/>
      <c r="T54" s="46"/>
      <c r="U54" s="46"/>
      <c r="V54" s="46"/>
      <c r="W54" s="46"/>
      <c r="X54" s="46"/>
      <c r="Y54" s="46"/>
      <c r="Z54" s="46"/>
      <c r="AA54" s="47"/>
      <c r="AB54" s="46"/>
      <c r="AC54" s="46"/>
      <c r="AD54" s="46"/>
      <c r="AE54" s="47"/>
      <c r="AF54" s="46"/>
      <c r="AG54" s="46"/>
      <c r="AH54" s="46"/>
      <c r="AI54" s="47"/>
      <c r="AJ54" s="46"/>
      <c r="AK54" s="46"/>
      <c r="AL54" s="46"/>
    </row>
    <row r="55" spans="1:38" ht="32.25" thickTop="1" x14ac:dyDescent="0.25">
      <c r="A55" s="51" t="s">
        <v>323</v>
      </c>
      <c r="B55" s="51"/>
      <c r="C55" s="231"/>
      <c r="D55" s="232"/>
      <c r="E55" s="274"/>
      <c r="F55" s="278">
        <f>F56-F57</f>
        <v>-15723980</v>
      </c>
      <c r="G55" s="283"/>
      <c r="H55" s="232"/>
      <c r="I55" s="232"/>
      <c r="J55" s="283">
        <f>J56-J57</f>
        <v>38940</v>
      </c>
      <c r="K55" s="231"/>
      <c r="L55" s="232"/>
      <c r="M55" s="232"/>
      <c r="N55" s="278">
        <f>N56-N57</f>
        <v>-15685040</v>
      </c>
      <c r="O55" s="394"/>
      <c r="P55" s="232"/>
      <c r="Q55" s="232"/>
      <c r="R55" s="278">
        <f>R56-R57</f>
        <v>-11887068</v>
      </c>
      <c r="S55" s="394"/>
      <c r="T55" s="232"/>
      <c r="U55" s="232"/>
      <c r="V55" s="278">
        <f>V56-V57</f>
        <v>-38956</v>
      </c>
      <c r="W55" s="388"/>
      <c r="X55" s="232"/>
      <c r="Y55" s="232"/>
      <c r="Z55" s="402">
        <f>Z56-Z57</f>
        <v>-11926024</v>
      </c>
      <c r="AA55" s="231"/>
      <c r="AB55" s="232"/>
      <c r="AC55" s="232"/>
      <c r="AD55" s="278">
        <f>AD56-AD57</f>
        <v>-27611048</v>
      </c>
      <c r="AE55" s="231"/>
      <c r="AF55" s="232"/>
      <c r="AG55" s="232"/>
      <c r="AH55" s="278">
        <f t="shared" ref="AH55" si="196">AH56-AH57</f>
        <v>-16</v>
      </c>
      <c r="AI55" s="231"/>
      <c r="AJ55" s="232"/>
      <c r="AK55" s="232"/>
      <c r="AL55" s="278">
        <f t="shared" ref="AL55" si="197">AL56-AL57</f>
        <v>-27611064</v>
      </c>
    </row>
    <row r="56" spans="1:38" x14ac:dyDescent="0.25">
      <c r="A56" s="284" t="s">
        <v>227</v>
      </c>
      <c r="B56" s="284" t="s">
        <v>287</v>
      </c>
      <c r="C56" s="233"/>
      <c r="D56" s="234"/>
      <c r="E56" s="275"/>
      <c r="F56" s="279">
        <f>SUM(F53)</f>
        <v>44755080</v>
      </c>
      <c r="G56" s="285"/>
      <c r="H56" s="234"/>
      <c r="I56" s="234"/>
      <c r="J56" s="285">
        <f>SUM(J53)</f>
        <v>-5073688</v>
      </c>
      <c r="K56" s="233"/>
      <c r="L56" s="234"/>
      <c r="M56" s="234"/>
      <c r="N56" s="279">
        <f>SUM(N53)</f>
        <v>39681392</v>
      </c>
      <c r="O56" s="395"/>
      <c r="P56" s="234"/>
      <c r="Q56" s="234"/>
      <c r="R56" s="279">
        <f>SUM(R53)</f>
        <v>3089177</v>
      </c>
      <c r="S56" s="395"/>
      <c r="T56" s="234"/>
      <c r="U56" s="234"/>
      <c r="V56" s="279">
        <f>SUM(V53)</f>
        <v>462075</v>
      </c>
      <c r="W56" s="389"/>
      <c r="X56" s="234"/>
      <c r="Y56" s="234"/>
      <c r="Z56" s="403">
        <f>SUM(Z53)</f>
        <v>3551252</v>
      </c>
      <c r="AA56" s="233"/>
      <c r="AB56" s="234"/>
      <c r="AC56" s="234"/>
      <c r="AD56" s="279">
        <f>SUM(AD53)</f>
        <v>47844257</v>
      </c>
      <c r="AE56" s="233"/>
      <c r="AF56" s="234"/>
      <c r="AG56" s="234"/>
      <c r="AH56" s="279">
        <f t="shared" ref="AH56" si="198">SUM(AH53)</f>
        <v>-4611613</v>
      </c>
      <c r="AI56" s="233"/>
      <c r="AJ56" s="234"/>
      <c r="AK56" s="234"/>
      <c r="AL56" s="279">
        <f t="shared" ref="AL56" si="199">SUM(AL53)</f>
        <v>43232644</v>
      </c>
    </row>
    <row r="57" spans="1:38" x14ac:dyDescent="0.25">
      <c r="A57" s="284" t="s">
        <v>228</v>
      </c>
      <c r="B57" s="284" t="s">
        <v>283</v>
      </c>
      <c r="C57" s="54"/>
      <c r="D57" s="235"/>
      <c r="E57" s="276"/>
      <c r="F57" s="280">
        <f>'2 kiadás (kötelező, önként)'!F22</f>
        <v>60479060</v>
      </c>
      <c r="G57" s="239"/>
      <c r="H57" s="235"/>
      <c r="I57" s="235"/>
      <c r="J57" s="239">
        <f>'2 kiadás (kötelező, önként)'!J22</f>
        <v>-5112628</v>
      </c>
      <c r="K57" s="54"/>
      <c r="L57" s="235"/>
      <c r="M57" s="235"/>
      <c r="N57" s="280">
        <f>SUM(J57+F57)</f>
        <v>55366432</v>
      </c>
      <c r="O57" s="396"/>
      <c r="P57" s="235"/>
      <c r="Q57" s="235"/>
      <c r="R57" s="280">
        <f>'2 kiadás (kötelező, önként)'!R22</f>
        <v>14976245</v>
      </c>
      <c r="S57" s="396"/>
      <c r="T57" s="235"/>
      <c r="U57" s="235"/>
      <c r="V57" s="280">
        <f>'2 kiadás (kötelező, önként)'!V22</f>
        <v>501031</v>
      </c>
      <c r="W57" s="390"/>
      <c r="X57" s="235"/>
      <c r="Y57" s="235"/>
      <c r="Z57" s="286">
        <f>'2 kiadás (kötelező, önként)'!Z22</f>
        <v>15477276</v>
      </c>
      <c r="AA57" s="54"/>
      <c r="AB57" s="235"/>
      <c r="AC57" s="235"/>
      <c r="AD57" s="288">
        <f>'2 kiadás (kötelező, önként)'!AD22</f>
        <v>75455305</v>
      </c>
      <c r="AE57" s="54"/>
      <c r="AF57" s="235"/>
      <c r="AG57" s="235"/>
      <c r="AH57" s="288">
        <f>'2 kiadás (kötelező, önként)'!AH22</f>
        <v>-4611597</v>
      </c>
      <c r="AI57" s="54"/>
      <c r="AJ57" s="235"/>
      <c r="AK57" s="235"/>
      <c r="AL57" s="288">
        <f>'2 kiadás (kötelező, önként)'!AL22</f>
        <v>70843708</v>
      </c>
    </row>
    <row r="58" spans="1:38" x14ac:dyDescent="0.25">
      <c r="A58" s="284"/>
      <c r="B58" s="284"/>
      <c r="C58" s="54"/>
      <c r="D58" s="235"/>
      <c r="E58" s="276"/>
      <c r="F58" s="280"/>
      <c r="G58" s="239"/>
      <c r="H58" s="235"/>
      <c r="I58" s="235"/>
      <c r="J58" s="239"/>
      <c r="K58" s="54"/>
      <c r="L58" s="235"/>
      <c r="M58" s="235"/>
      <c r="N58" s="280"/>
      <c r="O58" s="396"/>
      <c r="P58" s="235"/>
      <c r="Q58" s="235"/>
      <c r="R58" s="280"/>
      <c r="S58" s="396"/>
      <c r="T58" s="235"/>
      <c r="U58" s="235"/>
      <c r="V58" s="280"/>
      <c r="W58" s="390"/>
      <c r="X58" s="235"/>
      <c r="Y58" s="235"/>
      <c r="Z58" s="286"/>
      <c r="AA58" s="54"/>
      <c r="AB58" s="235"/>
      <c r="AC58" s="235"/>
      <c r="AD58" s="288"/>
      <c r="AE58" s="54"/>
      <c r="AF58" s="235"/>
      <c r="AG58" s="235"/>
      <c r="AH58" s="288"/>
      <c r="AI58" s="54"/>
      <c r="AJ58" s="235"/>
      <c r="AK58" s="235"/>
      <c r="AL58" s="288"/>
    </row>
    <row r="59" spans="1:38" x14ac:dyDescent="0.25">
      <c r="A59" s="55" t="s">
        <v>505</v>
      </c>
      <c r="B59" s="55"/>
      <c r="C59" s="210"/>
      <c r="D59" s="228"/>
      <c r="E59" s="277"/>
      <c r="F59" s="281">
        <f>SUM(F66-F67)</f>
        <v>15723980</v>
      </c>
      <c r="G59" s="230"/>
      <c r="H59" s="228"/>
      <c r="I59" s="228"/>
      <c r="J59" s="230">
        <f>SUM(J66-J67)</f>
        <v>-38940</v>
      </c>
      <c r="K59" s="210"/>
      <c r="L59" s="228"/>
      <c r="M59" s="228"/>
      <c r="N59" s="281">
        <f>SUM(N66-N67)</f>
        <v>15685040</v>
      </c>
      <c r="O59" s="397"/>
      <c r="P59" s="228"/>
      <c r="Q59" s="228"/>
      <c r="R59" s="281">
        <f>SUM(R66-R67)</f>
        <v>11887068</v>
      </c>
      <c r="S59" s="397"/>
      <c r="T59" s="228"/>
      <c r="U59" s="228"/>
      <c r="V59" s="281">
        <f>SUM(V66-V67)</f>
        <v>38956</v>
      </c>
      <c r="W59" s="391"/>
      <c r="X59" s="228"/>
      <c r="Y59" s="228"/>
      <c r="Z59" s="404">
        <f>SUM(Z66-Z67)</f>
        <v>11926024</v>
      </c>
      <c r="AA59" s="210"/>
      <c r="AB59" s="228"/>
      <c r="AC59" s="228"/>
      <c r="AD59" s="281">
        <f>SUM(AD66-AD67)</f>
        <v>27611048</v>
      </c>
      <c r="AE59" s="210"/>
      <c r="AF59" s="228"/>
      <c r="AG59" s="228"/>
      <c r="AH59" s="281">
        <f>SUM(AH66-AH67)</f>
        <v>16</v>
      </c>
      <c r="AI59" s="210"/>
      <c r="AJ59" s="228"/>
      <c r="AK59" s="228"/>
      <c r="AL59" s="281">
        <f>SUM(AL66-AL67)</f>
        <v>27611064</v>
      </c>
    </row>
    <row r="60" spans="1:38" ht="31.5" x14ac:dyDescent="0.25">
      <c r="A60" s="56" t="s">
        <v>191</v>
      </c>
      <c r="B60" s="56"/>
      <c r="C60" s="236">
        <v>1700547</v>
      </c>
      <c r="D60" s="53">
        <v>302156</v>
      </c>
      <c r="E60" s="53"/>
      <c r="F60" s="287">
        <f>SUM(C60:E60)</f>
        <v>2002703</v>
      </c>
      <c r="G60" s="229"/>
      <c r="H60" s="53"/>
      <c r="I60" s="53"/>
      <c r="J60" s="229">
        <f>SUM(G60:I60)</f>
        <v>0</v>
      </c>
      <c r="K60" s="236">
        <f t="shared" ref="K60:K61" si="200">SUM(G60+C60)</f>
        <v>1700547</v>
      </c>
      <c r="L60" s="53">
        <f t="shared" ref="L60:L61" si="201">SUM(H60+D60)</f>
        <v>302156</v>
      </c>
      <c r="M60" s="53">
        <f t="shared" ref="M60:M61" si="202">SUM(I60+E60)</f>
        <v>0</v>
      </c>
      <c r="N60" s="287">
        <f t="shared" ref="N60:N61" si="203">SUM(K60:M60)</f>
        <v>2002703</v>
      </c>
      <c r="O60" s="236">
        <v>541384</v>
      </c>
      <c r="P60" s="53">
        <v>38647</v>
      </c>
      <c r="Q60" s="53"/>
      <c r="R60" s="287">
        <f>SUM(O60:Q60)</f>
        <v>580031</v>
      </c>
      <c r="S60" s="398">
        <v>15</v>
      </c>
      <c r="T60" s="53">
        <v>1</v>
      </c>
      <c r="U60" s="53">
        <v>0</v>
      </c>
      <c r="V60" s="287">
        <f>SUM(S60:U60)</f>
        <v>16</v>
      </c>
      <c r="W60" s="366">
        <f>SUM(S60+O60)</f>
        <v>541399</v>
      </c>
      <c r="X60" s="53">
        <f>SUM(T60+P60)</f>
        <v>38648</v>
      </c>
      <c r="Y60" s="53">
        <f>SUM(Q60+U60)</f>
        <v>0</v>
      </c>
      <c r="Z60" s="288">
        <f>SUM(W60:Y60)</f>
        <v>580047</v>
      </c>
      <c r="AA60" s="236">
        <f>SUM(O60+C60)</f>
        <v>2241931</v>
      </c>
      <c r="AB60" s="53">
        <f>SUM(P60+D60)</f>
        <v>340803</v>
      </c>
      <c r="AC60" s="53"/>
      <c r="AD60" s="288">
        <f>SUM(AA60:AC60)</f>
        <v>2582734</v>
      </c>
      <c r="AE60" s="236">
        <f t="shared" ref="AE60:AF61" si="204">SUM(S60+G60)</f>
        <v>15</v>
      </c>
      <c r="AF60" s="53">
        <f t="shared" si="204"/>
        <v>1</v>
      </c>
      <c r="AG60" s="53"/>
      <c r="AH60" s="288">
        <f t="shared" ref="AH60:AH61" si="205">SUM(AE60:AG60)</f>
        <v>16</v>
      </c>
      <c r="AI60" s="236">
        <f t="shared" ref="AI60:AJ61" si="206">SUM(W60+K60)</f>
        <v>2241946</v>
      </c>
      <c r="AJ60" s="53">
        <f t="shared" si="206"/>
        <v>340804</v>
      </c>
      <c r="AK60" s="53"/>
      <c r="AL60" s="288">
        <f t="shared" ref="AL60:AL61" si="207">SUM(AI60:AK60)</f>
        <v>2582750</v>
      </c>
    </row>
    <row r="61" spans="1:38" ht="31.5" x14ac:dyDescent="0.25">
      <c r="A61" s="56" t="s">
        <v>180</v>
      </c>
      <c r="B61" s="56"/>
      <c r="C61" s="236">
        <v>3927973</v>
      </c>
      <c r="D61" s="53">
        <v>6886760</v>
      </c>
      <c r="E61" s="53"/>
      <c r="F61" s="287">
        <f>SUM(C61:E61)</f>
        <v>10814733</v>
      </c>
      <c r="G61" s="229"/>
      <c r="H61" s="53"/>
      <c r="I61" s="53"/>
      <c r="J61" s="229">
        <f>SUM(G61:I61)</f>
        <v>0</v>
      </c>
      <c r="K61" s="236">
        <f t="shared" si="200"/>
        <v>3927973</v>
      </c>
      <c r="L61" s="53">
        <f t="shared" si="201"/>
        <v>6886760</v>
      </c>
      <c r="M61" s="53">
        <f t="shared" si="202"/>
        <v>0</v>
      </c>
      <c r="N61" s="287">
        <f t="shared" si="203"/>
        <v>10814733</v>
      </c>
      <c r="O61" s="236"/>
      <c r="P61" s="53"/>
      <c r="Q61" s="53"/>
      <c r="R61" s="287">
        <f>SUM(O61:Q61)</f>
        <v>0</v>
      </c>
      <c r="S61" s="398"/>
      <c r="T61" s="53"/>
      <c r="U61" s="53"/>
      <c r="V61" s="287">
        <f>SUM(S61:U61)</f>
        <v>0</v>
      </c>
      <c r="W61" s="366">
        <f>SUM(S61+O61)</f>
        <v>0</v>
      </c>
      <c r="X61" s="53">
        <f>SUM(T61+P61)</f>
        <v>0</v>
      </c>
      <c r="Y61" s="53">
        <f>SUM(Q61+U61)</f>
        <v>0</v>
      </c>
      <c r="Z61" s="288">
        <f>SUM(W61:Y61)</f>
        <v>0</v>
      </c>
      <c r="AA61" s="236">
        <f>SUM(O61+C61)</f>
        <v>3927973</v>
      </c>
      <c r="AB61" s="53">
        <f>SUM(P61+D61)</f>
        <v>6886760</v>
      </c>
      <c r="AC61" s="53"/>
      <c r="AD61" s="288">
        <f>SUM(AA61:AC61)</f>
        <v>10814733</v>
      </c>
      <c r="AE61" s="236">
        <f t="shared" si="204"/>
        <v>0</v>
      </c>
      <c r="AF61" s="53">
        <f t="shared" si="204"/>
        <v>0</v>
      </c>
      <c r="AG61" s="53"/>
      <c r="AH61" s="288">
        <f t="shared" si="205"/>
        <v>0</v>
      </c>
      <c r="AI61" s="236">
        <f t="shared" si="206"/>
        <v>3927973</v>
      </c>
      <c r="AJ61" s="53">
        <f t="shared" si="206"/>
        <v>6886760</v>
      </c>
      <c r="AK61" s="53"/>
      <c r="AL61" s="288">
        <f t="shared" si="207"/>
        <v>10814733</v>
      </c>
    </row>
    <row r="62" spans="1:38" x14ac:dyDescent="0.25">
      <c r="A62" s="52" t="s">
        <v>181</v>
      </c>
      <c r="B62" s="52" t="s">
        <v>226</v>
      </c>
      <c r="C62" s="54">
        <f t="shared" ref="C62:AD62" si="208">SUM(C60:C61)</f>
        <v>5628520</v>
      </c>
      <c r="D62" s="235">
        <f t="shared" si="208"/>
        <v>7188916</v>
      </c>
      <c r="E62" s="235">
        <f t="shared" si="208"/>
        <v>0</v>
      </c>
      <c r="F62" s="286">
        <f t="shared" si="208"/>
        <v>12817436</v>
      </c>
      <c r="G62" s="239">
        <f t="shared" si="208"/>
        <v>0</v>
      </c>
      <c r="H62" s="235">
        <f t="shared" si="208"/>
        <v>0</v>
      </c>
      <c r="I62" s="235">
        <f t="shared" si="208"/>
        <v>0</v>
      </c>
      <c r="J62" s="286">
        <f t="shared" si="208"/>
        <v>0</v>
      </c>
      <c r="K62" s="239">
        <f t="shared" si="208"/>
        <v>5628520</v>
      </c>
      <c r="L62" s="235">
        <f t="shared" si="208"/>
        <v>7188916</v>
      </c>
      <c r="M62" s="235">
        <f t="shared" si="208"/>
        <v>0</v>
      </c>
      <c r="N62" s="286">
        <f t="shared" si="208"/>
        <v>12817436</v>
      </c>
      <c r="O62" s="396">
        <f t="shared" si="208"/>
        <v>541384</v>
      </c>
      <c r="P62" s="235">
        <f t="shared" si="208"/>
        <v>38647</v>
      </c>
      <c r="Q62" s="235">
        <f t="shared" si="208"/>
        <v>0</v>
      </c>
      <c r="R62" s="280">
        <f t="shared" si="208"/>
        <v>580031</v>
      </c>
      <c r="S62" s="276">
        <f t="shared" si="208"/>
        <v>15</v>
      </c>
      <c r="T62" s="235">
        <f t="shared" si="208"/>
        <v>1</v>
      </c>
      <c r="U62" s="235">
        <f t="shared" si="208"/>
        <v>0</v>
      </c>
      <c r="V62" s="286">
        <f t="shared" si="208"/>
        <v>16</v>
      </c>
      <c r="W62" s="276">
        <f t="shared" si="208"/>
        <v>541399</v>
      </c>
      <c r="X62" s="235">
        <f t="shared" si="208"/>
        <v>38648</v>
      </c>
      <c r="Y62" s="235">
        <f t="shared" si="208"/>
        <v>0</v>
      </c>
      <c r="Z62" s="286">
        <f t="shared" si="208"/>
        <v>580047</v>
      </c>
      <c r="AA62" s="54">
        <f t="shared" si="208"/>
        <v>6169904</v>
      </c>
      <c r="AB62" s="235">
        <f t="shared" si="208"/>
        <v>7227563</v>
      </c>
      <c r="AC62" s="235">
        <f t="shared" si="208"/>
        <v>0</v>
      </c>
      <c r="AD62" s="286">
        <f t="shared" si="208"/>
        <v>13397467</v>
      </c>
      <c r="AE62" s="54">
        <f t="shared" ref="AE62:AL62" si="209">SUM(AE60:AE61)</f>
        <v>15</v>
      </c>
      <c r="AF62" s="235">
        <f t="shared" si="209"/>
        <v>1</v>
      </c>
      <c r="AG62" s="235">
        <f t="shared" si="209"/>
        <v>0</v>
      </c>
      <c r="AH62" s="286">
        <f t="shared" si="209"/>
        <v>16</v>
      </c>
      <c r="AI62" s="54">
        <f t="shared" si="209"/>
        <v>6169919</v>
      </c>
      <c r="AJ62" s="235">
        <f t="shared" si="209"/>
        <v>7227564</v>
      </c>
      <c r="AK62" s="235">
        <f t="shared" si="209"/>
        <v>0</v>
      </c>
      <c r="AL62" s="286">
        <f t="shared" si="209"/>
        <v>13397483</v>
      </c>
    </row>
    <row r="63" spans="1:38" s="10" customFormat="1" ht="32.25" customHeight="1" x14ac:dyDescent="0.25">
      <c r="A63" s="289" t="s">
        <v>1024</v>
      </c>
      <c r="B63" s="289" t="s">
        <v>1023</v>
      </c>
      <c r="C63" s="290"/>
      <c r="D63" s="291"/>
      <c r="E63" s="291"/>
      <c r="F63" s="292">
        <v>0</v>
      </c>
      <c r="G63" s="293">
        <v>328960</v>
      </c>
      <c r="H63" s="291"/>
      <c r="I63" s="291"/>
      <c r="J63" s="293">
        <f>SUM(G63:I63)</f>
        <v>328960</v>
      </c>
      <c r="K63" s="386">
        <f t="shared" ref="K63" si="210">SUM(G63+C63)</f>
        <v>328960</v>
      </c>
      <c r="L63" s="291">
        <f t="shared" ref="L63" si="211">SUM(H63+D63)</f>
        <v>0</v>
      </c>
      <c r="M63" s="291">
        <f t="shared" ref="M63" si="212">SUM(I63+E63)</f>
        <v>0</v>
      </c>
      <c r="N63" s="292">
        <f t="shared" ref="N63" si="213">SUM(K63:M63)</f>
        <v>328960</v>
      </c>
      <c r="O63" s="386"/>
      <c r="P63" s="291"/>
      <c r="Q63" s="291"/>
      <c r="R63" s="294">
        <f>SUM(O63:Q63)</f>
        <v>0</v>
      </c>
      <c r="S63" s="386"/>
      <c r="T63" s="291"/>
      <c r="U63" s="291"/>
      <c r="V63" s="292">
        <f>SUM(S63:U63)</f>
        <v>0</v>
      </c>
      <c r="W63" s="293">
        <f t="shared" ref="W63" si="214">SUM(S63+O63)</f>
        <v>0</v>
      </c>
      <c r="X63" s="291">
        <f t="shared" ref="X63" si="215">SUM(T63+P63)</f>
        <v>0</v>
      </c>
      <c r="Y63" s="291">
        <f t="shared" ref="Y63" si="216">SUM(Q63+U63)</f>
        <v>0</v>
      </c>
      <c r="Z63" s="292">
        <f>SUM(W63:Y63)</f>
        <v>0</v>
      </c>
      <c r="AA63" s="290">
        <f>SUM(O63)</f>
        <v>0</v>
      </c>
      <c r="AB63" s="291">
        <f>SUM(P63+D63)</f>
        <v>0</v>
      </c>
      <c r="AC63" s="291">
        <f>SUM(Q63+E63)</f>
        <v>0</v>
      </c>
      <c r="AD63" s="292">
        <f>SUM(AA63:AC63)</f>
        <v>0</v>
      </c>
      <c r="AE63" s="236">
        <f t="shared" ref="AE63" si="217">SUM(S63+G63)</f>
        <v>328960</v>
      </c>
      <c r="AF63" s="53">
        <f t="shared" ref="AF63" si="218">SUM(T63+H63)</f>
        <v>0</v>
      </c>
      <c r="AG63" s="53"/>
      <c r="AH63" s="288">
        <f t="shared" ref="AH63" si="219">SUM(AE63:AG63)</f>
        <v>328960</v>
      </c>
      <c r="AI63" s="236">
        <f t="shared" ref="AI63" si="220">SUM(W63+K63)</f>
        <v>328960</v>
      </c>
      <c r="AJ63" s="53">
        <f t="shared" ref="AJ63" si="221">SUM(X63+L63)</f>
        <v>0</v>
      </c>
      <c r="AK63" s="53"/>
      <c r="AL63" s="288">
        <f t="shared" ref="AL63" si="222">SUM(AI63:AK63)</f>
        <v>328960</v>
      </c>
    </row>
    <row r="64" spans="1:38" s="10" customFormat="1" x14ac:dyDescent="0.25">
      <c r="A64" s="289" t="s">
        <v>324</v>
      </c>
      <c r="B64" s="289" t="s">
        <v>325</v>
      </c>
      <c r="C64" s="290"/>
      <c r="D64" s="291"/>
      <c r="E64" s="291"/>
      <c r="F64" s="292">
        <v>0</v>
      </c>
      <c r="G64" s="293"/>
      <c r="H64" s="291"/>
      <c r="I64" s="291"/>
      <c r="J64" s="293">
        <f>SUM(G64:I64)</f>
        <v>0</v>
      </c>
      <c r="K64" s="386">
        <f t="shared" ref="K64" si="223">SUM(G64+C64)</f>
        <v>0</v>
      </c>
      <c r="L64" s="291">
        <f t="shared" ref="L64" si="224">SUM(H64+D64)</f>
        <v>0</v>
      </c>
      <c r="M64" s="291">
        <f t="shared" ref="M64" si="225">SUM(I64+E64)</f>
        <v>0</v>
      </c>
      <c r="N64" s="292">
        <f t="shared" ref="N64" si="226">SUM(K64:M64)</f>
        <v>0</v>
      </c>
      <c r="O64" s="386">
        <v>8462844</v>
      </c>
      <c r="P64" s="291">
        <v>1931017</v>
      </c>
      <c r="Q64" s="291">
        <v>913176</v>
      </c>
      <c r="R64" s="294">
        <f>SUM(O64:Q64)</f>
        <v>11307037</v>
      </c>
      <c r="S64" s="386">
        <v>40949</v>
      </c>
      <c r="T64" s="291">
        <v>-559</v>
      </c>
      <c r="U64" s="291">
        <v>-1450</v>
      </c>
      <c r="V64" s="292">
        <f>SUM(S64:U64)</f>
        <v>38940</v>
      </c>
      <c r="W64" s="293">
        <f t="shared" ref="W64" si="227">SUM(S64+O64)</f>
        <v>8503793</v>
      </c>
      <c r="X64" s="291">
        <f t="shared" ref="X64" si="228">SUM(T64+P64)</f>
        <v>1930458</v>
      </c>
      <c r="Y64" s="291">
        <f t="shared" ref="Y64" si="229">SUM(Q64+U64)</f>
        <v>911726</v>
      </c>
      <c r="Z64" s="292">
        <f>SUM(W64:Y64)</f>
        <v>11345977</v>
      </c>
      <c r="AA64" s="290">
        <f>SUM(O64)</f>
        <v>8462844</v>
      </c>
      <c r="AB64" s="291">
        <f>SUM(P64+D64)</f>
        <v>1931017</v>
      </c>
      <c r="AC64" s="291">
        <f>SUM(Q64+E64)</f>
        <v>913176</v>
      </c>
      <c r="AD64" s="292">
        <f>SUM(AA64:AC64)</f>
        <v>11307037</v>
      </c>
      <c r="AE64" s="290">
        <f t="shared" ref="AE64" si="230">SUM(S64)</f>
        <v>40949</v>
      </c>
      <c r="AF64" s="291">
        <f t="shared" ref="AF64:AG64" si="231">SUM(T64+H64)</f>
        <v>-559</v>
      </c>
      <c r="AG64" s="291">
        <f t="shared" si="231"/>
        <v>-1450</v>
      </c>
      <c r="AH64" s="292">
        <f t="shared" ref="AH64" si="232">SUM(AE64:AG64)</f>
        <v>38940</v>
      </c>
      <c r="AI64" s="290">
        <f t="shared" ref="AI64" si="233">SUM(W64)</f>
        <v>8503793</v>
      </c>
      <c r="AJ64" s="291">
        <f t="shared" ref="AJ64:AK64" si="234">SUM(X64+L64)</f>
        <v>1930458</v>
      </c>
      <c r="AK64" s="291">
        <f t="shared" si="234"/>
        <v>911726</v>
      </c>
      <c r="AL64" s="292">
        <f t="shared" ref="AL64" si="235">SUM(AI64:AK64)</f>
        <v>11345977</v>
      </c>
    </row>
    <row r="65" spans="1:38" s="10" customFormat="1" ht="31.5" x14ac:dyDescent="0.25">
      <c r="A65" s="289" t="s">
        <v>499</v>
      </c>
      <c r="B65" s="289" t="s">
        <v>496</v>
      </c>
      <c r="C65" s="290"/>
      <c r="D65" s="291">
        <v>47150000</v>
      </c>
      <c r="E65" s="291"/>
      <c r="F65" s="292">
        <f>SUM(C65:E65)</f>
        <v>47150000</v>
      </c>
      <c r="G65" s="293"/>
      <c r="H65" s="291">
        <v>-9651412</v>
      </c>
      <c r="I65" s="291"/>
      <c r="J65" s="280">
        <f>SUM(G65:I65)</f>
        <v>-9651412</v>
      </c>
      <c r="K65" s="386">
        <f t="shared" ref="K65" si="236">SUM(G65+C65)</f>
        <v>0</v>
      </c>
      <c r="L65" s="291">
        <f t="shared" ref="L65" si="237">SUM(H65+D65)</f>
        <v>37498588</v>
      </c>
      <c r="M65" s="291">
        <f t="shared" ref="M65" si="238">SUM(I65+E65)</f>
        <v>0</v>
      </c>
      <c r="N65" s="292">
        <f t="shared" ref="N65" si="239">SUM(K65:M65)</f>
        <v>37498588</v>
      </c>
      <c r="O65" s="386"/>
      <c r="P65" s="291"/>
      <c r="Q65" s="291"/>
      <c r="R65" s="294">
        <f>SUM(O65:Q65)</f>
        <v>0</v>
      </c>
      <c r="S65" s="293"/>
      <c r="T65" s="291"/>
      <c r="U65" s="291"/>
      <c r="V65" s="292">
        <f>SUM(S65:U65)</f>
        <v>0</v>
      </c>
      <c r="W65" s="293">
        <f t="shared" ref="W65" si="240">SUM(S65+O65)</f>
        <v>0</v>
      </c>
      <c r="X65" s="291">
        <f t="shared" ref="X65" si="241">SUM(T65+P65)</f>
        <v>0</v>
      </c>
      <c r="Y65" s="291">
        <f t="shared" ref="Y65" si="242">SUM(Q65+U65)</f>
        <v>0</v>
      </c>
      <c r="Z65" s="292">
        <f>SUM(W65:Y65)</f>
        <v>0</v>
      </c>
      <c r="AA65" s="290">
        <f>SUM(O65+C65)</f>
        <v>0</v>
      </c>
      <c r="AB65" s="291">
        <f>SUM(P65+D65)</f>
        <v>47150000</v>
      </c>
      <c r="AC65" s="291"/>
      <c r="AD65" s="292">
        <f>SUM(AA65:AC65)</f>
        <v>47150000</v>
      </c>
      <c r="AE65" s="290">
        <f t="shared" ref="AE65" si="243">SUM(S65+G65)</f>
        <v>0</v>
      </c>
      <c r="AF65" s="291">
        <f t="shared" ref="AF65" si="244">SUM(T65+H65)</f>
        <v>-9651412</v>
      </c>
      <c r="AG65" s="291"/>
      <c r="AH65" s="292">
        <f t="shared" ref="AH65" si="245">SUM(AE65:AG65)</f>
        <v>-9651412</v>
      </c>
      <c r="AI65" s="290">
        <f t="shared" ref="AI65" si="246">SUM(W65+K65)</f>
        <v>0</v>
      </c>
      <c r="AJ65" s="291">
        <f t="shared" ref="AJ65" si="247">SUM(X65+L65)</f>
        <v>37498588</v>
      </c>
      <c r="AK65" s="291"/>
      <c r="AL65" s="292">
        <f t="shared" ref="AL65" si="248">SUM(AI65:AK65)</f>
        <v>37498588</v>
      </c>
    </row>
    <row r="66" spans="1:38" s="20" customFormat="1" ht="31.5" x14ac:dyDescent="0.25">
      <c r="A66" s="295" t="s">
        <v>1025</v>
      </c>
      <c r="B66" s="295" t="s">
        <v>182</v>
      </c>
      <c r="C66" s="296">
        <f>SUM(C62:C65)</f>
        <v>5628520</v>
      </c>
      <c r="D66" s="297">
        <f t="shared" ref="D66:N66" si="249">SUM(D62:D65)</f>
        <v>54338916</v>
      </c>
      <c r="E66" s="297">
        <f t="shared" si="249"/>
        <v>0</v>
      </c>
      <c r="F66" s="298">
        <f t="shared" si="249"/>
        <v>59967436</v>
      </c>
      <c r="G66" s="299">
        <f t="shared" si="249"/>
        <v>328960</v>
      </c>
      <c r="H66" s="314">
        <f t="shared" si="249"/>
        <v>-9651412</v>
      </c>
      <c r="I66" s="314">
        <f t="shared" si="249"/>
        <v>0</v>
      </c>
      <c r="J66" s="298">
        <f t="shared" si="249"/>
        <v>-9322452</v>
      </c>
      <c r="K66" s="299">
        <f t="shared" si="249"/>
        <v>5957480</v>
      </c>
      <c r="L66" s="314">
        <f t="shared" si="249"/>
        <v>44687504</v>
      </c>
      <c r="M66" s="314">
        <f t="shared" si="249"/>
        <v>0</v>
      </c>
      <c r="N66" s="298">
        <f t="shared" si="249"/>
        <v>50644984</v>
      </c>
      <c r="O66" s="399">
        <f t="shared" ref="O66:Z66" si="250">SUM(O62:O64)</f>
        <v>9004228</v>
      </c>
      <c r="P66" s="297">
        <f t="shared" si="250"/>
        <v>1969664</v>
      </c>
      <c r="Q66" s="297">
        <f t="shared" si="250"/>
        <v>913176</v>
      </c>
      <c r="R66" s="300">
        <f t="shared" si="250"/>
        <v>11887068</v>
      </c>
      <c r="S66" s="401">
        <f t="shared" si="250"/>
        <v>40964</v>
      </c>
      <c r="T66" s="314">
        <f t="shared" si="250"/>
        <v>-558</v>
      </c>
      <c r="U66" s="314">
        <f t="shared" si="250"/>
        <v>-1450</v>
      </c>
      <c r="V66" s="298">
        <f t="shared" si="250"/>
        <v>38956</v>
      </c>
      <c r="W66" s="401">
        <f t="shared" si="250"/>
        <v>9045192</v>
      </c>
      <c r="X66" s="314">
        <f t="shared" si="250"/>
        <v>1969106</v>
      </c>
      <c r="Y66" s="314">
        <f t="shared" si="250"/>
        <v>911726</v>
      </c>
      <c r="Z66" s="298">
        <f t="shared" si="250"/>
        <v>11926024</v>
      </c>
      <c r="AA66" s="296">
        <f t="shared" ref="AA66:AL66" si="251">SUM(AA62:AA65)</f>
        <v>14632748</v>
      </c>
      <c r="AB66" s="297">
        <f t="shared" si="251"/>
        <v>56308580</v>
      </c>
      <c r="AC66" s="297">
        <f t="shared" si="251"/>
        <v>913176</v>
      </c>
      <c r="AD66" s="298">
        <f t="shared" si="251"/>
        <v>71854504</v>
      </c>
      <c r="AE66" s="399">
        <f t="shared" si="251"/>
        <v>369924</v>
      </c>
      <c r="AF66" s="314">
        <f t="shared" si="251"/>
        <v>-9651970</v>
      </c>
      <c r="AG66" s="314">
        <f t="shared" si="251"/>
        <v>-1450</v>
      </c>
      <c r="AH66" s="392">
        <f t="shared" si="251"/>
        <v>-9283496</v>
      </c>
      <c r="AI66" s="399">
        <f t="shared" si="251"/>
        <v>15002672</v>
      </c>
      <c r="AJ66" s="314">
        <f t="shared" si="251"/>
        <v>46656610</v>
      </c>
      <c r="AK66" s="314">
        <f t="shared" si="251"/>
        <v>911726</v>
      </c>
      <c r="AL66" s="320">
        <f t="shared" si="251"/>
        <v>62571008</v>
      </c>
    </row>
    <row r="67" spans="1:38" s="20" customFormat="1" x14ac:dyDescent="0.25">
      <c r="A67" s="295" t="s">
        <v>326</v>
      </c>
      <c r="B67" s="295" t="s">
        <v>221</v>
      </c>
      <c r="C67" s="399">
        <f>'2 kiadás (kötelező, önként)'!C26</f>
        <v>8593771</v>
      </c>
      <c r="D67" s="314">
        <f>'2 kiadás (kötelező, önként)'!D26</f>
        <v>34736509</v>
      </c>
      <c r="E67" s="392">
        <f>'2 kiadás (kötelező, önként)'!E26</f>
        <v>913176</v>
      </c>
      <c r="F67" s="298">
        <f>SUM(C67:E67)</f>
        <v>44243456</v>
      </c>
      <c r="G67" s="299">
        <f>'2 kiadás (kötelező, önként)'!G26</f>
        <v>369909</v>
      </c>
      <c r="H67" s="314">
        <f>'2 kiadás (kötelező, önként)'!H26</f>
        <v>-9651971</v>
      </c>
      <c r="I67" s="314">
        <f>'2 kiadás (kötelező, önként)'!I26</f>
        <v>-1450</v>
      </c>
      <c r="J67" s="299">
        <f>SUM(G67:I67)</f>
        <v>-9283512</v>
      </c>
      <c r="K67" s="296">
        <f t="shared" ref="K67" si="252">SUM(G67+C67)</f>
        <v>8963680</v>
      </c>
      <c r="L67" s="297">
        <f t="shared" ref="L67" si="253">SUM(H67+D67)</f>
        <v>25084538</v>
      </c>
      <c r="M67" s="297">
        <f t="shared" ref="M67" si="254">SUM(I67+E67)</f>
        <v>911726</v>
      </c>
      <c r="N67" s="300">
        <f t="shared" ref="N67" si="255">SUM(K67:M67)</f>
        <v>34959944</v>
      </c>
      <c r="O67" s="399"/>
      <c r="P67" s="297"/>
      <c r="Q67" s="297"/>
      <c r="R67" s="300">
        <f>SUM(O67:Q67)</f>
        <v>0</v>
      </c>
      <c r="S67" s="399"/>
      <c r="T67" s="297"/>
      <c r="U67" s="297"/>
      <c r="V67" s="300">
        <f>SUM(S67:U67)</f>
        <v>0</v>
      </c>
      <c r="W67" s="392">
        <f>SUM(S67+O67)</f>
        <v>0</v>
      </c>
      <c r="X67" s="297">
        <f>SUM(T67+P67)</f>
        <v>0</v>
      </c>
      <c r="Y67" s="297">
        <f>SUM(Q67+U67)</f>
        <v>0</v>
      </c>
      <c r="Z67" s="298">
        <f>SUM(W67:Y67)</f>
        <v>0</v>
      </c>
      <c r="AA67" s="296">
        <f>SUM(O67+C67)</f>
        <v>8593771</v>
      </c>
      <c r="AB67" s="297">
        <f>SUM(P67+D67)</f>
        <v>34736509</v>
      </c>
      <c r="AC67" s="297">
        <f>SUM(Q67+E67)</f>
        <v>913176</v>
      </c>
      <c r="AD67" s="298">
        <f>SUM(AA67:AC67)</f>
        <v>44243456</v>
      </c>
      <c r="AE67" s="296">
        <f t="shared" ref="AE67:AG67" si="256">SUM(S67+G67)</f>
        <v>369909</v>
      </c>
      <c r="AF67" s="297">
        <f t="shared" si="256"/>
        <v>-9651971</v>
      </c>
      <c r="AG67" s="297">
        <f t="shared" si="256"/>
        <v>-1450</v>
      </c>
      <c r="AH67" s="298">
        <f t="shared" ref="AH67" si="257">SUM(AE67:AG67)</f>
        <v>-9283512</v>
      </c>
      <c r="AI67" s="296">
        <f t="shared" ref="AI67:AK67" si="258">SUM(W67+K67)</f>
        <v>8963680</v>
      </c>
      <c r="AJ67" s="297">
        <f t="shared" si="258"/>
        <v>25084538</v>
      </c>
      <c r="AK67" s="297">
        <f t="shared" si="258"/>
        <v>911726</v>
      </c>
      <c r="AL67" s="298">
        <f t="shared" ref="AL67" si="259">SUM(AI67:AK67)</f>
        <v>34959944</v>
      </c>
    </row>
    <row r="68" spans="1:38" s="57" customFormat="1" ht="16.5" thickBot="1" x14ac:dyDescent="0.3">
      <c r="A68" s="58" t="s">
        <v>506</v>
      </c>
      <c r="B68" s="58"/>
      <c r="C68" s="237"/>
      <c r="D68" s="238"/>
      <c r="E68" s="238"/>
      <c r="F68" s="301">
        <f>SUM(F55+F59)</f>
        <v>0</v>
      </c>
      <c r="G68" s="302"/>
      <c r="H68" s="238"/>
      <c r="I68" s="238"/>
      <c r="J68" s="302">
        <f>SUM(J55+J59)</f>
        <v>0</v>
      </c>
      <c r="K68" s="237"/>
      <c r="L68" s="238"/>
      <c r="M68" s="238"/>
      <c r="N68" s="282">
        <f>SUM(N55+N59)</f>
        <v>0</v>
      </c>
      <c r="O68" s="400"/>
      <c r="P68" s="238"/>
      <c r="Q68" s="238"/>
      <c r="R68" s="282">
        <f>SUM(R55+R59)</f>
        <v>0</v>
      </c>
      <c r="S68" s="400"/>
      <c r="T68" s="238"/>
      <c r="U68" s="238"/>
      <c r="V68" s="282">
        <f>SUM(V55+V59)</f>
        <v>0</v>
      </c>
      <c r="W68" s="393"/>
      <c r="X68" s="238"/>
      <c r="Y68" s="238"/>
      <c r="Z68" s="301">
        <f>SUM(Z55+Z59)</f>
        <v>0</v>
      </c>
      <c r="AA68" s="237"/>
      <c r="AB68" s="238"/>
      <c r="AC68" s="238"/>
      <c r="AD68" s="301">
        <f>SUM(AD55+AD59)</f>
        <v>0</v>
      </c>
      <c r="AE68" s="237"/>
      <c r="AF68" s="238"/>
      <c r="AG68" s="238"/>
      <c r="AH68" s="301">
        <f>SUM(AH55+AH59)</f>
        <v>0</v>
      </c>
      <c r="AI68" s="237"/>
      <c r="AJ68" s="238"/>
      <c r="AK68" s="238"/>
      <c r="AL68" s="301">
        <f>SUM(AL55+AL59)</f>
        <v>0</v>
      </c>
    </row>
    <row r="69" spans="1:38" s="57" customFormat="1" ht="29.25" customHeight="1" thickTop="1" x14ac:dyDescent="0.25">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E69" s="59"/>
      <c r="AI69" s="59"/>
    </row>
    <row r="70" spans="1:38" s="57" customFormat="1" x14ac:dyDescent="0.25">
      <c r="A70" s="59"/>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row>
    <row r="71" spans="1:38" s="57" customFormat="1" x14ac:dyDescent="0.25">
      <c r="A71" s="59"/>
    </row>
    <row r="72" spans="1:38" s="57" customFormat="1" x14ac:dyDescent="0.25">
      <c r="A72" s="59"/>
    </row>
    <row r="73" spans="1:38" s="57" customFormat="1" x14ac:dyDescent="0.25">
      <c r="A73" s="59"/>
    </row>
    <row r="74" spans="1:38" s="57" customFormat="1" x14ac:dyDescent="0.25"/>
    <row r="75" spans="1:38" s="57" customFormat="1" x14ac:dyDescent="0.25"/>
    <row r="76" spans="1:38" s="57" customFormat="1" x14ac:dyDescent="0.25">
      <c r="A76" s="60"/>
      <c r="B76" s="60"/>
    </row>
    <row r="77" spans="1:38" s="62" customFormat="1" x14ac:dyDescent="0.25">
      <c r="A77" s="61"/>
      <c r="B77" s="61"/>
      <c r="C77" s="57"/>
      <c r="D77" s="57"/>
      <c r="E77" s="57"/>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row>
    <row r="78" spans="1:38" s="62" customFormat="1" x14ac:dyDescent="0.25">
      <c r="A78" s="63"/>
      <c r="B78" s="63"/>
      <c r="C78" s="57"/>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row>
    <row r="79" spans="1:38" s="62" customFormat="1" x14ac:dyDescent="0.25">
      <c r="A79" s="64"/>
      <c r="B79" s="64"/>
    </row>
    <row r="80" spans="1:38" s="62" customFormat="1" x14ac:dyDescent="0.25">
      <c r="A80" s="65"/>
      <c r="B80" s="65"/>
    </row>
    <row r="81" spans="1:38" s="62" customFormat="1" x14ac:dyDescent="0.25">
      <c r="A81" s="66"/>
      <c r="B81" s="66"/>
    </row>
    <row r="82" spans="1:38" s="62" customFormat="1" x14ac:dyDescent="0.25">
      <c r="A82" s="64"/>
      <c r="B82" s="64"/>
    </row>
    <row r="83" spans="1:38" s="62" customFormat="1" x14ac:dyDescent="0.25">
      <c r="A83" s="65"/>
      <c r="B83" s="65"/>
    </row>
    <row r="84" spans="1:38" s="62" customFormat="1" x14ac:dyDescent="0.25">
      <c r="A84" s="65"/>
      <c r="B84" s="65"/>
    </row>
    <row r="85" spans="1:38" s="62" customFormat="1" x14ac:dyDescent="0.25">
      <c r="A85" s="64"/>
      <c r="B85" s="64"/>
    </row>
    <row r="86" spans="1:38" s="62" customFormat="1" x14ac:dyDescent="0.25">
      <c r="A86" s="65"/>
      <c r="B86" s="65"/>
    </row>
    <row r="87" spans="1:38" s="62" customFormat="1" x14ac:dyDescent="0.25">
      <c r="A87" s="65"/>
      <c r="B87" s="65"/>
    </row>
    <row r="88" spans="1:38" s="62" customFormat="1" x14ac:dyDescent="0.25">
      <c r="A88" s="65"/>
      <c r="B88" s="65"/>
    </row>
    <row r="89" spans="1:38" s="62" customFormat="1" x14ac:dyDescent="0.25">
      <c r="A89" s="65"/>
      <c r="B89" s="65"/>
    </row>
    <row r="90" spans="1:38" s="62" customFormat="1" x14ac:dyDescent="0.25">
      <c r="A90" s="64"/>
      <c r="B90" s="64"/>
    </row>
    <row r="91" spans="1:38" s="62" customFormat="1" x14ac:dyDescent="0.25">
      <c r="A91" s="65"/>
      <c r="B91" s="65"/>
    </row>
    <row r="92" spans="1:38" s="62" customFormat="1" x14ac:dyDescent="0.25">
      <c r="A92" s="65"/>
      <c r="B92" s="65"/>
    </row>
    <row r="93" spans="1:38" s="62" customFormat="1" x14ac:dyDescent="0.25">
      <c r="A93" s="65"/>
      <c r="B93" s="65"/>
    </row>
    <row r="94" spans="1:38" s="62" customFormat="1" x14ac:dyDescent="0.25">
      <c r="A94" s="65"/>
      <c r="B94" s="65"/>
    </row>
    <row r="95" spans="1:38" s="62" customFormat="1" x14ac:dyDescent="0.25">
      <c r="A95" s="65"/>
      <c r="B95" s="65"/>
    </row>
    <row r="96" spans="1:38" x14ac:dyDescent="0.25">
      <c r="A96" s="65"/>
      <c r="B96" s="65"/>
      <c r="C96" s="62"/>
      <c r="D96" s="62"/>
      <c r="E96" s="62"/>
      <c r="F96" s="62"/>
      <c r="G96" s="62"/>
      <c r="H96" s="62"/>
      <c r="I96" s="62"/>
      <c r="J96" s="62"/>
      <c r="K96" s="62"/>
      <c r="L96" s="62"/>
      <c r="M96" s="62"/>
      <c r="N96" s="62"/>
      <c r="O96" s="62"/>
      <c r="P96" s="62"/>
      <c r="Q96" s="62"/>
      <c r="R96" s="62"/>
      <c r="S96" s="62"/>
      <c r="T96" s="62"/>
      <c r="U96" s="62"/>
      <c r="V96" s="62"/>
      <c r="W96" s="62"/>
      <c r="X96" s="62"/>
      <c r="Y96" s="62"/>
      <c r="Z96" s="62"/>
      <c r="AA96" s="62"/>
      <c r="AB96" s="62"/>
      <c r="AC96" s="62"/>
      <c r="AD96" s="62"/>
      <c r="AE96" s="62"/>
      <c r="AF96" s="62"/>
      <c r="AG96" s="62"/>
      <c r="AH96" s="62"/>
      <c r="AI96" s="62"/>
      <c r="AJ96" s="62"/>
      <c r="AK96" s="62"/>
      <c r="AL96" s="62"/>
    </row>
    <row r="97" spans="1:38" x14ac:dyDescent="0.25">
      <c r="A97" s="65"/>
      <c r="B97" s="65"/>
      <c r="C97" s="62"/>
      <c r="D97" s="62"/>
      <c r="E97" s="62"/>
      <c r="F97" s="62"/>
      <c r="G97" s="62"/>
      <c r="H97" s="62"/>
      <c r="I97" s="62"/>
      <c r="J97" s="62"/>
      <c r="K97" s="62"/>
      <c r="L97" s="62"/>
      <c r="M97" s="62"/>
      <c r="N97" s="62"/>
      <c r="O97" s="62"/>
      <c r="P97" s="62"/>
      <c r="Q97" s="62"/>
      <c r="R97" s="62"/>
      <c r="S97" s="62"/>
      <c r="T97" s="62"/>
      <c r="U97" s="62"/>
      <c r="V97" s="62"/>
      <c r="W97" s="62"/>
      <c r="X97" s="62"/>
      <c r="Y97" s="62"/>
      <c r="Z97" s="62"/>
      <c r="AA97" s="62"/>
      <c r="AB97" s="62"/>
      <c r="AC97" s="62"/>
      <c r="AD97" s="62"/>
      <c r="AE97" s="62"/>
      <c r="AF97" s="62"/>
      <c r="AG97" s="62"/>
      <c r="AH97" s="62"/>
      <c r="AI97" s="62"/>
      <c r="AJ97" s="62"/>
      <c r="AK97" s="62"/>
      <c r="AL97" s="62"/>
    </row>
    <row r="98" spans="1:38" x14ac:dyDescent="0.25">
      <c r="A98" s="67"/>
      <c r="B98" s="67"/>
    </row>
    <row r="99" spans="1:38" x14ac:dyDescent="0.25">
      <c r="A99" s="67"/>
      <c r="B99" s="67"/>
    </row>
    <row r="100" spans="1:38" x14ac:dyDescent="0.25">
      <c r="A100" s="67"/>
      <c r="B100" s="67"/>
    </row>
    <row r="101" spans="1:38" x14ac:dyDescent="0.25">
      <c r="A101" s="67"/>
      <c r="B101" s="67"/>
    </row>
    <row r="102" spans="1:38" x14ac:dyDescent="0.25">
      <c r="A102" s="67"/>
      <c r="B102" s="67"/>
    </row>
    <row r="103" spans="1:38" x14ac:dyDescent="0.25">
      <c r="A103" s="67"/>
      <c r="B103" s="67"/>
    </row>
    <row r="104" spans="1:38" x14ac:dyDescent="0.25">
      <c r="A104" s="67"/>
      <c r="B104" s="67"/>
    </row>
    <row r="105" spans="1:38" x14ac:dyDescent="0.25">
      <c r="A105" s="67"/>
      <c r="B105" s="67"/>
    </row>
    <row r="106" spans="1:38" x14ac:dyDescent="0.25">
      <c r="A106" s="67"/>
      <c r="B106" s="67"/>
    </row>
    <row r="107" spans="1:38" x14ac:dyDescent="0.25">
      <c r="A107" s="67"/>
      <c r="B107" s="67"/>
    </row>
    <row r="108" spans="1:38" x14ac:dyDescent="0.25">
      <c r="A108" s="67"/>
      <c r="B108" s="67"/>
    </row>
    <row r="109" spans="1:38" x14ac:dyDescent="0.25">
      <c r="A109" s="67"/>
      <c r="B109" s="67"/>
    </row>
    <row r="110" spans="1:38" x14ac:dyDescent="0.25">
      <c r="A110" s="67"/>
      <c r="B110" s="67"/>
    </row>
    <row r="111" spans="1:38" x14ac:dyDescent="0.25">
      <c r="A111" s="67"/>
      <c r="B111" s="67"/>
    </row>
    <row r="112" spans="1:38" x14ac:dyDescent="0.25">
      <c r="A112" s="67"/>
      <c r="B112" s="67"/>
    </row>
    <row r="113" spans="1:2" x14ac:dyDescent="0.25">
      <c r="A113" s="67"/>
      <c r="B113" s="67"/>
    </row>
    <row r="114" spans="1:2" x14ac:dyDescent="0.25">
      <c r="A114" s="67"/>
      <c r="B114" s="67"/>
    </row>
    <row r="115" spans="1:2" x14ac:dyDescent="0.25">
      <c r="A115" s="67"/>
      <c r="B115" s="67"/>
    </row>
    <row r="116" spans="1:2" x14ac:dyDescent="0.25">
      <c r="A116" s="67"/>
      <c r="B116" s="67"/>
    </row>
    <row r="117" spans="1:2" x14ac:dyDescent="0.25">
      <c r="A117" s="67"/>
      <c r="B117" s="67"/>
    </row>
    <row r="118" spans="1:2" x14ac:dyDescent="0.25">
      <c r="A118" s="67"/>
      <c r="B118" s="67"/>
    </row>
    <row r="119" spans="1:2" x14ac:dyDescent="0.25">
      <c r="A119" s="67"/>
      <c r="B119" s="67"/>
    </row>
    <row r="120" spans="1:2" x14ac:dyDescent="0.25">
      <c r="A120" s="67"/>
      <c r="B120" s="67"/>
    </row>
    <row r="121" spans="1:2" x14ac:dyDescent="0.25">
      <c r="A121" s="67"/>
      <c r="B121" s="67"/>
    </row>
    <row r="122" spans="1:2" x14ac:dyDescent="0.25">
      <c r="A122" s="67"/>
      <c r="B122" s="67"/>
    </row>
    <row r="123" spans="1:2" x14ac:dyDescent="0.25">
      <c r="A123" s="67"/>
      <c r="B123" s="67"/>
    </row>
    <row r="124" spans="1:2" x14ac:dyDescent="0.25">
      <c r="A124" s="67"/>
      <c r="B124" s="67"/>
    </row>
    <row r="125" spans="1:2" x14ac:dyDescent="0.25">
      <c r="A125" s="67"/>
      <c r="B125" s="67"/>
    </row>
    <row r="126" spans="1:2" x14ac:dyDescent="0.25">
      <c r="A126" s="67"/>
      <c r="B126" s="67"/>
    </row>
    <row r="127" spans="1:2" x14ac:dyDescent="0.25">
      <c r="A127" s="67"/>
      <c r="B127" s="67"/>
    </row>
    <row r="128" spans="1:2" x14ac:dyDescent="0.25">
      <c r="A128" s="67"/>
      <c r="B128" s="67"/>
    </row>
    <row r="129" spans="1:2" x14ac:dyDescent="0.25">
      <c r="A129" s="67"/>
      <c r="B129" s="67"/>
    </row>
    <row r="130" spans="1:2" x14ac:dyDescent="0.25">
      <c r="A130" s="67"/>
      <c r="B130" s="67"/>
    </row>
    <row r="131" spans="1:2" x14ac:dyDescent="0.25">
      <c r="A131" s="67"/>
      <c r="B131" s="67"/>
    </row>
    <row r="132" spans="1:2" x14ac:dyDescent="0.25">
      <c r="A132" s="67"/>
      <c r="B132" s="67"/>
    </row>
    <row r="133" spans="1:2" x14ac:dyDescent="0.25">
      <c r="A133" s="67"/>
      <c r="B133" s="67"/>
    </row>
    <row r="134" spans="1:2" x14ac:dyDescent="0.25">
      <c r="A134" s="67"/>
      <c r="B134" s="67"/>
    </row>
    <row r="135" spans="1:2" x14ac:dyDescent="0.25">
      <c r="A135" s="67"/>
      <c r="B135" s="67"/>
    </row>
    <row r="136" spans="1:2" x14ac:dyDescent="0.25">
      <c r="A136" s="67"/>
      <c r="B136" s="67"/>
    </row>
    <row r="137" spans="1:2" x14ac:dyDescent="0.25">
      <c r="A137" s="67"/>
      <c r="B137" s="67"/>
    </row>
    <row r="138" spans="1:2" x14ac:dyDescent="0.25">
      <c r="A138" s="67"/>
      <c r="B138" s="67"/>
    </row>
    <row r="139" spans="1:2" x14ac:dyDescent="0.25">
      <c r="A139" s="67"/>
      <c r="B139" s="67"/>
    </row>
    <row r="140" spans="1:2" x14ac:dyDescent="0.25">
      <c r="A140" s="67"/>
      <c r="B140" s="67"/>
    </row>
    <row r="141" spans="1:2" x14ac:dyDescent="0.25">
      <c r="A141" s="67"/>
      <c r="B141" s="67"/>
    </row>
    <row r="142" spans="1:2" x14ac:dyDescent="0.25">
      <c r="A142" s="67"/>
      <c r="B142" s="67"/>
    </row>
    <row r="143" spans="1:2" x14ac:dyDescent="0.25">
      <c r="A143" s="67"/>
      <c r="B143" s="67"/>
    </row>
    <row r="144" spans="1:2" x14ac:dyDescent="0.25">
      <c r="A144" s="67"/>
      <c r="B144" s="67"/>
    </row>
    <row r="145" spans="1:2" x14ac:dyDescent="0.25">
      <c r="A145" s="67"/>
      <c r="B145" s="67"/>
    </row>
    <row r="146" spans="1:2" x14ac:dyDescent="0.25">
      <c r="A146" s="67"/>
      <c r="B146" s="67"/>
    </row>
    <row r="147" spans="1:2" x14ac:dyDescent="0.25">
      <c r="A147" s="67"/>
      <c r="B147" s="67"/>
    </row>
    <row r="148" spans="1:2" x14ac:dyDescent="0.25">
      <c r="A148" s="67"/>
      <c r="B148" s="67"/>
    </row>
    <row r="149" spans="1:2" x14ac:dyDescent="0.25">
      <c r="A149" s="67"/>
      <c r="B149" s="67"/>
    </row>
    <row r="150" spans="1:2" x14ac:dyDescent="0.25">
      <c r="A150" s="67"/>
      <c r="B150" s="67"/>
    </row>
    <row r="151" spans="1:2" x14ac:dyDescent="0.25">
      <c r="A151" s="67"/>
      <c r="B151" s="67"/>
    </row>
    <row r="152" spans="1:2" x14ac:dyDescent="0.25">
      <c r="A152" s="67"/>
      <c r="B152" s="67"/>
    </row>
    <row r="153" spans="1:2" x14ac:dyDescent="0.25">
      <c r="A153" s="67"/>
      <c r="B153" s="67"/>
    </row>
    <row r="154" spans="1:2" x14ac:dyDescent="0.25">
      <c r="A154" s="67"/>
      <c r="B154" s="67"/>
    </row>
    <row r="155" spans="1:2" x14ac:dyDescent="0.25">
      <c r="A155" s="67"/>
      <c r="B155" s="67"/>
    </row>
    <row r="156" spans="1:2" x14ac:dyDescent="0.25">
      <c r="A156" s="67"/>
      <c r="B156" s="67"/>
    </row>
    <row r="157" spans="1:2" x14ac:dyDescent="0.25">
      <c r="A157" s="67"/>
      <c r="B157" s="67"/>
    </row>
    <row r="158" spans="1:2" x14ac:dyDescent="0.25">
      <c r="A158" s="67"/>
      <c r="B158" s="67"/>
    </row>
    <row r="159" spans="1:2" x14ac:dyDescent="0.25">
      <c r="A159" s="67"/>
      <c r="B159" s="67"/>
    </row>
    <row r="160" spans="1:2" x14ac:dyDescent="0.25">
      <c r="A160" s="67"/>
      <c r="B160" s="67"/>
    </row>
    <row r="161" spans="1:2" x14ac:dyDescent="0.25">
      <c r="A161" s="67"/>
      <c r="B161" s="67"/>
    </row>
    <row r="162" spans="1:2" x14ac:dyDescent="0.25">
      <c r="A162" s="67"/>
      <c r="B162" s="67"/>
    </row>
    <row r="163" spans="1:2" x14ac:dyDescent="0.25">
      <c r="A163" s="67"/>
      <c r="B163" s="67"/>
    </row>
    <row r="164" spans="1:2" x14ac:dyDescent="0.25">
      <c r="A164" s="67"/>
      <c r="B164" s="67"/>
    </row>
    <row r="165" spans="1:2" x14ac:dyDescent="0.25">
      <c r="A165" s="67"/>
      <c r="B165" s="67"/>
    </row>
    <row r="166" spans="1:2" x14ac:dyDescent="0.25">
      <c r="A166" s="67"/>
      <c r="B166" s="67"/>
    </row>
    <row r="167" spans="1:2" x14ac:dyDescent="0.25">
      <c r="A167" s="67"/>
      <c r="B167" s="67"/>
    </row>
    <row r="168" spans="1:2" x14ac:dyDescent="0.25">
      <c r="A168" s="67"/>
      <c r="B168" s="67"/>
    </row>
    <row r="169" spans="1:2" x14ac:dyDescent="0.25">
      <c r="A169" s="67"/>
      <c r="B169" s="67"/>
    </row>
    <row r="170" spans="1:2" x14ac:dyDescent="0.25">
      <c r="A170" s="67"/>
      <c r="B170" s="67"/>
    </row>
    <row r="171" spans="1:2" x14ac:dyDescent="0.25">
      <c r="A171" s="67"/>
      <c r="B171" s="67"/>
    </row>
    <row r="172" spans="1:2" x14ac:dyDescent="0.25">
      <c r="A172" s="67"/>
      <c r="B172" s="67"/>
    </row>
    <row r="173" spans="1:2" x14ac:dyDescent="0.25">
      <c r="A173" s="67"/>
      <c r="B173" s="67"/>
    </row>
    <row r="174" spans="1:2" x14ac:dyDescent="0.25">
      <c r="A174" s="67"/>
      <c r="B174" s="67"/>
    </row>
    <row r="175" spans="1:2" x14ac:dyDescent="0.25">
      <c r="A175" s="67"/>
      <c r="B175" s="67"/>
    </row>
    <row r="176" spans="1:2" x14ac:dyDescent="0.25">
      <c r="A176" s="67"/>
      <c r="B176" s="67"/>
    </row>
    <row r="177" spans="1:2" x14ac:dyDescent="0.25">
      <c r="A177" s="67"/>
      <c r="B177" s="67"/>
    </row>
    <row r="178" spans="1:2" x14ac:dyDescent="0.25">
      <c r="A178" s="67"/>
      <c r="B178" s="67"/>
    </row>
    <row r="179" spans="1:2" x14ac:dyDescent="0.25">
      <c r="A179" s="67"/>
      <c r="B179" s="67"/>
    </row>
    <row r="180" spans="1:2" x14ac:dyDescent="0.25">
      <c r="A180" s="67"/>
      <c r="B180" s="67"/>
    </row>
    <row r="181" spans="1:2" x14ac:dyDescent="0.25">
      <c r="A181" s="67"/>
      <c r="B181" s="67"/>
    </row>
    <row r="182" spans="1:2" x14ac:dyDescent="0.25">
      <c r="A182" s="67"/>
      <c r="B182" s="67"/>
    </row>
    <row r="183" spans="1:2" x14ac:dyDescent="0.25">
      <c r="A183" s="67"/>
      <c r="B183" s="67"/>
    </row>
    <row r="184" spans="1:2" x14ac:dyDescent="0.25">
      <c r="A184" s="67"/>
      <c r="B184" s="67"/>
    </row>
    <row r="185" spans="1:2" x14ac:dyDescent="0.25">
      <c r="A185" s="67"/>
      <c r="B185" s="67"/>
    </row>
    <row r="186" spans="1:2" x14ac:dyDescent="0.25">
      <c r="A186" s="67"/>
      <c r="B186" s="67"/>
    </row>
    <row r="187" spans="1:2" x14ac:dyDescent="0.25">
      <c r="A187" s="67"/>
      <c r="B187" s="67"/>
    </row>
    <row r="188" spans="1:2" x14ac:dyDescent="0.25">
      <c r="A188" s="67"/>
      <c r="B188" s="67"/>
    </row>
    <row r="189" spans="1:2" x14ac:dyDescent="0.25">
      <c r="A189" s="67"/>
      <c r="B189" s="67"/>
    </row>
    <row r="190" spans="1:2" x14ac:dyDescent="0.25">
      <c r="A190" s="67"/>
      <c r="B190" s="67"/>
    </row>
    <row r="191" spans="1:2" x14ac:dyDescent="0.25">
      <c r="A191" s="67"/>
      <c r="B191" s="67"/>
    </row>
    <row r="192" spans="1:2" x14ac:dyDescent="0.25">
      <c r="A192" s="67"/>
      <c r="B192" s="67"/>
    </row>
    <row r="193" spans="1:2" x14ac:dyDescent="0.25">
      <c r="A193" s="67"/>
      <c r="B193" s="67"/>
    </row>
    <row r="194" spans="1:2" x14ac:dyDescent="0.25">
      <c r="A194" s="67"/>
      <c r="B194" s="67"/>
    </row>
    <row r="195" spans="1:2" x14ac:dyDescent="0.25">
      <c r="A195" s="67"/>
      <c r="B195" s="67"/>
    </row>
    <row r="196" spans="1:2" x14ac:dyDescent="0.25">
      <c r="A196" s="67"/>
      <c r="B196" s="67"/>
    </row>
    <row r="197" spans="1:2" x14ac:dyDescent="0.25">
      <c r="A197" s="67"/>
      <c r="B197" s="67"/>
    </row>
    <row r="198" spans="1:2" x14ac:dyDescent="0.25">
      <c r="A198" s="67"/>
      <c r="B198" s="67"/>
    </row>
    <row r="199" spans="1:2" x14ac:dyDescent="0.25">
      <c r="A199" s="67"/>
      <c r="B199" s="67"/>
    </row>
    <row r="200" spans="1:2" x14ac:dyDescent="0.25">
      <c r="A200" s="67"/>
      <c r="B200" s="67"/>
    </row>
    <row r="201" spans="1:2" x14ac:dyDescent="0.25">
      <c r="A201" s="67"/>
      <c r="B201" s="67"/>
    </row>
    <row r="202" spans="1:2" x14ac:dyDescent="0.25">
      <c r="A202" s="67"/>
      <c r="B202" s="67"/>
    </row>
    <row r="203" spans="1:2" x14ac:dyDescent="0.25">
      <c r="A203" s="67"/>
      <c r="B203" s="67"/>
    </row>
    <row r="204" spans="1:2" x14ac:dyDescent="0.25">
      <c r="A204" s="67"/>
      <c r="B204" s="67"/>
    </row>
    <row r="205" spans="1:2" x14ac:dyDescent="0.25">
      <c r="A205" s="67"/>
      <c r="B205" s="67"/>
    </row>
    <row r="206" spans="1:2" x14ac:dyDescent="0.25">
      <c r="A206" s="67"/>
      <c r="B206" s="67"/>
    </row>
    <row r="207" spans="1:2" x14ac:dyDescent="0.25">
      <c r="A207" s="67"/>
      <c r="B207" s="67"/>
    </row>
    <row r="208" spans="1:2" x14ac:dyDescent="0.25">
      <c r="A208" s="67"/>
      <c r="B208" s="67"/>
    </row>
    <row r="209" spans="1:2" x14ac:dyDescent="0.25">
      <c r="A209" s="67"/>
      <c r="B209" s="67"/>
    </row>
    <row r="210" spans="1:2" x14ac:dyDescent="0.25">
      <c r="A210" s="67"/>
      <c r="B210" s="67"/>
    </row>
    <row r="211" spans="1:2" x14ac:dyDescent="0.25">
      <c r="A211" s="67"/>
      <c r="B211" s="67"/>
    </row>
    <row r="212" spans="1:2" x14ac:dyDescent="0.25">
      <c r="A212" s="67"/>
      <c r="B212" s="67"/>
    </row>
    <row r="213" spans="1:2" x14ac:dyDescent="0.25">
      <c r="A213" s="67"/>
      <c r="B213" s="67"/>
    </row>
    <row r="214" spans="1:2" x14ac:dyDescent="0.25">
      <c r="A214" s="67"/>
      <c r="B214" s="67"/>
    </row>
    <row r="215" spans="1:2" x14ac:dyDescent="0.25">
      <c r="A215" s="67"/>
      <c r="B215" s="67"/>
    </row>
    <row r="216" spans="1:2" x14ac:dyDescent="0.25">
      <c r="A216" s="67"/>
      <c r="B216" s="67"/>
    </row>
    <row r="217" spans="1:2" x14ac:dyDescent="0.25">
      <c r="A217" s="67"/>
      <c r="B217" s="67"/>
    </row>
    <row r="218" spans="1:2" x14ac:dyDescent="0.25">
      <c r="A218" s="67"/>
      <c r="B218" s="67"/>
    </row>
    <row r="219" spans="1:2" x14ac:dyDescent="0.25">
      <c r="A219" s="67"/>
      <c r="B219" s="67"/>
    </row>
    <row r="220" spans="1:2" x14ac:dyDescent="0.25">
      <c r="A220" s="67"/>
      <c r="B220" s="67"/>
    </row>
    <row r="221" spans="1:2" x14ac:dyDescent="0.25">
      <c r="A221" s="67"/>
      <c r="B221" s="67"/>
    </row>
    <row r="222" spans="1:2" x14ac:dyDescent="0.25">
      <c r="A222" s="67"/>
      <c r="B222" s="67"/>
    </row>
    <row r="223" spans="1:2" x14ac:dyDescent="0.25">
      <c r="A223" s="67"/>
      <c r="B223" s="67"/>
    </row>
    <row r="224" spans="1:2" x14ac:dyDescent="0.25">
      <c r="A224" s="67"/>
      <c r="B224" s="67"/>
    </row>
    <row r="225" spans="1:2" x14ac:dyDescent="0.25">
      <c r="A225" s="67"/>
      <c r="B225" s="67"/>
    </row>
    <row r="226" spans="1:2" x14ac:dyDescent="0.25">
      <c r="A226" s="67"/>
      <c r="B226" s="67"/>
    </row>
    <row r="227" spans="1:2" x14ac:dyDescent="0.25">
      <c r="A227" s="67"/>
      <c r="B227" s="67"/>
    </row>
    <row r="228" spans="1:2" x14ac:dyDescent="0.25">
      <c r="A228" s="67"/>
      <c r="B228" s="67"/>
    </row>
    <row r="229" spans="1:2" x14ac:dyDescent="0.25">
      <c r="A229" s="67"/>
      <c r="B229" s="67"/>
    </row>
    <row r="230" spans="1:2" x14ac:dyDescent="0.25">
      <c r="A230" s="67"/>
      <c r="B230" s="67"/>
    </row>
    <row r="231" spans="1:2" x14ac:dyDescent="0.25">
      <c r="A231" s="67"/>
      <c r="B231" s="67"/>
    </row>
    <row r="232" spans="1:2" x14ac:dyDescent="0.25">
      <c r="A232" s="67"/>
      <c r="B232" s="67"/>
    </row>
    <row r="233" spans="1:2" x14ac:dyDescent="0.25">
      <c r="A233" s="67"/>
      <c r="B233" s="67"/>
    </row>
    <row r="234" spans="1:2" x14ac:dyDescent="0.25">
      <c r="A234" s="67"/>
      <c r="B234" s="67"/>
    </row>
    <row r="235" spans="1:2" x14ac:dyDescent="0.25">
      <c r="A235" s="67"/>
      <c r="B235" s="67"/>
    </row>
    <row r="236" spans="1:2" x14ac:dyDescent="0.25">
      <c r="A236" s="67"/>
      <c r="B236" s="67"/>
    </row>
    <row r="237" spans="1:2" x14ac:dyDescent="0.25">
      <c r="A237" s="67"/>
      <c r="B237" s="67"/>
    </row>
    <row r="238" spans="1:2" x14ac:dyDescent="0.25">
      <c r="A238" s="67"/>
      <c r="B238" s="67"/>
    </row>
    <row r="239" spans="1:2" x14ac:dyDescent="0.25">
      <c r="A239" s="67"/>
      <c r="B239" s="67"/>
    </row>
    <row r="240" spans="1:2" x14ac:dyDescent="0.25">
      <c r="A240" s="67"/>
      <c r="B240" s="67"/>
    </row>
    <row r="241" spans="1:2" x14ac:dyDescent="0.25">
      <c r="A241" s="67"/>
      <c r="B241" s="67"/>
    </row>
    <row r="242" spans="1:2" x14ac:dyDescent="0.25">
      <c r="A242" s="67"/>
      <c r="B242" s="67"/>
    </row>
    <row r="243" spans="1:2" x14ac:dyDescent="0.25">
      <c r="A243" s="67"/>
      <c r="B243" s="67"/>
    </row>
    <row r="244" spans="1:2" x14ac:dyDescent="0.25">
      <c r="A244" s="67"/>
      <c r="B244" s="67"/>
    </row>
    <row r="245" spans="1:2" x14ac:dyDescent="0.25">
      <c r="A245" s="67"/>
      <c r="B245" s="67"/>
    </row>
    <row r="246" spans="1:2" x14ac:dyDescent="0.25">
      <c r="A246" s="67"/>
      <c r="B246" s="67"/>
    </row>
    <row r="247" spans="1:2" x14ac:dyDescent="0.25">
      <c r="A247" s="67"/>
      <c r="B247" s="67"/>
    </row>
    <row r="248" spans="1:2" x14ac:dyDescent="0.25">
      <c r="A248" s="67"/>
      <c r="B248" s="67"/>
    </row>
    <row r="249" spans="1:2" x14ac:dyDescent="0.25">
      <c r="A249" s="67"/>
      <c r="B249" s="67"/>
    </row>
    <row r="250" spans="1:2" x14ac:dyDescent="0.25">
      <c r="A250" s="67"/>
      <c r="B250" s="67"/>
    </row>
    <row r="251" spans="1:2" x14ac:dyDescent="0.25">
      <c r="A251" s="67"/>
      <c r="B251" s="67"/>
    </row>
    <row r="252" spans="1:2" x14ac:dyDescent="0.25">
      <c r="A252" s="67"/>
      <c r="B252" s="67"/>
    </row>
    <row r="253" spans="1:2" x14ac:dyDescent="0.25">
      <c r="A253" s="67"/>
      <c r="B253" s="67"/>
    </row>
    <row r="254" spans="1:2" x14ac:dyDescent="0.25">
      <c r="A254" s="67"/>
      <c r="B254" s="67"/>
    </row>
    <row r="255" spans="1:2" x14ac:dyDescent="0.25">
      <c r="A255" s="67"/>
      <c r="B255" s="67"/>
    </row>
    <row r="256" spans="1:2" x14ac:dyDescent="0.25">
      <c r="A256" s="67"/>
      <c r="B256" s="67"/>
    </row>
    <row r="257" spans="1:2" x14ac:dyDescent="0.25">
      <c r="A257" s="67"/>
      <c r="B257" s="67"/>
    </row>
    <row r="258" spans="1:2" x14ac:dyDescent="0.25">
      <c r="A258" s="67"/>
      <c r="B258" s="67"/>
    </row>
    <row r="259" spans="1:2" x14ac:dyDescent="0.25">
      <c r="A259" s="67"/>
      <c r="B259" s="67"/>
    </row>
    <row r="260" spans="1:2" x14ac:dyDescent="0.25">
      <c r="A260" s="67"/>
      <c r="B260" s="67"/>
    </row>
    <row r="261" spans="1:2" x14ac:dyDescent="0.25">
      <c r="A261" s="67"/>
      <c r="B261" s="67"/>
    </row>
    <row r="262" spans="1:2" x14ac:dyDescent="0.25">
      <c r="A262" s="67"/>
      <c r="B262" s="67"/>
    </row>
    <row r="263" spans="1:2" x14ac:dyDescent="0.25">
      <c r="A263" s="67"/>
      <c r="B263" s="67"/>
    </row>
    <row r="264" spans="1:2" x14ac:dyDescent="0.25">
      <c r="A264" s="67"/>
      <c r="B264" s="67"/>
    </row>
    <row r="265" spans="1:2" x14ac:dyDescent="0.25">
      <c r="A265" s="67"/>
      <c r="B265" s="67"/>
    </row>
    <row r="266" spans="1:2" x14ac:dyDescent="0.25">
      <c r="A266" s="67"/>
      <c r="B266" s="67"/>
    </row>
    <row r="267" spans="1:2" x14ac:dyDescent="0.25">
      <c r="A267" s="67"/>
      <c r="B267" s="67"/>
    </row>
    <row r="268" spans="1:2" x14ac:dyDescent="0.25">
      <c r="A268" s="67"/>
      <c r="B268" s="67"/>
    </row>
    <row r="269" spans="1:2" x14ac:dyDescent="0.25">
      <c r="A269" s="67"/>
      <c r="B269" s="67"/>
    </row>
    <row r="270" spans="1:2" x14ac:dyDescent="0.25">
      <c r="A270" s="67"/>
      <c r="B270" s="67"/>
    </row>
    <row r="271" spans="1:2" x14ac:dyDescent="0.25">
      <c r="A271" s="67"/>
      <c r="B271" s="67"/>
    </row>
    <row r="272" spans="1:2" x14ac:dyDescent="0.25">
      <c r="A272" s="67"/>
      <c r="B272" s="67"/>
    </row>
    <row r="273" spans="1:2" x14ac:dyDescent="0.25">
      <c r="A273" s="67"/>
      <c r="B273" s="67"/>
    </row>
    <row r="274" spans="1:2" x14ac:dyDescent="0.25">
      <c r="A274" s="67"/>
      <c r="B274" s="67"/>
    </row>
    <row r="275" spans="1:2" x14ac:dyDescent="0.25">
      <c r="A275" s="67"/>
      <c r="B275" s="67"/>
    </row>
    <row r="276" spans="1:2" x14ac:dyDescent="0.25">
      <c r="A276" s="67"/>
      <c r="B276" s="67"/>
    </row>
    <row r="277" spans="1:2" x14ac:dyDescent="0.25">
      <c r="A277" s="67"/>
      <c r="B277" s="67"/>
    </row>
    <row r="278" spans="1:2" x14ac:dyDescent="0.25">
      <c r="A278" s="67"/>
      <c r="B278" s="67"/>
    </row>
    <row r="279" spans="1:2" x14ac:dyDescent="0.25">
      <c r="A279" s="67"/>
      <c r="B279" s="67"/>
    </row>
    <row r="280" spans="1:2" x14ac:dyDescent="0.25">
      <c r="A280" s="67"/>
      <c r="B280" s="67"/>
    </row>
    <row r="281" spans="1:2" x14ac:dyDescent="0.25">
      <c r="A281" s="67"/>
      <c r="B281" s="67"/>
    </row>
    <row r="282" spans="1:2" x14ac:dyDescent="0.25">
      <c r="A282" s="67"/>
      <c r="B282" s="67"/>
    </row>
    <row r="283" spans="1:2" x14ac:dyDescent="0.25">
      <c r="A283" s="67"/>
      <c r="B283" s="67"/>
    </row>
    <row r="284" spans="1:2" x14ac:dyDescent="0.25">
      <c r="A284" s="67"/>
      <c r="B284" s="67"/>
    </row>
    <row r="285" spans="1:2" x14ac:dyDescent="0.25">
      <c r="A285" s="67"/>
      <c r="B285" s="67"/>
    </row>
    <row r="286" spans="1:2" x14ac:dyDescent="0.25">
      <c r="A286" s="67"/>
      <c r="B286" s="67"/>
    </row>
    <row r="287" spans="1:2" x14ac:dyDescent="0.25">
      <c r="A287" s="67"/>
      <c r="B287" s="67"/>
    </row>
    <row r="288" spans="1:2" x14ac:dyDescent="0.25">
      <c r="A288" s="67"/>
      <c r="B288" s="67"/>
    </row>
    <row r="289" spans="1:2" x14ac:dyDescent="0.25">
      <c r="A289" s="67"/>
      <c r="B289" s="67"/>
    </row>
    <row r="290" spans="1:2" x14ac:dyDescent="0.25">
      <c r="A290" s="67"/>
      <c r="B290" s="67"/>
    </row>
    <row r="291" spans="1:2" x14ac:dyDescent="0.25">
      <c r="A291" s="67"/>
      <c r="B291" s="67"/>
    </row>
    <row r="292" spans="1:2" x14ac:dyDescent="0.25">
      <c r="A292" s="67"/>
      <c r="B292" s="67"/>
    </row>
    <row r="293" spans="1:2" x14ac:dyDescent="0.25">
      <c r="A293" s="67"/>
      <c r="B293" s="67"/>
    </row>
    <row r="294" spans="1:2" x14ac:dyDescent="0.25">
      <c r="A294" s="67"/>
      <c r="B294" s="67"/>
    </row>
    <row r="295" spans="1:2" x14ac:dyDescent="0.25">
      <c r="A295" s="67"/>
      <c r="B295" s="67"/>
    </row>
    <row r="296" spans="1:2" x14ac:dyDescent="0.25">
      <c r="A296" s="67"/>
      <c r="B296" s="67"/>
    </row>
    <row r="297" spans="1:2" x14ac:dyDescent="0.25">
      <c r="A297" s="67"/>
      <c r="B297" s="67"/>
    </row>
    <row r="298" spans="1:2" x14ac:dyDescent="0.25">
      <c r="A298" s="67"/>
      <c r="B298" s="67"/>
    </row>
    <row r="299" spans="1:2" x14ac:dyDescent="0.25">
      <c r="A299" s="67"/>
      <c r="B299" s="67"/>
    </row>
    <row r="300" spans="1:2" x14ac:dyDescent="0.25">
      <c r="A300" s="67"/>
      <c r="B300" s="67"/>
    </row>
    <row r="301" spans="1:2" x14ac:dyDescent="0.25">
      <c r="A301" s="67"/>
      <c r="B301" s="67"/>
    </row>
    <row r="302" spans="1:2" x14ac:dyDescent="0.25">
      <c r="A302" s="67"/>
      <c r="B302" s="67"/>
    </row>
    <row r="303" spans="1:2" x14ac:dyDescent="0.25">
      <c r="A303" s="67"/>
      <c r="B303" s="67"/>
    </row>
    <row r="304" spans="1:2" x14ac:dyDescent="0.25">
      <c r="A304" s="67"/>
      <c r="B304" s="67"/>
    </row>
    <row r="305" spans="1:2" x14ac:dyDescent="0.25">
      <c r="A305" s="67"/>
      <c r="B305" s="67"/>
    </row>
    <row r="306" spans="1:2" x14ac:dyDescent="0.25">
      <c r="A306" s="67"/>
      <c r="B306" s="67"/>
    </row>
    <row r="307" spans="1:2" x14ac:dyDescent="0.25">
      <c r="A307" s="67"/>
      <c r="B307" s="67"/>
    </row>
    <row r="308" spans="1:2" x14ac:dyDescent="0.25">
      <c r="A308" s="67"/>
      <c r="B308" s="67"/>
    </row>
    <row r="309" spans="1:2" x14ac:dyDescent="0.25">
      <c r="A309" s="67"/>
      <c r="B309" s="67"/>
    </row>
    <row r="310" spans="1:2" x14ac:dyDescent="0.25">
      <c r="A310" s="67"/>
      <c r="B310" s="67"/>
    </row>
    <row r="311" spans="1:2" x14ac:dyDescent="0.25">
      <c r="A311" s="67"/>
      <c r="B311" s="67"/>
    </row>
    <row r="312" spans="1:2" x14ac:dyDescent="0.25">
      <c r="A312" s="67"/>
      <c r="B312" s="67"/>
    </row>
    <row r="313" spans="1:2" x14ac:dyDescent="0.25">
      <c r="A313" s="67"/>
      <c r="B313" s="67"/>
    </row>
    <row r="314" spans="1:2" x14ac:dyDescent="0.25">
      <c r="A314" s="67"/>
      <c r="B314" s="67"/>
    </row>
    <row r="315" spans="1:2" x14ac:dyDescent="0.25">
      <c r="A315" s="67"/>
      <c r="B315" s="67"/>
    </row>
    <row r="316" spans="1:2" x14ac:dyDescent="0.25">
      <c r="A316" s="67"/>
      <c r="B316" s="67"/>
    </row>
    <row r="317" spans="1:2" x14ac:dyDescent="0.25">
      <c r="A317" s="67"/>
      <c r="B317" s="67"/>
    </row>
    <row r="318" spans="1:2" x14ac:dyDescent="0.25">
      <c r="A318" s="67"/>
      <c r="B318" s="67"/>
    </row>
    <row r="319" spans="1:2" x14ac:dyDescent="0.25">
      <c r="A319" s="67"/>
      <c r="B319" s="67"/>
    </row>
    <row r="320" spans="1:2" x14ac:dyDescent="0.25">
      <c r="A320" s="67"/>
      <c r="B320" s="67"/>
    </row>
    <row r="321" spans="1:2" x14ac:dyDescent="0.25">
      <c r="A321" s="67"/>
      <c r="B321" s="67"/>
    </row>
    <row r="322" spans="1:2" x14ac:dyDescent="0.25">
      <c r="A322" s="67"/>
      <c r="B322" s="67"/>
    </row>
    <row r="323" spans="1:2" x14ac:dyDescent="0.25">
      <c r="A323" s="67"/>
      <c r="B323" s="67"/>
    </row>
    <row r="324" spans="1:2" x14ac:dyDescent="0.25">
      <c r="A324" s="67"/>
      <c r="B324" s="67"/>
    </row>
    <row r="325" spans="1:2" x14ac:dyDescent="0.25">
      <c r="A325" s="67"/>
      <c r="B325" s="67"/>
    </row>
    <row r="326" spans="1:2" x14ac:dyDescent="0.25">
      <c r="A326" s="67"/>
      <c r="B326" s="67"/>
    </row>
    <row r="327" spans="1:2" x14ac:dyDescent="0.25">
      <c r="A327" s="67"/>
      <c r="B327" s="67"/>
    </row>
    <row r="328" spans="1:2" x14ac:dyDescent="0.25">
      <c r="A328" s="67"/>
      <c r="B328" s="67"/>
    </row>
    <row r="329" spans="1:2" x14ac:dyDescent="0.25">
      <c r="A329" s="67"/>
      <c r="B329" s="67"/>
    </row>
    <row r="330" spans="1:2" x14ac:dyDescent="0.25">
      <c r="A330" s="67"/>
      <c r="B330" s="67"/>
    </row>
    <row r="331" spans="1:2" x14ac:dyDescent="0.25">
      <c r="A331" s="67"/>
      <c r="B331" s="67"/>
    </row>
    <row r="332" spans="1:2" x14ac:dyDescent="0.25">
      <c r="A332" s="67"/>
      <c r="B332" s="67"/>
    </row>
    <row r="333" spans="1:2" x14ac:dyDescent="0.25">
      <c r="A333" s="67"/>
      <c r="B333" s="67"/>
    </row>
    <row r="334" spans="1:2" x14ac:dyDescent="0.25">
      <c r="A334" s="67"/>
      <c r="B334" s="67"/>
    </row>
    <row r="335" spans="1:2" x14ac:dyDescent="0.25">
      <c r="A335" s="67"/>
      <c r="B335" s="67"/>
    </row>
    <row r="336" spans="1:2" x14ac:dyDescent="0.25">
      <c r="A336" s="67"/>
      <c r="B336" s="67"/>
    </row>
    <row r="337" spans="1:2" x14ac:dyDescent="0.25">
      <c r="A337" s="67"/>
      <c r="B337" s="67"/>
    </row>
    <row r="338" spans="1:2" x14ac:dyDescent="0.25">
      <c r="A338" s="67"/>
      <c r="B338" s="67"/>
    </row>
    <row r="339" spans="1:2" x14ac:dyDescent="0.25">
      <c r="A339" s="67"/>
      <c r="B339" s="67"/>
    </row>
    <row r="340" spans="1:2" x14ac:dyDescent="0.25">
      <c r="A340" s="67"/>
      <c r="B340" s="67"/>
    </row>
    <row r="341" spans="1:2" x14ac:dyDescent="0.25">
      <c r="A341" s="67"/>
      <c r="B341" s="67"/>
    </row>
    <row r="342" spans="1:2" x14ac:dyDescent="0.25">
      <c r="A342" s="67"/>
      <c r="B342" s="67"/>
    </row>
    <row r="343" spans="1:2" x14ac:dyDescent="0.25">
      <c r="A343" s="67"/>
      <c r="B343" s="67"/>
    </row>
    <row r="344" spans="1:2" x14ac:dyDescent="0.25">
      <c r="A344" s="67"/>
      <c r="B344" s="67"/>
    </row>
    <row r="345" spans="1:2" x14ac:dyDescent="0.25">
      <c r="A345" s="67"/>
      <c r="B345" s="67"/>
    </row>
    <row r="346" spans="1:2" x14ac:dyDescent="0.25">
      <c r="A346" s="67"/>
      <c r="B346" s="67"/>
    </row>
    <row r="347" spans="1:2" x14ac:dyDescent="0.25">
      <c r="A347" s="67"/>
      <c r="B347" s="67"/>
    </row>
    <row r="348" spans="1:2" x14ac:dyDescent="0.25">
      <c r="A348" s="67"/>
      <c r="B348" s="67"/>
    </row>
    <row r="349" spans="1:2" x14ac:dyDescent="0.25">
      <c r="A349" s="67"/>
      <c r="B349" s="67"/>
    </row>
    <row r="350" spans="1:2" x14ac:dyDescent="0.25">
      <c r="A350" s="67"/>
      <c r="B350" s="67"/>
    </row>
    <row r="351" spans="1:2" x14ac:dyDescent="0.25">
      <c r="A351" s="67"/>
      <c r="B351" s="67"/>
    </row>
    <row r="352" spans="1:2" x14ac:dyDescent="0.25">
      <c r="A352" s="67"/>
      <c r="B352" s="67"/>
    </row>
    <row r="353" spans="1:2" x14ac:dyDescent="0.25">
      <c r="A353" s="67"/>
      <c r="B353" s="67"/>
    </row>
    <row r="354" spans="1:2" x14ac:dyDescent="0.25">
      <c r="A354" s="67"/>
      <c r="B354" s="67"/>
    </row>
    <row r="355" spans="1:2" x14ac:dyDescent="0.25">
      <c r="A355" s="67"/>
      <c r="B355" s="67"/>
    </row>
    <row r="356" spans="1:2" x14ac:dyDescent="0.25">
      <c r="A356" s="67"/>
      <c r="B356" s="67"/>
    </row>
    <row r="357" spans="1:2" x14ac:dyDescent="0.25">
      <c r="A357" s="67"/>
      <c r="B357" s="67"/>
    </row>
    <row r="358" spans="1:2" x14ac:dyDescent="0.25">
      <c r="A358" s="67"/>
      <c r="B358" s="67"/>
    </row>
    <row r="359" spans="1:2" x14ac:dyDescent="0.25">
      <c r="A359" s="67"/>
      <c r="B359" s="67"/>
    </row>
    <row r="360" spans="1:2" x14ac:dyDescent="0.25">
      <c r="A360" s="67"/>
      <c r="B360" s="67"/>
    </row>
    <row r="361" spans="1:2" x14ac:dyDescent="0.25">
      <c r="A361" s="67"/>
      <c r="B361" s="67"/>
    </row>
    <row r="362" spans="1:2" x14ac:dyDescent="0.25">
      <c r="A362" s="67"/>
      <c r="B362" s="67"/>
    </row>
    <row r="363" spans="1:2" x14ac:dyDescent="0.25">
      <c r="A363" s="67"/>
      <c r="B363" s="67"/>
    </row>
    <row r="364" spans="1:2" x14ac:dyDescent="0.25">
      <c r="A364" s="67"/>
      <c r="B364" s="67"/>
    </row>
    <row r="365" spans="1:2" x14ac:dyDescent="0.25">
      <c r="A365" s="67"/>
      <c r="B365" s="67"/>
    </row>
    <row r="366" spans="1:2" x14ac:dyDescent="0.25">
      <c r="A366" s="67"/>
      <c r="B366" s="67"/>
    </row>
    <row r="367" spans="1:2" x14ac:dyDescent="0.25">
      <c r="A367" s="67"/>
      <c r="B367" s="67"/>
    </row>
    <row r="368" spans="1:2" x14ac:dyDescent="0.25">
      <c r="A368" s="67"/>
      <c r="B368" s="67"/>
    </row>
    <row r="369" spans="1:2" x14ac:dyDescent="0.25">
      <c r="A369" s="67"/>
      <c r="B369" s="67"/>
    </row>
    <row r="370" spans="1:2" x14ac:dyDescent="0.25">
      <c r="A370" s="67"/>
      <c r="B370" s="67"/>
    </row>
    <row r="371" spans="1:2" x14ac:dyDescent="0.25">
      <c r="A371" s="67"/>
      <c r="B371" s="67"/>
    </row>
    <row r="372" spans="1:2" x14ac:dyDescent="0.25">
      <c r="A372" s="67"/>
      <c r="B372" s="67"/>
    </row>
    <row r="373" spans="1:2" x14ac:dyDescent="0.25">
      <c r="A373" s="67"/>
      <c r="B373" s="67"/>
    </row>
    <row r="374" spans="1:2" x14ac:dyDescent="0.25">
      <c r="A374" s="67"/>
      <c r="B374" s="67"/>
    </row>
    <row r="375" spans="1:2" x14ac:dyDescent="0.25">
      <c r="A375" s="67"/>
      <c r="B375" s="67"/>
    </row>
    <row r="376" spans="1:2" x14ac:dyDescent="0.25">
      <c r="A376" s="67"/>
      <c r="B376" s="67"/>
    </row>
    <row r="377" spans="1:2" x14ac:dyDescent="0.25">
      <c r="A377" s="67"/>
      <c r="B377" s="67"/>
    </row>
    <row r="378" spans="1:2" x14ac:dyDescent="0.25">
      <c r="A378" s="67"/>
      <c r="B378" s="67"/>
    </row>
    <row r="379" spans="1:2" x14ac:dyDescent="0.25">
      <c r="A379" s="67"/>
      <c r="B379" s="67"/>
    </row>
    <row r="380" spans="1:2" x14ac:dyDescent="0.25">
      <c r="A380" s="67"/>
      <c r="B380" s="67"/>
    </row>
    <row r="381" spans="1:2" x14ac:dyDescent="0.25">
      <c r="A381" s="67"/>
      <c r="B381" s="67"/>
    </row>
    <row r="382" spans="1:2" x14ac:dyDescent="0.25">
      <c r="A382" s="67"/>
      <c r="B382" s="67"/>
    </row>
    <row r="383" spans="1:2" x14ac:dyDescent="0.25">
      <c r="A383" s="67"/>
      <c r="B383" s="67"/>
    </row>
    <row r="384" spans="1:2" x14ac:dyDescent="0.25">
      <c r="A384" s="67"/>
      <c r="B384" s="67"/>
    </row>
    <row r="385" spans="1:2" x14ac:dyDescent="0.25">
      <c r="A385" s="67"/>
      <c r="B385" s="67"/>
    </row>
    <row r="386" spans="1:2" x14ac:dyDescent="0.25">
      <c r="A386" s="67"/>
      <c r="B386" s="67"/>
    </row>
    <row r="387" spans="1:2" x14ac:dyDescent="0.25">
      <c r="A387" s="67"/>
      <c r="B387" s="67"/>
    </row>
    <row r="388" spans="1:2" x14ac:dyDescent="0.25">
      <c r="A388" s="67"/>
      <c r="B388" s="67"/>
    </row>
    <row r="389" spans="1:2" x14ac:dyDescent="0.25">
      <c r="A389" s="67"/>
      <c r="B389" s="67"/>
    </row>
    <row r="390" spans="1:2" x14ac:dyDescent="0.25">
      <c r="A390" s="67"/>
      <c r="B390" s="67"/>
    </row>
    <row r="391" spans="1:2" x14ac:dyDescent="0.25">
      <c r="A391" s="67"/>
      <c r="B391" s="67"/>
    </row>
    <row r="392" spans="1:2" x14ac:dyDescent="0.25">
      <c r="A392" s="67"/>
      <c r="B392" s="67"/>
    </row>
    <row r="393" spans="1:2" x14ac:dyDescent="0.25">
      <c r="A393" s="67"/>
      <c r="B393" s="67"/>
    </row>
    <row r="394" spans="1:2" x14ac:dyDescent="0.25">
      <c r="A394" s="67"/>
      <c r="B394" s="67"/>
    </row>
    <row r="395" spans="1:2" x14ac:dyDescent="0.25">
      <c r="A395" s="67"/>
      <c r="B395" s="67"/>
    </row>
    <row r="396" spans="1:2" x14ac:dyDescent="0.25">
      <c r="A396" s="67"/>
      <c r="B396" s="67"/>
    </row>
    <row r="397" spans="1:2" x14ac:dyDescent="0.25">
      <c r="A397" s="67"/>
      <c r="B397" s="67"/>
    </row>
    <row r="398" spans="1:2" x14ac:dyDescent="0.25">
      <c r="A398" s="67"/>
      <c r="B398" s="67"/>
    </row>
    <row r="399" spans="1:2" x14ac:dyDescent="0.25">
      <c r="A399" s="67"/>
      <c r="B399" s="67"/>
    </row>
    <row r="400" spans="1:2" x14ac:dyDescent="0.25">
      <c r="A400" s="67"/>
      <c r="B400" s="67"/>
    </row>
    <row r="401" spans="1:2" x14ac:dyDescent="0.25">
      <c r="A401" s="67"/>
      <c r="B401" s="67"/>
    </row>
    <row r="402" spans="1:2" x14ac:dyDescent="0.25">
      <c r="A402" s="67"/>
      <c r="B402" s="67"/>
    </row>
    <row r="403" spans="1:2" x14ac:dyDescent="0.25">
      <c r="A403" s="67"/>
      <c r="B403" s="67"/>
    </row>
    <row r="404" spans="1:2" x14ac:dyDescent="0.25">
      <c r="A404" s="67"/>
      <c r="B404" s="67"/>
    </row>
    <row r="405" spans="1:2" x14ac:dyDescent="0.25">
      <c r="A405" s="67"/>
      <c r="B405" s="67"/>
    </row>
    <row r="406" spans="1:2" x14ac:dyDescent="0.25">
      <c r="A406" s="67"/>
      <c r="B406" s="67"/>
    </row>
    <row r="407" spans="1:2" x14ac:dyDescent="0.25">
      <c r="A407" s="67"/>
      <c r="B407" s="67"/>
    </row>
    <row r="408" spans="1:2" x14ac:dyDescent="0.25">
      <c r="A408" s="67"/>
      <c r="B408" s="67"/>
    </row>
    <row r="409" spans="1:2" x14ac:dyDescent="0.25">
      <c r="A409" s="67"/>
      <c r="B409" s="67"/>
    </row>
    <row r="410" spans="1:2" x14ac:dyDescent="0.25">
      <c r="A410" s="67"/>
      <c r="B410" s="67"/>
    </row>
    <row r="411" spans="1:2" x14ac:dyDescent="0.25">
      <c r="A411" s="67"/>
      <c r="B411" s="67"/>
    </row>
    <row r="412" spans="1:2" x14ac:dyDescent="0.25">
      <c r="A412" s="67"/>
      <c r="B412" s="67"/>
    </row>
    <row r="413" spans="1:2" x14ac:dyDescent="0.25">
      <c r="A413" s="67"/>
      <c r="B413" s="67"/>
    </row>
    <row r="414" spans="1:2" x14ac:dyDescent="0.25">
      <c r="A414" s="67"/>
      <c r="B414" s="67"/>
    </row>
    <row r="415" spans="1:2" x14ac:dyDescent="0.25">
      <c r="A415" s="67"/>
      <c r="B415" s="67"/>
    </row>
    <row r="416" spans="1:2" x14ac:dyDescent="0.25">
      <c r="A416" s="67"/>
      <c r="B416" s="67"/>
    </row>
    <row r="417" spans="1:2" x14ac:dyDescent="0.25">
      <c r="A417" s="67"/>
      <c r="B417" s="67"/>
    </row>
    <row r="418" spans="1:2" x14ac:dyDescent="0.25">
      <c r="A418" s="67"/>
      <c r="B418" s="67"/>
    </row>
    <row r="419" spans="1:2" x14ac:dyDescent="0.25">
      <c r="A419" s="67"/>
      <c r="B419" s="67"/>
    </row>
    <row r="420" spans="1:2" x14ac:dyDescent="0.25">
      <c r="A420" s="67"/>
      <c r="B420" s="67"/>
    </row>
    <row r="421" spans="1:2" x14ac:dyDescent="0.25">
      <c r="A421" s="67"/>
      <c r="B421" s="67"/>
    </row>
    <row r="422" spans="1:2" x14ac:dyDescent="0.25">
      <c r="A422" s="67"/>
      <c r="B422" s="67"/>
    </row>
    <row r="423" spans="1:2" x14ac:dyDescent="0.25">
      <c r="A423" s="67"/>
      <c r="B423" s="67"/>
    </row>
    <row r="424" spans="1:2" x14ac:dyDescent="0.25">
      <c r="A424" s="67"/>
      <c r="B424" s="67"/>
    </row>
    <row r="425" spans="1:2" x14ac:dyDescent="0.25">
      <c r="A425" s="67"/>
      <c r="B425" s="67"/>
    </row>
    <row r="426" spans="1:2" x14ac:dyDescent="0.25">
      <c r="A426" s="67"/>
      <c r="B426" s="67"/>
    </row>
    <row r="427" spans="1:2" x14ac:dyDescent="0.25">
      <c r="A427" s="67"/>
      <c r="B427" s="67"/>
    </row>
    <row r="428" spans="1:2" x14ac:dyDescent="0.25">
      <c r="A428" s="67"/>
      <c r="B428" s="67"/>
    </row>
    <row r="429" spans="1:2" x14ac:dyDescent="0.25">
      <c r="A429" s="67"/>
      <c r="B429" s="67"/>
    </row>
    <row r="430" spans="1:2" x14ac:dyDescent="0.25">
      <c r="A430" s="67"/>
      <c r="B430" s="67"/>
    </row>
    <row r="431" spans="1:2" x14ac:dyDescent="0.25">
      <c r="A431" s="67"/>
      <c r="B431" s="67"/>
    </row>
    <row r="432" spans="1:2" x14ac:dyDescent="0.25">
      <c r="A432" s="67"/>
      <c r="B432" s="67"/>
    </row>
    <row r="433" spans="1:2" x14ac:dyDescent="0.25">
      <c r="A433" s="67"/>
      <c r="B433" s="67"/>
    </row>
    <row r="434" spans="1:2" x14ac:dyDescent="0.25">
      <c r="A434" s="67"/>
      <c r="B434" s="67"/>
    </row>
    <row r="435" spans="1:2" x14ac:dyDescent="0.25">
      <c r="A435" s="67"/>
      <c r="B435" s="67"/>
    </row>
    <row r="436" spans="1:2" x14ac:dyDescent="0.25">
      <c r="A436" s="67"/>
      <c r="B436" s="67"/>
    </row>
    <row r="437" spans="1:2" x14ac:dyDescent="0.25">
      <c r="A437" s="67"/>
      <c r="B437" s="67"/>
    </row>
    <row r="438" spans="1:2" x14ac:dyDescent="0.25">
      <c r="A438" s="67"/>
      <c r="B438" s="67"/>
    </row>
    <row r="439" spans="1:2" x14ac:dyDescent="0.25">
      <c r="A439" s="67"/>
      <c r="B439" s="67"/>
    </row>
    <row r="440" spans="1:2" x14ac:dyDescent="0.25">
      <c r="A440" s="67"/>
      <c r="B440" s="67"/>
    </row>
    <row r="441" spans="1:2" x14ac:dyDescent="0.25">
      <c r="A441" s="67"/>
      <c r="B441" s="67"/>
    </row>
    <row r="442" spans="1:2" x14ac:dyDescent="0.25">
      <c r="A442" s="67"/>
      <c r="B442" s="67"/>
    </row>
    <row r="443" spans="1:2" x14ac:dyDescent="0.25">
      <c r="A443" s="67"/>
      <c r="B443" s="67"/>
    </row>
    <row r="444" spans="1:2" x14ac:dyDescent="0.25">
      <c r="A444" s="67"/>
      <c r="B444" s="67"/>
    </row>
    <row r="445" spans="1:2" x14ac:dyDescent="0.25">
      <c r="A445" s="67"/>
      <c r="B445" s="67"/>
    </row>
    <row r="446" spans="1:2" x14ac:dyDescent="0.25">
      <c r="A446" s="67"/>
      <c r="B446" s="67"/>
    </row>
    <row r="447" spans="1:2" x14ac:dyDescent="0.25">
      <c r="A447" s="67"/>
      <c r="B447" s="67"/>
    </row>
    <row r="448" spans="1:2" x14ac:dyDescent="0.25">
      <c r="A448" s="67"/>
      <c r="B448" s="67"/>
    </row>
    <row r="449" spans="1:2" x14ac:dyDescent="0.25">
      <c r="A449" s="67"/>
      <c r="B449" s="67"/>
    </row>
    <row r="450" spans="1:2" x14ac:dyDescent="0.25">
      <c r="A450" s="67"/>
      <c r="B450" s="67"/>
    </row>
    <row r="451" spans="1:2" x14ac:dyDescent="0.25">
      <c r="A451" s="67"/>
      <c r="B451" s="67"/>
    </row>
    <row r="452" spans="1:2" x14ac:dyDescent="0.25">
      <c r="A452" s="67"/>
      <c r="B452" s="67"/>
    </row>
    <row r="453" spans="1:2" x14ac:dyDescent="0.25">
      <c r="A453" s="67"/>
      <c r="B453" s="67"/>
    </row>
    <row r="454" spans="1:2" x14ac:dyDescent="0.25">
      <c r="A454" s="67"/>
      <c r="B454" s="67"/>
    </row>
    <row r="455" spans="1:2" x14ac:dyDescent="0.25">
      <c r="A455" s="67"/>
      <c r="B455" s="67"/>
    </row>
    <row r="456" spans="1:2" x14ac:dyDescent="0.25">
      <c r="A456" s="67"/>
      <c r="B456" s="67"/>
    </row>
    <row r="457" spans="1:2" x14ac:dyDescent="0.25">
      <c r="A457" s="67"/>
      <c r="B457" s="67"/>
    </row>
    <row r="458" spans="1:2" x14ac:dyDescent="0.25">
      <c r="A458" s="67"/>
      <c r="B458" s="67"/>
    </row>
    <row r="459" spans="1:2" x14ac:dyDescent="0.25">
      <c r="A459" s="67"/>
      <c r="B459" s="67"/>
    </row>
    <row r="460" spans="1:2" x14ac:dyDescent="0.25">
      <c r="A460" s="67"/>
      <c r="B460" s="67"/>
    </row>
    <row r="461" spans="1:2" x14ac:dyDescent="0.25">
      <c r="A461" s="67"/>
      <c r="B461" s="67"/>
    </row>
    <row r="462" spans="1:2" x14ac:dyDescent="0.25">
      <c r="A462" s="67"/>
      <c r="B462" s="67"/>
    </row>
    <row r="463" spans="1:2" x14ac:dyDescent="0.25">
      <c r="A463" s="67"/>
      <c r="B463" s="67"/>
    </row>
    <row r="464" spans="1:2" x14ac:dyDescent="0.25">
      <c r="A464" s="67"/>
      <c r="B464" s="67"/>
    </row>
    <row r="465" spans="1:2" x14ac:dyDescent="0.25">
      <c r="A465" s="67"/>
      <c r="B465" s="67"/>
    </row>
    <row r="466" spans="1:2" x14ac:dyDescent="0.25">
      <c r="A466" s="67"/>
      <c r="B466" s="67"/>
    </row>
    <row r="467" spans="1:2" x14ac:dyDescent="0.25">
      <c r="A467" s="67"/>
      <c r="B467" s="67"/>
    </row>
    <row r="468" spans="1:2" x14ac:dyDescent="0.25">
      <c r="A468" s="67"/>
      <c r="B468" s="67"/>
    </row>
    <row r="469" spans="1:2" x14ac:dyDescent="0.25">
      <c r="A469" s="67"/>
      <c r="B469" s="67"/>
    </row>
    <row r="470" spans="1:2" x14ac:dyDescent="0.25">
      <c r="A470" s="67"/>
      <c r="B470" s="67"/>
    </row>
    <row r="471" spans="1:2" x14ac:dyDescent="0.25">
      <c r="A471" s="67"/>
      <c r="B471" s="67"/>
    </row>
    <row r="472" spans="1:2" x14ac:dyDescent="0.25">
      <c r="A472" s="67"/>
      <c r="B472" s="67"/>
    </row>
    <row r="473" spans="1:2" x14ac:dyDescent="0.25">
      <c r="A473" s="67"/>
      <c r="B473" s="67"/>
    </row>
    <row r="474" spans="1:2" x14ac:dyDescent="0.25">
      <c r="A474" s="67"/>
      <c r="B474" s="67"/>
    </row>
    <row r="475" spans="1:2" x14ac:dyDescent="0.25">
      <c r="A475" s="67"/>
      <c r="B475" s="67"/>
    </row>
    <row r="476" spans="1:2" x14ac:dyDescent="0.25">
      <c r="A476" s="67"/>
      <c r="B476" s="67"/>
    </row>
    <row r="477" spans="1:2" x14ac:dyDescent="0.25">
      <c r="A477" s="67"/>
      <c r="B477" s="67"/>
    </row>
    <row r="478" spans="1:2" x14ac:dyDescent="0.25">
      <c r="A478" s="67"/>
      <c r="B478" s="67"/>
    </row>
    <row r="479" spans="1:2" x14ac:dyDescent="0.25">
      <c r="A479" s="67"/>
      <c r="B479" s="67"/>
    </row>
    <row r="480" spans="1:2" x14ac:dyDescent="0.25">
      <c r="A480" s="67"/>
      <c r="B480" s="67"/>
    </row>
    <row r="481" spans="1:2" x14ac:dyDescent="0.25">
      <c r="A481" s="67"/>
      <c r="B481" s="67"/>
    </row>
    <row r="482" spans="1:2" x14ac:dyDescent="0.25">
      <c r="A482" s="67"/>
      <c r="B482" s="67"/>
    </row>
    <row r="483" spans="1:2" x14ac:dyDescent="0.25">
      <c r="A483" s="67"/>
      <c r="B483" s="67"/>
    </row>
    <row r="484" spans="1:2" x14ac:dyDescent="0.25">
      <c r="A484" s="67"/>
      <c r="B484" s="67"/>
    </row>
    <row r="485" spans="1:2" x14ac:dyDescent="0.25">
      <c r="A485" s="67"/>
      <c r="B485" s="67"/>
    </row>
    <row r="486" spans="1:2" x14ac:dyDescent="0.25">
      <c r="A486" s="67"/>
      <c r="B486" s="67"/>
    </row>
    <row r="487" spans="1:2" x14ac:dyDescent="0.25">
      <c r="A487" s="67"/>
      <c r="B487" s="67"/>
    </row>
    <row r="488" spans="1:2" x14ac:dyDescent="0.25">
      <c r="A488" s="67"/>
      <c r="B488" s="67"/>
    </row>
    <row r="489" spans="1:2" x14ac:dyDescent="0.25">
      <c r="A489" s="67"/>
      <c r="B489" s="67"/>
    </row>
    <row r="490" spans="1:2" x14ac:dyDescent="0.25">
      <c r="A490" s="67"/>
      <c r="B490" s="67"/>
    </row>
    <row r="491" spans="1:2" x14ac:dyDescent="0.25">
      <c r="A491" s="67"/>
      <c r="B491" s="67"/>
    </row>
    <row r="492" spans="1:2" x14ac:dyDescent="0.25">
      <c r="A492" s="67"/>
      <c r="B492" s="67"/>
    </row>
    <row r="493" spans="1:2" x14ac:dyDescent="0.25">
      <c r="A493" s="67"/>
      <c r="B493" s="67"/>
    </row>
    <row r="494" spans="1:2" x14ac:dyDescent="0.25">
      <c r="A494" s="67"/>
      <c r="B494" s="67"/>
    </row>
    <row r="495" spans="1:2" x14ac:dyDescent="0.25">
      <c r="A495" s="67"/>
      <c r="B495" s="67"/>
    </row>
    <row r="496" spans="1:2" x14ac:dyDescent="0.25">
      <c r="A496" s="67"/>
      <c r="B496" s="67"/>
    </row>
    <row r="497" spans="1:2" x14ac:dyDescent="0.25">
      <c r="A497" s="67"/>
      <c r="B497" s="67"/>
    </row>
    <row r="498" spans="1:2" x14ac:dyDescent="0.25">
      <c r="A498" s="67"/>
      <c r="B498" s="67"/>
    </row>
    <row r="499" spans="1:2" x14ac:dyDescent="0.25">
      <c r="A499" s="67"/>
      <c r="B499" s="67"/>
    </row>
    <row r="500" spans="1:2" x14ac:dyDescent="0.25">
      <c r="A500" s="67"/>
      <c r="B500" s="67"/>
    </row>
    <row r="501" spans="1:2" x14ac:dyDescent="0.25">
      <c r="A501" s="67"/>
      <c r="B501" s="67"/>
    </row>
    <row r="502" spans="1:2" x14ac:dyDescent="0.25">
      <c r="A502" s="67"/>
      <c r="B502" s="67"/>
    </row>
    <row r="503" spans="1:2" x14ac:dyDescent="0.25">
      <c r="A503" s="67"/>
      <c r="B503" s="67"/>
    </row>
    <row r="504" spans="1:2" x14ac:dyDescent="0.25">
      <c r="A504" s="67"/>
      <c r="B504" s="67"/>
    </row>
    <row r="505" spans="1:2" x14ac:dyDescent="0.25">
      <c r="A505" s="67"/>
      <c r="B505" s="67"/>
    </row>
    <row r="506" spans="1:2" x14ac:dyDescent="0.25">
      <c r="A506" s="67"/>
      <c r="B506" s="67"/>
    </row>
    <row r="507" spans="1:2" x14ac:dyDescent="0.25">
      <c r="A507" s="67"/>
      <c r="B507" s="67"/>
    </row>
    <row r="508" spans="1:2" x14ac:dyDescent="0.25">
      <c r="A508" s="67"/>
      <c r="B508" s="67"/>
    </row>
    <row r="509" spans="1:2" x14ac:dyDescent="0.25">
      <c r="A509" s="67"/>
      <c r="B509" s="67"/>
    </row>
    <row r="510" spans="1:2" x14ac:dyDescent="0.25">
      <c r="A510" s="67"/>
      <c r="B510" s="67"/>
    </row>
    <row r="511" spans="1:2" x14ac:dyDescent="0.25">
      <c r="A511" s="67"/>
      <c r="B511" s="67"/>
    </row>
    <row r="512" spans="1:2" x14ac:dyDescent="0.25">
      <c r="A512" s="67"/>
      <c r="B512" s="67"/>
    </row>
    <row r="513" spans="1:2" x14ac:dyDescent="0.25">
      <c r="A513" s="67"/>
      <c r="B513" s="67"/>
    </row>
    <row r="514" spans="1:2" x14ac:dyDescent="0.25">
      <c r="A514" s="67"/>
      <c r="B514" s="67"/>
    </row>
    <row r="515" spans="1:2" x14ac:dyDescent="0.25">
      <c r="A515" s="67"/>
      <c r="B515" s="67"/>
    </row>
    <row r="516" spans="1:2" x14ac:dyDescent="0.25">
      <c r="A516" s="67"/>
      <c r="B516" s="67"/>
    </row>
    <row r="517" spans="1:2" x14ac:dyDescent="0.25">
      <c r="A517" s="67"/>
      <c r="B517" s="67"/>
    </row>
    <row r="518" spans="1:2" x14ac:dyDescent="0.25">
      <c r="A518" s="67"/>
      <c r="B518" s="67"/>
    </row>
    <row r="519" spans="1:2" x14ac:dyDescent="0.25">
      <c r="A519" s="67"/>
      <c r="B519" s="67"/>
    </row>
    <row r="520" spans="1:2" x14ac:dyDescent="0.25">
      <c r="A520" s="67"/>
      <c r="B520" s="67"/>
    </row>
    <row r="521" spans="1:2" x14ac:dyDescent="0.25">
      <c r="A521" s="67"/>
      <c r="B521" s="67"/>
    </row>
    <row r="522" spans="1:2" x14ac:dyDescent="0.25">
      <c r="A522" s="67"/>
      <c r="B522" s="67"/>
    </row>
    <row r="523" spans="1:2" x14ac:dyDescent="0.25">
      <c r="A523" s="67"/>
      <c r="B523" s="67"/>
    </row>
    <row r="524" spans="1:2" x14ac:dyDescent="0.25">
      <c r="A524" s="67"/>
      <c r="B524" s="67"/>
    </row>
    <row r="525" spans="1:2" x14ac:dyDescent="0.25">
      <c r="A525" s="67"/>
      <c r="B525" s="67"/>
    </row>
    <row r="526" spans="1:2" x14ac:dyDescent="0.25">
      <c r="A526" s="67"/>
      <c r="B526" s="67"/>
    </row>
    <row r="527" spans="1:2" x14ac:dyDescent="0.25">
      <c r="A527" s="67"/>
      <c r="B527" s="67"/>
    </row>
    <row r="528" spans="1:2" x14ac:dyDescent="0.25">
      <c r="A528" s="67"/>
      <c r="B528" s="67"/>
    </row>
    <row r="529" spans="1:2" x14ac:dyDescent="0.25">
      <c r="A529" s="67"/>
      <c r="B529" s="67"/>
    </row>
    <row r="530" spans="1:2" x14ac:dyDescent="0.25">
      <c r="A530" s="67"/>
      <c r="B530" s="67"/>
    </row>
    <row r="531" spans="1:2" x14ac:dyDescent="0.25">
      <c r="A531" s="67"/>
      <c r="B531" s="67"/>
    </row>
    <row r="532" spans="1:2" x14ac:dyDescent="0.25">
      <c r="A532" s="67"/>
      <c r="B532" s="67"/>
    </row>
    <row r="533" spans="1:2" x14ac:dyDescent="0.25">
      <c r="A533" s="67"/>
      <c r="B533" s="67"/>
    </row>
    <row r="534" spans="1:2" x14ac:dyDescent="0.25">
      <c r="A534" s="67"/>
      <c r="B534" s="67"/>
    </row>
    <row r="535" spans="1:2" x14ac:dyDescent="0.25">
      <c r="A535" s="67"/>
      <c r="B535" s="67"/>
    </row>
    <row r="536" spans="1:2" x14ac:dyDescent="0.25">
      <c r="A536" s="67"/>
      <c r="B536" s="67"/>
    </row>
    <row r="537" spans="1:2" x14ac:dyDescent="0.25">
      <c r="A537" s="67"/>
      <c r="B537" s="67"/>
    </row>
    <row r="538" spans="1:2" x14ac:dyDescent="0.25">
      <c r="A538" s="67"/>
      <c r="B538" s="67"/>
    </row>
    <row r="539" spans="1:2" x14ac:dyDescent="0.25">
      <c r="A539" s="67"/>
      <c r="B539" s="67"/>
    </row>
    <row r="540" spans="1:2" x14ac:dyDescent="0.25">
      <c r="A540" s="67"/>
      <c r="B540" s="67"/>
    </row>
    <row r="541" spans="1:2" x14ac:dyDescent="0.25">
      <c r="A541" s="67"/>
      <c r="B541" s="67"/>
    </row>
    <row r="542" spans="1:2" x14ac:dyDescent="0.25">
      <c r="A542" s="67"/>
      <c r="B542" s="67"/>
    </row>
    <row r="543" spans="1:2" x14ac:dyDescent="0.25">
      <c r="A543" s="67"/>
      <c r="B543" s="67"/>
    </row>
    <row r="544" spans="1:2" x14ac:dyDescent="0.25">
      <c r="A544" s="67"/>
      <c r="B544" s="67"/>
    </row>
    <row r="545" spans="1:2" x14ac:dyDescent="0.25">
      <c r="A545" s="67"/>
      <c r="B545" s="67"/>
    </row>
    <row r="546" spans="1:2" x14ac:dyDescent="0.25">
      <c r="A546" s="67"/>
      <c r="B546" s="67"/>
    </row>
    <row r="547" spans="1:2" x14ac:dyDescent="0.25">
      <c r="A547" s="67"/>
      <c r="B547" s="67"/>
    </row>
    <row r="548" spans="1:2" x14ac:dyDescent="0.25">
      <c r="A548" s="67"/>
      <c r="B548" s="67"/>
    </row>
    <row r="549" spans="1:2" x14ac:dyDescent="0.25">
      <c r="A549" s="67"/>
      <c r="B549" s="67"/>
    </row>
    <row r="550" spans="1:2" x14ac:dyDescent="0.25">
      <c r="A550" s="67"/>
      <c r="B550" s="67"/>
    </row>
    <row r="551" spans="1:2" x14ac:dyDescent="0.25">
      <c r="A551" s="67"/>
      <c r="B551" s="67"/>
    </row>
    <row r="552" spans="1:2" x14ac:dyDescent="0.25">
      <c r="A552" s="67"/>
      <c r="B552" s="67"/>
    </row>
    <row r="553" spans="1:2" x14ac:dyDescent="0.25">
      <c r="A553" s="67"/>
      <c r="B553" s="67"/>
    </row>
    <row r="554" spans="1:2" x14ac:dyDescent="0.25">
      <c r="A554" s="67"/>
      <c r="B554" s="67"/>
    </row>
    <row r="555" spans="1:2" x14ac:dyDescent="0.25">
      <c r="A555" s="67"/>
      <c r="B555" s="67"/>
    </row>
    <row r="556" spans="1:2" x14ac:dyDescent="0.25">
      <c r="A556" s="67"/>
      <c r="B556" s="67"/>
    </row>
    <row r="557" spans="1:2" x14ac:dyDescent="0.25">
      <c r="A557" s="67"/>
      <c r="B557" s="67"/>
    </row>
    <row r="558" spans="1:2" x14ac:dyDescent="0.25">
      <c r="A558" s="67"/>
      <c r="B558" s="67"/>
    </row>
    <row r="559" spans="1:2" x14ac:dyDescent="0.25">
      <c r="A559" s="67"/>
      <c r="B559" s="67"/>
    </row>
    <row r="560" spans="1:2" x14ac:dyDescent="0.25">
      <c r="A560" s="67"/>
      <c r="B560" s="67"/>
    </row>
    <row r="561" spans="1:2" x14ac:dyDescent="0.25">
      <c r="A561" s="67"/>
      <c r="B561" s="67"/>
    </row>
    <row r="562" spans="1:2" x14ac:dyDescent="0.25">
      <c r="A562" s="67"/>
      <c r="B562" s="67"/>
    </row>
    <row r="563" spans="1:2" x14ac:dyDescent="0.25">
      <c r="A563" s="67"/>
      <c r="B563" s="67"/>
    </row>
    <row r="564" spans="1:2" x14ac:dyDescent="0.25">
      <c r="A564" s="67"/>
      <c r="B564" s="67"/>
    </row>
    <row r="565" spans="1:2" x14ac:dyDescent="0.25">
      <c r="A565" s="67"/>
      <c r="B565" s="67"/>
    </row>
    <row r="566" spans="1:2" x14ac:dyDescent="0.25">
      <c r="A566" s="67"/>
      <c r="B566" s="67"/>
    </row>
    <row r="567" spans="1:2" x14ac:dyDescent="0.25">
      <c r="A567" s="67"/>
      <c r="B567" s="67"/>
    </row>
    <row r="568" spans="1:2" x14ac:dyDescent="0.25">
      <c r="A568" s="67"/>
      <c r="B568" s="67"/>
    </row>
    <row r="569" spans="1:2" x14ac:dyDescent="0.25">
      <c r="A569" s="67"/>
      <c r="B569" s="67"/>
    </row>
    <row r="570" spans="1:2" x14ac:dyDescent="0.25">
      <c r="A570" s="67"/>
      <c r="B570" s="67"/>
    </row>
    <row r="571" spans="1:2" x14ac:dyDescent="0.25">
      <c r="A571" s="67"/>
      <c r="B571" s="67"/>
    </row>
    <row r="572" spans="1:2" x14ac:dyDescent="0.25">
      <c r="A572" s="67"/>
      <c r="B572" s="67"/>
    </row>
    <row r="573" spans="1:2" x14ac:dyDescent="0.25">
      <c r="A573" s="67"/>
      <c r="B573" s="67"/>
    </row>
    <row r="574" spans="1:2" x14ac:dyDescent="0.25">
      <c r="A574" s="67"/>
      <c r="B574" s="67"/>
    </row>
    <row r="575" spans="1:2" x14ac:dyDescent="0.25">
      <c r="A575" s="67"/>
      <c r="B575" s="67"/>
    </row>
    <row r="576" spans="1:2" x14ac:dyDescent="0.25">
      <c r="A576" s="67"/>
      <c r="B576" s="67"/>
    </row>
    <row r="577" spans="1:2" x14ac:dyDescent="0.25">
      <c r="A577" s="67"/>
      <c r="B577" s="67"/>
    </row>
    <row r="578" spans="1:2" x14ac:dyDescent="0.25">
      <c r="A578" s="67"/>
      <c r="B578" s="67"/>
    </row>
    <row r="579" spans="1:2" x14ac:dyDescent="0.25">
      <c r="A579" s="67"/>
      <c r="B579" s="67"/>
    </row>
    <row r="580" spans="1:2" x14ac:dyDescent="0.25">
      <c r="A580" s="67"/>
      <c r="B580" s="67"/>
    </row>
    <row r="581" spans="1:2" x14ac:dyDescent="0.25">
      <c r="A581" s="67"/>
      <c r="B581" s="67"/>
    </row>
    <row r="582" spans="1:2" x14ac:dyDescent="0.25">
      <c r="A582" s="67"/>
      <c r="B582" s="67"/>
    </row>
    <row r="583" spans="1:2" x14ac:dyDescent="0.25">
      <c r="A583" s="67"/>
      <c r="B583" s="67"/>
    </row>
    <row r="584" spans="1:2" x14ac:dyDescent="0.25">
      <c r="A584" s="67"/>
      <c r="B584" s="67"/>
    </row>
    <row r="585" spans="1:2" x14ac:dyDescent="0.25">
      <c r="A585" s="67"/>
      <c r="B585" s="67"/>
    </row>
    <row r="586" spans="1:2" x14ac:dyDescent="0.25">
      <c r="A586" s="67"/>
      <c r="B586" s="67"/>
    </row>
    <row r="587" spans="1:2" x14ac:dyDescent="0.25">
      <c r="A587" s="67"/>
      <c r="B587" s="67"/>
    </row>
    <row r="588" spans="1:2" x14ac:dyDescent="0.25">
      <c r="A588" s="67"/>
      <c r="B588" s="67"/>
    </row>
    <row r="589" spans="1:2" x14ac:dyDescent="0.25">
      <c r="A589" s="67"/>
      <c r="B589" s="67"/>
    </row>
    <row r="590" spans="1:2" x14ac:dyDescent="0.25">
      <c r="A590" s="67"/>
      <c r="B590" s="67"/>
    </row>
    <row r="591" spans="1:2" x14ac:dyDescent="0.25">
      <c r="A591" s="67"/>
      <c r="B591" s="67"/>
    </row>
    <row r="592" spans="1:2" x14ac:dyDescent="0.25">
      <c r="A592" s="67"/>
      <c r="B592" s="67"/>
    </row>
    <row r="593" spans="1:2" x14ac:dyDescent="0.25">
      <c r="A593" s="67"/>
      <c r="B593" s="67"/>
    </row>
    <row r="594" spans="1:2" x14ac:dyDescent="0.25">
      <c r="A594" s="67"/>
      <c r="B594" s="67"/>
    </row>
    <row r="595" spans="1:2" x14ac:dyDescent="0.25">
      <c r="A595" s="67"/>
      <c r="B595" s="67"/>
    </row>
    <row r="596" spans="1:2" x14ac:dyDescent="0.25">
      <c r="A596" s="67"/>
      <c r="B596" s="67"/>
    </row>
    <row r="597" spans="1:2" x14ac:dyDescent="0.25">
      <c r="A597" s="67"/>
      <c r="B597" s="67"/>
    </row>
    <row r="598" spans="1:2" x14ac:dyDescent="0.25">
      <c r="A598" s="67"/>
      <c r="B598" s="67"/>
    </row>
    <row r="599" spans="1:2" x14ac:dyDescent="0.25">
      <c r="A599" s="67"/>
      <c r="B599" s="67"/>
    </row>
    <row r="600" spans="1:2" x14ac:dyDescent="0.25">
      <c r="A600" s="67"/>
      <c r="B600" s="67"/>
    </row>
    <row r="601" spans="1:2" x14ac:dyDescent="0.25">
      <c r="A601" s="67"/>
      <c r="B601" s="67"/>
    </row>
    <row r="602" spans="1:2" x14ac:dyDescent="0.25">
      <c r="A602" s="67"/>
      <c r="B602" s="67"/>
    </row>
    <row r="603" spans="1:2" x14ac:dyDescent="0.25">
      <c r="A603" s="67"/>
      <c r="B603" s="67"/>
    </row>
    <row r="604" spans="1:2" x14ac:dyDescent="0.25">
      <c r="A604" s="67"/>
      <c r="B604" s="67"/>
    </row>
    <row r="605" spans="1:2" x14ac:dyDescent="0.25">
      <c r="A605" s="67"/>
      <c r="B605" s="67"/>
    </row>
    <row r="606" spans="1:2" x14ac:dyDescent="0.25">
      <c r="A606" s="67"/>
      <c r="B606" s="67"/>
    </row>
    <row r="607" spans="1:2" x14ac:dyDescent="0.25">
      <c r="A607" s="67"/>
      <c r="B607" s="67"/>
    </row>
    <row r="608" spans="1:2" x14ac:dyDescent="0.25">
      <c r="A608" s="67"/>
      <c r="B608" s="67"/>
    </row>
    <row r="609" spans="1:2" x14ac:dyDescent="0.25">
      <c r="A609" s="67"/>
      <c r="B609" s="67"/>
    </row>
    <row r="610" spans="1:2" x14ac:dyDescent="0.25">
      <c r="A610" s="67"/>
      <c r="B610" s="67"/>
    </row>
    <row r="611" spans="1:2" x14ac:dyDescent="0.25">
      <c r="A611" s="67"/>
      <c r="B611" s="67"/>
    </row>
    <row r="612" spans="1:2" x14ac:dyDescent="0.25">
      <c r="A612" s="67"/>
      <c r="B612" s="67"/>
    </row>
    <row r="613" spans="1:2" x14ac:dyDescent="0.25">
      <c r="A613" s="67"/>
      <c r="B613" s="67"/>
    </row>
    <row r="614" spans="1:2" x14ac:dyDescent="0.25">
      <c r="A614" s="67"/>
      <c r="B614" s="67"/>
    </row>
    <row r="615" spans="1:2" x14ac:dyDescent="0.25">
      <c r="A615" s="67"/>
      <c r="B615" s="67"/>
    </row>
    <row r="616" spans="1:2" x14ac:dyDescent="0.25">
      <c r="A616" s="67"/>
      <c r="B616" s="67"/>
    </row>
    <row r="617" spans="1:2" x14ac:dyDescent="0.25">
      <c r="A617" s="67"/>
      <c r="B617" s="67"/>
    </row>
    <row r="618" spans="1:2" x14ac:dyDescent="0.25">
      <c r="A618" s="67"/>
      <c r="B618" s="67"/>
    </row>
    <row r="619" spans="1:2" x14ac:dyDescent="0.25">
      <c r="A619" s="67"/>
      <c r="B619" s="67"/>
    </row>
    <row r="620" spans="1:2" x14ac:dyDescent="0.25">
      <c r="A620" s="67"/>
      <c r="B620" s="67"/>
    </row>
    <row r="621" spans="1:2" x14ac:dyDescent="0.25">
      <c r="A621" s="67"/>
      <c r="B621" s="67"/>
    </row>
    <row r="622" spans="1:2" x14ac:dyDescent="0.25">
      <c r="A622" s="67"/>
      <c r="B622" s="67"/>
    </row>
    <row r="623" spans="1:2" x14ac:dyDescent="0.25">
      <c r="A623" s="67"/>
      <c r="B623" s="67"/>
    </row>
    <row r="624" spans="1:2" x14ac:dyDescent="0.25">
      <c r="A624" s="67"/>
      <c r="B624" s="67"/>
    </row>
    <row r="625" spans="1:2" x14ac:dyDescent="0.25">
      <c r="A625" s="67"/>
      <c r="B625" s="67"/>
    </row>
    <row r="626" spans="1:2" x14ac:dyDescent="0.25">
      <c r="A626" s="67"/>
      <c r="B626" s="67"/>
    </row>
    <row r="627" spans="1:2" x14ac:dyDescent="0.25">
      <c r="A627" s="67"/>
      <c r="B627" s="67"/>
    </row>
    <row r="628" spans="1:2" x14ac:dyDescent="0.25">
      <c r="A628" s="67"/>
      <c r="B628" s="67"/>
    </row>
    <row r="629" spans="1:2" x14ac:dyDescent="0.25">
      <c r="A629" s="67"/>
      <c r="B629" s="67"/>
    </row>
    <row r="630" spans="1:2" x14ac:dyDescent="0.25">
      <c r="A630" s="67"/>
      <c r="B630" s="67"/>
    </row>
    <row r="631" spans="1:2" x14ac:dyDescent="0.25">
      <c r="A631" s="67"/>
      <c r="B631" s="67"/>
    </row>
    <row r="632" spans="1:2" x14ac:dyDescent="0.25">
      <c r="A632" s="67"/>
      <c r="B632" s="67"/>
    </row>
    <row r="633" spans="1:2" x14ac:dyDescent="0.25">
      <c r="A633" s="67"/>
      <c r="B633" s="67"/>
    </row>
    <row r="634" spans="1:2" x14ac:dyDescent="0.25">
      <c r="A634" s="67"/>
      <c r="B634" s="67"/>
    </row>
    <row r="635" spans="1:2" x14ac:dyDescent="0.25">
      <c r="A635" s="67"/>
      <c r="B635" s="67"/>
    </row>
    <row r="636" spans="1:2" x14ac:dyDescent="0.25">
      <c r="A636" s="67"/>
      <c r="B636" s="67"/>
    </row>
    <row r="637" spans="1:2" x14ac:dyDescent="0.25">
      <c r="A637" s="67"/>
      <c r="B637" s="67"/>
    </row>
    <row r="638" spans="1:2" x14ac:dyDescent="0.25">
      <c r="A638" s="67"/>
      <c r="B638" s="67"/>
    </row>
    <row r="639" spans="1:2" x14ac:dyDescent="0.25">
      <c r="A639" s="67"/>
      <c r="B639" s="67"/>
    </row>
    <row r="640" spans="1:2" x14ac:dyDescent="0.25">
      <c r="A640" s="67"/>
      <c r="B640" s="67"/>
    </row>
    <row r="641" spans="1:2" x14ac:dyDescent="0.25">
      <c r="A641" s="67"/>
      <c r="B641" s="67"/>
    </row>
    <row r="642" spans="1:2" x14ac:dyDescent="0.25">
      <c r="A642" s="67"/>
      <c r="B642" s="67"/>
    </row>
    <row r="643" spans="1:2" x14ac:dyDescent="0.25">
      <c r="A643" s="67"/>
      <c r="B643" s="67"/>
    </row>
    <row r="644" spans="1:2" x14ac:dyDescent="0.25">
      <c r="A644" s="67"/>
      <c r="B644" s="67"/>
    </row>
    <row r="645" spans="1:2" x14ac:dyDescent="0.25">
      <c r="A645" s="67"/>
      <c r="B645" s="67"/>
    </row>
    <row r="646" spans="1:2" x14ac:dyDescent="0.25">
      <c r="A646" s="67"/>
      <c r="B646" s="67"/>
    </row>
    <row r="647" spans="1:2" x14ac:dyDescent="0.25">
      <c r="A647" s="67"/>
      <c r="B647" s="67"/>
    </row>
    <row r="648" spans="1:2" x14ac:dyDescent="0.25">
      <c r="A648" s="67"/>
      <c r="B648" s="67"/>
    </row>
    <row r="649" spans="1:2" x14ac:dyDescent="0.25">
      <c r="A649" s="67"/>
      <c r="B649" s="67"/>
    </row>
    <row r="650" spans="1:2" x14ac:dyDescent="0.25">
      <c r="A650" s="67"/>
      <c r="B650" s="67"/>
    </row>
    <row r="651" spans="1:2" x14ac:dyDescent="0.25">
      <c r="A651" s="67"/>
      <c r="B651" s="67"/>
    </row>
    <row r="652" spans="1:2" x14ac:dyDescent="0.25">
      <c r="A652" s="67"/>
      <c r="B652" s="67"/>
    </row>
    <row r="653" spans="1:2" x14ac:dyDescent="0.25">
      <c r="A653" s="67"/>
      <c r="B653" s="67"/>
    </row>
    <row r="654" spans="1:2" x14ac:dyDescent="0.25">
      <c r="A654" s="67"/>
      <c r="B654" s="67"/>
    </row>
    <row r="655" spans="1:2" x14ac:dyDescent="0.25">
      <c r="A655" s="67"/>
      <c r="B655" s="67"/>
    </row>
    <row r="656" spans="1:2" x14ac:dyDescent="0.25">
      <c r="A656" s="67"/>
      <c r="B656" s="67"/>
    </row>
    <row r="657" spans="1:2" x14ac:dyDescent="0.25">
      <c r="A657" s="67"/>
      <c r="B657" s="67"/>
    </row>
    <row r="658" spans="1:2" x14ac:dyDescent="0.25">
      <c r="A658" s="67"/>
      <c r="B658" s="67"/>
    </row>
    <row r="659" spans="1:2" x14ac:dyDescent="0.25">
      <c r="A659" s="67"/>
      <c r="B659" s="67"/>
    </row>
    <row r="660" spans="1:2" x14ac:dyDescent="0.25">
      <c r="A660" s="67"/>
      <c r="B660" s="67"/>
    </row>
    <row r="661" spans="1:2" x14ac:dyDescent="0.25">
      <c r="A661" s="67"/>
      <c r="B661" s="67"/>
    </row>
    <row r="662" spans="1:2" x14ac:dyDescent="0.25">
      <c r="A662" s="67"/>
      <c r="B662" s="67"/>
    </row>
    <row r="663" spans="1:2" x14ac:dyDescent="0.25">
      <c r="A663" s="67"/>
      <c r="B663" s="67"/>
    </row>
    <row r="664" spans="1:2" x14ac:dyDescent="0.25">
      <c r="A664" s="67"/>
      <c r="B664" s="67"/>
    </row>
    <row r="665" spans="1:2" x14ac:dyDescent="0.25">
      <c r="A665" s="67"/>
      <c r="B665" s="67"/>
    </row>
    <row r="666" spans="1:2" x14ac:dyDescent="0.25">
      <c r="A666" s="67"/>
      <c r="B666" s="67"/>
    </row>
    <row r="667" spans="1:2" x14ac:dyDescent="0.25">
      <c r="A667" s="67"/>
      <c r="B667" s="67"/>
    </row>
    <row r="668" spans="1:2" x14ac:dyDescent="0.25">
      <c r="A668" s="67"/>
      <c r="B668" s="67"/>
    </row>
    <row r="669" spans="1:2" x14ac:dyDescent="0.25">
      <c r="A669" s="67"/>
      <c r="B669" s="67"/>
    </row>
    <row r="670" spans="1:2" x14ac:dyDescent="0.25">
      <c r="A670" s="67"/>
      <c r="B670" s="67"/>
    </row>
    <row r="671" spans="1:2" x14ac:dyDescent="0.25">
      <c r="A671" s="67"/>
      <c r="B671" s="67"/>
    </row>
    <row r="672" spans="1:2" x14ac:dyDescent="0.25">
      <c r="A672" s="67"/>
      <c r="B672" s="67"/>
    </row>
    <row r="673" spans="1:2" x14ac:dyDescent="0.25">
      <c r="A673" s="67"/>
      <c r="B673" s="67"/>
    </row>
    <row r="674" spans="1:2" x14ac:dyDescent="0.25">
      <c r="A674" s="67"/>
      <c r="B674" s="67"/>
    </row>
    <row r="675" spans="1:2" x14ac:dyDescent="0.25">
      <c r="A675" s="67"/>
      <c r="B675" s="67"/>
    </row>
    <row r="676" spans="1:2" x14ac:dyDescent="0.25">
      <c r="A676" s="67"/>
      <c r="B676" s="67"/>
    </row>
    <row r="677" spans="1:2" x14ac:dyDescent="0.25">
      <c r="A677" s="67"/>
      <c r="B677" s="67"/>
    </row>
    <row r="678" spans="1:2" x14ac:dyDescent="0.25">
      <c r="A678" s="67"/>
      <c r="B678" s="67"/>
    </row>
    <row r="679" spans="1:2" x14ac:dyDescent="0.25">
      <c r="A679" s="67"/>
      <c r="B679" s="67"/>
    </row>
    <row r="680" spans="1:2" x14ac:dyDescent="0.25">
      <c r="A680" s="67"/>
      <c r="B680" s="67"/>
    </row>
    <row r="681" spans="1:2" x14ac:dyDescent="0.25">
      <c r="A681" s="67"/>
      <c r="B681" s="67"/>
    </row>
    <row r="682" spans="1:2" x14ac:dyDescent="0.25">
      <c r="A682" s="67"/>
      <c r="B682" s="67"/>
    </row>
    <row r="683" spans="1:2" x14ac:dyDescent="0.25">
      <c r="A683" s="67"/>
      <c r="B683" s="67"/>
    </row>
    <row r="684" spans="1:2" x14ac:dyDescent="0.25">
      <c r="A684" s="67"/>
      <c r="B684" s="67"/>
    </row>
    <row r="685" spans="1:2" x14ac:dyDescent="0.25">
      <c r="A685" s="67"/>
      <c r="B685" s="67"/>
    </row>
    <row r="686" spans="1:2" x14ac:dyDescent="0.25">
      <c r="A686" s="67"/>
      <c r="B686" s="67"/>
    </row>
    <row r="687" spans="1:2" x14ac:dyDescent="0.25">
      <c r="A687" s="67"/>
      <c r="B687" s="67"/>
    </row>
    <row r="688" spans="1:2" x14ac:dyDescent="0.25">
      <c r="A688" s="67"/>
      <c r="B688" s="67"/>
    </row>
    <row r="689" spans="1:2" x14ac:dyDescent="0.25">
      <c r="A689" s="67"/>
      <c r="B689" s="67"/>
    </row>
    <row r="690" spans="1:2" x14ac:dyDescent="0.25">
      <c r="A690" s="67"/>
      <c r="B690" s="67"/>
    </row>
    <row r="691" spans="1:2" x14ac:dyDescent="0.25">
      <c r="A691" s="67"/>
      <c r="B691" s="67"/>
    </row>
    <row r="692" spans="1:2" x14ac:dyDescent="0.25">
      <c r="A692" s="67"/>
      <c r="B692" s="67"/>
    </row>
    <row r="693" spans="1:2" x14ac:dyDescent="0.25">
      <c r="A693" s="67"/>
      <c r="B693" s="67"/>
    </row>
    <row r="694" spans="1:2" x14ac:dyDescent="0.25">
      <c r="A694" s="67"/>
      <c r="B694" s="67"/>
    </row>
    <row r="695" spans="1:2" x14ac:dyDescent="0.25">
      <c r="A695" s="67"/>
      <c r="B695" s="67"/>
    </row>
    <row r="696" spans="1:2" x14ac:dyDescent="0.25">
      <c r="A696" s="67"/>
      <c r="B696" s="67"/>
    </row>
    <row r="697" spans="1:2" x14ac:dyDescent="0.25">
      <c r="A697" s="67"/>
      <c r="B697" s="67"/>
    </row>
    <row r="698" spans="1:2" x14ac:dyDescent="0.25">
      <c r="A698" s="67"/>
      <c r="B698" s="67"/>
    </row>
    <row r="699" spans="1:2" x14ac:dyDescent="0.25">
      <c r="A699" s="67"/>
      <c r="B699" s="67"/>
    </row>
    <row r="700" spans="1:2" x14ac:dyDescent="0.25">
      <c r="A700" s="67"/>
      <c r="B700" s="67"/>
    </row>
    <row r="701" spans="1:2" x14ac:dyDescent="0.25">
      <c r="A701" s="67"/>
      <c r="B701" s="67"/>
    </row>
    <row r="702" spans="1:2" x14ac:dyDescent="0.25">
      <c r="A702" s="67"/>
      <c r="B702" s="67"/>
    </row>
    <row r="703" spans="1:2" x14ac:dyDescent="0.25">
      <c r="A703" s="67"/>
      <c r="B703" s="67"/>
    </row>
    <row r="704" spans="1:2" x14ac:dyDescent="0.25">
      <c r="A704" s="67"/>
      <c r="B704" s="67"/>
    </row>
    <row r="705" spans="1:2" x14ac:dyDescent="0.25">
      <c r="A705" s="67"/>
      <c r="B705" s="67"/>
    </row>
    <row r="706" spans="1:2" x14ac:dyDescent="0.25">
      <c r="A706" s="67"/>
      <c r="B706" s="67"/>
    </row>
    <row r="707" spans="1:2" x14ac:dyDescent="0.25">
      <c r="A707" s="67"/>
      <c r="B707" s="67"/>
    </row>
    <row r="708" spans="1:2" x14ac:dyDescent="0.25">
      <c r="A708" s="67"/>
      <c r="B708" s="67"/>
    </row>
    <row r="709" spans="1:2" x14ac:dyDescent="0.25">
      <c r="A709" s="67"/>
      <c r="B709" s="67"/>
    </row>
    <row r="710" spans="1:2" x14ac:dyDescent="0.25">
      <c r="A710" s="67"/>
      <c r="B710" s="67"/>
    </row>
    <row r="711" spans="1:2" x14ac:dyDescent="0.25">
      <c r="A711" s="67"/>
      <c r="B711" s="67"/>
    </row>
    <row r="712" spans="1:2" x14ac:dyDescent="0.25">
      <c r="A712" s="67"/>
      <c r="B712" s="67"/>
    </row>
    <row r="713" spans="1:2" x14ac:dyDescent="0.25">
      <c r="A713" s="67"/>
      <c r="B713" s="67"/>
    </row>
    <row r="714" spans="1:2" x14ac:dyDescent="0.25">
      <c r="A714" s="67"/>
      <c r="B714" s="67"/>
    </row>
    <row r="715" spans="1:2" x14ac:dyDescent="0.25">
      <c r="A715" s="67"/>
      <c r="B715" s="67"/>
    </row>
    <row r="716" spans="1:2" x14ac:dyDescent="0.25">
      <c r="A716" s="67"/>
      <c r="B716" s="67"/>
    </row>
    <row r="717" spans="1:2" x14ac:dyDescent="0.25">
      <c r="A717" s="67"/>
      <c r="B717" s="67"/>
    </row>
    <row r="718" spans="1:2" x14ac:dyDescent="0.25">
      <c r="A718" s="67"/>
      <c r="B718" s="67"/>
    </row>
    <row r="719" spans="1:2" x14ac:dyDescent="0.25">
      <c r="A719" s="67"/>
      <c r="B719" s="67"/>
    </row>
    <row r="720" spans="1:2" x14ac:dyDescent="0.25">
      <c r="A720" s="67"/>
      <c r="B720" s="67"/>
    </row>
    <row r="721" spans="1:2" x14ac:dyDescent="0.25">
      <c r="A721" s="67"/>
      <c r="B721" s="67"/>
    </row>
    <row r="722" spans="1:2" x14ac:dyDescent="0.25">
      <c r="A722" s="67"/>
      <c r="B722" s="67"/>
    </row>
    <row r="723" spans="1:2" x14ac:dyDescent="0.25">
      <c r="A723" s="67"/>
      <c r="B723" s="67"/>
    </row>
    <row r="724" spans="1:2" x14ac:dyDescent="0.25">
      <c r="A724" s="67"/>
      <c r="B724" s="67"/>
    </row>
    <row r="725" spans="1:2" x14ac:dyDescent="0.25">
      <c r="A725" s="67"/>
      <c r="B725" s="67"/>
    </row>
    <row r="726" spans="1:2" x14ac:dyDescent="0.25">
      <c r="A726" s="67"/>
      <c r="B726" s="67"/>
    </row>
    <row r="727" spans="1:2" x14ac:dyDescent="0.25">
      <c r="A727" s="67"/>
      <c r="B727" s="67"/>
    </row>
    <row r="728" spans="1:2" x14ac:dyDescent="0.25">
      <c r="A728" s="67"/>
      <c r="B728" s="67"/>
    </row>
    <row r="729" spans="1:2" x14ac:dyDescent="0.25">
      <c r="A729" s="67"/>
      <c r="B729" s="67"/>
    </row>
    <row r="730" spans="1:2" x14ac:dyDescent="0.25">
      <c r="A730" s="67"/>
      <c r="B730" s="67"/>
    </row>
    <row r="731" spans="1:2" x14ac:dyDescent="0.25">
      <c r="A731" s="67"/>
      <c r="B731" s="67"/>
    </row>
    <row r="732" spans="1:2" x14ac:dyDescent="0.25">
      <c r="A732" s="67"/>
      <c r="B732" s="67"/>
    </row>
    <row r="733" spans="1:2" x14ac:dyDescent="0.25">
      <c r="A733" s="67"/>
      <c r="B733" s="67"/>
    </row>
    <row r="734" spans="1:2" x14ac:dyDescent="0.25">
      <c r="A734" s="67"/>
      <c r="B734" s="67"/>
    </row>
    <row r="735" spans="1:2" x14ac:dyDescent="0.25">
      <c r="A735" s="67"/>
      <c r="B735" s="67"/>
    </row>
    <row r="736" spans="1:2" x14ac:dyDescent="0.25">
      <c r="A736" s="67"/>
      <c r="B736" s="67"/>
    </row>
    <row r="737" spans="1:2" x14ac:dyDescent="0.25">
      <c r="A737" s="67"/>
      <c r="B737" s="67"/>
    </row>
    <row r="738" spans="1:2" x14ac:dyDescent="0.25">
      <c r="A738" s="67"/>
      <c r="B738" s="67"/>
    </row>
    <row r="739" spans="1:2" x14ac:dyDescent="0.25">
      <c r="A739" s="67"/>
      <c r="B739" s="67"/>
    </row>
    <row r="740" spans="1:2" x14ac:dyDescent="0.25">
      <c r="A740" s="67"/>
      <c r="B740" s="67"/>
    </row>
    <row r="741" spans="1:2" x14ac:dyDescent="0.25">
      <c r="A741" s="67"/>
      <c r="B741" s="67"/>
    </row>
    <row r="742" spans="1:2" x14ac:dyDescent="0.25">
      <c r="A742" s="67"/>
      <c r="B742" s="67"/>
    </row>
    <row r="743" spans="1:2" x14ac:dyDescent="0.25">
      <c r="A743" s="67"/>
      <c r="B743" s="67"/>
    </row>
    <row r="744" spans="1:2" x14ac:dyDescent="0.25">
      <c r="A744" s="67"/>
      <c r="B744" s="67"/>
    </row>
    <row r="745" spans="1:2" x14ac:dyDescent="0.25">
      <c r="A745" s="67"/>
      <c r="B745" s="67"/>
    </row>
    <row r="746" spans="1:2" x14ac:dyDescent="0.25">
      <c r="A746" s="67"/>
      <c r="B746" s="67"/>
    </row>
    <row r="747" spans="1:2" x14ac:dyDescent="0.25">
      <c r="A747" s="67"/>
      <c r="B747" s="67"/>
    </row>
    <row r="748" spans="1:2" x14ac:dyDescent="0.25">
      <c r="A748" s="67"/>
      <c r="B748" s="67"/>
    </row>
    <row r="749" spans="1:2" x14ac:dyDescent="0.25">
      <c r="A749" s="67"/>
      <c r="B749" s="67"/>
    </row>
    <row r="750" spans="1:2" x14ac:dyDescent="0.25">
      <c r="A750" s="67"/>
      <c r="B750" s="67"/>
    </row>
    <row r="751" spans="1:2" x14ac:dyDescent="0.25">
      <c r="A751" s="67"/>
      <c r="B751" s="67"/>
    </row>
    <row r="752" spans="1:2" x14ac:dyDescent="0.25">
      <c r="A752" s="67"/>
      <c r="B752" s="67"/>
    </row>
    <row r="753" spans="1:2" x14ac:dyDescent="0.25">
      <c r="A753" s="67"/>
      <c r="B753" s="67"/>
    </row>
    <row r="754" spans="1:2" x14ac:dyDescent="0.25">
      <c r="A754" s="67"/>
      <c r="B754" s="67"/>
    </row>
    <row r="755" spans="1:2" x14ac:dyDescent="0.25">
      <c r="A755" s="67"/>
      <c r="B755" s="67"/>
    </row>
    <row r="756" spans="1:2" x14ac:dyDescent="0.25">
      <c r="A756" s="67"/>
      <c r="B756" s="67"/>
    </row>
    <row r="757" spans="1:2" x14ac:dyDescent="0.25">
      <c r="A757" s="67"/>
      <c r="B757" s="67"/>
    </row>
    <row r="758" spans="1:2" x14ac:dyDescent="0.25">
      <c r="A758" s="67"/>
      <c r="B758" s="67"/>
    </row>
    <row r="759" spans="1:2" x14ac:dyDescent="0.25">
      <c r="A759" s="67"/>
      <c r="B759" s="67"/>
    </row>
    <row r="760" spans="1:2" x14ac:dyDescent="0.25">
      <c r="A760" s="67"/>
      <c r="B760" s="67"/>
    </row>
    <row r="761" spans="1:2" x14ac:dyDescent="0.25">
      <c r="A761" s="67"/>
      <c r="B761" s="67"/>
    </row>
    <row r="762" spans="1:2" x14ac:dyDescent="0.25">
      <c r="A762" s="67"/>
      <c r="B762" s="67"/>
    </row>
    <row r="763" spans="1:2" x14ac:dyDescent="0.25">
      <c r="A763" s="67"/>
      <c r="B763" s="67"/>
    </row>
    <row r="764" spans="1:2" x14ac:dyDescent="0.25">
      <c r="A764" s="67"/>
      <c r="B764" s="67"/>
    </row>
    <row r="765" spans="1:2" x14ac:dyDescent="0.25">
      <c r="A765" s="67"/>
      <c r="B765" s="67"/>
    </row>
    <row r="766" spans="1:2" x14ac:dyDescent="0.25">
      <c r="A766" s="67"/>
      <c r="B766" s="67"/>
    </row>
    <row r="767" spans="1:2" x14ac:dyDescent="0.25">
      <c r="A767" s="67"/>
      <c r="B767" s="67"/>
    </row>
    <row r="768" spans="1:2" x14ac:dyDescent="0.25">
      <c r="A768" s="67"/>
      <c r="B768" s="67"/>
    </row>
    <row r="769" spans="1:2" x14ac:dyDescent="0.25">
      <c r="A769" s="67"/>
      <c r="B769" s="67"/>
    </row>
    <row r="770" spans="1:2" x14ac:dyDescent="0.25">
      <c r="A770" s="67"/>
      <c r="B770" s="67"/>
    </row>
    <row r="771" spans="1:2" x14ac:dyDescent="0.25">
      <c r="A771" s="67"/>
      <c r="B771" s="67"/>
    </row>
    <row r="772" spans="1:2" x14ac:dyDescent="0.25">
      <c r="A772" s="67"/>
      <c r="B772" s="67"/>
    </row>
    <row r="773" spans="1:2" x14ac:dyDescent="0.25">
      <c r="A773" s="67"/>
      <c r="B773" s="67"/>
    </row>
    <row r="774" spans="1:2" x14ac:dyDescent="0.25">
      <c r="A774" s="67"/>
      <c r="B774" s="67"/>
    </row>
    <row r="775" spans="1:2" x14ac:dyDescent="0.25">
      <c r="A775" s="67"/>
      <c r="B775" s="67"/>
    </row>
    <row r="776" spans="1:2" x14ac:dyDescent="0.25">
      <c r="A776" s="67"/>
      <c r="B776" s="67"/>
    </row>
    <row r="777" spans="1:2" x14ac:dyDescent="0.25">
      <c r="A777" s="67"/>
      <c r="B777" s="67"/>
    </row>
    <row r="778" spans="1:2" x14ac:dyDescent="0.25">
      <c r="A778" s="67"/>
      <c r="B778" s="67"/>
    </row>
    <row r="779" spans="1:2" x14ac:dyDescent="0.25">
      <c r="A779" s="67"/>
      <c r="B779" s="67"/>
    </row>
    <row r="780" spans="1:2" x14ac:dyDescent="0.25">
      <c r="A780" s="67"/>
      <c r="B780" s="67"/>
    </row>
    <row r="781" spans="1:2" x14ac:dyDescent="0.25">
      <c r="A781" s="67"/>
      <c r="B781" s="67"/>
    </row>
    <row r="782" spans="1:2" x14ac:dyDescent="0.25">
      <c r="A782" s="67"/>
      <c r="B782" s="67"/>
    </row>
    <row r="783" spans="1:2" x14ac:dyDescent="0.25">
      <c r="A783" s="67"/>
      <c r="B783" s="67"/>
    </row>
    <row r="784" spans="1:2" x14ac:dyDescent="0.25">
      <c r="A784" s="67"/>
      <c r="B784" s="67"/>
    </row>
    <row r="785" spans="1:2" x14ac:dyDescent="0.25">
      <c r="A785" s="67"/>
      <c r="B785" s="67"/>
    </row>
    <row r="786" spans="1:2" x14ac:dyDescent="0.25">
      <c r="A786" s="67"/>
      <c r="B786" s="67"/>
    </row>
    <row r="787" spans="1:2" x14ac:dyDescent="0.25">
      <c r="A787" s="67"/>
      <c r="B787" s="67"/>
    </row>
    <row r="788" spans="1:2" x14ac:dyDescent="0.25">
      <c r="A788" s="67"/>
      <c r="B788" s="67"/>
    </row>
    <row r="789" spans="1:2" x14ac:dyDescent="0.25">
      <c r="A789" s="67"/>
      <c r="B789" s="67"/>
    </row>
    <row r="790" spans="1:2" x14ac:dyDescent="0.25">
      <c r="A790" s="67"/>
      <c r="B790" s="67"/>
    </row>
    <row r="791" spans="1:2" x14ac:dyDescent="0.25">
      <c r="A791" s="67"/>
      <c r="B791" s="67"/>
    </row>
    <row r="792" spans="1:2" x14ac:dyDescent="0.25">
      <c r="A792" s="67"/>
      <c r="B792" s="67"/>
    </row>
    <row r="793" spans="1:2" x14ac:dyDescent="0.25">
      <c r="A793" s="67"/>
      <c r="B793" s="67"/>
    </row>
    <row r="794" spans="1:2" x14ac:dyDescent="0.25">
      <c r="A794" s="67"/>
      <c r="B794" s="67"/>
    </row>
    <row r="795" spans="1:2" x14ac:dyDescent="0.25">
      <c r="A795" s="67"/>
      <c r="B795" s="67"/>
    </row>
    <row r="796" spans="1:2" x14ac:dyDescent="0.25">
      <c r="A796" s="67"/>
      <c r="B796" s="67"/>
    </row>
    <row r="797" spans="1:2" x14ac:dyDescent="0.25">
      <c r="A797" s="67"/>
      <c r="B797" s="67"/>
    </row>
    <row r="798" spans="1:2" x14ac:dyDescent="0.25">
      <c r="A798" s="67"/>
      <c r="B798" s="67"/>
    </row>
    <row r="799" spans="1:2" x14ac:dyDescent="0.25">
      <c r="A799" s="67"/>
      <c r="B799" s="67"/>
    </row>
    <row r="800" spans="1:2" x14ac:dyDescent="0.25">
      <c r="A800" s="67"/>
      <c r="B800" s="67"/>
    </row>
    <row r="801" spans="1:2" x14ac:dyDescent="0.25">
      <c r="A801" s="67"/>
      <c r="B801" s="67"/>
    </row>
    <row r="802" spans="1:2" x14ac:dyDescent="0.25">
      <c r="A802" s="67"/>
      <c r="B802" s="67"/>
    </row>
    <row r="803" spans="1:2" x14ac:dyDescent="0.25">
      <c r="A803" s="67"/>
      <c r="B803" s="67"/>
    </row>
    <row r="804" spans="1:2" x14ac:dyDescent="0.25">
      <c r="A804" s="67"/>
      <c r="B804" s="67"/>
    </row>
    <row r="805" spans="1:2" x14ac:dyDescent="0.25">
      <c r="A805" s="67"/>
      <c r="B805" s="67"/>
    </row>
    <row r="806" spans="1:2" x14ac:dyDescent="0.25">
      <c r="A806" s="67"/>
      <c r="B806" s="67"/>
    </row>
    <row r="807" spans="1:2" x14ac:dyDescent="0.25">
      <c r="A807" s="67"/>
      <c r="B807" s="67"/>
    </row>
    <row r="808" spans="1:2" x14ac:dyDescent="0.25">
      <c r="A808" s="67"/>
      <c r="B808" s="67"/>
    </row>
    <row r="809" spans="1:2" x14ac:dyDescent="0.25">
      <c r="A809" s="67"/>
      <c r="B809" s="67"/>
    </row>
    <row r="810" spans="1:2" x14ac:dyDescent="0.25">
      <c r="A810" s="67"/>
      <c r="B810" s="67"/>
    </row>
    <row r="811" spans="1:2" x14ac:dyDescent="0.25">
      <c r="A811" s="67"/>
      <c r="B811" s="67"/>
    </row>
    <row r="812" spans="1:2" x14ac:dyDescent="0.25">
      <c r="A812" s="67"/>
      <c r="B812" s="67"/>
    </row>
    <row r="813" spans="1:2" x14ac:dyDescent="0.25">
      <c r="A813" s="67"/>
      <c r="B813" s="67"/>
    </row>
    <row r="814" spans="1:2" x14ac:dyDescent="0.25">
      <c r="A814" s="67"/>
      <c r="B814" s="67"/>
    </row>
    <row r="815" spans="1:2" x14ac:dyDescent="0.25">
      <c r="A815" s="67"/>
      <c r="B815" s="67"/>
    </row>
    <row r="816" spans="1:2" x14ac:dyDescent="0.25">
      <c r="A816" s="67"/>
      <c r="B816" s="67"/>
    </row>
    <row r="817" spans="1:2" x14ac:dyDescent="0.25">
      <c r="A817" s="67"/>
      <c r="B817" s="67"/>
    </row>
    <row r="818" spans="1:2" x14ac:dyDescent="0.25">
      <c r="A818" s="67"/>
      <c r="B818" s="67"/>
    </row>
    <row r="819" spans="1:2" x14ac:dyDescent="0.25">
      <c r="A819" s="67"/>
      <c r="B819" s="67"/>
    </row>
    <row r="820" spans="1:2" x14ac:dyDescent="0.25">
      <c r="A820" s="67"/>
      <c r="B820" s="67"/>
    </row>
    <row r="821" spans="1:2" x14ac:dyDescent="0.25">
      <c r="A821" s="67"/>
      <c r="B821" s="67"/>
    </row>
    <row r="822" spans="1:2" x14ac:dyDescent="0.25">
      <c r="A822" s="67"/>
      <c r="B822" s="67"/>
    </row>
    <row r="823" spans="1:2" x14ac:dyDescent="0.25">
      <c r="A823" s="67"/>
      <c r="B823" s="67"/>
    </row>
    <row r="824" spans="1:2" x14ac:dyDescent="0.25">
      <c r="A824" s="67"/>
      <c r="B824" s="67"/>
    </row>
    <row r="825" spans="1:2" x14ac:dyDescent="0.25">
      <c r="A825" s="67"/>
      <c r="B825" s="67"/>
    </row>
    <row r="826" spans="1:2" x14ac:dyDescent="0.25">
      <c r="A826" s="67"/>
      <c r="B826" s="67"/>
    </row>
    <row r="827" spans="1:2" x14ac:dyDescent="0.25">
      <c r="A827" s="67"/>
      <c r="B827" s="67"/>
    </row>
    <row r="828" spans="1:2" x14ac:dyDescent="0.25">
      <c r="A828" s="67"/>
      <c r="B828" s="67"/>
    </row>
    <row r="829" spans="1:2" x14ac:dyDescent="0.25">
      <c r="A829" s="67"/>
      <c r="B829" s="67"/>
    </row>
    <row r="830" spans="1:2" x14ac:dyDescent="0.25">
      <c r="A830" s="67"/>
      <c r="B830" s="67"/>
    </row>
    <row r="831" spans="1:2" x14ac:dyDescent="0.25">
      <c r="A831" s="67"/>
      <c r="B831" s="67"/>
    </row>
    <row r="832" spans="1:2" x14ac:dyDescent="0.25">
      <c r="A832" s="67"/>
      <c r="B832" s="67"/>
    </row>
    <row r="833" spans="1:2" x14ac:dyDescent="0.25">
      <c r="A833" s="67"/>
      <c r="B833" s="67"/>
    </row>
    <row r="834" spans="1:2" x14ac:dyDescent="0.25">
      <c r="A834" s="67"/>
      <c r="B834" s="67"/>
    </row>
    <row r="835" spans="1:2" x14ac:dyDescent="0.25">
      <c r="A835" s="67"/>
      <c r="B835" s="67"/>
    </row>
    <row r="836" spans="1:2" x14ac:dyDescent="0.25">
      <c r="A836" s="67"/>
      <c r="B836" s="67"/>
    </row>
    <row r="837" spans="1:2" x14ac:dyDescent="0.25">
      <c r="A837" s="67"/>
      <c r="B837" s="67"/>
    </row>
    <row r="838" spans="1:2" x14ac:dyDescent="0.25">
      <c r="A838" s="67"/>
      <c r="B838" s="67"/>
    </row>
    <row r="839" spans="1:2" x14ac:dyDescent="0.25">
      <c r="A839" s="67"/>
      <c r="B839" s="67"/>
    </row>
    <row r="840" spans="1:2" x14ac:dyDescent="0.25">
      <c r="A840" s="67"/>
      <c r="B840" s="67"/>
    </row>
    <row r="841" spans="1:2" x14ac:dyDescent="0.25">
      <c r="A841" s="67"/>
      <c r="B841" s="67"/>
    </row>
    <row r="842" spans="1:2" x14ac:dyDescent="0.25">
      <c r="A842" s="67"/>
      <c r="B842" s="67"/>
    </row>
    <row r="843" spans="1:2" x14ac:dyDescent="0.25">
      <c r="A843" s="67"/>
      <c r="B843" s="67"/>
    </row>
    <row r="844" spans="1:2" x14ac:dyDescent="0.25">
      <c r="A844" s="67"/>
      <c r="B844" s="67"/>
    </row>
    <row r="845" spans="1:2" x14ac:dyDescent="0.25">
      <c r="A845" s="67"/>
      <c r="B845" s="67"/>
    </row>
    <row r="846" spans="1:2" x14ac:dyDescent="0.25">
      <c r="A846" s="67"/>
      <c r="B846" s="67"/>
    </row>
    <row r="847" spans="1:2" x14ac:dyDescent="0.25">
      <c r="A847" s="67"/>
      <c r="B847" s="67"/>
    </row>
    <row r="848" spans="1:2" x14ac:dyDescent="0.25">
      <c r="A848" s="67"/>
      <c r="B848" s="67"/>
    </row>
    <row r="849" spans="1:2" x14ac:dyDescent="0.25">
      <c r="A849" s="67"/>
      <c r="B849" s="67"/>
    </row>
    <row r="850" spans="1:2" x14ac:dyDescent="0.25">
      <c r="A850" s="67"/>
      <c r="B850" s="67"/>
    </row>
    <row r="851" spans="1:2" x14ac:dyDescent="0.25">
      <c r="A851" s="67"/>
      <c r="B851" s="67"/>
    </row>
    <row r="852" spans="1:2" x14ac:dyDescent="0.25">
      <c r="A852" s="67"/>
      <c r="B852" s="67"/>
    </row>
    <row r="853" spans="1:2" x14ac:dyDescent="0.25">
      <c r="A853" s="67"/>
      <c r="B853" s="67"/>
    </row>
    <row r="854" spans="1:2" x14ac:dyDescent="0.25">
      <c r="A854" s="67"/>
      <c r="B854" s="67"/>
    </row>
    <row r="855" spans="1:2" x14ac:dyDescent="0.25">
      <c r="A855" s="67"/>
      <c r="B855" s="67"/>
    </row>
    <row r="856" spans="1:2" x14ac:dyDescent="0.25">
      <c r="A856" s="67"/>
      <c r="B856" s="67"/>
    </row>
    <row r="857" spans="1:2" x14ac:dyDescent="0.25">
      <c r="A857" s="67"/>
      <c r="B857" s="67"/>
    </row>
    <row r="858" spans="1:2" x14ac:dyDescent="0.25">
      <c r="A858" s="67"/>
      <c r="B858" s="67"/>
    </row>
    <row r="859" spans="1:2" x14ac:dyDescent="0.25">
      <c r="A859" s="67"/>
      <c r="B859" s="67"/>
    </row>
    <row r="860" spans="1:2" x14ac:dyDescent="0.25">
      <c r="A860" s="67"/>
      <c r="B860" s="67"/>
    </row>
    <row r="861" spans="1:2" x14ac:dyDescent="0.25">
      <c r="A861" s="67"/>
      <c r="B861" s="67"/>
    </row>
    <row r="862" spans="1:2" x14ac:dyDescent="0.25">
      <c r="A862" s="67"/>
      <c r="B862" s="67"/>
    </row>
    <row r="863" spans="1:2" x14ac:dyDescent="0.25">
      <c r="A863" s="67"/>
      <c r="B863" s="67"/>
    </row>
    <row r="864" spans="1:2" x14ac:dyDescent="0.25">
      <c r="A864" s="67"/>
      <c r="B864" s="67"/>
    </row>
    <row r="865" spans="1:2" x14ac:dyDescent="0.25">
      <c r="A865" s="67"/>
      <c r="B865" s="67"/>
    </row>
    <row r="866" spans="1:2" x14ac:dyDescent="0.25">
      <c r="A866" s="67"/>
      <c r="B866" s="67"/>
    </row>
    <row r="867" spans="1:2" x14ac:dyDescent="0.25">
      <c r="A867" s="67"/>
      <c r="B867" s="67"/>
    </row>
    <row r="868" spans="1:2" x14ac:dyDescent="0.25">
      <c r="A868" s="67"/>
      <c r="B868" s="67"/>
    </row>
    <row r="869" spans="1:2" x14ac:dyDescent="0.25">
      <c r="A869" s="67"/>
      <c r="B869" s="67"/>
    </row>
    <row r="870" spans="1:2" x14ac:dyDescent="0.25">
      <c r="A870" s="67"/>
      <c r="B870" s="67"/>
    </row>
    <row r="871" spans="1:2" x14ac:dyDescent="0.25">
      <c r="A871" s="67"/>
      <c r="B871" s="67"/>
    </row>
    <row r="872" spans="1:2" x14ac:dyDescent="0.25">
      <c r="A872" s="67"/>
      <c r="B872" s="67"/>
    </row>
    <row r="873" spans="1:2" x14ac:dyDescent="0.25">
      <c r="A873" s="67"/>
      <c r="B873" s="67"/>
    </row>
    <row r="874" spans="1:2" x14ac:dyDescent="0.25">
      <c r="A874" s="67"/>
      <c r="B874" s="67"/>
    </row>
    <row r="875" spans="1:2" x14ac:dyDescent="0.25">
      <c r="A875" s="67"/>
      <c r="B875" s="67"/>
    </row>
    <row r="876" spans="1:2" x14ac:dyDescent="0.25">
      <c r="A876" s="67"/>
      <c r="B876" s="67"/>
    </row>
    <row r="877" spans="1:2" x14ac:dyDescent="0.25">
      <c r="A877" s="67"/>
      <c r="B877" s="67"/>
    </row>
    <row r="878" spans="1:2" x14ac:dyDescent="0.25">
      <c r="A878" s="67"/>
      <c r="B878" s="67"/>
    </row>
    <row r="879" spans="1:2" x14ac:dyDescent="0.25">
      <c r="A879" s="67"/>
      <c r="B879" s="67"/>
    </row>
    <row r="880" spans="1:2" x14ac:dyDescent="0.25">
      <c r="A880" s="67"/>
      <c r="B880" s="67"/>
    </row>
    <row r="881" spans="1:2" x14ac:dyDescent="0.25">
      <c r="A881" s="67"/>
      <c r="B881" s="67"/>
    </row>
    <row r="882" spans="1:2" x14ac:dyDescent="0.25">
      <c r="A882" s="67"/>
      <c r="B882" s="67"/>
    </row>
    <row r="883" spans="1:2" x14ac:dyDescent="0.25">
      <c r="A883" s="67"/>
      <c r="B883" s="67"/>
    </row>
    <row r="884" spans="1:2" x14ac:dyDescent="0.25">
      <c r="A884" s="67"/>
      <c r="B884" s="67"/>
    </row>
    <row r="885" spans="1:2" x14ac:dyDescent="0.25">
      <c r="A885" s="67"/>
      <c r="B885" s="67"/>
    </row>
    <row r="886" spans="1:2" x14ac:dyDescent="0.25">
      <c r="A886" s="67"/>
      <c r="B886" s="67"/>
    </row>
    <row r="887" spans="1:2" x14ac:dyDescent="0.25">
      <c r="A887" s="67"/>
      <c r="B887" s="67"/>
    </row>
    <row r="888" spans="1:2" x14ac:dyDescent="0.25">
      <c r="A888" s="67"/>
      <c r="B888" s="67"/>
    </row>
    <row r="889" spans="1:2" x14ac:dyDescent="0.25">
      <c r="A889" s="67"/>
      <c r="B889" s="67"/>
    </row>
    <row r="890" spans="1:2" x14ac:dyDescent="0.25">
      <c r="A890" s="67"/>
      <c r="B890" s="67"/>
    </row>
    <row r="891" spans="1:2" x14ac:dyDescent="0.25">
      <c r="A891" s="67"/>
      <c r="B891" s="67"/>
    </row>
    <row r="892" spans="1:2" x14ac:dyDescent="0.25">
      <c r="A892" s="67"/>
      <c r="B892" s="67"/>
    </row>
    <row r="893" spans="1:2" x14ac:dyDescent="0.25">
      <c r="A893" s="67"/>
      <c r="B893" s="67"/>
    </row>
    <row r="894" spans="1:2" x14ac:dyDescent="0.25">
      <c r="A894" s="67"/>
      <c r="B894" s="67"/>
    </row>
    <row r="895" spans="1:2" x14ac:dyDescent="0.25">
      <c r="A895" s="67"/>
      <c r="B895" s="67"/>
    </row>
    <row r="896" spans="1:2" x14ac:dyDescent="0.25">
      <c r="A896" s="67"/>
      <c r="B896" s="67"/>
    </row>
    <row r="897" spans="1:2" x14ac:dyDescent="0.25">
      <c r="A897" s="67"/>
      <c r="B897" s="67"/>
    </row>
    <row r="898" spans="1:2" x14ac:dyDescent="0.25">
      <c r="A898" s="67"/>
      <c r="B898" s="67"/>
    </row>
    <row r="899" spans="1:2" x14ac:dyDescent="0.25">
      <c r="A899" s="67"/>
      <c r="B899" s="67"/>
    </row>
    <row r="900" spans="1:2" x14ac:dyDescent="0.25">
      <c r="A900" s="67"/>
      <c r="B900" s="67"/>
    </row>
    <row r="901" spans="1:2" x14ac:dyDescent="0.25">
      <c r="A901" s="67"/>
      <c r="B901" s="67"/>
    </row>
    <row r="902" spans="1:2" x14ac:dyDescent="0.25">
      <c r="A902" s="67"/>
      <c r="B902" s="67"/>
    </row>
    <row r="903" spans="1:2" x14ac:dyDescent="0.25">
      <c r="A903" s="67"/>
      <c r="B903" s="67"/>
    </row>
    <row r="904" spans="1:2" x14ac:dyDescent="0.25">
      <c r="A904" s="67"/>
      <c r="B904" s="67"/>
    </row>
    <row r="905" spans="1:2" x14ac:dyDescent="0.25">
      <c r="A905" s="67"/>
      <c r="B905" s="67"/>
    </row>
    <row r="906" spans="1:2" x14ac:dyDescent="0.25">
      <c r="A906" s="67"/>
      <c r="B906" s="67"/>
    </row>
    <row r="907" spans="1:2" x14ac:dyDescent="0.25">
      <c r="A907" s="67"/>
      <c r="B907" s="67"/>
    </row>
    <row r="908" spans="1:2" x14ac:dyDescent="0.25">
      <c r="A908" s="67"/>
      <c r="B908" s="67"/>
    </row>
    <row r="909" spans="1:2" x14ac:dyDescent="0.25">
      <c r="A909" s="67"/>
      <c r="B909" s="67"/>
    </row>
    <row r="910" spans="1:2" x14ac:dyDescent="0.25">
      <c r="A910" s="67"/>
      <c r="B910" s="67"/>
    </row>
    <row r="911" spans="1:2" x14ac:dyDescent="0.25">
      <c r="A911" s="67"/>
      <c r="B911" s="67"/>
    </row>
    <row r="912" spans="1:2" x14ac:dyDescent="0.25">
      <c r="A912" s="67"/>
      <c r="B912" s="67"/>
    </row>
    <row r="913" spans="1:2" x14ac:dyDescent="0.25">
      <c r="A913" s="67"/>
      <c r="B913" s="67"/>
    </row>
    <row r="914" spans="1:2" x14ac:dyDescent="0.25">
      <c r="A914" s="67"/>
      <c r="B914" s="67"/>
    </row>
    <row r="915" spans="1:2" x14ac:dyDescent="0.25">
      <c r="A915" s="67"/>
      <c r="B915" s="67"/>
    </row>
    <row r="916" spans="1:2" x14ac:dyDescent="0.25">
      <c r="A916" s="67"/>
      <c r="B916" s="67"/>
    </row>
    <row r="917" spans="1:2" x14ac:dyDescent="0.25">
      <c r="A917" s="67"/>
      <c r="B917" s="67"/>
    </row>
    <row r="918" spans="1:2" x14ac:dyDescent="0.25">
      <c r="A918" s="67"/>
      <c r="B918" s="67"/>
    </row>
    <row r="919" spans="1:2" x14ac:dyDescent="0.25">
      <c r="A919" s="67"/>
      <c r="B919" s="67"/>
    </row>
    <row r="920" spans="1:2" x14ac:dyDescent="0.25">
      <c r="A920" s="67"/>
      <c r="B920" s="67"/>
    </row>
    <row r="921" spans="1:2" x14ac:dyDescent="0.25">
      <c r="A921" s="67"/>
      <c r="B921" s="67"/>
    </row>
    <row r="922" spans="1:2" x14ac:dyDescent="0.25">
      <c r="A922" s="67"/>
      <c r="B922" s="67"/>
    </row>
    <row r="923" spans="1:2" x14ac:dyDescent="0.25">
      <c r="A923" s="67"/>
      <c r="B923" s="67"/>
    </row>
    <row r="924" spans="1:2" x14ac:dyDescent="0.25">
      <c r="A924" s="67"/>
      <c r="B924" s="67"/>
    </row>
    <row r="925" spans="1:2" x14ac:dyDescent="0.25">
      <c r="A925" s="67"/>
      <c r="B925" s="67"/>
    </row>
    <row r="926" spans="1:2" x14ac:dyDescent="0.25">
      <c r="A926" s="67"/>
      <c r="B926" s="67"/>
    </row>
    <row r="927" spans="1:2" x14ac:dyDescent="0.25">
      <c r="A927" s="67"/>
      <c r="B927" s="67"/>
    </row>
    <row r="928" spans="1:2" x14ac:dyDescent="0.25">
      <c r="A928" s="67"/>
      <c r="B928" s="67"/>
    </row>
    <row r="929" spans="1:2" x14ac:dyDescent="0.25">
      <c r="A929" s="67"/>
      <c r="B929" s="67"/>
    </row>
    <row r="930" spans="1:2" x14ac:dyDescent="0.25">
      <c r="A930" s="67"/>
      <c r="B930" s="67"/>
    </row>
    <row r="931" spans="1:2" x14ac:dyDescent="0.25">
      <c r="A931" s="67"/>
      <c r="B931" s="67"/>
    </row>
    <row r="932" spans="1:2" x14ac:dyDescent="0.25">
      <c r="A932" s="67"/>
      <c r="B932" s="67"/>
    </row>
    <row r="933" spans="1:2" x14ac:dyDescent="0.25">
      <c r="A933" s="67"/>
      <c r="B933" s="67"/>
    </row>
    <row r="934" spans="1:2" x14ac:dyDescent="0.25">
      <c r="A934" s="67"/>
      <c r="B934" s="67"/>
    </row>
    <row r="935" spans="1:2" x14ac:dyDescent="0.25">
      <c r="A935" s="67"/>
      <c r="B935" s="67"/>
    </row>
    <row r="936" spans="1:2" x14ac:dyDescent="0.25">
      <c r="A936" s="67"/>
      <c r="B936" s="67"/>
    </row>
    <row r="937" spans="1:2" x14ac:dyDescent="0.25">
      <c r="A937" s="67"/>
      <c r="B937" s="67"/>
    </row>
    <row r="938" spans="1:2" x14ac:dyDescent="0.25">
      <c r="A938" s="67"/>
      <c r="B938" s="67"/>
    </row>
    <row r="939" spans="1:2" x14ac:dyDescent="0.25">
      <c r="A939" s="67"/>
      <c r="B939" s="67"/>
    </row>
    <row r="940" spans="1:2" x14ac:dyDescent="0.25">
      <c r="A940" s="67"/>
      <c r="B940" s="67"/>
    </row>
    <row r="941" spans="1:2" x14ac:dyDescent="0.25">
      <c r="A941" s="67"/>
      <c r="B941" s="67"/>
    </row>
    <row r="942" spans="1:2" x14ac:dyDescent="0.25">
      <c r="A942" s="67"/>
      <c r="B942" s="67"/>
    </row>
    <row r="943" spans="1:2" x14ac:dyDescent="0.25">
      <c r="A943" s="67"/>
      <c r="B943" s="67"/>
    </row>
    <row r="944" spans="1:2" x14ac:dyDescent="0.25">
      <c r="A944" s="67"/>
      <c r="B944" s="67"/>
    </row>
    <row r="945" spans="1:2" x14ac:dyDescent="0.25">
      <c r="A945" s="67"/>
      <c r="B945" s="67"/>
    </row>
    <row r="946" spans="1:2" x14ac:dyDescent="0.25">
      <c r="A946" s="67"/>
      <c r="B946" s="67"/>
    </row>
    <row r="947" spans="1:2" x14ac:dyDescent="0.25">
      <c r="A947" s="67"/>
      <c r="B947" s="67"/>
    </row>
    <row r="948" spans="1:2" x14ac:dyDescent="0.25">
      <c r="A948" s="67"/>
      <c r="B948" s="67"/>
    </row>
    <row r="949" spans="1:2" x14ac:dyDescent="0.25">
      <c r="A949" s="67"/>
      <c r="B949" s="67"/>
    </row>
    <row r="950" spans="1:2" x14ac:dyDescent="0.25">
      <c r="A950" s="67"/>
      <c r="B950" s="67"/>
    </row>
    <row r="951" spans="1:2" x14ac:dyDescent="0.25">
      <c r="A951" s="67"/>
      <c r="B951" s="67"/>
    </row>
    <row r="952" spans="1:2" x14ac:dyDescent="0.25">
      <c r="A952" s="67"/>
      <c r="B952" s="67"/>
    </row>
    <row r="953" spans="1:2" x14ac:dyDescent="0.25">
      <c r="A953" s="67"/>
      <c r="B953" s="67"/>
    </row>
    <row r="954" spans="1:2" x14ac:dyDescent="0.25">
      <c r="A954" s="67"/>
      <c r="B954" s="67"/>
    </row>
    <row r="955" spans="1:2" x14ac:dyDescent="0.25">
      <c r="A955" s="67"/>
      <c r="B955" s="67"/>
    </row>
    <row r="956" spans="1:2" x14ac:dyDescent="0.25">
      <c r="A956" s="67"/>
      <c r="B956" s="67"/>
    </row>
    <row r="957" spans="1:2" x14ac:dyDescent="0.25">
      <c r="A957" s="67"/>
      <c r="B957" s="67"/>
    </row>
    <row r="958" spans="1:2" x14ac:dyDescent="0.25">
      <c r="A958" s="67"/>
      <c r="B958" s="67"/>
    </row>
    <row r="959" spans="1:2" x14ac:dyDescent="0.25">
      <c r="A959" s="67"/>
      <c r="B959" s="67"/>
    </row>
    <row r="960" spans="1:2" x14ac:dyDescent="0.25">
      <c r="A960" s="67"/>
      <c r="B960" s="67"/>
    </row>
    <row r="961" spans="1:2" x14ac:dyDescent="0.25">
      <c r="A961" s="67"/>
      <c r="B961" s="67"/>
    </row>
    <row r="962" spans="1:2" x14ac:dyDescent="0.25">
      <c r="A962" s="67"/>
      <c r="B962" s="67"/>
    </row>
    <row r="963" spans="1:2" x14ac:dyDescent="0.25">
      <c r="A963" s="67"/>
      <c r="B963" s="67"/>
    </row>
    <row r="964" spans="1:2" x14ac:dyDescent="0.25">
      <c r="A964" s="67"/>
      <c r="B964" s="67"/>
    </row>
    <row r="965" spans="1:2" x14ac:dyDescent="0.25">
      <c r="A965" s="67"/>
      <c r="B965" s="67"/>
    </row>
    <row r="966" spans="1:2" x14ac:dyDescent="0.25">
      <c r="A966" s="67"/>
      <c r="B966" s="67"/>
    </row>
    <row r="967" spans="1:2" x14ac:dyDescent="0.25">
      <c r="A967" s="67"/>
      <c r="B967" s="67"/>
    </row>
    <row r="968" spans="1:2" x14ac:dyDescent="0.25">
      <c r="A968" s="67"/>
      <c r="B968" s="67"/>
    </row>
    <row r="969" spans="1:2" x14ac:dyDescent="0.25">
      <c r="A969" s="67"/>
      <c r="B969" s="67"/>
    </row>
    <row r="970" spans="1:2" x14ac:dyDescent="0.25">
      <c r="A970" s="67"/>
      <c r="B970" s="67"/>
    </row>
    <row r="971" spans="1:2" x14ac:dyDescent="0.25">
      <c r="A971" s="67"/>
      <c r="B971" s="67"/>
    </row>
    <row r="972" spans="1:2" x14ac:dyDescent="0.25">
      <c r="A972" s="67"/>
      <c r="B972" s="67"/>
    </row>
    <row r="973" spans="1:2" x14ac:dyDescent="0.25">
      <c r="A973" s="67"/>
      <c r="B973" s="67"/>
    </row>
    <row r="974" spans="1:2" x14ac:dyDescent="0.25">
      <c r="A974" s="67"/>
      <c r="B974" s="67"/>
    </row>
    <row r="975" spans="1:2" x14ac:dyDescent="0.25">
      <c r="A975" s="67"/>
      <c r="B975" s="67"/>
    </row>
    <row r="976" spans="1:2" x14ac:dyDescent="0.25">
      <c r="A976" s="67"/>
      <c r="B976" s="67"/>
    </row>
    <row r="977" spans="1:2" x14ac:dyDescent="0.25">
      <c r="A977" s="67"/>
      <c r="B977" s="67"/>
    </row>
    <row r="978" spans="1:2" x14ac:dyDescent="0.25">
      <c r="A978" s="67"/>
      <c r="B978" s="67"/>
    </row>
    <row r="979" spans="1:2" x14ac:dyDescent="0.25">
      <c r="A979" s="67"/>
      <c r="B979" s="67"/>
    </row>
    <row r="980" spans="1:2" x14ac:dyDescent="0.25">
      <c r="A980" s="67"/>
      <c r="B980" s="67"/>
    </row>
    <row r="981" spans="1:2" x14ac:dyDescent="0.25">
      <c r="A981" s="67"/>
      <c r="B981" s="67"/>
    </row>
    <row r="982" spans="1:2" x14ac:dyDescent="0.25">
      <c r="A982" s="67"/>
      <c r="B982" s="67"/>
    </row>
    <row r="983" spans="1:2" x14ac:dyDescent="0.25">
      <c r="A983" s="67"/>
      <c r="B983" s="67"/>
    </row>
    <row r="984" spans="1:2" x14ac:dyDescent="0.25">
      <c r="A984" s="67"/>
      <c r="B984" s="67"/>
    </row>
    <row r="985" spans="1:2" x14ac:dyDescent="0.25">
      <c r="A985" s="67"/>
      <c r="B985" s="67"/>
    </row>
    <row r="986" spans="1:2" x14ac:dyDescent="0.25">
      <c r="A986" s="67"/>
      <c r="B986" s="67"/>
    </row>
    <row r="987" spans="1:2" x14ac:dyDescent="0.25">
      <c r="A987" s="67"/>
      <c r="B987" s="67"/>
    </row>
    <row r="988" spans="1:2" x14ac:dyDescent="0.25">
      <c r="A988" s="67"/>
      <c r="B988" s="67"/>
    </row>
    <row r="989" spans="1:2" x14ac:dyDescent="0.25">
      <c r="A989" s="67"/>
      <c r="B989" s="67"/>
    </row>
    <row r="990" spans="1:2" x14ac:dyDescent="0.25">
      <c r="A990" s="67"/>
      <c r="B990" s="67"/>
    </row>
    <row r="991" spans="1:2" x14ac:dyDescent="0.25">
      <c r="A991" s="67"/>
      <c r="B991" s="67"/>
    </row>
    <row r="992" spans="1:2" x14ac:dyDescent="0.25">
      <c r="A992" s="67"/>
      <c r="B992" s="67"/>
    </row>
    <row r="993" spans="1:2" x14ac:dyDescent="0.25">
      <c r="A993" s="67"/>
      <c r="B993" s="67"/>
    </row>
    <row r="994" spans="1:2" x14ac:dyDescent="0.25">
      <c r="A994" s="67"/>
      <c r="B994" s="67"/>
    </row>
    <row r="995" spans="1:2" x14ac:dyDescent="0.25">
      <c r="A995" s="67"/>
      <c r="B995" s="67"/>
    </row>
    <row r="996" spans="1:2" x14ac:dyDescent="0.25">
      <c r="A996" s="67"/>
      <c r="B996" s="67"/>
    </row>
    <row r="997" spans="1:2" x14ac:dyDescent="0.25">
      <c r="A997" s="67"/>
      <c r="B997" s="67"/>
    </row>
    <row r="998" spans="1:2" x14ac:dyDescent="0.25">
      <c r="A998" s="67"/>
      <c r="B998" s="67"/>
    </row>
    <row r="999" spans="1:2" x14ac:dyDescent="0.25">
      <c r="A999" s="67"/>
      <c r="B999" s="67"/>
    </row>
    <row r="1000" spans="1:2" x14ac:dyDescent="0.25">
      <c r="A1000" s="67"/>
      <c r="B1000" s="67"/>
    </row>
    <row r="1001" spans="1:2" x14ac:dyDescent="0.25">
      <c r="A1001" s="67"/>
      <c r="B1001" s="67"/>
    </row>
    <row r="1002" spans="1:2" x14ac:dyDescent="0.25">
      <c r="A1002" s="67"/>
      <c r="B1002" s="67"/>
    </row>
    <row r="1003" spans="1:2" x14ac:dyDescent="0.25">
      <c r="A1003" s="67"/>
      <c r="B1003" s="67"/>
    </row>
    <row r="1004" spans="1:2" x14ac:dyDescent="0.25">
      <c r="A1004" s="67"/>
      <c r="B1004" s="67"/>
    </row>
    <row r="1005" spans="1:2" x14ac:dyDescent="0.25">
      <c r="A1005" s="67"/>
      <c r="B1005" s="67"/>
    </row>
    <row r="1006" spans="1:2" x14ac:dyDescent="0.25">
      <c r="A1006" s="67"/>
      <c r="B1006" s="67"/>
    </row>
    <row r="1007" spans="1:2" x14ac:dyDescent="0.25">
      <c r="A1007" s="67"/>
      <c r="B1007" s="67"/>
    </row>
    <row r="1008" spans="1:2" x14ac:dyDescent="0.25">
      <c r="A1008" s="67"/>
      <c r="B1008" s="67"/>
    </row>
    <row r="1009" spans="1:2" x14ac:dyDescent="0.25">
      <c r="A1009" s="67"/>
      <c r="B1009" s="67"/>
    </row>
    <row r="1010" spans="1:2" x14ac:dyDescent="0.25">
      <c r="A1010" s="67"/>
      <c r="B1010" s="67"/>
    </row>
    <row r="1011" spans="1:2" x14ac:dyDescent="0.25">
      <c r="A1011" s="67"/>
      <c r="B1011" s="67"/>
    </row>
    <row r="1012" spans="1:2" x14ac:dyDescent="0.25">
      <c r="A1012" s="67"/>
      <c r="B1012" s="67"/>
    </row>
    <row r="1013" spans="1:2" x14ac:dyDescent="0.25">
      <c r="A1013" s="67"/>
      <c r="B1013" s="67"/>
    </row>
    <row r="1014" spans="1:2" x14ac:dyDescent="0.25">
      <c r="A1014" s="67"/>
      <c r="B1014" s="67"/>
    </row>
    <row r="1015" spans="1:2" x14ac:dyDescent="0.25">
      <c r="A1015" s="67"/>
      <c r="B1015" s="67"/>
    </row>
    <row r="1016" spans="1:2" x14ac:dyDescent="0.25">
      <c r="A1016" s="67"/>
      <c r="B1016" s="67"/>
    </row>
    <row r="1017" spans="1:2" x14ac:dyDescent="0.25">
      <c r="A1017" s="67"/>
      <c r="B1017" s="67"/>
    </row>
    <row r="1018" spans="1:2" x14ac:dyDescent="0.25">
      <c r="A1018" s="67"/>
      <c r="B1018" s="67"/>
    </row>
    <row r="1019" spans="1:2" x14ac:dyDescent="0.25">
      <c r="A1019" s="67"/>
      <c r="B1019" s="67"/>
    </row>
    <row r="1020" spans="1:2" x14ac:dyDescent="0.25">
      <c r="A1020" s="67"/>
      <c r="B1020" s="67"/>
    </row>
    <row r="1021" spans="1:2" x14ac:dyDescent="0.25">
      <c r="A1021" s="67"/>
      <c r="B1021" s="67"/>
    </row>
    <row r="1022" spans="1:2" x14ac:dyDescent="0.25">
      <c r="A1022" s="67"/>
      <c r="B1022" s="67"/>
    </row>
    <row r="1023" spans="1:2" x14ac:dyDescent="0.25">
      <c r="A1023" s="67"/>
      <c r="B1023" s="67"/>
    </row>
    <row r="1024" spans="1:2" x14ac:dyDescent="0.25">
      <c r="A1024" s="67"/>
      <c r="B1024" s="67"/>
    </row>
    <row r="1025" spans="1:2" x14ac:dyDescent="0.25">
      <c r="A1025" s="67"/>
      <c r="B1025" s="67"/>
    </row>
    <row r="1026" spans="1:2" x14ac:dyDescent="0.25">
      <c r="A1026" s="67"/>
      <c r="B1026" s="67"/>
    </row>
    <row r="1027" spans="1:2" x14ac:dyDescent="0.25">
      <c r="A1027" s="67"/>
      <c r="B1027" s="67"/>
    </row>
    <row r="1028" spans="1:2" x14ac:dyDescent="0.25">
      <c r="A1028" s="67"/>
      <c r="B1028" s="67"/>
    </row>
    <row r="1029" spans="1:2" x14ac:dyDescent="0.25">
      <c r="A1029" s="67"/>
      <c r="B1029" s="67"/>
    </row>
    <row r="1030" spans="1:2" x14ac:dyDescent="0.25">
      <c r="A1030" s="67"/>
      <c r="B1030" s="67"/>
    </row>
    <row r="1031" spans="1:2" x14ac:dyDescent="0.25">
      <c r="A1031" s="67"/>
      <c r="B1031" s="67"/>
    </row>
    <row r="1032" spans="1:2" x14ac:dyDescent="0.25">
      <c r="A1032" s="67"/>
      <c r="B1032" s="67"/>
    </row>
    <row r="1033" spans="1:2" x14ac:dyDescent="0.25">
      <c r="A1033" s="67"/>
      <c r="B1033" s="67"/>
    </row>
    <row r="1034" spans="1:2" x14ac:dyDescent="0.25">
      <c r="A1034" s="67"/>
      <c r="B1034" s="67"/>
    </row>
    <row r="1035" spans="1:2" x14ac:dyDescent="0.25">
      <c r="A1035" s="67"/>
      <c r="B1035" s="67"/>
    </row>
    <row r="1036" spans="1:2" x14ac:dyDescent="0.25">
      <c r="A1036" s="67"/>
      <c r="B1036" s="67"/>
    </row>
    <row r="1037" spans="1:2" x14ac:dyDescent="0.25">
      <c r="A1037" s="67"/>
      <c r="B1037" s="67"/>
    </row>
    <row r="1038" spans="1:2" x14ac:dyDescent="0.25">
      <c r="A1038" s="67"/>
      <c r="B1038" s="67"/>
    </row>
    <row r="1039" spans="1:2" x14ac:dyDescent="0.25">
      <c r="A1039" s="67"/>
      <c r="B1039" s="67"/>
    </row>
    <row r="1040" spans="1:2" x14ac:dyDescent="0.25">
      <c r="A1040" s="67"/>
      <c r="B1040" s="67"/>
    </row>
    <row r="1041" spans="1:2" x14ac:dyDescent="0.25">
      <c r="A1041" s="67"/>
      <c r="B1041" s="67"/>
    </row>
    <row r="1042" spans="1:2" x14ac:dyDescent="0.25">
      <c r="A1042" s="67"/>
      <c r="B1042" s="67"/>
    </row>
    <row r="1043" spans="1:2" x14ac:dyDescent="0.25">
      <c r="A1043" s="67"/>
      <c r="B1043" s="67"/>
    </row>
    <row r="1044" spans="1:2" x14ac:dyDescent="0.25">
      <c r="A1044" s="67"/>
      <c r="B1044" s="67"/>
    </row>
    <row r="1045" spans="1:2" x14ac:dyDescent="0.25">
      <c r="A1045" s="67"/>
      <c r="B1045" s="67"/>
    </row>
    <row r="1046" spans="1:2" x14ac:dyDescent="0.25">
      <c r="A1046" s="67"/>
      <c r="B1046" s="67"/>
    </row>
    <row r="1047" spans="1:2" x14ac:dyDescent="0.25">
      <c r="A1047" s="67"/>
      <c r="B1047" s="67"/>
    </row>
    <row r="1048" spans="1:2" x14ac:dyDescent="0.25">
      <c r="A1048" s="67"/>
      <c r="B1048" s="67"/>
    </row>
    <row r="1049" spans="1:2" x14ac:dyDescent="0.25">
      <c r="A1049" s="67"/>
      <c r="B1049" s="67"/>
    </row>
    <row r="1050" spans="1:2" x14ac:dyDescent="0.25">
      <c r="A1050" s="67"/>
      <c r="B1050" s="67"/>
    </row>
    <row r="1051" spans="1:2" x14ac:dyDescent="0.25">
      <c r="A1051" s="67"/>
      <c r="B1051" s="67"/>
    </row>
    <row r="1052" spans="1:2" x14ac:dyDescent="0.25">
      <c r="A1052" s="67"/>
      <c r="B1052" s="67"/>
    </row>
    <row r="1053" spans="1:2" x14ac:dyDescent="0.25">
      <c r="A1053" s="67"/>
      <c r="B1053" s="67"/>
    </row>
    <row r="1054" spans="1:2" x14ac:dyDescent="0.25">
      <c r="A1054" s="67"/>
      <c r="B1054" s="67"/>
    </row>
    <row r="1055" spans="1:2" x14ac:dyDescent="0.25">
      <c r="A1055" s="67"/>
      <c r="B1055" s="67"/>
    </row>
    <row r="1056" spans="1:2" x14ac:dyDescent="0.25">
      <c r="A1056" s="67"/>
      <c r="B1056" s="67"/>
    </row>
    <row r="1057" spans="1:2" x14ac:dyDescent="0.25">
      <c r="A1057" s="67"/>
      <c r="B1057" s="67"/>
    </row>
    <row r="1058" spans="1:2" x14ac:dyDescent="0.25">
      <c r="A1058" s="67"/>
      <c r="B1058" s="67"/>
    </row>
    <row r="1059" spans="1:2" x14ac:dyDescent="0.25">
      <c r="A1059" s="67"/>
      <c r="B1059" s="67"/>
    </row>
    <row r="1060" spans="1:2" x14ac:dyDescent="0.25">
      <c r="A1060" s="67"/>
      <c r="B1060" s="67"/>
    </row>
    <row r="1061" spans="1:2" x14ac:dyDescent="0.25">
      <c r="A1061" s="67"/>
      <c r="B1061" s="67"/>
    </row>
    <row r="1062" spans="1:2" x14ac:dyDescent="0.25">
      <c r="A1062" s="67"/>
      <c r="B1062" s="67"/>
    </row>
    <row r="1063" spans="1:2" x14ac:dyDescent="0.25">
      <c r="A1063" s="67"/>
      <c r="B1063" s="67"/>
    </row>
    <row r="1064" spans="1:2" x14ac:dyDescent="0.25">
      <c r="A1064" s="67"/>
      <c r="B1064" s="67"/>
    </row>
    <row r="1065" spans="1:2" x14ac:dyDescent="0.25">
      <c r="A1065" s="67"/>
      <c r="B1065" s="67"/>
    </row>
    <row r="1066" spans="1:2" x14ac:dyDescent="0.25">
      <c r="A1066" s="67"/>
      <c r="B1066" s="67"/>
    </row>
    <row r="1067" spans="1:2" x14ac:dyDescent="0.25">
      <c r="A1067" s="67"/>
      <c r="B1067" s="67"/>
    </row>
    <row r="1068" spans="1:2" x14ac:dyDescent="0.25">
      <c r="A1068" s="67"/>
      <c r="B1068" s="67"/>
    </row>
    <row r="1069" spans="1:2" x14ac:dyDescent="0.25">
      <c r="A1069" s="67"/>
      <c r="B1069" s="67"/>
    </row>
    <row r="1070" spans="1:2" x14ac:dyDescent="0.25">
      <c r="A1070" s="67"/>
      <c r="B1070" s="67"/>
    </row>
    <row r="1071" spans="1:2" x14ac:dyDescent="0.25">
      <c r="A1071" s="67"/>
      <c r="B1071" s="67"/>
    </row>
    <row r="1072" spans="1:2" x14ac:dyDescent="0.25">
      <c r="A1072" s="67"/>
      <c r="B1072" s="67"/>
    </row>
    <row r="1073" spans="1:2" x14ac:dyDescent="0.25">
      <c r="A1073" s="67"/>
      <c r="B1073" s="67"/>
    </row>
    <row r="1074" spans="1:2" x14ac:dyDescent="0.25">
      <c r="A1074" s="67"/>
      <c r="B1074" s="67"/>
    </row>
    <row r="1075" spans="1:2" x14ac:dyDescent="0.25">
      <c r="A1075" s="67"/>
      <c r="B1075" s="67"/>
    </row>
    <row r="1076" spans="1:2" x14ac:dyDescent="0.25">
      <c r="A1076" s="67"/>
      <c r="B1076" s="67"/>
    </row>
    <row r="1077" spans="1:2" x14ac:dyDescent="0.25">
      <c r="A1077" s="67"/>
      <c r="B1077" s="67"/>
    </row>
    <row r="1078" spans="1:2" x14ac:dyDescent="0.25">
      <c r="A1078" s="67"/>
      <c r="B1078" s="67"/>
    </row>
    <row r="1079" spans="1:2" x14ac:dyDescent="0.25">
      <c r="A1079" s="67"/>
      <c r="B1079" s="67"/>
    </row>
    <row r="1080" spans="1:2" x14ac:dyDescent="0.25">
      <c r="A1080" s="67"/>
      <c r="B1080" s="67"/>
    </row>
    <row r="1081" spans="1:2" x14ac:dyDescent="0.25">
      <c r="A1081" s="67"/>
      <c r="B1081" s="67"/>
    </row>
    <row r="1082" spans="1:2" x14ac:dyDescent="0.25">
      <c r="A1082" s="67"/>
      <c r="B1082" s="67"/>
    </row>
    <row r="1083" spans="1:2" x14ac:dyDescent="0.25">
      <c r="A1083" s="67"/>
      <c r="B1083" s="67"/>
    </row>
    <row r="1084" spans="1:2" x14ac:dyDescent="0.25">
      <c r="A1084" s="67"/>
      <c r="B1084" s="67"/>
    </row>
    <row r="1085" spans="1:2" x14ac:dyDescent="0.25">
      <c r="A1085" s="67"/>
      <c r="B1085" s="67"/>
    </row>
    <row r="1086" spans="1:2" x14ac:dyDescent="0.25">
      <c r="A1086" s="67"/>
      <c r="B1086" s="67"/>
    </row>
    <row r="1087" spans="1:2" x14ac:dyDescent="0.25">
      <c r="A1087" s="67"/>
      <c r="B1087" s="67"/>
    </row>
    <row r="1088" spans="1:2" x14ac:dyDescent="0.25">
      <c r="A1088" s="67"/>
      <c r="B1088" s="67"/>
    </row>
    <row r="1089" spans="1:2" x14ac:dyDescent="0.25">
      <c r="A1089" s="67"/>
      <c r="B1089" s="67"/>
    </row>
    <row r="1090" spans="1:2" x14ac:dyDescent="0.25">
      <c r="A1090" s="67"/>
      <c r="B1090" s="67"/>
    </row>
    <row r="1091" spans="1:2" x14ac:dyDescent="0.25">
      <c r="A1091" s="67"/>
      <c r="B1091" s="67"/>
    </row>
    <row r="1092" spans="1:2" x14ac:dyDescent="0.25">
      <c r="A1092" s="67"/>
      <c r="B1092" s="67"/>
    </row>
    <row r="1093" spans="1:2" x14ac:dyDescent="0.25">
      <c r="A1093" s="67"/>
      <c r="B1093" s="67"/>
    </row>
    <row r="1094" spans="1:2" x14ac:dyDescent="0.25">
      <c r="A1094" s="67"/>
      <c r="B1094" s="67"/>
    </row>
    <row r="1095" spans="1:2" x14ac:dyDescent="0.25">
      <c r="A1095" s="67"/>
      <c r="B1095" s="67"/>
    </row>
    <row r="1096" spans="1:2" x14ac:dyDescent="0.25">
      <c r="A1096" s="67"/>
      <c r="B1096" s="67"/>
    </row>
    <row r="1097" spans="1:2" x14ac:dyDescent="0.25">
      <c r="A1097" s="67"/>
      <c r="B1097" s="67"/>
    </row>
    <row r="1098" spans="1:2" x14ac:dyDescent="0.25">
      <c r="A1098" s="67"/>
      <c r="B1098" s="67"/>
    </row>
    <row r="1099" spans="1:2" x14ac:dyDescent="0.25">
      <c r="A1099" s="67"/>
      <c r="B1099" s="67"/>
    </row>
    <row r="1100" spans="1:2" x14ac:dyDescent="0.25">
      <c r="A1100" s="67"/>
      <c r="B1100" s="67"/>
    </row>
    <row r="1101" spans="1:2" x14ac:dyDescent="0.25">
      <c r="A1101" s="67"/>
      <c r="B1101" s="67"/>
    </row>
    <row r="1102" spans="1:2" x14ac:dyDescent="0.25">
      <c r="A1102" s="67"/>
      <c r="B1102" s="67"/>
    </row>
    <row r="1103" spans="1:2" x14ac:dyDescent="0.25">
      <c r="A1103" s="67"/>
      <c r="B1103" s="67"/>
    </row>
    <row r="1104" spans="1:2" x14ac:dyDescent="0.25">
      <c r="A1104" s="67"/>
      <c r="B1104" s="67"/>
    </row>
    <row r="1105" spans="1:2" x14ac:dyDescent="0.25">
      <c r="A1105" s="67"/>
      <c r="B1105" s="67"/>
    </row>
    <row r="1106" spans="1:2" x14ac:dyDescent="0.25">
      <c r="A1106" s="67"/>
      <c r="B1106" s="67"/>
    </row>
    <row r="1107" spans="1:2" x14ac:dyDescent="0.25">
      <c r="A1107" s="67"/>
      <c r="B1107" s="67"/>
    </row>
    <row r="1108" spans="1:2" x14ac:dyDescent="0.25">
      <c r="A1108" s="67"/>
      <c r="B1108" s="67"/>
    </row>
    <row r="1109" spans="1:2" x14ac:dyDescent="0.25">
      <c r="A1109" s="67"/>
      <c r="B1109" s="67"/>
    </row>
    <row r="1110" spans="1:2" x14ac:dyDescent="0.25">
      <c r="A1110" s="67"/>
      <c r="B1110" s="67"/>
    </row>
    <row r="1111" spans="1:2" x14ac:dyDescent="0.25">
      <c r="A1111" s="67"/>
      <c r="B1111" s="67"/>
    </row>
    <row r="1112" spans="1:2" x14ac:dyDescent="0.25">
      <c r="A1112" s="67"/>
      <c r="B1112" s="67"/>
    </row>
    <row r="1113" spans="1:2" x14ac:dyDescent="0.25">
      <c r="A1113" s="67"/>
      <c r="B1113" s="67"/>
    </row>
    <row r="1114" spans="1:2" x14ac:dyDescent="0.25">
      <c r="A1114" s="67"/>
      <c r="B1114" s="67"/>
    </row>
    <row r="1115" spans="1:2" x14ac:dyDescent="0.25">
      <c r="A1115" s="67"/>
      <c r="B1115" s="67"/>
    </row>
    <row r="1116" spans="1:2" x14ac:dyDescent="0.25">
      <c r="A1116" s="67"/>
      <c r="B1116" s="67"/>
    </row>
    <row r="1117" spans="1:2" x14ac:dyDescent="0.25">
      <c r="A1117" s="67"/>
      <c r="B1117" s="67"/>
    </row>
    <row r="1118" spans="1:2" x14ac:dyDescent="0.25">
      <c r="A1118" s="67"/>
      <c r="B1118" s="67"/>
    </row>
    <row r="1119" spans="1:2" x14ac:dyDescent="0.25">
      <c r="A1119" s="67"/>
      <c r="B1119" s="67"/>
    </row>
    <row r="1120" spans="1:2" x14ac:dyDescent="0.25">
      <c r="A1120" s="67"/>
      <c r="B1120" s="67"/>
    </row>
    <row r="1121" spans="1:2" x14ac:dyDescent="0.25">
      <c r="A1121" s="67"/>
      <c r="B1121" s="67"/>
    </row>
    <row r="1122" spans="1:2" x14ac:dyDescent="0.25">
      <c r="A1122" s="67"/>
      <c r="B1122" s="67"/>
    </row>
    <row r="1123" spans="1:2" x14ac:dyDescent="0.25">
      <c r="A1123" s="67"/>
      <c r="B1123" s="67"/>
    </row>
    <row r="1124" spans="1:2" x14ac:dyDescent="0.25">
      <c r="A1124" s="67"/>
      <c r="B1124" s="67"/>
    </row>
    <row r="1125" spans="1:2" x14ac:dyDescent="0.25">
      <c r="A1125" s="67"/>
      <c r="B1125" s="67"/>
    </row>
    <row r="1126" spans="1:2" x14ac:dyDescent="0.25">
      <c r="A1126" s="67"/>
      <c r="B1126" s="67"/>
    </row>
    <row r="1127" spans="1:2" x14ac:dyDescent="0.25">
      <c r="A1127" s="67"/>
      <c r="B1127" s="67"/>
    </row>
    <row r="1128" spans="1:2" x14ac:dyDescent="0.25">
      <c r="A1128" s="67"/>
      <c r="B1128" s="67"/>
    </row>
    <row r="1129" spans="1:2" x14ac:dyDescent="0.25">
      <c r="A1129" s="67"/>
      <c r="B1129" s="67"/>
    </row>
    <row r="1130" spans="1:2" x14ac:dyDescent="0.25">
      <c r="A1130" s="67"/>
      <c r="B1130" s="67"/>
    </row>
    <row r="1131" spans="1:2" x14ac:dyDescent="0.25">
      <c r="A1131" s="67"/>
      <c r="B1131" s="67"/>
    </row>
    <row r="1132" spans="1:2" x14ac:dyDescent="0.25">
      <c r="A1132" s="67"/>
      <c r="B1132" s="67"/>
    </row>
    <row r="1133" spans="1:2" x14ac:dyDescent="0.25">
      <c r="A1133" s="67"/>
      <c r="B1133" s="67"/>
    </row>
    <row r="1134" spans="1:2" x14ac:dyDescent="0.25">
      <c r="A1134" s="67"/>
      <c r="B1134" s="67"/>
    </row>
    <row r="1135" spans="1:2" x14ac:dyDescent="0.25">
      <c r="A1135" s="67"/>
      <c r="B1135" s="67"/>
    </row>
    <row r="1136" spans="1:2" x14ac:dyDescent="0.25">
      <c r="A1136" s="67"/>
      <c r="B1136" s="67"/>
    </row>
    <row r="1137" spans="1:2" x14ac:dyDescent="0.25">
      <c r="A1137" s="67"/>
      <c r="B1137" s="67"/>
    </row>
    <row r="1138" spans="1:2" x14ac:dyDescent="0.25">
      <c r="A1138" s="67"/>
      <c r="B1138" s="67"/>
    </row>
    <row r="1139" spans="1:2" x14ac:dyDescent="0.25">
      <c r="A1139" s="67"/>
      <c r="B1139" s="67"/>
    </row>
    <row r="1140" spans="1:2" x14ac:dyDescent="0.25">
      <c r="A1140" s="67"/>
      <c r="B1140" s="67"/>
    </row>
    <row r="1141" spans="1:2" x14ac:dyDescent="0.25">
      <c r="A1141" s="67"/>
      <c r="B1141" s="67"/>
    </row>
    <row r="1142" spans="1:2" x14ac:dyDescent="0.25">
      <c r="A1142" s="67"/>
      <c r="B1142" s="67"/>
    </row>
    <row r="1143" spans="1:2" x14ac:dyDescent="0.25">
      <c r="A1143" s="67"/>
      <c r="B1143" s="67"/>
    </row>
    <row r="1144" spans="1:2" x14ac:dyDescent="0.25">
      <c r="A1144" s="67"/>
      <c r="B1144" s="67"/>
    </row>
    <row r="1145" spans="1:2" x14ac:dyDescent="0.25">
      <c r="A1145" s="67"/>
      <c r="B1145" s="67"/>
    </row>
    <row r="1146" spans="1:2" x14ac:dyDescent="0.25">
      <c r="A1146" s="67"/>
      <c r="B1146" s="67"/>
    </row>
    <row r="1147" spans="1:2" x14ac:dyDescent="0.25">
      <c r="A1147" s="67"/>
      <c r="B1147" s="67"/>
    </row>
    <row r="1148" spans="1:2" x14ac:dyDescent="0.25">
      <c r="A1148" s="67"/>
      <c r="B1148" s="67"/>
    </row>
    <row r="1149" spans="1:2" x14ac:dyDescent="0.25">
      <c r="A1149" s="67"/>
      <c r="B1149" s="67"/>
    </row>
    <row r="1150" spans="1:2" x14ac:dyDescent="0.25">
      <c r="A1150" s="67"/>
      <c r="B1150" s="67"/>
    </row>
    <row r="1151" spans="1:2" x14ac:dyDescent="0.25">
      <c r="A1151" s="67"/>
      <c r="B1151" s="67"/>
    </row>
    <row r="1152" spans="1:2" x14ac:dyDescent="0.25">
      <c r="A1152" s="67"/>
      <c r="B1152" s="67"/>
    </row>
    <row r="1153" spans="1:2" x14ac:dyDescent="0.25">
      <c r="A1153" s="67"/>
      <c r="B1153" s="67"/>
    </row>
    <row r="1154" spans="1:2" x14ac:dyDescent="0.25">
      <c r="A1154" s="67"/>
      <c r="B1154" s="67"/>
    </row>
    <row r="1155" spans="1:2" x14ac:dyDescent="0.25">
      <c r="A1155" s="67"/>
      <c r="B1155" s="67"/>
    </row>
    <row r="1156" spans="1:2" x14ac:dyDescent="0.25">
      <c r="A1156" s="67"/>
      <c r="B1156" s="67"/>
    </row>
    <row r="1157" spans="1:2" x14ac:dyDescent="0.25">
      <c r="A1157" s="67"/>
      <c r="B1157" s="67"/>
    </row>
    <row r="1158" spans="1:2" x14ac:dyDescent="0.25">
      <c r="A1158" s="67"/>
      <c r="B1158" s="67"/>
    </row>
    <row r="1159" spans="1:2" x14ac:dyDescent="0.25">
      <c r="A1159" s="67"/>
      <c r="B1159" s="67"/>
    </row>
    <row r="1160" spans="1:2" x14ac:dyDescent="0.25">
      <c r="A1160" s="67"/>
      <c r="B1160" s="67"/>
    </row>
    <row r="1161" spans="1:2" x14ac:dyDescent="0.25">
      <c r="A1161" s="67"/>
      <c r="B1161" s="67"/>
    </row>
    <row r="1162" spans="1:2" x14ac:dyDescent="0.25">
      <c r="A1162" s="67"/>
      <c r="B1162" s="67"/>
    </row>
    <row r="1163" spans="1:2" x14ac:dyDescent="0.25">
      <c r="A1163" s="67"/>
      <c r="B1163" s="67"/>
    </row>
    <row r="1164" spans="1:2" x14ac:dyDescent="0.25">
      <c r="A1164" s="67"/>
      <c r="B1164" s="67"/>
    </row>
    <row r="1165" spans="1:2" x14ac:dyDescent="0.25">
      <c r="A1165" s="67"/>
      <c r="B1165" s="67"/>
    </row>
    <row r="1166" spans="1:2" x14ac:dyDescent="0.25">
      <c r="A1166" s="67"/>
      <c r="B1166" s="67"/>
    </row>
    <row r="1167" spans="1:2" x14ac:dyDescent="0.25">
      <c r="A1167" s="67"/>
      <c r="B1167" s="67"/>
    </row>
    <row r="1168" spans="1:2" x14ac:dyDescent="0.25">
      <c r="A1168" s="67"/>
      <c r="B1168" s="67"/>
    </row>
    <row r="1169" spans="1:2" x14ac:dyDescent="0.25">
      <c r="A1169" s="67"/>
      <c r="B1169" s="67"/>
    </row>
    <row r="1170" spans="1:2" x14ac:dyDescent="0.25">
      <c r="A1170" s="67"/>
      <c r="B1170" s="67"/>
    </row>
    <row r="1171" spans="1:2" x14ac:dyDescent="0.25">
      <c r="A1171" s="67"/>
      <c r="B1171" s="67"/>
    </row>
    <row r="1172" spans="1:2" x14ac:dyDescent="0.25">
      <c r="A1172" s="67"/>
      <c r="B1172" s="67"/>
    </row>
    <row r="1173" spans="1:2" x14ac:dyDescent="0.25">
      <c r="A1173" s="67"/>
      <c r="B1173" s="67"/>
    </row>
    <row r="1174" spans="1:2" x14ac:dyDescent="0.25">
      <c r="A1174" s="67"/>
      <c r="B1174" s="67"/>
    </row>
    <row r="1175" spans="1:2" x14ac:dyDescent="0.25">
      <c r="A1175" s="67"/>
      <c r="B1175" s="67"/>
    </row>
    <row r="1176" spans="1:2" x14ac:dyDescent="0.25">
      <c r="A1176" s="67"/>
      <c r="B1176" s="67"/>
    </row>
    <row r="1177" spans="1:2" x14ac:dyDescent="0.25">
      <c r="A1177" s="67"/>
      <c r="B1177" s="67"/>
    </row>
    <row r="1178" spans="1:2" x14ac:dyDescent="0.25">
      <c r="A1178" s="67"/>
      <c r="B1178" s="67"/>
    </row>
    <row r="1179" spans="1:2" x14ac:dyDescent="0.25">
      <c r="A1179" s="67"/>
      <c r="B1179" s="67"/>
    </row>
    <row r="1180" spans="1:2" x14ac:dyDescent="0.25">
      <c r="A1180" s="67"/>
      <c r="B1180" s="67"/>
    </row>
    <row r="1181" spans="1:2" x14ac:dyDescent="0.25">
      <c r="A1181" s="67"/>
      <c r="B1181" s="67"/>
    </row>
    <row r="1182" spans="1:2" x14ac:dyDescent="0.25">
      <c r="A1182" s="67"/>
      <c r="B1182" s="67"/>
    </row>
    <row r="1183" spans="1:2" x14ac:dyDescent="0.25">
      <c r="A1183" s="67"/>
      <c r="B1183" s="67"/>
    </row>
    <row r="1184" spans="1:2" x14ac:dyDescent="0.25">
      <c r="A1184" s="67"/>
      <c r="B1184" s="67"/>
    </row>
    <row r="1185" spans="1:2" x14ac:dyDescent="0.25">
      <c r="A1185" s="67"/>
      <c r="B1185" s="67"/>
    </row>
    <row r="1186" spans="1:2" x14ac:dyDescent="0.25">
      <c r="A1186" s="67"/>
      <c r="B1186" s="67"/>
    </row>
    <row r="1187" spans="1:2" x14ac:dyDescent="0.25">
      <c r="A1187" s="67"/>
      <c r="B1187" s="67"/>
    </row>
    <row r="1188" spans="1:2" x14ac:dyDescent="0.25">
      <c r="A1188" s="67"/>
      <c r="B1188" s="67"/>
    </row>
    <row r="1189" spans="1:2" x14ac:dyDescent="0.25">
      <c r="A1189" s="67"/>
      <c r="B1189" s="67"/>
    </row>
    <row r="1190" spans="1:2" x14ac:dyDescent="0.25">
      <c r="A1190" s="67"/>
      <c r="B1190" s="67"/>
    </row>
    <row r="1191" spans="1:2" x14ac:dyDescent="0.25">
      <c r="A1191" s="67"/>
      <c r="B1191" s="67"/>
    </row>
    <row r="1192" spans="1:2" x14ac:dyDescent="0.25">
      <c r="A1192" s="67"/>
      <c r="B1192" s="67"/>
    </row>
    <row r="1193" spans="1:2" x14ac:dyDescent="0.25">
      <c r="A1193" s="67"/>
      <c r="B1193" s="67"/>
    </row>
    <row r="1194" spans="1:2" x14ac:dyDescent="0.25">
      <c r="A1194" s="67"/>
      <c r="B1194" s="67"/>
    </row>
    <row r="1195" spans="1:2" x14ac:dyDescent="0.25">
      <c r="A1195" s="67"/>
      <c r="B1195" s="67"/>
    </row>
    <row r="1196" spans="1:2" x14ac:dyDescent="0.25">
      <c r="A1196" s="67"/>
      <c r="B1196" s="67"/>
    </row>
    <row r="1197" spans="1:2" x14ac:dyDescent="0.25">
      <c r="A1197" s="67"/>
      <c r="B1197" s="67"/>
    </row>
    <row r="1198" spans="1:2" x14ac:dyDescent="0.25">
      <c r="A1198" s="67"/>
      <c r="B1198" s="67"/>
    </row>
    <row r="1199" spans="1:2" x14ac:dyDescent="0.25">
      <c r="A1199" s="67"/>
      <c r="B1199" s="67"/>
    </row>
    <row r="1200" spans="1:2" x14ac:dyDescent="0.25">
      <c r="A1200" s="67"/>
      <c r="B1200" s="67"/>
    </row>
    <row r="1201" spans="1:2" x14ac:dyDescent="0.25">
      <c r="A1201" s="67"/>
      <c r="B1201" s="67"/>
    </row>
    <row r="1202" spans="1:2" x14ac:dyDescent="0.25">
      <c r="A1202" s="67"/>
      <c r="B1202" s="67"/>
    </row>
    <row r="1203" spans="1:2" x14ac:dyDescent="0.25">
      <c r="A1203" s="67"/>
      <c r="B1203" s="67"/>
    </row>
    <row r="1204" spans="1:2" x14ac:dyDescent="0.25">
      <c r="A1204" s="67"/>
      <c r="B1204" s="67"/>
    </row>
    <row r="1205" spans="1:2" x14ac:dyDescent="0.25">
      <c r="A1205" s="67"/>
      <c r="B1205" s="67"/>
    </row>
    <row r="1206" spans="1:2" x14ac:dyDescent="0.25">
      <c r="A1206" s="67"/>
      <c r="B1206" s="67"/>
    </row>
    <row r="1207" spans="1:2" x14ac:dyDescent="0.25">
      <c r="A1207" s="67"/>
      <c r="B1207" s="67"/>
    </row>
    <row r="1208" spans="1:2" x14ac:dyDescent="0.25">
      <c r="A1208" s="67"/>
      <c r="B1208" s="67"/>
    </row>
    <row r="1209" spans="1:2" x14ac:dyDescent="0.25">
      <c r="A1209" s="67"/>
      <c r="B1209" s="67"/>
    </row>
    <row r="1210" spans="1:2" x14ac:dyDescent="0.25">
      <c r="A1210" s="67"/>
      <c r="B1210" s="67"/>
    </row>
    <row r="1211" spans="1:2" x14ac:dyDescent="0.25">
      <c r="A1211" s="67"/>
      <c r="B1211" s="67"/>
    </row>
    <row r="1212" spans="1:2" x14ac:dyDescent="0.25">
      <c r="A1212" s="67"/>
      <c r="B1212" s="67"/>
    </row>
    <row r="1213" spans="1:2" x14ac:dyDescent="0.25">
      <c r="A1213" s="67"/>
      <c r="B1213" s="67"/>
    </row>
    <row r="1214" spans="1:2" x14ac:dyDescent="0.25">
      <c r="A1214" s="67"/>
      <c r="B1214" s="67"/>
    </row>
    <row r="1215" spans="1:2" x14ac:dyDescent="0.25">
      <c r="A1215" s="67"/>
      <c r="B1215" s="67"/>
    </row>
    <row r="1216" spans="1:2" x14ac:dyDescent="0.25">
      <c r="A1216" s="67"/>
      <c r="B1216" s="67"/>
    </row>
    <row r="1217" spans="1:2" x14ac:dyDescent="0.25">
      <c r="A1217" s="67"/>
      <c r="B1217" s="67"/>
    </row>
    <row r="1218" spans="1:2" x14ac:dyDescent="0.25">
      <c r="A1218" s="67"/>
      <c r="B1218" s="67"/>
    </row>
    <row r="1219" spans="1:2" x14ac:dyDescent="0.25">
      <c r="A1219" s="67"/>
      <c r="B1219" s="67"/>
    </row>
    <row r="1220" spans="1:2" x14ac:dyDescent="0.25">
      <c r="A1220" s="67"/>
      <c r="B1220" s="67"/>
    </row>
    <row r="1221" spans="1:2" x14ac:dyDescent="0.25">
      <c r="A1221" s="67"/>
      <c r="B1221" s="67"/>
    </row>
    <row r="1222" spans="1:2" x14ac:dyDescent="0.25">
      <c r="A1222" s="67"/>
      <c r="B1222" s="67"/>
    </row>
    <row r="1223" spans="1:2" x14ac:dyDescent="0.25">
      <c r="A1223" s="67"/>
      <c r="B1223" s="67"/>
    </row>
    <row r="1224" spans="1:2" x14ac:dyDescent="0.25">
      <c r="A1224" s="67"/>
      <c r="B1224" s="67"/>
    </row>
    <row r="1225" spans="1:2" x14ac:dyDescent="0.25">
      <c r="A1225" s="67"/>
      <c r="B1225" s="67"/>
    </row>
    <row r="1226" spans="1:2" x14ac:dyDescent="0.25">
      <c r="A1226" s="67"/>
      <c r="B1226" s="67"/>
    </row>
    <row r="1227" spans="1:2" x14ac:dyDescent="0.25">
      <c r="A1227" s="67"/>
      <c r="B1227" s="67"/>
    </row>
    <row r="1228" spans="1:2" x14ac:dyDescent="0.25">
      <c r="A1228" s="67"/>
      <c r="B1228" s="67"/>
    </row>
    <row r="1229" spans="1:2" x14ac:dyDescent="0.25">
      <c r="A1229" s="67"/>
      <c r="B1229" s="67"/>
    </row>
    <row r="1230" spans="1:2" x14ac:dyDescent="0.25">
      <c r="A1230" s="67"/>
      <c r="B1230" s="67"/>
    </row>
    <row r="1231" spans="1:2" x14ac:dyDescent="0.25">
      <c r="A1231" s="67"/>
      <c r="B1231" s="67"/>
    </row>
    <row r="1232" spans="1:2" x14ac:dyDescent="0.25">
      <c r="A1232" s="67"/>
      <c r="B1232" s="67"/>
    </row>
    <row r="1233" spans="1:2" x14ac:dyDescent="0.25">
      <c r="A1233" s="67"/>
      <c r="B1233" s="67"/>
    </row>
    <row r="1234" spans="1:2" x14ac:dyDescent="0.25">
      <c r="A1234" s="67"/>
      <c r="B1234" s="67"/>
    </row>
    <row r="1235" spans="1:2" x14ac:dyDescent="0.25">
      <c r="A1235" s="67"/>
      <c r="B1235" s="67"/>
    </row>
    <row r="1236" spans="1:2" x14ac:dyDescent="0.25">
      <c r="A1236" s="67"/>
      <c r="B1236" s="67"/>
    </row>
    <row r="1237" spans="1:2" x14ac:dyDescent="0.25">
      <c r="A1237" s="67"/>
      <c r="B1237" s="67"/>
    </row>
    <row r="1238" spans="1:2" x14ac:dyDescent="0.25">
      <c r="A1238" s="67"/>
      <c r="B1238" s="67"/>
    </row>
    <row r="1239" spans="1:2" x14ac:dyDescent="0.25">
      <c r="A1239" s="67"/>
      <c r="B1239" s="67"/>
    </row>
    <row r="1240" spans="1:2" x14ac:dyDescent="0.25">
      <c r="A1240" s="67"/>
      <c r="B1240" s="67"/>
    </row>
    <row r="1241" spans="1:2" x14ac:dyDescent="0.25">
      <c r="A1241" s="67"/>
      <c r="B1241" s="67"/>
    </row>
    <row r="1242" spans="1:2" x14ac:dyDescent="0.25">
      <c r="A1242" s="67"/>
      <c r="B1242" s="67"/>
    </row>
    <row r="1243" spans="1:2" x14ac:dyDescent="0.25">
      <c r="A1243" s="67"/>
      <c r="B1243" s="67"/>
    </row>
    <row r="1244" spans="1:2" x14ac:dyDescent="0.25">
      <c r="A1244" s="67"/>
      <c r="B1244" s="67"/>
    </row>
    <row r="1245" spans="1:2" x14ac:dyDescent="0.25">
      <c r="A1245" s="67"/>
      <c r="B1245" s="67"/>
    </row>
    <row r="1246" spans="1:2" x14ac:dyDescent="0.25">
      <c r="A1246" s="67"/>
      <c r="B1246" s="67"/>
    </row>
    <row r="1247" spans="1:2" x14ac:dyDescent="0.25">
      <c r="A1247" s="67"/>
      <c r="B1247" s="67"/>
    </row>
    <row r="1248" spans="1:2" x14ac:dyDescent="0.25">
      <c r="A1248" s="67"/>
      <c r="B1248" s="67"/>
    </row>
    <row r="1249" spans="1:2" x14ac:dyDescent="0.25">
      <c r="A1249" s="67"/>
      <c r="B1249" s="67"/>
    </row>
    <row r="1250" spans="1:2" x14ac:dyDescent="0.25">
      <c r="A1250" s="67"/>
      <c r="B1250" s="67"/>
    </row>
    <row r="1251" spans="1:2" x14ac:dyDescent="0.25">
      <c r="A1251" s="67"/>
      <c r="B1251" s="67"/>
    </row>
    <row r="1252" spans="1:2" x14ac:dyDescent="0.25">
      <c r="A1252" s="67"/>
      <c r="B1252" s="67"/>
    </row>
    <row r="1253" spans="1:2" x14ac:dyDescent="0.25">
      <c r="A1253" s="67"/>
      <c r="B1253" s="67"/>
    </row>
    <row r="1254" spans="1:2" x14ac:dyDescent="0.25">
      <c r="A1254" s="67"/>
      <c r="B1254" s="67"/>
    </row>
    <row r="1255" spans="1:2" x14ac:dyDescent="0.25">
      <c r="A1255" s="67"/>
      <c r="B1255" s="67"/>
    </row>
    <row r="1256" spans="1:2" x14ac:dyDescent="0.25">
      <c r="A1256" s="67"/>
      <c r="B1256" s="67"/>
    </row>
    <row r="1257" spans="1:2" x14ac:dyDescent="0.25">
      <c r="A1257" s="67"/>
      <c r="B1257" s="67"/>
    </row>
    <row r="1258" spans="1:2" x14ac:dyDescent="0.25">
      <c r="A1258" s="67"/>
      <c r="B1258" s="67"/>
    </row>
    <row r="1259" spans="1:2" x14ac:dyDescent="0.25">
      <c r="A1259" s="67"/>
      <c r="B1259" s="67"/>
    </row>
    <row r="1260" spans="1:2" x14ac:dyDescent="0.25">
      <c r="A1260" s="67"/>
      <c r="B1260" s="67"/>
    </row>
    <row r="1261" spans="1:2" x14ac:dyDescent="0.25">
      <c r="A1261" s="67"/>
      <c r="B1261" s="67"/>
    </row>
    <row r="1262" spans="1:2" x14ac:dyDescent="0.25">
      <c r="A1262" s="67"/>
      <c r="B1262" s="67"/>
    </row>
    <row r="1263" spans="1:2" x14ac:dyDescent="0.25">
      <c r="A1263" s="67"/>
      <c r="B1263" s="67"/>
    </row>
    <row r="1264" spans="1:2" x14ac:dyDescent="0.25">
      <c r="A1264" s="67"/>
      <c r="B1264" s="67"/>
    </row>
    <row r="1265" spans="1:2" x14ac:dyDescent="0.25">
      <c r="A1265" s="67"/>
      <c r="B1265" s="67"/>
    </row>
    <row r="1266" spans="1:2" x14ac:dyDescent="0.25">
      <c r="A1266" s="67"/>
      <c r="B1266" s="67"/>
    </row>
    <row r="1267" spans="1:2" x14ac:dyDescent="0.25">
      <c r="A1267" s="67"/>
      <c r="B1267" s="67"/>
    </row>
    <row r="1268" spans="1:2" x14ac:dyDescent="0.25">
      <c r="A1268" s="67"/>
      <c r="B1268" s="67"/>
    </row>
    <row r="1269" spans="1:2" x14ac:dyDescent="0.25">
      <c r="A1269" s="67"/>
      <c r="B1269" s="67"/>
    </row>
    <row r="1270" spans="1:2" x14ac:dyDescent="0.25">
      <c r="A1270" s="67"/>
      <c r="B1270" s="67"/>
    </row>
    <row r="1271" spans="1:2" x14ac:dyDescent="0.25">
      <c r="A1271" s="67"/>
      <c r="B1271" s="67"/>
    </row>
    <row r="1272" spans="1:2" x14ac:dyDescent="0.25">
      <c r="A1272" s="67"/>
      <c r="B1272" s="67"/>
    </row>
    <row r="1273" spans="1:2" x14ac:dyDescent="0.25">
      <c r="A1273" s="67"/>
      <c r="B1273" s="67"/>
    </row>
    <row r="1274" spans="1:2" x14ac:dyDescent="0.25">
      <c r="A1274" s="67"/>
      <c r="B1274" s="67"/>
    </row>
    <row r="1275" spans="1:2" x14ac:dyDescent="0.25">
      <c r="A1275" s="67"/>
      <c r="B1275" s="67"/>
    </row>
    <row r="1276" spans="1:2" x14ac:dyDescent="0.25">
      <c r="A1276" s="67"/>
      <c r="B1276" s="67"/>
    </row>
    <row r="1277" spans="1:2" x14ac:dyDescent="0.25">
      <c r="A1277" s="67"/>
      <c r="B1277" s="67"/>
    </row>
    <row r="1278" spans="1:2" x14ac:dyDescent="0.25">
      <c r="A1278" s="67"/>
      <c r="B1278" s="67"/>
    </row>
    <row r="1279" spans="1:2" x14ac:dyDescent="0.25">
      <c r="A1279" s="67"/>
      <c r="B1279" s="67"/>
    </row>
    <row r="1280" spans="1:2" x14ac:dyDescent="0.25">
      <c r="A1280" s="67"/>
      <c r="B1280" s="67"/>
    </row>
    <row r="1281" spans="1:2" x14ac:dyDescent="0.25">
      <c r="A1281" s="67"/>
      <c r="B1281" s="67"/>
    </row>
    <row r="1282" spans="1:2" x14ac:dyDescent="0.25">
      <c r="A1282" s="67"/>
      <c r="B1282" s="67"/>
    </row>
    <row r="1283" spans="1:2" x14ac:dyDescent="0.25">
      <c r="A1283" s="67"/>
      <c r="B1283" s="67"/>
    </row>
    <row r="1284" spans="1:2" x14ac:dyDescent="0.25">
      <c r="A1284" s="67"/>
      <c r="B1284" s="67"/>
    </row>
    <row r="1285" spans="1:2" x14ac:dyDescent="0.25">
      <c r="A1285" s="67"/>
      <c r="B1285" s="67"/>
    </row>
    <row r="1286" spans="1:2" x14ac:dyDescent="0.25">
      <c r="A1286" s="67"/>
      <c r="B1286" s="67"/>
    </row>
    <row r="1287" spans="1:2" x14ac:dyDescent="0.25">
      <c r="A1287" s="67"/>
      <c r="B1287" s="67"/>
    </row>
    <row r="1288" spans="1:2" x14ac:dyDescent="0.25">
      <c r="A1288" s="67"/>
      <c r="B1288" s="67"/>
    </row>
    <row r="1289" spans="1:2" x14ac:dyDescent="0.25">
      <c r="A1289" s="67"/>
      <c r="B1289" s="67"/>
    </row>
    <row r="1290" spans="1:2" x14ac:dyDescent="0.25">
      <c r="A1290" s="67"/>
      <c r="B1290" s="67"/>
    </row>
    <row r="1291" spans="1:2" x14ac:dyDescent="0.25">
      <c r="A1291" s="67"/>
      <c r="B1291" s="67"/>
    </row>
    <row r="1292" spans="1:2" x14ac:dyDescent="0.25">
      <c r="A1292" s="67"/>
      <c r="B1292" s="67"/>
    </row>
    <row r="1293" spans="1:2" x14ac:dyDescent="0.25">
      <c r="A1293" s="67"/>
      <c r="B1293" s="67"/>
    </row>
    <row r="1294" spans="1:2" x14ac:dyDescent="0.25">
      <c r="A1294" s="67"/>
      <c r="B1294" s="67"/>
    </row>
    <row r="1295" spans="1:2" x14ac:dyDescent="0.25">
      <c r="A1295" s="67"/>
      <c r="B1295" s="67"/>
    </row>
    <row r="1296" spans="1:2" x14ac:dyDescent="0.25">
      <c r="A1296" s="67"/>
      <c r="B1296" s="67"/>
    </row>
    <row r="1297" spans="1:2" x14ac:dyDescent="0.25">
      <c r="A1297" s="67"/>
      <c r="B1297" s="67"/>
    </row>
    <row r="1298" spans="1:2" x14ac:dyDescent="0.25">
      <c r="A1298" s="67"/>
      <c r="B1298" s="67"/>
    </row>
    <row r="1299" spans="1:2" x14ac:dyDescent="0.25">
      <c r="A1299" s="67"/>
      <c r="B1299" s="67"/>
    </row>
    <row r="1300" spans="1:2" x14ac:dyDescent="0.25">
      <c r="A1300" s="67"/>
      <c r="B1300" s="67"/>
    </row>
    <row r="1301" spans="1:2" x14ac:dyDescent="0.25">
      <c r="A1301" s="67"/>
      <c r="B1301" s="67"/>
    </row>
    <row r="1302" spans="1:2" x14ac:dyDescent="0.25">
      <c r="A1302" s="67"/>
      <c r="B1302" s="67"/>
    </row>
    <row r="1303" spans="1:2" x14ac:dyDescent="0.25">
      <c r="A1303" s="67"/>
      <c r="B1303" s="67"/>
    </row>
    <row r="1304" spans="1:2" x14ac:dyDescent="0.25">
      <c r="A1304" s="67"/>
      <c r="B1304" s="67"/>
    </row>
    <row r="1305" spans="1:2" x14ac:dyDescent="0.25">
      <c r="A1305" s="67"/>
      <c r="B1305" s="67"/>
    </row>
    <row r="1306" spans="1:2" x14ac:dyDescent="0.25">
      <c r="A1306" s="67"/>
      <c r="B1306" s="67"/>
    </row>
    <row r="1307" spans="1:2" x14ac:dyDescent="0.25">
      <c r="A1307" s="67"/>
      <c r="B1307" s="67"/>
    </row>
    <row r="1308" spans="1:2" x14ac:dyDescent="0.25">
      <c r="A1308" s="67"/>
      <c r="B1308" s="67"/>
    </row>
    <row r="1309" spans="1:2" x14ac:dyDescent="0.25">
      <c r="A1309" s="67"/>
      <c r="B1309" s="67"/>
    </row>
    <row r="1310" spans="1:2" x14ac:dyDescent="0.25">
      <c r="A1310" s="67"/>
      <c r="B1310" s="67"/>
    </row>
    <row r="1311" spans="1:2" x14ac:dyDescent="0.25">
      <c r="A1311" s="67"/>
      <c r="B1311" s="67"/>
    </row>
    <row r="1312" spans="1:2" x14ac:dyDescent="0.25">
      <c r="A1312" s="67"/>
      <c r="B1312" s="67"/>
    </row>
    <row r="1313" spans="1:2" x14ac:dyDescent="0.25">
      <c r="A1313" s="67"/>
      <c r="B1313" s="67"/>
    </row>
    <row r="1314" spans="1:2" x14ac:dyDescent="0.25">
      <c r="A1314" s="67"/>
      <c r="B1314" s="67"/>
    </row>
    <row r="1315" spans="1:2" x14ac:dyDescent="0.25">
      <c r="A1315" s="67"/>
      <c r="B1315" s="67"/>
    </row>
    <row r="1316" spans="1:2" x14ac:dyDescent="0.25">
      <c r="A1316" s="67"/>
      <c r="B1316" s="67"/>
    </row>
    <row r="1317" spans="1:2" x14ac:dyDescent="0.25">
      <c r="A1317" s="67"/>
      <c r="B1317" s="67"/>
    </row>
    <row r="1318" spans="1:2" x14ac:dyDescent="0.25">
      <c r="A1318" s="67"/>
      <c r="B1318" s="67"/>
    </row>
    <row r="1319" spans="1:2" x14ac:dyDescent="0.25">
      <c r="A1319" s="67"/>
      <c r="B1319" s="67"/>
    </row>
    <row r="1320" spans="1:2" x14ac:dyDescent="0.25">
      <c r="A1320" s="67"/>
      <c r="B1320" s="67"/>
    </row>
    <row r="1321" spans="1:2" x14ac:dyDescent="0.25">
      <c r="A1321" s="67"/>
      <c r="B1321" s="67"/>
    </row>
    <row r="1322" spans="1:2" x14ac:dyDescent="0.25">
      <c r="A1322" s="67"/>
      <c r="B1322" s="67"/>
    </row>
    <row r="1323" spans="1:2" x14ac:dyDescent="0.25">
      <c r="A1323" s="67"/>
      <c r="B1323" s="67"/>
    </row>
    <row r="1324" spans="1:2" x14ac:dyDescent="0.25">
      <c r="A1324" s="67"/>
      <c r="B1324" s="67"/>
    </row>
    <row r="1325" spans="1:2" x14ac:dyDescent="0.25">
      <c r="A1325" s="67"/>
      <c r="B1325" s="67"/>
    </row>
    <row r="1326" spans="1:2" x14ac:dyDescent="0.25">
      <c r="A1326" s="67"/>
      <c r="B1326" s="67"/>
    </row>
    <row r="1327" spans="1:2" x14ac:dyDescent="0.25">
      <c r="A1327" s="67"/>
      <c r="B1327" s="67"/>
    </row>
    <row r="1328" spans="1:2" x14ac:dyDescent="0.25">
      <c r="A1328" s="67"/>
      <c r="B1328" s="67"/>
    </row>
    <row r="1329" spans="1:2" x14ac:dyDescent="0.25">
      <c r="A1329" s="67"/>
      <c r="B1329" s="67"/>
    </row>
    <row r="1330" spans="1:2" x14ac:dyDescent="0.25">
      <c r="A1330" s="67"/>
      <c r="B1330" s="67"/>
    </row>
    <row r="1331" spans="1:2" x14ac:dyDescent="0.25">
      <c r="A1331" s="67"/>
      <c r="B1331" s="67"/>
    </row>
    <row r="1332" spans="1:2" x14ac:dyDescent="0.25">
      <c r="A1332" s="67"/>
      <c r="B1332" s="67"/>
    </row>
    <row r="1333" spans="1:2" x14ac:dyDescent="0.25">
      <c r="A1333" s="67"/>
      <c r="B1333" s="67"/>
    </row>
    <row r="1334" spans="1:2" x14ac:dyDescent="0.25">
      <c r="A1334" s="67"/>
      <c r="B1334" s="67"/>
    </row>
    <row r="1335" spans="1:2" x14ac:dyDescent="0.25">
      <c r="A1335" s="67"/>
      <c r="B1335" s="67"/>
    </row>
    <row r="1336" spans="1:2" x14ac:dyDescent="0.25">
      <c r="A1336" s="67"/>
      <c r="B1336" s="67"/>
    </row>
    <row r="1337" spans="1:2" x14ac:dyDescent="0.25">
      <c r="A1337" s="67"/>
      <c r="B1337" s="67"/>
    </row>
    <row r="1338" spans="1:2" x14ac:dyDescent="0.25">
      <c r="A1338" s="67"/>
      <c r="B1338" s="67"/>
    </row>
    <row r="1339" spans="1:2" x14ac:dyDescent="0.25">
      <c r="A1339" s="67"/>
      <c r="B1339" s="67"/>
    </row>
    <row r="1340" spans="1:2" x14ac:dyDescent="0.25">
      <c r="A1340" s="67"/>
      <c r="B1340" s="67"/>
    </row>
    <row r="1341" spans="1:2" x14ac:dyDescent="0.25">
      <c r="A1341" s="67"/>
      <c r="B1341" s="67"/>
    </row>
    <row r="1342" spans="1:2" x14ac:dyDescent="0.25">
      <c r="A1342" s="67"/>
      <c r="B1342" s="67"/>
    </row>
    <row r="1343" spans="1:2" x14ac:dyDescent="0.25">
      <c r="A1343" s="67"/>
      <c r="B1343" s="67"/>
    </row>
    <row r="1344" spans="1:2" x14ac:dyDescent="0.25">
      <c r="A1344" s="67"/>
      <c r="B1344" s="67"/>
    </row>
    <row r="1345" spans="1:2" x14ac:dyDescent="0.25">
      <c r="A1345" s="67"/>
      <c r="B1345" s="67"/>
    </row>
    <row r="1346" spans="1:2" x14ac:dyDescent="0.25">
      <c r="A1346" s="67"/>
      <c r="B1346" s="67"/>
    </row>
    <row r="1347" spans="1:2" x14ac:dyDescent="0.25">
      <c r="A1347" s="67"/>
      <c r="B1347" s="67"/>
    </row>
    <row r="1348" spans="1:2" x14ac:dyDescent="0.25">
      <c r="A1348" s="67"/>
      <c r="B1348" s="67"/>
    </row>
    <row r="1349" spans="1:2" x14ac:dyDescent="0.25">
      <c r="A1349" s="67"/>
      <c r="B1349" s="67"/>
    </row>
    <row r="1350" spans="1:2" x14ac:dyDescent="0.25">
      <c r="A1350" s="67"/>
      <c r="B1350" s="67"/>
    </row>
    <row r="1351" spans="1:2" x14ac:dyDescent="0.25">
      <c r="A1351" s="67"/>
      <c r="B1351" s="67"/>
    </row>
    <row r="1352" spans="1:2" x14ac:dyDescent="0.25">
      <c r="A1352" s="67"/>
      <c r="B1352" s="67"/>
    </row>
    <row r="1353" spans="1:2" x14ac:dyDescent="0.25">
      <c r="A1353" s="67"/>
      <c r="B1353" s="67"/>
    </row>
    <row r="1354" spans="1:2" x14ac:dyDescent="0.25">
      <c r="A1354" s="67"/>
      <c r="B1354" s="67"/>
    </row>
    <row r="1355" spans="1:2" x14ac:dyDescent="0.25">
      <c r="A1355" s="67"/>
      <c r="B1355" s="67"/>
    </row>
    <row r="1356" spans="1:2" x14ac:dyDescent="0.25">
      <c r="A1356" s="67"/>
      <c r="B1356" s="67"/>
    </row>
    <row r="1357" spans="1:2" x14ac:dyDescent="0.25">
      <c r="A1357" s="67"/>
      <c r="B1357" s="67"/>
    </row>
    <row r="1358" spans="1:2" x14ac:dyDescent="0.25">
      <c r="A1358" s="67"/>
      <c r="B1358" s="67"/>
    </row>
    <row r="1359" spans="1:2" x14ac:dyDescent="0.25">
      <c r="A1359" s="67"/>
      <c r="B1359" s="67"/>
    </row>
    <row r="1360" spans="1:2" x14ac:dyDescent="0.25">
      <c r="A1360" s="67"/>
      <c r="B1360" s="67"/>
    </row>
    <row r="1361" spans="1:2" x14ac:dyDescent="0.25">
      <c r="A1361" s="67"/>
      <c r="B1361" s="67"/>
    </row>
    <row r="1362" spans="1:2" x14ac:dyDescent="0.25">
      <c r="A1362" s="67"/>
      <c r="B1362" s="67"/>
    </row>
    <row r="1363" spans="1:2" x14ac:dyDescent="0.25">
      <c r="A1363" s="67"/>
      <c r="B1363" s="67"/>
    </row>
    <row r="1364" spans="1:2" x14ac:dyDescent="0.25">
      <c r="A1364" s="67"/>
      <c r="B1364" s="67"/>
    </row>
    <row r="1365" spans="1:2" x14ac:dyDescent="0.25">
      <c r="A1365" s="67"/>
      <c r="B1365" s="67"/>
    </row>
    <row r="1366" spans="1:2" x14ac:dyDescent="0.25">
      <c r="A1366" s="67"/>
      <c r="B1366" s="67"/>
    </row>
    <row r="1367" spans="1:2" x14ac:dyDescent="0.25">
      <c r="A1367" s="67"/>
      <c r="B1367" s="67"/>
    </row>
    <row r="1368" spans="1:2" x14ac:dyDescent="0.25">
      <c r="A1368" s="67"/>
      <c r="B1368" s="67"/>
    </row>
    <row r="1369" spans="1:2" x14ac:dyDescent="0.25">
      <c r="A1369" s="67"/>
      <c r="B1369" s="67"/>
    </row>
    <row r="1370" spans="1:2" x14ac:dyDescent="0.25">
      <c r="A1370" s="67"/>
      <c r="B1370" s="67"/>
    </row>
    <row r="1371" spans="1:2" x14ac:dyDescent="0.25">
      <c r="A1371" s="67"/>
      <c r="B1371" s="67"/>
    </row>
    <row r="1372" spans="1:2" x14ac:dyDescent="0.25">
      <c r="A1372" s="67"/>
      <c r="B1372" s="67"/>
    </row>
    <row r="1373" spans="1:2" x14ac:dyDescent="0.25">
      <c r="A1373" s="67"/>
      <c r="B1373" s="67"/>
    </row>
    <row r="1374" spans="1:2" x14ac:dyDescent="0.25">
      <c r="A1374" s="67"/>
      <c r="B1374" s="67"/>
    </row>
    <row r="1375" spans="1:2" x14ac:dyDescent="0.25">
      <c r="A1375" s="67"/>
      <c r="B1375" s="67"/>
    </row>
    <row r="1376" spans="1:2" x14ac:dyDescent="0.25">
      <c r="A1376" s="67"/>
      <c r="B1376" s="67"/>
    </row>
    <row r="1377" spans="1:2" x14ac:dyDescent="0.25">
      <c r="A1377" s="67"/>
      <c r="B1377" s="67"/>
    </row>
    <row r="1378" spans="1:2" x14ac:dyDescent="0.25">
      <c r="A1378" s="67"/>
      <c r="B1378" s="67"/>
    </row>
    <row r="1379" spans="1:2" x14ac:dyDescent="0.25">
      <c r="A1379" s="67"/>
      <c r="B1379" s="67"/>
    </row>
    <row r="1380" spans="1:2" x14ac:dyDescent="0.25">
      <c r="A1380" s="67"/>
      <c r="B1380" s="67"/>
    </row>
    <row r="1381" spans="1:2" x14ac:dyDescent="0.25">
      <c r="A1381" s="67"/>
      <c r="B1381" s="67"/>
    </row>
    <row r="1382" spans="1:2" x14ac:dyDescent="0.25">
      <c r="A1382" s="67"/>
      <c r="B1382" s="67"/>
    </row>
    <row r="1383" spans="1:2" x14ac:dyDescent="0.25">
      <c r="A1383" s="67"/>
      <c r="B1383" s="67"/>
    </row>
    <row r="1384" spans="1:2" x14ac:dyDescent="0.25">
      <c r="A1384" s="67"/>
      <c r="B1384" s="67"/>
    </row>
    <row r="1385" spans="1:2" x14ac:dyDescent="0.25">
      <c r="A1385" s="67"/>
      <c r="B1385" s="67"/>
    </row>
    <row r="1386" spans="1:2" x14ac:dyDescent="0.25">
      <c r="A1386" s="67"/>
      <c r="B1386" s="67"/>
    </row>
    <row r="1387" spans="1:2" x14ac:dyDescent="0.25">
      <c r="A1387" s="67"/>
      <c r="B1387" s="67"/>
    </row>
    <row r="1388" spans="1:2" x14ac:dyDescent="0.25">
      <c r="A1388" s="67"/>
      <c r="B1388" s="67"/>
    </row>
    <row r="1389" spans="1:2" x14ac:dyDescent="0.25">
      <c r="A1389" s="67"/>
      <c r="B1389" s="67"/>
    </row>
    <row r="1390" spans="1:2" x14ac:dyDescent="0.25">
      <c r="A1390" s="67"/>
      <c r="B1390" s="67"/>
    </row>
    <row r="1391" spans="1:2" x14ac:dyDescent="0.25">
      <c r="A1391" s="67"/>
      <c r="B1391" s="67"/>
    </row>
    <row r="1392" spans="1:2" x14ac:dyDescent="0.25">
      <c r="A1392" s="67"/>
      <c r="B1392" s="67"/>
    </row>
    <row r="1393" spans="1:2" x14ac:dyDescent="0.25">
      <c r="A1393" s="67"/>
      <c r="B1393" s="67"/>
    </row>
    <row r="1394" spans="1:2" x14ac:dyDescent="0.25">
      <c r="A1394" s="67"/>
      <c r="B1394" s="67"/>
    </row>
    <row r="1395" spans="1:2" x14ac:dyDescent="0.25">
      <c r="A1395" s="67"/>
      <c r="B1395" s="67"/>
    </row>
    <row r="1396" spans="1:2" x14ac:dyDescent="0.25">
      <c r="A1396" s="67"/>
      <c r="B1396" s="67"/>
    </row>
    <row r="1397" spans="1:2" x14ac:dyDescent="0.25">
      <c r="A1397" s="67"/>
      <c r="B1397" s="67"/>
    </row>
    <row r="1398" spans="1:2" x14ac:dyDescent="0.25">
      <c r="A1398" s="67"/>
      <c r="B1398" s="67"/>
    </row>
    <row r="1399" spans="1:2" x14ac:dyDescent="0.25">
      <c r="A1399" s="67"/>
      <c r="B1399" s="67"/>
    </row>
    <row r="1400" spans="1:2" x14ac:dyDescent="0.25">
      <c r="A1400" s="67"/>
      <c r="B1400" s="67"/>
    </row>
    <row r="1401" spans="1:2" x14ac:dyDescent="0.25">
      <c r="A1401" s="67"/>
      <c r="B1401" s="67"/>
    </row>
    <row r="1402" spans="1:2" x14ac:dyDescent="0.25">
      <c r="A1402" s="67"/>
      <c r="B1402" s="67"/>
    </row>
    <row r="1403" spans="1:2" x14ac:dyDescent="0.25">
      <c r="A1403" s="67"/>
      <c r="B1403" s="67"/>
    </row>
    <row r="1404" spans="1:2" x14ac:dyDescent="0.25">
      <c r="A1404" s="67"/>
      <c r="B1404" s="67"/>
    </row>
    <row r="1405" spans="1:2" x14ac:dyDescent="0.25">
      <c r="A1405" s="67"/>
      <c r="B1405" s="67"/>
    </row>
    <row r="1406" spans="1:2" x14ac:dyDescent="0.25">
      <c r="A1406" s="67"/>
      <c r="B1406" s="67"/>
    </row>
    <row r="1407" spans="1:2" x14ac:dyDescent="0.25">
      <c r="A1407" s="67"/>
      <c r="B1407" s="67"/>
    </row>
    <row r="1408" spans="1:2" x14ac:dyDescent="0.25">
      <c r="A1408" s="67"/>
      <c r="B1408" s="67"/>
    </row>
    <row r="1409" spans="1:2" x14ac:dyDescent="0.25">
      <c r="A1409" s="67"/>
      <c r="B1409" s="67"/>
    </row>
    <row r="1410" spans="1:2" x14ac:dyDescent="0.25">
      <c r="A1410" s="67"/>
      <c r="B1410" s="67"/>
    </row>
    <row r="1411" spans="1:2" x14ac:dyDescent="0.25">
      <c r="A1411" s="67"/>
      <c r="B1411" s="67"/>
    </row>
    <row r="1412" spans="1:2" x14ac:dyDescent="0.25">
      <c r="A1412" s="67"/>
      <c r="B1412" s="67"/>
    </row>
    <row r="1413" spans="1:2" x14ac:dyDescent="0.25">
      <c r="A1413" s="67"/>
      <c r="B1413" s="67"/>
    </row>
    <row r="1414" spans="1:2" x14ac:dyDescent="0.25">
      <c r="A1414" s="67"/>
      <c r="B1414" s="67"/>
    </row>
    <row r="1415" spans="1:2" x14ac:dyDescent="0.25">
      <c r="A1415" s="67"/>
      <c r="B1415" s="67"/>
    </row>
    <row r="1416" spans="1:2" x14ac:dyDescent="0.25">
      <c r="A1416" s="67"/>
      <c r="B1416" s="67"/>
    </row>
    <row r="1417" spans="1:2" x14ac:dyDescent="0.25">
      <c r="A1417" s="67"/>
      <c r="B1417" s="67"/>
    </row>
    <row r="1418" spans="1:2" x14ac:dyDescent="0.25">
      <c r="A1418" s="67"/>
      <c r="B1418" s="67"/>
    </row>
    <row r="1419" spans="1:2" x14ac:dyDescent="0.25">
      <c r="A1419" s="67"/>
      <c r="B1419" s="67"/>
    </row>
    <row r="1420" spans="1:2" x14ac:dyDescent="0.25">
      <c r="A1420" s="67"/>
      <c r="B1420" s="67"/>
    </row>
    <row r="1421" spans="1:2" x14ac:dyDescent="0.25">
      <c r="A1421" s="67"/>
      <c r="B1421" s="67"/>
    </row>
    <row r="1422" spans="1:2" x14ac:dyDescent="0.25">
      <c r="A1422" s="67"/>
      <c r="B1422" s="67"/>
    </row>
    <row r="1423" spans="1:2" x14ac:dyDescent="0.25">
      <c r="A1423" s="67"/>
      <c r="B1423" s="67"/>
    </row>
    <row r="1424" spans="1:2" x14ac:dyDescent="0.25">
      <c r="A1424" s="67"/>
      <c r="B1424" s="67"/>
    </row>
    <row r="1425" spans="1:2" x14ac:dyDescent="0.25">
      <c r="A1425" s="67"/>
      <c r="B1425" s="67"/>
    </row>
    <row r="1426" spans="1:2" x14ac:dyDescent="0.25">
      <c r="A1426" s="67"/>
      <c r="B1426" s="67"/>
    </row>
    <row r="1427" spans="1:2" x14ac:dyDescent="0.25">
      <c r="A1427" s="67"/>
      <c r="B1427" s="67"/>
    </row>
    <row r="1428" spans="1:2" x14ac:dyDescent="0.25">
      <c r="A1428" s="67"/>
      <c r="B1428" s="67"/>
    </row>
    <row r="1429" spans="1:2" x14ac:dyDescent="0.25">
      <c r="A1429" s="67"/>
      <c r="B1429" s="67"/>
    </row>
    <row r="1430" spans="1:2" x14ac:dyDescent="0.25">
      <c r="A1430" s="67"/>
      <c r="B1430" s="67"/>
    </row>
    <row r="1431" spans="1:2" x14ac:dyDescent="0.25">
      <c r="A1431" s="67"/>
      <c r="B1431" s="67"/>
    </row>
    <row r="1432" spans="1:2" x14ac:dyDescent="0.25">
      <c r="A1432" s="67"/>
      <c r="B1432" s="67"/>
    </row>
    <row r="1433" spans="1:2" x14ac:dyDescent="0.25">
      <c r="A1433" s="67"/>
      <c r="B1433" s="67"/>
    </row>
    <row r="1434" spans="1:2" x14ac:dyDescent="0.25">
      <c r="A1434" s="67"/>
      <c r="B1434" s="67"/>
    </row>
    <row r="1435" spans="1:2" x14ac:dyDescent="0.25">
      <c r="A1435" s="67"/>
      <c r="B1435" s="67"/>
    </row>
    <row r="1436" spans="1:2" x14ac:dyDescent="0.25">
      <c r="A1436" s="67"/>
      <c r="B1436" s="67"/>
    </row>
    <row r="1437" spans="1:2" x14ac:dyDescent="0.25">
      <c r="A1437" s="67"/>
      <c r="B1437" s="67"/>
    </row>
    <row r="1438" spans="1:2" x14ac:dyDescent="0.25">
      <c r="A1438" s="67"/>
      <c r="B1438" s="67"/>
    </row>
    <row r="1439" spans="1:2" x14ac:dyDescent="0.25">
      <c r="A1439" s="67"/>
      <c r="B1439" s="67"/>
    </row>
    <row r="1440" spans="1:2" x14ac:dyDescent="0.25">
      <c r="A1440" s="67"/>
      <c r="B1440" s="67"/>
    </row>
    <row r="1441" spans="1:2" x14ac:dyDescent="0.25">
      <c r="A1441" s="67"/>
      <c r="B1441" s="67"/>
    </row>
    <row r="1442" spans="1:2" x14ac:dyDescent="0.25">
      <c r="A1442" s="67"/>
      <c r="B1442" s="67"/>
    </row>
    <row r="1443" spans="1:2" x14ac:dyDescent="0.25">
      <c r="A1443" s="67"/>
      <c r="B1443" s="67"/>
    </row>
    <row r="1444" spans="1:2" x14ac:dyDescent="0.25">
      <c r="A1444" s="67"/>
      <c r="B1444" s="67"/>
    </row>
    <row r="1445" spans="1:2" x14ac:dyDescent="0.25">
      <c r="A1445" s="67"/>
      <c r="B1445" s="67"/>
    </row>
    <row r="1446" spans="1:2" x14ac:dyDescent="0.25">
      <c r="A1446" s="67"/>
      <c r="B1446" s="67"/>
    </row>
    <row r="1447" spans="1:2" x14ac:dyDescent="0.25">
      <c r="A1447" s="67"/>
      <c r="B1447" s="67"/>
    </row>
    <row r="1448" spans="1:2" x14ac:dyDescent="0.25">
      <c r="A1448" s="67"/>
      <c r="B1448" s="67"/>
    </row>
    <row r="1449" spans="1:2" x14ac:dyDescent="0.25">
      <c r="A1449" s="67"/>
      <c r="B1449" s="67"/>
    </row>
    <row r="1450" spans="1:2" x14ac:dyDescent="0.25">
      <c r="A1450" s="67"/>
      <c r="B1450" s="67"/>
    </row>
    <row r="1451" spans="1:2" x14ac:dyDescent="0.25">
      <c r="A1451" s="67"/>
      <c r="B1451" s="67"/>
    </row>
    <row r="1452" spans="1:2" x14ac:dyDescent="0.25">
      <c r="A1452" s="67"/>
      <c r="B1452" s="67"/>
    </row>
    <row r="1453" spans="1:2" x14ac:dyDescent="0.25">
      <c r="A1453" s="67"/>
      <c r="B1453" s="67"/>
    </row>
    <row r="1454" spans="1:2" x14ac:dyDescent="0.25">
      <c r="A1454" s="67"/>
      <c r="B1454" s="67"/>
    </row>
    <row r="1455" spans="1:2" x14ac:dyDescent="0.25">
      <c r="A1455" s="67"/>
      <c r="B1455" s="67"/>
    </row>
    <row r="1456" spans="1:2" x14ac:dyDescent="0.25">
      <c r="A1456" s="67"/>
      <c r="B1456" s="67"/>
    </row>
    <row r="1457" spans="1:2" x14ac:dyDescent="0.25">
      <c r="A1457" s="67"/>
      <c r="B1457" s="67"/>
    </row>
    <row r="1458" spans="1:2" x14ac:dyDescent="0.25">
      <c r="A1458" s="67"/>
      <c r="B1458" s="67"/>
    </row>
    <row r="1459" spans="1:2" x14ac:dyDescent="0.25">
      <c r="A1459" s="67"/>
      <c r="B1459" s="67"/>
    </row>
    <row r="1460" spans="1:2" x14ac:dyDescent="0.25">
      <c r="A1460" s="67"/>
      <c r="B1460" s="67"/>
    </row>
    <row r="1461" spans="1:2" x14ac:dyDescent="0.25">
      <c r="A1461" s="67"/>
      <c r="B1461" s="67"/>
    </row>
    <row r="1462" spans="1:2" x14ac:dyDescent="0.25">
      <c r="A1462" s="67"/>
      <c r="B1462" s="67"/>
    </row>
    <row r="1463" spans="1:2" x14ac:dyDescent="0.25">
      <c r="A1463" s="67"/>
      <c r="B1463" s="67"/>
    </row>
    <row r="1464" spans="1:2" x14ac:dyDescent="0.25">
      <c r="A1464" s="67"/>
      <c r="B1464" s="67"/>
    </row>
    <row r="1465" spans="1:2" x14ac:dyDescent="0.25">
      <c r="A1465" s="67"/>
      <c r="B1465" s="67"/>
    </row>
    <row r="1466" spans="1:2" x14ac:dyDescent="0.25">
      <c r="A1466" s="67"/>
      <c r="B1466" s="67"/>
    </row>
    <row r="1467" spans="1:2" x14ac:dyDescent="0.25">
      <c r="A1467" s="67"/>
      <c r="B1467" s="67"/>
    </row>
    <row r="1468" spans="1:2" x14ac:dyDescent="0.25">
      <c r="A1468" s="67"/>
      <c r="B1468" s="67"/>
    </row>
    <row r="1469" spans="1:2" x14ac:dyDescent="0.25">
      <c r="A1469" s="67"/>
      <c r="B1469" s="67"/>
    </row>
    <row r="1470" spans="1:2" x14ac:dyDescent="0.25">
      <c r="A1470" s="67"/>
      <c r="B1470" s="67"/>
    </row>
    <row r="1471" spans="1:2" x14ac:dyDescent="0.25">
      <c r="A1471" s="67"/>
      <c r="B1471" s="67"/>
    </row>
    <row r="1472" spans="1:2" x14ac:dyDescent="0.25">
      <c r="A1472" s="67"/>
      <c r="B1472" s="67"/>
    </row>
    <row r="1473" spans="1:2" x14ac:dyDescent="0.25">
      <c r="A1473" s="67"/>
      <c r="B1473" s="67"/>
    </row>
    <row r="1474" spans="1:2" x14ac:dyDescent="0.25">
      <c r="A1474" s="67"/>
      <c r="B1474" s="67"/>
    </row>
    <row r="1475" spans="1:2" x14ac:dyDescent="0.25">
      <c r="A1475" s="67"/>
      <c r="B1475" s="67"/>
    </row>
    <row r="1476" spans="1:2" x14ac:dyDescent="0.25">
      <c r="A1476" s="67"/>
      <c r="B1476" s="67"/>
    </row>
    <row r="1477" spans="1:2" x14ac:dyDescent="0.25">
      <c r="A1477" s="67"/>
      <c r="B1477" s="67"/>
    </row>
    <row r="1478" spans="1:2" x14ac:dyDescent="0.25">
      <c r="A1478" s="67"/>
      <c r="B1478" s="67"/>
    </row>
    <row r="1479" spans="1:2" x14ac:dyDescent="0.25">
      <c r="A1479" s="67"/>
      <c r="B1479" s="67"/>
    </row>
    <row r="1480" spans="1:2" x14ac:dyDescent="0.25">
      <c r="A1480" s="67"/>
      <c r="B1480" s="67"/>
    </row>
    <row r="1481" spans="1:2" x14ac:dyDescent="0.25">
      <c r="A1481" s="67"/>
      <c r="B1481" s="67"/>
    </row>
    <row r="1482" spans="1:2" x14ac:dyDescent="0.25">
      <c r="A1482" s="67"/>
      <c r="B1482" s="67"/>
    </row>
    <row r="1483" spans="1:2" x14ac:dyDescent="0.25">
      <c r="A1483" s="67"/>
      <c r="B1483" s="67"/>
    </row>
    <row r="1484" spans="1:2" x14ac:dyDescent="0.25">
      <c r="A1484" s="67"/>
      <c r="B1484" s="67"/>
    </row>
    <row r="1485" spans="1:2" x14ac:dyDescent="0.25">
      <c r="A1485" s="67"/>
      <c r="B1485" s="67"/>
    </row>
    <row r="1486" spans="1:2" x14ac:dyDescent="0.25">
      <c r="A1486" s="67"/>
      <c r="B1486" s="67"/>
    </row>
    <row r="1487" spans="1:2" x14ac:dyDescent="0.25">
      <c r="A1487" s="67"/>
      <c r="B1487" s="67"/>
    </row>
    <row r="1488" spans="1:2" x14ac:dyDescent="0.25">
      <c r="A1488" s="67"/>
      <c r="B1488" s="67"/>
    </row>
    <row r="1489" spans="1:2" x14ac:dyDescent="0.25">
      <c r="A1489" s="67"/>
      <c r="B1489" s="67"/>
    </row>
    <row r="1490" spans="1:2" x14ac:dyDescent="0.25">
      <c r="A1490" s="67"/>
      <c r="B1490" s="67"/>
    </row>
    <row r="1491" spans="1:2" x14ac:dyDescent="0.25">
      <c r="A1491" s="67"/>
      <c r="B1491" s="67"/>
    </row>
    <row r="1492" spans="1:2" x14ac:dyDescent="0.25">
      <c r="A1492" s="67"/>
      <c r="B1492" s="67"/>
    </row>
    <row r="1493" spans="1:2" x14ac:dyDescent="0.25">
      <c r="A1493" s="67"/>
      <c r="B1493" s="67"/>
    </row>
    <row r="1494" spans="1:2" x14ac:dyDescent="0.25">
      <c r="A1494" s="67"/>
      <c r="B1494" s="67"/>
    </row>
    <row r="1495" spans="1:2" x14ac:dyDescent="0.25">
      <c r="A1495" s="67"/>
      <c r="B1495" s="67"/>
    </row>
    <row r="1496" spans="1:2" x14ac:dyDescent="0.25">
      <c r="A1496" s="67"/>
      <c r="B1496" s="67"/>
    </row>
    <row r="1497" spans="1:2" x14ac:dyDescent="0.25">
      <c r="A1497" s="67"/>
      <c r="B1497" s="67"/>
    </row>
    <row r="1498" spans="1:2" x14ac:dyDescent="0.25">
      <c r="A1498" s="67"/>
      <c r="B1498" s="67"/>
    </row>
    <row r="1499" spans="1:2" x14ac:dyDescent="0.25">
      <c r="A1499" s="67"/>
      <c r="B1499" s="67"/>
    </row>
    <row r="1500" spans="1:2" x14ac:dyDescent="0.25">
      <c r="A1500" s="67"/>
      <c r="B1500" s="67"/>
    </row>
    <row r="1501" spans="1:2" x14ac:dyDescent="0.25">
      <c r="A1501" s="67"/>
      <c r="B1501" s="67"/>
    </row>
    <row r="1502" spans="1:2" x14ac:dyDescent="0.25">
      <c r="A1502" s="67"/>
      <c r="B1502" s="67"/>
    </row>
    <row r="1503" spans="1:2" x14ac:dyDescent="0.25">
      <c r="A1503" s="67"/>
      <c r="B1503" s="67"/>
    </row>
    <row r="1504" spans="1:2" x14ac:dyDescent="0.25">
      <c r="A1504" s="67"/>
      <c r="B1504" s="67"/>
    </row>
    <row r="1505" spans="1:2" x14ac:dyDescent="0.25">
      <c r="A1505" s="67"/>
      <c r="B1505" s="67"/>
    </row>
    <row r="1506" spans="1:2" x14ac:dyDescent="0.25">
      <c r="A1506" s="67"/>
      <c r="B1506" s="67"/>
    </row>
    <row r="1507" spans="1:2" x14ac:dyDescent="0.25">
      <c r="A1507" s="67"/>
      <c r="B1507" s="67"/>
    </row>
    <row r="1508" spans="1:2" x14ac:dyDescent="0.25">
      <c r="A1508" s="67"/>
      <c r="B1508" s="67"/>
    </row>
    <row r="1509" spans="1:2" x14ac:dyDescent="0.25">
      <c r="A1509" s="67"/>
      <c r="B1509" s="67"/>
    </row>
    <row r="1510" spans="1:2" x14ac:dyDescent="0.25">
      <c r="A1510" s="67"/>
      <c r="B1510" s="67"/>
    </row>
    <row r="1511" spans="1:2" x14ac:dyDescent="0.25">
      <c r="A1511" s="67"/>
      <c r="B1511" s="67"/>
    </row>
    <row r="1512" spans="1:2" x14ac:dyDescent="0.25">
      <c r="A1512" s="67"/>
      <c r="B1512" s="67"/>
    </row>
    <row r="1513" spans="1:2" x14ac:dyDescent="0.25">
      <c r="A1513" s="67"/>
      <c r="B1513" s="67"/>
    </row>
    <row r="1514" spans="1:2" x14ac:dyDescent="0.25">
      <c r="A1514" s="67"/>
      <c r="B1514" s="67"/>
    </row>
    <row r="1515" spans="1:2" x14ac:dyDescent="0.25">
      <c r="A1515" s="67"/>
      <c r="B1515" s="67"/>
    </row>
    <row r="1516" spans="1:2" x14ac:dyDescent="0.25">
      <c r="A1516" s="67"/>
      <c r="B1516" s="67"/>
    </row>
    <row r="1517" spans="1:2" x14ac:dyDescent="0.25">
      <c r="A1517" s="67"/>
      <c r="B1517" s="67"/>
    </row>
    <row r="1518" spans="1:2" x14ac:dyDescent="0.25">
      <c r="A1518" s="67"/>
      <c r="B1518" s="67"/>
    </row>
    <row r="1519" spans="1:2" x14ac:dyDescent="0.25">
      <c r="A1519" s="67"/>
      <c r="B1519" s="67"/>
    </row>
    <row r="1520" spans="1:2" x14ac:dyDescent="0.25">
      <c r="A1520" s="67"/>
      <c r="B1520" s="67"/>
    </row>
    <row r="1521" spans="1:2" x14ac:dyDescent="0.25">
      <c r="A1521" s="67"/>
      <c r="B1521" s="67"/>
    </row>
    <row r="1522" spans="1:2" x14ac:dyDescent="0.25">
      <c r="A1522" s="67"/>
      <c r="B1522" s="67"/>
    </row>
    <row r="1523" spans="1:2" x14ac:dyDescent="0.25">
      <c r="A1523" s="67"/>
      <c r="B1523" s="67"/>
    </row>
    <row r="1524" spans="1:2" x14ac:dyDescent="0.25">
      <c r="A1524" s="67"/>
      <c r="B1524" s="67"/>
    </row>
    <row r="1525" spans="1:2" x14ac:dyDescent="0.25">
      <c r="A1525" s="67"/>
      <c r="B1525" s="67"/>
    </row>
    <row r="1526" spans="1:2" x14ac:dyDescent="0.25">
      <c r="A1526" s="67"/>
      <c r="B1526" s="67"/>
    </row>
    <row r="1527" spans="1:2" x14ac:dyDescent="0.25">
      <c r="A1527" s="67"/>
      <c r="B1527" s="67"/>
    </row>
    <row r="1528" spans="1:2" x14ac:dyDescent="0.25">
      <c r="A1528" s="67"/>
      <c r="B1528" s="67"/>
    </row>
    <row r="1529" spans="1:2" x14ac:dyDescent="0.25">
      <c r="A1529" s="67"/>
      <c r="B1529" s="67"/>
    </row>
    <row r="1530" spans="1:2" x14ac:dyDescent="0.25">
      <c r="A1530" s="67"/>
      <c r="B1530" s="67"/>
    </row>
    <row r="1531" spans="1:2" x14ac:dyDescent="0.25">
      <c r="A1531" s="67"/>
      <c r="B1531" s="67"/>
    </row>
    <row r="1532" spans="1:2" x14ac:dyDescent="0.25">
      <c r="A1532" s="67"/>
      <c r="B1532" s="67"/>
    </row>
    <row r="1533" spans="1:2" x14ac:dyDescent="0.25">
      <c r="A1533" s="67"/>
      <c r="B1533" s="67"/>
    </row>
    <row r="1534" spans="1:2" x14ac:dyDescent="0.25">
      <c r="A1534" s="67"/>
      <c r="B1534" s="67"/>
    </row>
    <row r="1535" spans="1:2" x14ac:dyDescent="0.25">
      <c r="A1535" s="67"/>
      <c r="B1535" s="67"/>
    </row>
    <row r="1536" spans="1:2" x14ac:dyDescent="0.25">
      <c r="A1536" s="67"/>
      <c r="B1536" s="67"/>
    </row>
    <row r="1537" spans="1:2" x14ac:dyDescent="0.25">
      <c r="A1537" s="67"/>
      <c r="B1537" s="67"/>
    </row>
    <row r="1538" spans="1:2" x14ac:dyDescent="0.25">
      <c r="A1538" s="67"/>
      <c r="B1538" s="67"/>
    </row>
    <row r="1539" spans="1:2" x14ac:dyDescent="0.25">
      <c r="A1539" s="67"/>
      <c r="B1539" s="67"/>
    </row>
    <row r="1540" spans="1:2" x14ac:dyDescent="0.25">
      <c r="A1540" s="67"/>
      <c r="B1540" s="67"/>
    </row>
    <row r="1541" spans="1:2" x14ac:dyDescent="0.25">
      <c r="A1541" s="67"/>
      <c r="B1541" s="67"/>
    </row>
    <row r="1542" spans="1:2" x14ac:dyDescent="0.25">
      <c r="A1542" s="67"/>
      <c r="B1542" s="67"/>
    </row>
    <row r="1543" spans="1:2" x14ac:dyDescent="0.25">
      <c r="A1543" s="67"/>
      <c r="B1543" s="67"/>
    </row>
    <row r="1544" spans="1:2" x14ac:dyDescent="0.25">
      <c r="A1544" s="67"/>
      <c r="B1544" s="67"/>
    </row>
    <row r="1545" spans="1:2" x14ac:dyDescent="0.25">
      <c r="A1545" s="67"/>
      <c r="B1545" s="67"/>
    </row>
    <row r="1546" spans="1:2" x14ac:dyDescent="0.25">
      <c r="A1546" s="67"/>
      <c r="B1546" s="67"/>
    </row>
    <row r="1547" spans="1:2" x14ac:dyDescent="0.25">
      <c r="A1547" s="67"/>
      <c r="B1547" s="67"/>
    </row>
    <row r="1548" spans="1:2" x14ac:dyDescent="0.25">
      <c r="A1548" s="67"/>
      <c r="B1548" s="67"/>
    </row>
    <row r="1549" spans="1:2" x14ac:dyDescent="0.25">
      <c r="A1549" s="67"/>
      <c r="B1549" s="67"/>
    </row>
    <row r="1550" spans="1:2" x14ac:dyDescent="0.25">
      <c r="A1550" s="67"/>
      <c r="B1550" s="67"/>
    </row>
    <row r="1551" spans="1:2" x14ac:dyDescent="0.25">
      <c r="A1551" s="67"/>
      <c r="B1551" s="67"/>
    </row>
    <row r="1552" spans="1:2" x14ac:dyDescent="0.25">
      <c r="A1552" s="67"/>
      <c r="B1552" s="67"/>
    </row>
    <row r="1553" spans="1:2" x14ac:dyDescent="0.25">
      <c r="A1553" s="67"/>
      <c r="B1553" s="67"/>
    </row>
    <row r="1554" spans="1:2" x14ac:dyDescent="0.25">
      <c r="A1554" s="67"/>
      <c r="B1554" s="67"/>
    </row>
    <row r="1555" spans="1:2" x14ac:dyDescent="0.25">
      <c r="A1555" s="67"/>
      <c r="B1555" s="67"/>
    </row>
    <row r="1556" spans="1:2" x14ac:dyDescent="0.25">
      <c r="A1556" s="67"/>
      <c r="B1556" s="67"/>
    </row>
    <row r="1557" spans="1:2" x14ac:dyDescent="0.25">
      <c r="A1557" s="67"/>
      <c r="B1557" s="67"/>
    </row>
    <row r="1558" spans="1:2" x14ac:dyDescent="0.25">
      <c r="A1558" s="67"/>
      <c r="B1558" s="67"/>
    </row>
    <row r="1559" spans="1:2" x14ac:dyDescent="0.25">
      <c r="A1559" s="67"/>
      <c r="B1559" s="67"/>
    </row>
    <row r="1560" spans="1:2" x14ac:dyDescent="0.25">
      <c r="A1560" s="67"/>
      <c r="B1560" s="67"/>
    </row>
    <row r="1561" spans="1:2" x14ac:dyDescent="0.25">
      <c r="A1561" s="67"/>
      <c r="B1561" s="67"/>
    </row>
    <row r="1562" spans="1:2" x14ac:dyDescent="0.25">
      <c r="A1562" s="67"/>
      <c r="B1562" s="67"/>
    </row>
    <row r="1563" spans="1:2" x14ac:dyDescent="0.25">
      <c r="A1563" s="67"/>
      <c r="B1563" s="67"/>
    </row>
    <row r="1564" spans="1:2" x14ac:dyDescent="0.25">
      <c r="A1564" s="67"/>
      <c r="B1564" s="67"/>
    </row>
    <row r="1565" spans="1:2" x14ac:dyDescent="0.25">
      <c r="A1565" s="67"/>
      <c r="B1565" s="67"/>
    </row>
    <row r="1566" spans="1:2" x14ac:dyDescent="0.25">
      <c r="A1566" s="67"/>
      <c r="B1566" s="67"/>
    </row>
    <row r="1567" spans="1:2" x14ac:dyDescent="0.25">
      <c r="A1567" s="67"/>
      <c r="B1567" s="67"/>
    </row>
    <row r="1568" spans="1:2" x14ac:dyDescent="0.25">
      <c r="A1568" s="67"/>
      <c r="B1568" s="67"/>
    </row>
    <row r="1569" spans="1:2" x14ac:dyDescent="0.25">
      <c r="A1569" s="67"/>
      <c r="B1569" s="67"/>
    </row>
    <row r="1570" spans="1:2" x14ac:dyDescent="0.25">
      <c r="A1570" s="67"/>
      <c r="B1570" s="67"/>
    </row>
    <row r="1571" spans="1:2" x14ac:dyDescent="0.25">
      <c r="A1571" s="67"/>
      <c r="B1571" s="67"/>
    </row>
    <row r="1572" spans="1:2" x14ac:dyDescent="0.25">
      <c r="A1572" s="67"/>
      <c r="B1572" s="67"/>
    </row>
    <row r="1573" spans="1:2" x14ac:dyDescent="0.25">
      <c r="A1573" s="67"/>
      <c r="B1573" s="67"/>
    </row>
    <row r="1574" spans="1:2" x14ac:dyDescent="0.25">
      <c r="A1574" s="67"/>
      <c r="B1574" s="67"/>
    </row>
    <row r="1575" spans="1:2" x14ac:dyDescent="0.25">
      <c r="A1575" s="67"/>
      <c r="B1575" s="67"/>
    </row>
    <row r="1576" spans="1:2" x14ac:dyDescent="0.25">
      <c r="A1576" s="67"/>
      <c r="B1576" s="67"/>
    </row>
    <row r="1577" spans="1:2" x14ac:dyDescent="0.25">
      <c r="A1577" s="67"/>
      <c r="B1577" s="67"/>
    </row>
    <row r="1578" spans="1:2" x14ac:dyDescent="0.25">
      <c r="A1578" s="67"/>
      <c r="B1578" s="67"/>
    </row>
    <row r="1579" spans="1:2" x14ac:dyDescent="0.25">
      <c r="A1579" s="67"/>
      <c r="B1579" s="67"/>
    </row>
    <row r="1580" spans="1:2" x14ac:dyDescent="0.25">
      <c r="A1580" s="67"/>
      <c r="B1580" s="67"/>
    </row>
    <row r="1581" spans="1:2" x14ac:dyDescent="0.25">
      <c r="A1581" s="67"/>
      <c r="B1581" s="67"/>
    </row>
    <row r="1582" spans="1:2" x14ac:dyDescent="0.25">
      <c r="A1582" s="67"/>
      <c r="B1582" s="67"/>
    </row>
    <row r="1583" spans="1:2" x14ac:dyDescent="0.25">
      <c r="A1583" s="67"/>
      <c r="B1583" s="67"/>
    </row>
    <row r="1584" spans="1:2" x14ac:dyDescent="0.25">
      <c r="A1584" s="67"/>
      <c r="B1584" s="67"/>
    </row>
    <row r="1585" spans="1:2" x14ac:dyDescent="0.25">
      <c r="A1585" s="67"/>
      <c r="B1585" s="67"/>
    </row>
    <row r="1586" spans="1:2" x14ac:dyDescent="0.25">
      <c r="A1586" s="67"/>
      <c r="B1586" s="67"/>
    </row>
    <row r="1587" spans="1:2" x14ac:dyDescent="0.25">
      <c r="A1587" s="67"/>
      <c r="B1587" s="67"/>
    </row>
    <row r="1588" spans="1:2" x14ac:dyDescent="0.25">
      <c r="A1588" s="67"/>
      <c r="B1588" s="67"/>
    </row>
    <row r="1589" spans="1:2" x14ac:dyDescent="0.25">
      <c r="A1589" s="67"/>
      <c r="B1589" s="67"/>
    </row>
    <row r="1590" spans="1:2" x14ac:dyDescent="0.25">
      <c r="A1590" s="67"/>
      <c r="B1590" s="67"/>
    </row>
    <row r="1591" spans="1:2" x14ac:dyDescent="0.25">
      <c r="A1591" s="67"/>
      <c r="B1591" s="67"/>
    </row>
    <row r="1592" spans="1:2" x14ac:dyDescent="0.25">
      <c r="A1592" s="67"/>
      <c r="B1592" s="67"/>
    </row>
    <row r="1593" spans="1:2" x14ac:dyDescent="0.25">
      <c r="A1593" s="67"/>
      <c r="B1593" s="67"/>
    </row>
    <row r="1594" spans="1:2" x14ac:dyDescent="0.25">
      <c r="A1594" s="67"/>
      <c r="B1594" s="67"/>
    </row>
    <row r="1595" spans="1:2" x14ac:dyDescent="0.25">
      <c r="A1595" s="67"/>
      <c r="B1595" s="67"/>
    </row>
    <row r="1596" spans="1:2" x14ac:dyDescent="0.25">
      <c r="A1596" s="67"/>
      <c r="B1596" s="67"/>
    </row>
    <row r="1597" spans="1:2" x14ac:dyDescent="0.25">
      <c r="A1597" s="67"/>
      <c r="B1597" s="67"/>
    </row>
    <row r="1598" spans="1:2" x14ac:dyDescent="0.25">
      <c r="A1598" s="67"/>
      <c r="B1598" s="67"/>
    </row>
    <row r="1599" spans="1:2" x14ac:dyDescent="0.25">
      <c r="A1599" s="67"/>
      <c r="B1599" s="67"/>
    </row>
    <row r="1600" spans="1:2" x14ac:dyDescent="0.25">
      <c r="A1600" s="67"/>
      <c r="B1600" s="67"/>
    </row>
    <row r="1601" spans="1:2" x14ac:dyDescent="0.25">
      <c r="A1601" s="67"/>
      <c r="B1601" s="67"/>
    </row>
    <row r="1602" spans="1:2" x14ac:dyDescent="0.25">
      <c r="A1602" s="67"/>
      <c r="B1602" s="67"/>
    </row>
    <row r="1603" spans="1:2" x14ac:dyDescent="0.25">
      <c r="A1603" s="67"/>
      <c r="B1603" s="67"/>
    </row>
    <row r="1604" spans="1:2" x14ac:dyDescent="0.25">
      <c r="A1604" s="67"/>
      <c r="B1604" s="67"/>
    </row>
    <row r="1605" spans="1:2" x14ac:dyDescent="0.25">
      <c r="A1605" s="67"/>
      <c r="B1605" s="67"/>
    </row>
    <row r="1606" spans="1:2" x14ac:dyDescent="0.25">
      <c r="A1606" s="67"/>
      <c r="B1606" s="67"/>
    </row>
    <row r="1607" spans="1:2" x14ac:dyDescent="0.25">
      <c r="A1607" s="67"/>
      <c r="B1607" s="67"/>
    </row>
    <row r="1608" spans="1:2" x14ac:dyDescent="0.25">
      <c r="A1608" s="67"/>
      <c r="B1608" s="67"/>
    </row>
    <row r="1609" spans="1:2" x14ac:dyDescent="0.25">
      <c r="A1609" s="67"/>
      <c r="B1609" s="67"/>
    </row>
    <row r="1610" spans="1:2" x14ac:dyDescent="0.25">
      <c r="A1610" s="67"/>
      <c r="B1610" s="67"/>
    </row>
    <row r="1611" spans="1:2" x14ac:dyDescent="0.25">
      <c r="A1611" s="67"/>
      <c r="B1611" s="67"/>
    </row>
    <row r="1612" spans="1:2" x14ac:dyDescent="0.25">
      <c r="A1612" s="67"/>
      <c r="B1612" s="67"/>
    </row>
    <row r="1613" spans="1:2" x14ac:dyDescent="0.25">
      <c r="A1613" s="67"/>
      <c r="B1613" s="67"/>
    </row>
    <row r="1614" spans="1:2" x14ac:dyDescent="0.25">
      <c r="A1614" s="67"/>
      <c r="B1614" s="67"/>
    </row>
    <row r="1615" spans="1:2" x14ac:dyDescent="0.25">
      <c r="A1615" s="67"/>
      <c r="B1615" s="67"/>
    </row>
    <row r="1616" spans="1:2" x14ac:dyDescent="0.25">
      <c r="A1616" s="67"/>
      <c r="B1616" s="67"/>
    </row>
    <row r="1617" spans="1:2" x14ac:dyDescent="0.25">
      <c r="A1617" s="67"/>
      <c r="B1617" s="67"/>
    </row>
    <row r="1618" spans="1:2" x14ac:dyDescent="0.25">
      <c r="A1618" s="67"/>
      <c r="B1618" s="67"/>
    </row>
    <row r="1619" spans="1:2" x14ac:dyDescent="0.25">
      <c r="A1619" s="67"/>
      <c r="B1619" s="67"/>
    </row>
    <row r="1620" spans="1:2" x14ac:dyDescent="0.25">
      <c r="A1620" s="67"/>
      <c r="B1620" s="67"/>
    </row>
    <row r="1621" spans="1:2" x14ac:dyDescent="0.25">
      <c r="A1621" s="67"/>
      <c r="B1621" s="67"/>
    </row>
    <row r="1622" spans="1:2" x14ac:dyDescent="0.25">
      <c r="A1622" s="67"/>
      <c r="B1622" s="67"/>
    </row>
    <row r="1623" spans="1:2" x14ac:dyDescent="0.25">
      <c r="A1623" s="67"/>
      <c r="B1623" s="67"/>
    </row>
    <row r="1624" spans="1:2" x14ac:dyDescent="0.25">
      <c r="A1624" s="67"/>
      <c r="B1624" s="67"/>
    </row>
    <row r="1625" spans="1:2" x14ac:dyDescent="0.25">
      <c r="A1625" s="67"/>
      <c r="B1625" s="67"/>
    </row>
    <row r="1626" spans="1:2" x14ac:dyDescent="0.25">
      <c r="A1626" s="67"/>
      <c r="B1626" s="67"/>
    </row>
    <row r="1627" spans="1:2" x14ac:dyDescent="0.25">
      <c r="A1627" s="67"/>
      <c r="B1627" s="67"/>
    </row>
    <row r="1628" spans="1:2" x14ac:dyDescent="0.25">
      <c r="A1628" s="67"/>
      <c r="B1628" s="67"/>
    </row>
    <row r="1629" spans="1:2" x14ac:dyDescent="0.25">
      <c r="A1629" s="67"/>
      <c r="B1629" s="67"/>
    </row>
    <row r="1630" spans="1:2" x14ac:dyDescent="0.25">
      <c r="A1630" s="67"/>
      <c r="B1630" s="67"/>
    </row>
    <row r="1631" spans="1:2" x14ac:dyDescent="0.25">
      <c r="A1631" s="67"/>
      <c r="B1631" s="67"/>
    </row>
    <row r="1632" spans="1:2" x14ac:dyDescent="0.25">
      <c r="A1632" s="67"/>
      <c r="B1632" s="67"/>
    </row>
    <row r="1633" spans="1:2" x14ac:dyDescent="0.25">
      <c r="A1633" s="67"/>
      <c r="B1633" s="67"/>
    </row>
    <row r="1634" spans="1:2" x14ac:dyDescent="0.25">
      <c r="A1634" s="67"/>
      <c r="B1634" s="67"/>
    </row>
    <row r="1635" spans="1:2" x14ac:dyDescent="0.25">
      <c r="A1635" s="67"/>
      <c r="B1635" s="67"/>
    </row>
    <row r="1636" spans="1:2" x14ac:dyDescent="0.25">
      <c r="A1636" s="67"/>
      <c r="B1636" s="67"/>
    </row>
    <row r="1637" spans="1:2" x14ac:dyDescent="0.25">
      <c r="A1637" s="67"/>
      <c r="B1637" s="67"/>
    </row>
    <row r="1638" spans="1:2" x14ac:dyDescent="0.25">
      <c r="A1638" s="67"/>
      <c r="B1638" s="67"/>
    </row>
    <row r="1639" spans="1:2" x14ac:dyDescent="0.25">
      <c r="A1639" s="67"/>
      <c r="B1639" s="67"/>
    </row>
    <row r="1640" spans="1:2" x14ac:dyDescent="0.25">
      <c r="A1640" s="67"/>
      <c r="B1640" s="67"/>
    </row>
    <row r="1641" spans="1:2" x14ac:dyDescent="0.25">
      <c r="A1641" s="67"/>
      <c r="B1641" s="67"/>
    </row>
    <row r="1642" spans="1:2" x14ac:dyDescent="0.25">
      <c r="A1642" s="67"/>
      <c r="B1642" s="67"/>
    </row>
    <row r="1643" spans="1:2" x14ac:dyDescent="0.25">
      <c r="A1643" s="67"/>
      <c r="B1643" s="67"/>
    </row>
    <row r="1644" spans="1:2" x14ac:dyDescent="0.25">
      <c r="A1644" s="67"/>
      <c r="B1644" s="67"/>
    </row>
    <row r="1645" spans="1:2" x14ac:dyDescent="0.25">
      <c r="A1645" s="67"/>
      <c r="B1645" s="67"/>
    </row>
    <row r="1646" spans="1:2" x14ac:dyDescent="0.25">
      <c r="A1646" s="67"/>
      <c r="B1646" s="67"/>
    </row>
    <row r="1647" spans="1:2" x14ac:dyDescent="0.25">
      <c r="A1647" s="67"/>
      <c r="B1647" s="67"/>
    </row>
    <row r="1648" spans="1:2" x14ac:dyDescent="0.25">
      <c r="A1648" s="67"/>
      <c r="B1648" s="67"/>
    </row>
    <row r="1649" spans="1:2" x14ac:dyDescent="0.25">
      <c r="A1649" s="67"/>
      <c r="B1649" s="67"/>
    </row>
    <row r="1650" spans="1:2" x14ac:dyDescent="0.25">
      <c r="A1650" s="67"/>
      <c r="B1650" s="67"/>
    </row>
    <row r="1651" spans="1:2" x14ac:dyDescent="0.25">
      <c r="A1651" s="67"/>
      <c r="B1651" s="67"/>
    </row>
    <row r="1652" spans="1:2" x14ac:dyDescent="0.25">
      <c r="A1652" s="67"/>
      <c r="B1652" s="67"/>
    </row>
    <row r="1653" spans="1:2" x14ac:dyDescent="0.25">
      <c r="A1653" s="67"/>
      <c r="B1653" s="67"/>
    </row>
    <row r="1654" spans="1:2" x14ac:dyDescent="0.25">
      <c r="A1654" s="67"/>
      <c r="B1654" s="67"/>
    </row>
    <row r="1655" spans="1:2" x14ac:dyDescent="0.25">
      <c r="A1655" s="67"/>
      <c r="B1655" s="67"/>
    </row>
    <row r="1656" spans="1:2" x14ac:dyDescent="0.25">
      <c r="A1656" s="67"/>
      <c r="B1656" s="67"/>
    </row>
    <row r="1657" spans="1:2" x14ac:dyDescent="0.25">
      <c r="A1657" s="67"/>
      <c r="B1657" s="67"/>
    </row>
    <row r="1658" spans="1:2" x14ac:dyDescent="0.25">
      <c r="A1658" s="67"/>
      <c r="B1658" s="67"/>
    </row>
    <row r="1659" spans="1:2" x14ac:dyDescent="0.25">
      <c r="A1659" s="67"/>
      <c r="B1659" s="67"/>
    </row>
    <row r="1660" spans="1:2" x14ac:dyDescent="0.25">
      <c r="A1660" s="67"/>
      <c r="B1660" s="67"/>
    </row>
    <row r="1661" spans="1:2" x14ac:dyDescent="0.25">
      <c r="A1661" s="67"/>
      <c r="B1661" s="67"/>
    </row>
    <row r="1662" spans="1:2" x14ac:dyDescent="0.25">
      <c r="A1662" s="67"/>
      <c r="B1662" s="67"/>
    </row>
    <row r="1663" spans="1:2" x14ac:dyDescent="0.25">
      <c r="A1663" s="67"/>
      <c r="B1663" s="67"/>
    </row>
    <row r="1664" spans="1:2" x14ac:dyDescent="0.25">
      <c r="A1664" s="67"/>
      <c r="B1664" s="67"/>
    </row>
    <row r="1665" spans="1:2" x14ac:dyDescent="0.25">
      <c r="A1665" s="67"/>
      <c r="B1665" s="67"/>
    </row>
    <row r="1666" spans="1:2" x14ac:dyDescent="0.25">
      <c r="A1666" s="67"/>
      <c r="B1666" s="67"/>
    </row>
    <row r="1667" spans="1:2" x14ac:dyDescent="0.25">
      <c r="A1667" s="67"/>
      <c r="B1667" s="67"/>
    </row>
    <row r="1668" spans="1:2" x14ac:dyDescent="0.25">
      <c r="A1668" s="67"/>
      <c r="B1668" s="67"/>
    </row>
    <row r="1669" spans="1:2" x14ac:dyDescent="0.25">
      <c r="A1669" s="67"/>
      <c r="B1669" s="67"/>
    </row>
    <row r="1670" spans="1:2" x14ac:dyDescent="0.25">
      <c r="A1670" s="67"/>
      <c r="B1670" s="67"/>
    </row>
    <row r="1671" spans="1:2" x14ac:dyDescent="0.25">
      <c r="A1671" s="67"/>
      <c r="B1671" s="67"/>
    </row>
    <row r="1672" spans="1:2" x14ac:dyDescent="0.25">
      <c r="A1672" s="67"/>
      <c r="B1672" s="67"/>
    </row>
    <row r="1673" spans="1:2" x14ac:dyDescent="0.25">
      <c r="A1673" s="67"/>
      <c r="B1673" s="67"/>
    </row>
    <row r="1674" spans="1:2" x14ac:dyDescent="0.25">
      <c r="A1674" s="67"/>
      <c r="B1674" s="67"/>
    </row>
    <row r="1675" spans="1:2" x14ac:dyDescent="0.25">
      <c r="A1675" s="67"/>
      <c r="B1675" s="67"/>
    </row>
    <row r="1676" spans="1:2" x14ac:dyDescent="0.25">
      <c r="A1676" s="67"/>
      <c r="B1676" s="67"/>
    </row>
    <row r="1677" spans="1:2" x14ac:dyDescent="0.25">
      <c r="A1677" s="67"/>
      <c r="B1677" s="67"/>
    </row>
    <row r="1678" spans="1:2" x14ac:dyDescent="0.25">
      <c r="A1678" s="67"/>
      <c r="B1678" s="67"/>
    </row>
    <row r="1679" spans="1:2" x14ac:dyDescent="0.25">
      <c r="A1679" s="67"/>
      <c r="B1679" s="67"/>
    </row>
    <row r="1680" spans="1:2" x14ac:dyDescent="0.25">
      <c r="A1680" s="67"/>
      <c r="B1680" s="67"/>
    </row>
    <row r="1681" spans="1:2" x14ac:dyDescent="0.25">
      <c r="A1681" s="67"/>
      <c r="B1681" s="67"/>
    </row>
    <row r="1682" spans="1:2" x14ac:dyDescent="0.25">
      <c r="A1682" s="67"/>
      <c r="B1682" s="67"/>
    </row>
    <row r="1683" spans="1:2" x14ac:dyDescent="0.25">
      <c r="A1683" s="67"/>
      <c r="B1683" s="67"/>
    </row>
    <row r="1684" spans="1:2" x14ac:dyDescent="0.25">
      <c r="A1684" s="67"/>
      <c r="B1684" s="67"/>
    </row>
    <row r="1685" spans="1:2" x14ac:dyDescent="0.25">
      <c r="A1685" s="67"/>
      <c r="B1685" s="67"/>
    </row>
    <row r="1686" spans="1:2" x14ac:dyDescent="0.25">
      <c r="A1686" s="67"/>
      <c r="B1686" s="67"/>
    </row>
    <row r="1687" spans="1:2" x14ac:dyDescent="0.25">
      <c r="A1687" s="67"/>
      <c r="B1687" s="67"/>
    </row>
    <row r="1688" spans="1:2" x14ac:dyDescent="0.25">
      <c r="A1688" s="67"/>
      <c r="B1688" s="67"/>
    </row>
    <row r="1689" spans="1:2" x14ac:dyDescent="0.25">
      <c r="A1689" s="67"/>
      <c r="B1689" s="67"/>
    </row>
    <row r="1690" spans="1:2" x14ac:dyDescent="0.25">
      <c r="A1690" s="67"/>
      <c r="B1690" s="67"/>
    </row>
    <row r="1691" spans="1:2" x14ac:dyDescent="0.25">
      <c r="A1691" s="67"/>
      <c r="B1691" s="67"/>
    </row>
    <row r="1692" spans="1:2" x14ac:dyDescent="0.25">
      <c r="A1692" s="67"/>
      <c r="B1692" s="67"/>
    </row>
    <row r="1693" spans="1:2" x14ac:dyDescent="0.25">
      <c r="A1693" s="67"/>
      <c r="B1693" s="67"/>
    </row>
    <row r="1694" spans="1:2" x14ac:dyDescent="0.25">
      <c r="A1694" s="67"/>
      <c r="B1694" s="67"/>
    </row>
    <row r="1695" spans="1:2" x14ac:dyDescent="0.25">
      <c r="A1695" s="67"/>
      <c r="B1695" s="67"/>
    </row>
    <row r="1696" spans="1:2" x14ac:dyDescent="0.25">
      <c r="A1696" s="67"/>
      <c r="B1696" s="67"/>
    </row>
    <row r="1697" spans="1:2" x14ac:dyDescent="0.25">
      <c r="A1697" s="67"/>
      <c r="B1697" s="67"/>
    </row>
    <row r="1698" spans="1:2" x14ac:dyDescent="0.25">
      <c r="A1698" s="67"/>
      <c r="B1698" s="67"/>
    </row>
    <row r="1699" spans="1:2" x14ac:dyDescent="0.25">
      <c r="A1699" s="67"/>
      <c r="B1699" s="67"/>
    </row>
    <row r="1700" spans="1:2" x14ac:dyDescent="0.25">
      <c r="A1700" s="67"/>
      <c r="B1700" s="67"/>
    </row>
    <row r="1701" spans="1:2" x14ac:dyDescent="0.25">
      <c r="A1701" s="67"/>
      <c r="B1701" s="67"/>
    </row>
    <row r="1702" spans="1:2" x14ac:dyDescent="0.25">
      <c r="A1702" s="67"/>
      <c r="B1702" s="67"/>
    </row>
    <row r="1703" spans="1:2" x14ac:dyDescent="0.25">
      <c r="A1703" s="67"/>
      <c r="B1703" s="67"/>
    </row>
    <row r="1704" spans="1:2" x14ac:dyDescent="0.25">
      <c r="A1704" s="67"/>
      <c r="B1704" s="67"/>
    </row>
    <row r="1705" spans="1:2" x14ac:dyDescent="0.25">
      <c r="A1705" s="67"/>
      <c r="B1705" s="67"/>
    </row>
    <row r="1706" spans="1:2" x14ac:dyDescent="0.25">
      <c r="A1706" s="67"/>
      <c r="B1706" s="67"/>
    </row>
    <row r="1707" spans="1:2" x14ac:dyDescent="0.25">
      <c r="A1707" s="67"/>
      <c r="B1707" s="67"/>
    </row>
    <row r="1708" spans="1:2" x14ac:dyDescent="0.25">
      <c r="A1708" s="67"/>
      <c r="B1708" s="67"/>
    </row>
    <row r="1709" spans="1:2" x14ac:dyDescent="0.25">
      <c r="A1709" s="67"/>
      <c r="B1709" s="67"/>
    </row>
    <row r="1710" spans="1:2" x14ac:dyDescent="0.25">
      <c r="A1710" s="67"/>
      <c r="B1710" s="67"/>
    </row>
    <row r="1711" spans="1:2" x14ac:dyDescent="0.25">
      <c r="A1711" s="67"/>
      <c r="B1711" s="67"/>
    </row>
    <row r="1712" spans="1:2" x14ac:dyDescent="0.25">
      <c r="A1712" s="67"/>
      <c r="B1712" s="67"/>
    </row>
    <row r="1713" spans="1:2" x14ac:dyDescent="0.25">
      <c r="A1713" s="67"/>
      <c r="B1713" s="67"/>
    </row>
    <row r="1714" spans="1:2" x14ac:dyDescent="0.25">
      <c r="A1714" s="67"/>
      <c r="B1714" s="67"/>
    </row>
    <row r="1715" spans="1:2" x14ac:dyDescent="0.25">
      <c r="A1715" s="67"/>
      <c r="B1715" s="67"/>
    </row>
    <row r="1716" spans="1:2" x14ac:dyDescent="0.25">
      <c r="A1716" s="67"/>
      <c r="B1716" s="67"/>
    </row>
    <row r="1717" spans="1:2" x14ac:dyDescent="0.25">
      <c r="A1717" s="67"/>
      <c r="B1717" s="67"/>
    </row>
    <row r="1718" spans="1:2" x14ac:dyDescent="0.25">
      <c r="A1718" s="67"/>
      <c r="B1718" s="67"/>
    </row>
    <row r="1719" spans="1:2" x14ac:dyDescent="0.25">
      <c r="A1719" s="67"/>
      <c r="B1719" s="67"/>
    </row>
    <row r="1720" spans="1:2" x14ac:dyDescent="0.25">
      <c r="A1720" s="67"/>
      <c r="B1720" s="67"/>
    </row>
    <row r="1721" spans="1:2" x14ac:dyDescent="0.25">
      <c r="A1721" s="67"/>
      <c r="B1721" s="67"/>
    </row>
    <row r="1722" spans="1:2" x14ac:dyDescent="0.25">
      <c r="A1722" s="67"/>
      <c r="B1722" s="67"/>
    </row>
    <row r="1723" spans="1:2" x14ac:dyDescent="0.25">
      <c r="A1723" s="67"/>
      <c r="B1723" s="67"/>
    </row>
    <row r="1724" spans="1:2" x14ac:dyDescent="0.25">
      <c r="A1724" s="67"/>
      <c r="B1724" s="67"/>
    </row>
    <row r="1725" spans="1:2" x14ac:dyDescent="0.25">
      <c r="A1725" s="67"/>
      <c r="B1725" s="67"/>
    </row>
    <row r="1726" spans="1:2" x14ac:dyDescent="0.25">
      <c r="A1726" s="67"/>
      <c r="B1726" s="67"/>
    </row>
    <row r="1727" spans="1:2" x14ac:dyDescent="0.25">
      <c r="A1727" s="67"/>
      <c r="B1727" s="67"/>
    </row>
    <row r="1728" spans="1:2" x14ac:dyDescent="0.25">
      <c r="A1728" s="67"/>
      <c r="B1728" s="67"/>
    </row>
    <row r="1729" spans="1:2" x14ac:dyDescent="0.25">
      <c r="A1729" s="67"/>
      <c r="B1729" s="67"/>
    </row>
    <row r="1730" spans="1:2" x14ac:dyDescent="0.25">
      <c r="A1730" s="67"/>
      <c r="B1730" s="67"/>
    </row>
    <row r="1731" spans="1:2" x14ac:dyDescent="0.25">
      <c r="A1731" s="67"/>
      <c r="B1731" s="67"/>
    </row>
    <row r="1732" spans="1:2" x14ac:dyDescent="0.25">
      <c r="A1732" s="67"/>
      <c r="B1732" s="67"/>
    </row>
    <row r="1733" spans="1:2" x14ac:dyDescent="0.25">
      <c r="A1733" s="67"/>
      <c r="B1733" s="67"/>
    </row>
    <row r="1734" spans="1:2" x14ac:dyDescent="0.25">
      <c r="A1734" s="67"/>
      <c r="B1734" s="67"/>
    </row>
    <row r="1735" spans="1:2" x14ac:dyDescent="0.25">
      <c r="A1735" s="67"/>
      <c r="B1735" s="67"/>
    </row>
    <row r="1736" spans="1:2" x14ac:dyDescent="0.25">
      <c r="A1736" s="67"/>
      <c r="B1736" s="67"/>
    </row>
    <row r="1737" spans="1:2" x14ac:dyDescent="0.25">
      <c r="A1737" s="67"/>
      <c r="B1737" s="67"/>
    </row>
    <row r="1738" spans="1:2" x14ac:dyDescent="0.25">
      <c r="A1738" s="67"/>
      <c r="B1738" s="67"/>
    </row>
    <row r="1739" spans="1:2" x14ac:dyDescent="0.25">
      <c r="A1739" s="67"/>
      <c r="B1739" s="67"/>
    </row>
    <row r="1740" spans="1:2" x14ac:dyDescent="0.25">
      <c r="A1740" s="67"/>
      <c r="B1740" s="67"/>
    </row>
    <row r="1741" spans="1:2" x14ac:dyDescent="0.25">
      <c r="A1741" s="67"/>
      <c r="B1741" s="67"/>
    </row>
    <row r="1742" spans="1:2" x14ac:dyDescent="0.25">
      <c r="A1742" s="67"/>
      <c r="B1742" s="67"/>
    </row>
    <row r="1743" spans="1:2" x14ac:dyDescent="0.25">
      <c r="A1743" s="67"/>
      <c r="B1743" s="67"/>
    </row>
    <row r="1744" spans="1:2" x14ac:dyDescent="0.25">
      <c r="A1744" s="67"/>
      <c r="B1744" s="67"/>
    </row>
    <row r="1745" spans="1:2" x14ac:dyDescent="0.25">
      <c r="A1745" s="67"/>
      <c r="B1745" s="67"/>
    </row>
    <row r="1746" spans="1:2" x14ac:dyDescent="0.25">
      <c r="A1746" s="67"/>
      <c r="B1746" s="67"/>
    </row>
    <row r="1747" spans="1:2" x14ac:dyDescent="0.25">
      <c r="A1747" s="67"/>
      <c r="B1747" s="67"/>
    </row>
    <row r="1748" spans="1:2" x14ac:dyDescent="0.25">
      <c r="A1748" s="67"/>
      <c r="B1748" s="67"/>
    </row>
    <row r="1749" spans="1:2" x14ac:dyDescent="0.25">
      <c r="A1749" s="67"/>
      <c r="B1749" s="67"/>
    </row>
    <row r="1750" spans="1:2" x14ac:dyDescent="0.25">
      <c r="A1750" s="67"/>
      <c r="B1750" s="67"/>
    </row>
    <row r="1751" spans="1:2" x14ac:dyDescent="0.25">
      <c r="A1751" s="67"/>
      <c r="B1751" s="67"/>
    </row>
    <row r="1752" spans="1:2" x14ac:dyDescent="0.25">
      <c r="A1752" s="67"/>
      <c r="B1752" s="67"/>
    </row>
    <row r="1753" spans="1:2" x14ac:dyDescent="0.25">
      <c r="A1753" s="67"/>
      <c r="B1753" s="67"/>
    </row>
    <row r="1754" spans="1:2" x14ac:dyDescent="0.25">
      <c r="A1754" s="67"/>
      <c r="B1754" s="67"/>
    </row>
    <row r="1755" spans="1:2" x14ac:dyDescent="0.25">
      <c r="A1755" s="67"/>
      <c r="B1755" s="67"/>
    </row>
    <row r="1756" spans="1:2" x14ac:dyDescent="0.25">
      <c r="A1756" s="67"/>
      <c r="B1756" s="67"/>
    </row>
    <row r="1757" spans="1:2" x14ac:dyDescent="0.25">
      <c r="A1757" s="67"/>
      <c r="B1757" s="67"/>
    </row>
    <row r="1758" spans="1:2" x14ac:dyDescent="0.25">
      <c r="A1758" s="67"/>
      <c r="B1758" s="67"/>
    </row>
    <row r="1759" spans="1:2" x14ac:dyDescent="0.25">
      <c r="A1759" s="67"/>
      <c r="B1759" s="67"/>
    </row>
    <row r="1760" spans="1:2" x14ac:dyDescent="0.25">
      <c r="A1760" s="67"/>
      <c r="B1760" s="67"/>
    </row>
    <row r="1761" spans="1:2" x14ac:dyDescent="0.25">
      <c r="A1761" s="67"/>
      <c r="B1761" s="67"/>
    </row>
    <row r="1762" spans="1:2" x14ac:dyDescent="0.25">
      <c r="A1762" s="67"/>
      <c r="B1762" s="67"/>
    </row>
    <row r="1763" spans="1:2" x14ac:dyDescent="0.25">
      <c r="A1763" s="67"/>
      <c r="B1763" s="67"/>
    </row>
    <row r="1764" spans="1:2" x14ac:dyDescent="0.25">
      <c r="A1764" s="67"/>
      <c r="B1764" s="67"/>
    </row>
    <row r="1765" spans="1:2" x14ac:dyDescent="0.25">
      <c r="A1765" s="67"/>
      <c r="B1765" s="67"/>
    </row>
    <row r="1766" spans="1:2" x14ac:dyDescent="0.25">
      <c r="A1766" s="67"/>
      <c r="B1766" s="67"/>
    </row>
    <row r="1767" spans="1:2" x14ac:dyDescent="0.25">
      <c r="A1767" s="67"/>
      <c r="B1767" s="67"/>
    </row>
    <row r="1768" spans="1:2" x14ac:dyDescent="0.25">
      <c r="A1768" s="67"/>
      <c r="B1768" s="67"/>
    </row>
    <row r="1769" spans="1:2" x14ac:dyDescent="0.25">
      <c r="A1769" s="67"/>
      <c r="B1769" s="67"/>
    </row>
    <row r="1770" spans="1:2" x14ac:dyDescent="0.25">
      <c r="A1770" s="67"/>
      <c r="B1770" s="67"/>
    </row>
    <row r="1771" spans="1:2" x14ac:dyDescent="0.25">
      <c r="A1771" s="67"/>
      <c r="B1771" s="67"/>
    </row>
    <row r="1772" spans="1:2" x14ac:dyDescent="0.25">
      <c r="A1772" s="67"/>
      <c r="B1772" s="67"/>
    </row>
    <row r="1773" spans="1:2" x14ac:dyDescent="0.25">
      <c r="A1773" s="67"/>
      <c r="B1773" s="67"/>
    </row>
    <row r="1774" spans="1:2" x14ac:dyDescent="0.25">
      <c r="A1774" s="67"/>
      <c r="B1774" s="67"/>
    </row>
    <row r="1775" spans="1:2" x14ac:dyDescent="0.25">
      <c r="A1775" s="67"/>
      <c r="B1775" s="67"/>
    </row>
    <row r="1776" spans="1:2" x14ac:dyDescent="0.25">
      <c r="A1776" s="67"/>
      <c r="B1776" s="67"/>
    </row>
    <row r="1777" spans="1:2" x14ac:dyDescent="0.25">
      <c r="A1777" s="67"/>
      <c r="B1777" s="67"/>
    </row>
    <row r="1778" spans="1:2" x14ac:dyDescent="0.25">
      <c r="A1778" s="67"/>
      <c r="B1778" s="67"/>
    </row>
    <row r="1779" spans="1:2" x14ac:dyDescent="0.25">
      <c r="A1779" s="67"/>
      <c r="B1779" s="67"/>
    </row>
    <row r="1780" spans="1:2" x14ac:dyDescent="0.25">
      <c r="A1780" s="67"/>
      <c r="B1780" s="67"/>
    </row>
    <row r="1781" spans="1:2" x14ac:dyDescent="0.25">
      <c r="A1781" s="67"/>
      <c r="B1781" s="67"/>
    </row>
    <row r="1782" spans="1:2" x14ac:dyDescent="0.25">
      <c r="A1782" s="67"/>
      <c r="B1782" s="67"/>
    </row>
    <row r="1783" spans="1:2" x14ac:dyDescent="0.25">
      <c r="A1783" s="67"/>
      <c r="B1783" s="67"/>
    </row>
    <row r="1784" spans="1:2" x14ac:dyDescent="0.25">
      <c r="A1784" s="67"/>
      <c r="B1784" s="67"/>
    </row>
    <row r="1785" spans="1:2" x14ac:dyDescent="0.25">
      <c r="A1785" s="67"/>
      <c r="B1785" s="67"/>
    </row>
    <row r="1786" spans="1:2" x14ac:dyDescent="0.25">
      <c r="A1786" s="67"/>
      <c r="B1786" s="67"/>
    </row>
    <row r="1787" spans="1:2" x14ac:dyDescent="0.25">
      <c r="A1787" s="67"/>
      <c r="B1787" s="67"/>
    </row>
    <row r="1788" spans="1:2" x14ac:dyDescent="0.25">
      <c r="A1788" s="67"/>
      <c r="B1788" s="67"/>
    </row>
    <row r="1789" spans="1:2" x14ac:dyDescent="0.25">
      <c r="A1789" s="67"/>
      <c r="B1789" s="67"/>
    </row>
    <row r="1790" spans="1:2" x14ac:dyDescent="0.25">
      <c r="A1790" s="67"/>
      <c r="B1790" s="67"/>
    </row>
    <row r="1791" spans="1:2" x14ac:dyDescent="0.25">
      <c r="A1791" s="67"/>
      <c r="B1791" s="67"/>
    </row>
    <row r="1792" spans="1:2" x14ac:dyDescent="0.25">
      <c r="A1792" s="67"/>
      <c r="B1792" s="67"/>
    </row>
    <row r="1793" spans="1:2" x14ac:dyDescent="0.25">
      <c r="A1793" s="67"/>
      <c r="B1793" s="67"/>
    </row>
    <row r="1794" spans="1:2" x14ac:dyDescent="0.25">
      <c r="A1794" s="67"/>
      <c r="B1794" s="67"/>
    </row>
    <row r="1795" spans="1:2" x14ac:dyDescent="0.25">
      <c r="A1795" s="67"/>
      <c r="B1795" s="67"/>
    </row>
    <row r="1796" spans="1:2" x14ac:dyDescent="0.25">
      <c r="A1796" s="67"/>
      <c r="B1796" s="67"/>
    </row>
    <row r="1797" spans="1:2" x14ac:dyDescent="0.25">
      <c r="A1797" s="67"/>
      <c r="B1797" s="67"/>
    </row>
    <row r="1798" spans="1:2" x14ac:dyDescent="0.25">
      <c r="A1798" s="67"/>
      <c r="B1798" s="67"/>
    </row>
    <row r="1799" spans="1:2" x14ac:dyDescent="0.25">
      <c r="A1799" s="67"/>
      <c r="B1799" s="67"/>
    </row>
    <row r="1800" spans="1:2" x14ac:dyDescent="0.25">
      <c r="A1800" s="67"/>
      <c r="B1800" s="67"/>
    </row>
    <row r="1801" spans="1:2" x14ac:dyDescent="0.25">
      <c r="A1801" s="67"/>
      <c r="B1801" s="67"/>
    </row>
    <row r="1802" spans="1:2" x14ac:dyDescent="0.25">
      <c r="A1802" s="67"/>
      <c r="B1802" s="67"/>
    </row>
    <row r="1803" spans="1:2" x14ac:dyDescent="0.25">
      <c r="A1803" s="67"/>
      <c r="B1803" s="67"/>
    </row>
    <row r="1804" spans="1:2" x14ac:dyDescent="0.25">
      <c r="A1804" s="67"/>
      <c r="B1804" s="67"/>
    </row>
    <row r="1805" spans="1:2" x14ac:dyDescent="0.25">
      <c r="A1805" s="67"/>
      <c r="B1805" s="67"/>
    </row>
    <row r="1806" spans="1:2" x14ac:dyDescent="0.25">
      <c r="A1806" s="67"/>
      <c r="B1806" s="67"/>
    </row>
    <row r="1807" spans="1:2" x14ac:dyDescent="0.25">
      <c r="A1807" s="67"/>
      <c r="B1807" s="67"/>
    </row>
    <row r="1808" spans="1:2" x14ac:dyDescent="0.25">
      <c r="A1808" s="67"/>
      <c r="B1808" s="67"/>
    </row>
    <row r="1809" spans="1:2" x14ac:dyDescent="0.25">
      <c r="A1809" s="67"/>
      <c r="B1809" s="67"/>
    </row>
    <row r="1810" spans="1:2" x14ac:dyDescent="0.25">
      <c r="A1810" s="67"/>
      <c r="B1810" s="67"/>
    </row>
    <row r="1811" spans="1:2" x14ac:dyDescent="0.25">
      <c r="A1811" s="67"/>
      <c r="B1811" s="67"/>
    </row>
    <row r="1812" spans="1:2" x14ac:dyDescent="0.25">
      <c r="A1812" s="67"/>
      <c r="B1812" s="67"/>
    </row>
    <row r="1813" spans="1:2" x14ac:dyDescent="0.25">
      <c r="A1813" s="67"/>
      <c r="B1813" s="67"/>
    </row>
    <row r="1814" spans="1:2" x14ac:dyDescent="0.25">
      <c r="A1814" s="67"/>
      <c r="B1814" s="67"/>
    </row>
    <row r="1815" spans="1:2" x14ac:dyDescent="0.25">
      <c r="A1815" s="67"/>
      <c r="B1815" s="67"/>
    </row>
    <row r="1816" spans="1:2" x14ac:dyDescent="0.25">
      <c r="A1816" s="67"/>
      <c r="B1816" s="67"/>
    </row>
    <row r="1817" spans="1:2" x14ac:dyDescent="0.25">
      <c r="A1817" s="67"/>
      <c r="B1817" s="67"/>
    </row>
    <row r="1818" spans="1:2" x14ac:dyDescent="0.25">
      <c r="A1818" s="67"/>
      <c r="B1818" s="67"/>
    </row>
    <row r="1819" spans="1:2" x14ac:dyDescent="0.25">
      <c r="A1819" s="67"/>
      <c r="B1819" s="67"/>
    </row>
    <row r="1820" spans="1:2" x14ac:dyDescent="0.25">
      <c r="A1820" s="67"/>
      <c r="B1820" s="67"/>
    </row>
    <row r="1821" spans="1:2" x14ac:dyDescent="0.25">
      <c r="A1821" s="67"/>
      <c r="B1821" s="67"/>
    </row>
    <row r="1822" spans="1:2" x14ac:dyDescent="0.25">
      <c r="A1822" s="67"/>
      <c r="B1822" s="67"/>
    </row>
    <row r="1823" spans="1:2" x14ac:dyDescent="0.25">
      <c r="A1823" s="67"/>
      <c r="B1823" s="67"/>
    </row>
    <row r="1824" spans="1:2" x14ac:dyDescent="0.25">
      <c r="A1824" s="67"/>
      <c r="B1824" s="67"/>
    </row>
    <row r="1825" spans="1:2" x14ac:dyDescent="0.25">
      <c r="A1825" s="67"/>
      <c r="B1825" s="67"/>
    </row>
    <row r="1826" spans="1:2" x14ac:dyDescent="0.25">
      <c r="A1826" s="67"/>
      <c r="B1826" s="67"/>
    </row>
    <row r="1827" spans="1:2" x14ac:dyDescent="0.25">
      <c r="A1827" s="67"/>
      <c r="B1827" s="67"/>
    </row>
    <row r="1828" spans="1:2" x14ac:dyDescent="0.25">
      <c r="A1828" s="67"/>
      <c r="B1828" s="67"/>
    </row>
    <row r="1829" spans="1:2" x14ac:dyDescent="0.25">
      <c r="A1829" s="67"/>
      <c r="B1829" s="67"/>
    </row>
    <row r="1830" spans="1:2" x14ac:dyDescent="0.25">
      <c r="A1830" s="67"/>
      <c r="B1830" s="67"/>
    </row>
    <row r="1831" spans="1:2" x14ac:dyDescent="0.25">
      <c r="A1831" s="67"/>
      <c r="B1831" s="67"/>
    </row>
    <row r="1832" spans="1:2" x14ac:dyDescent="0.25">
      <c r="A1832" s="67"/>
      <c r="B1832" s="67"/>
    </row>
    <row r="1833" spans="1:2" x14ac:dyDescent="0.25">
      <c r="A1833" s="67"/>
      <c r="B1833" s="67"/>
    </row>
    <row r="1834" spans="1:2" x14ac:dyDescent="0.25">
      <c r="A1834" s="67"/>
      <c r="B1834" s="67"/>
    </row>
    <row r="1835" spans="1:2" x14ac:dyDescent="0.25">
      <c r="A1835" s="67"/>
      <c r="B1835" s="67"/>
    </row>
    <row r="1836" spans="1:2" x14ac:dyDescent="0.25">
      <c r="A1836" s="67"/>
      <c r="B1836" s="67"/>
    </row>
    <row r="1837" spans="1:2" x14ac:dyDescent="0.25">
      <c r="A1837" s="67"/>
      <c r="B1837" s="67"/>
    </row>
    <row r="1838" spans="1:2" x14ac:dyDescent="0.25">
      <c r="A1838" s="67"/>
      <c r="B1838" s="67"/>
    </row>
    <row r="1839" spans="1:2" x14ac:dyDescent="0.25">
      <c r="A1839" s="67"/>
      <c r="B1839" s="67"/>
    </row>
    <row r="1840" spans="1:2" x14ac:dyDescent="0.25">
      <c r="A1840" s="67"/>
      <c r="B1840" s="67"/>
    </row>
    <row r="1841" spans="1:2" x14ac:dyDescent="0.25">
      <c r="A1841" s="67"/>
      <c r="B1841" s="67"/>
    </row>
    <row r="1842" spans="1:2" x14ac:dyDescent="0.25">
      <c r="A1842" s="67"/>
      <c r="B1842" s="67"/>
    </row>
    <row r="1843" spans="1:2" x14ac:dyDescent="0.25">
      <c r="A1843" s="67"/>
      <c r="B1843" s="67"/>
    </row>
    <row r="1844" spans="1:2" x14ac:dyDescent="0.25">
      <c r="A1844" s="67"/>
      <c r="B1844" s="67"/>
    </row>
    <row r="1845" spans="1:2" x14ac:dyDescent="0.25">
      <c r="A1845" s="67"/>
      <c r="B1845" s="67"/>
    </row>
    <row r="1846" spans="1:2" x14ac:dyDescent="0.25">
      <c r="A1846" s="67"/>
      <c r="B1846" s="67"/>
    </row>
    <row r="1847" spans="1:2" x14ac:dyDescent="0.25">
      <c r="A1847" s="67"/>
      <c r="B1847" s="67"/>
    </row>
    <row r="1848" spans="1:2" x14ac:dyDescent="0.25">
      <c r="A1848" s="67"/>
      <c r="B1848" s="67"/>
    </row>
    <row r="1849" spans="1:2" x14ac:dyDescent="0.25">
      <c r="A1849" s="67"/>
      <c r="B1849" s="67"/>
    </row>
    <row r="1850" spans="1:2" x14ac:dyDescent="0.25">
      <c r="A1850" s="67"/>
      <c r="B1850" s="67"/>
    </row>
    <row r="1851" spans="1:2" x14ac:dyDescent="0.25">
      <c r="A1851" s="67"/>
      <c r="B1851" s="67"/>
    </row>
    <row r="1852" spans="1:2" x14ac:dyDescent="0.25">
      <c r="A1852" s="67"/>
      <c r="B1852" s="67"/>
    </row>
    <row r="1853" spans="1:2" x14ac:dyDescent="0.25">
      <c r="A1853" s="67"/>
      <c r="B1853" s="67"/>
    </row>
    <row r="1854" spans="1:2" x14ac:dyDescent="0.25">
      <c r="A1854" s="67"/>
      <c r="B1854" s="67"/>
    </row>
    <row r="1855" spans="1:2" x14ac:dyDescent="0.25">
      <c r="A1855" s="67"/>
      <c r="B1855" s="67"/>
    </row>
    <row r="1856" spans="1:2" x14ac:dyDescent="0.25">
      <c r="A1856" s="67"/>
      <c r="B1856" s="67"/>
    </row>
    <row r="1857" spans="1:2" x14ac:dyDescent="0.25">
      <c r="A1857" s="67"/>
      <c r="B1857" s="67"/>
    </row>
    <row r="1858" spans="1:2" x14ac:dyDescent="0.25">
      <c r="A1858" s="67"/>
      <c r="B1858" s="67"/>
    </row>
    <row r="1859" spans="1:2" x14ac:dyDescent="0.25">
      <c r="A1859" s="67"/>
      <c r="B1859" s="67"/>
    </row>
    <row r="1860" spans="1:2" x14ac:dyDescent="0.25">
      <c r="A1860" s="67"/>
      <c r="B1860" s="67"/>
    </row>
    <row r="1861" spans="1:2" x14ac:dyDescent="0.25">
      <c r="A1861" s="67"/>
      <c r="B1861" s="67"/>
    </row>
    <row r="1862" spans="1:2" x14ac:dyDescent="0.25">
      <c r="A1862" s="67"/>
      <c r="B1862" s="67"/>
    </row>
    <row r="1863" spans="1:2" x14ac:dyDescent="0.25">
      <c r="A1863" s="67"/>
      <c r="B1863" s="67"/>
    </row>
    <row r="1864" spans="1:2" x14ac:dyDescent="0.25">
      <c r="A1864" s="67"/>
      <c r="B1864" s="67"/>
    </row>
    <row r="1865" spans="1:2" x14ac:dyDescent="0.25">
      <c r="A1865" s="67"/>
      <c r="B1865" s="67"/>
    </row>
    <row r="1866" spans="1:2" x14ac:dyDescent="0.25">
      <c r="A1866" s="67"/>
      <c r="B1866" s="67"/>
    </row>
    <row r="1867" spans="1:2" x14ac:dyDescent="0.25">
      <c r="A1867" s="67"/>
      <c r="B1867" s="67"/>
    </row>
    <row r="1868" spans="1:2" x14ac:dyDescent="0.25">
      <c r="A1868" s="67"/>
      <c r="B1868" s="67"/>
    </row>
    <row r="1869" spans="1:2" x14ac:dyDescent="0.25">
      <c r="A1869" s="67"/>
      <c r="B1869" s="67"/>
    </row>
    <row r="1870" spans="1:2" x14ac:dyDescent="0.25">
      <c r="A1870" s="67"/>
      <c r="B1870" s="67"/>
    </row>
    <row r="1871" spans="1:2" x14ac:dyDescent="0.25">
      <c r="A1871" s="67"/>
      <c r="B1871" s="67"/>
    </row>
    <row r="1872" spans="1:2" x14ac:dyDescent="0.25">
      <c r="A1872" s="67"/>
      <c r="B1872" s="67"/>
    </row>
    <row r="1873" spans="1:2" x14ac:dyDescent="0.25">
      <c r="A1873" s="67"/>
      <c r="B1873" s="67"/>
    </row>
    <row r="1874" spans="1:2" x14ac:dyDescent="0.25">
      <c r="A1874" s="67"/>
      <c r="B1874" s="67"/>
    </row>
    <row r="1875" spans="1:2" x14ac:dyDescent="0.25">
      <c r="A1875" s="67"/>
      <c r="B1875" s="67"/>
    </row>
    <row r="1876" spans="1:2" x14ac:dyDescent="0.25">
      <c r="A1876" s="67"/>
      <c r="B1876" s="67"/>
    </row>
    <row r="1877" spans="1:2" x14ac:dyDescent="0.25">
      <c r="A1877" s="67"/>
      <c r="B1877" s="67"/>
    </row>
    <row r="1878" spans="1:2" x14ac:dyDescent="0.25">
      <c r="A1878" s="67"/>
      <c r="B1878" s="67"/>
    </row>
    <row r="1879" spans="1:2" x14ac:dyDescent="0.25">
      <c r="A1879" s="67"/>
      <c r="B1879" s="67"/>
    </row>
    <row r="1880" spans="1:2" x14ac:dyDescent="0.25">
      <c r="A1880" s="67"/>
      <c r="B1880" s="67"/>
    </row>
    <row r="1881" spans="1:2" x14ac:dyDescent="0.25">
      <c r="A1881" s="67"/>
      <c r="B1881" s="67"/>
    </row>
    <row r="1882" spans="1:2" x14ac:dyDescent="0.25">
      <c r="A1882" s="67"/>
      <c r="B1882" s="67"/>
    </row>
    <row r="1883" spans="1:2" x14ac:dyDescent="0.25">
      <c r="A1883" s="67"/>
      <c r="B1883" s="67"/>
    </row>
    <row r="1884" spans="1:2" x14ac:dyDescent="0.25">
      <c r="A1884" s="67"/>
      <c r="B1884" s="67"/>
    </row>
    <row r="1885" spans="1:2" x14ac:dyDescent="0.25">
      <c r="A1885" s="67"/>
      <c r="B1885" s="67"/>
    </row>
    <row r="1886" spans="1:2" x14ac:dyDescent="0.25">
      <c r="A1886" s="67"/>
      <c r="B1886" s="67"/>
    </row>
    <row r="1887" spans="1:2" x14ac:dyDescent="0.25">
      <c r="A1887" s="67"/>
      <c r="B1887" s="67"/>
    </row>
    <row r="1888" spans="1:2" x14ac:dyDescent="0.25">
      <c r="A1888" s="67"/>
      <c r="B1888" s="67"/>
    </row>
    <row r="1889" spans="1:2" x14ac:dyDescent="0.25">
      <c r="A1889" s="67"/>
      <c r="B1889" s="67"/>
    </row>
    <row r="1890" spans="1:2" x14ac:dyDescent="0.25">
      <c r="A1890" s="67"/>
      <c r="B1890" s="67"/>
    </row>
    <row r="1891" spans="1:2" x14ac:dyDescent="0.25">
      <c r="A1891" s="67"/>
      <c r="B1891" s="67"/>
    </row>
    <row r="1892" spans="1:2" x14ac:dyDescent="0.25">
      <c r="A1892" s="67"/>
      <c r="B1892" s="67"/>
    </row>
    <row r="1893" spans="1:2" x14ac:dyDescent="0.25">
      <c r="A1893" s="67"/>
      <c r="B1893" s="67"/>
    </row>
    <row r="1894" spans="1:2" x14ac:dyDescent="0.25">
      <c r="A1894" s="67"/>
      <c r="B1894" s="67"/>
    </row>
    <row r="1895" spans="1:2" x14ac:dyDescent="0.25">
      <c r="A1895" s="67"/>
      <c r="B1895" s="67"/>
    </row>
    <row r="1896" spans="1:2" x14ac:dyDescent="0.25">
      <c r="A1896" s="67"/>
      <c r="B1896" s="67"/>
    </row>
    <row r="1897" spans="1:2" x14ac:dyDescent="0.25">
      <c r="A1897" s="67"/>
      <c r="B1897" s="67"/>
    </row>
    <row r="1898" spans="1:2" x14ac:dyDescent="0.25">
      <c r="A1898" s="67"/>
      <c r="B1898" s="67"/>
    </row>
    <row r="1899" spans="1:2" x14ac:dyDescent="0.25">
      <c r="A1899" s="67"/>
      <c r="B1899" s="67"/>
    </row>
    <row r="1900" spans="1:2" x14ac:dyDescent="0.25">
      <c r="A1900" s="67"/>
      <c r="B1900" s="67"/>
    </row>
    <row r="1901" spans="1:2" x14ac:dyDescent="0.25">
      <c r="A1901" s="67"/>
      <c r="B1901" s="67"/>
    </row>
    <row r="1902" spans="1:2" x14ac:dyDescent="0.25">
      <c r="A1902" s="67"/>
      <c r="B1902" s="67"/>
    </row>
    <row r="1903" spans="1:2" x14ac:dyDescent="0.25">
      <c r="A1903" s="67"/>
      <c r="B1903" s="67"/>
    </row>
    <row r="1904" spans="1:2" x14ac:dyDescent="0.25">
      <c r="A1904" s="67"/>
      <c r="B1904" s="67"/>
    </row>
    <row r="1905" spans="1:2" x14ac:dyDescent="0.25">
      <c r="A1905" s="67"/>
      <c r="B1905" s="67"/>
    </row>
    <row r="1906" spans="1:2" x14ac:dyDescent="0.25">
      <c r="A1906" s="67"/>
      <c r="B1906" s="67"/>
    </row>
    <row r="1907" spans="1:2" x14ac:dyDescent="0.25">
      <c r="A1907" s="67"/>
      <c r="B1907" s="67"/>
    </row>
    <row r="1908" spans="1:2" x14ac:dyDescent="0.25">
      <c r="A1908" s="67"/>
      <c r="B1908" s="67"/>
    </row>
    <row r="1909" spans="1:2" x14ac:dyDescent="0.25">
      <c r="A1909" s="67"/>
      <c r="B1909" s="67"/>
    </row>
    <row r="1910" spans="1:2" x14ac:dyDescent="0.25">
      <c r="A1910" s="67"/>
      <c r="B1910" s="67"/>
    </row>
    <row r="1911" spans="1:2" x14ac:dyDescent="0.25">
      <c r="A1911" s="67"/>
      <c r="B1911" s="67"/>
    </row>
    <row r="1912" spans="1:2" x14ac:dyDescent="0.25">
      <c r="A1912" s="67"/>
      <c r="B1912" s="67"/>
    </row>
    <row r="1913" spans="1:2" x14ac:dyDescent="0.25">
      <c r="A1913" s="67"/>
      <c r="B1913" s="67"/>
    </row>
    <row r="1914" spans="1:2" x14ac:dyDescent="0.25">
      <c r="A1914" s="67"/>
      <c r="B1914" s="67"/>
    </row>
    <row r="1915" spans="1:2" x14ac:dyDescent="0.25">
      <c r="A1915" s="67"/>
      <c r="B1915" s="67"/>
    </row>
    <row r="1916" spans="1:2" x14ac:dyDescent="0.25">
      <c r="A1916" s="67"/>
      <c r="B1916" s="67"/>
    </row>
    <row r="1917" spans="1:2" x14ac:dyDescent="0.25">
      <c r="A1917" s="67"/>
      <c r="B1917" s="67"/>
    </row>
    <row r="1918" spans="1:2" x14ac:dyDescent="0.25">
      <c r="A1918" s="67"/>
      <c r="B1918" s="67"/>
    </row>
    <row r="1919" spans="1:2" x14ac:dyDescent="0.25">
      <c r="A1919" s="67"/>
      <c r="B1919" s="67"/>
    </row>
    <row r="1920" spans="1:2" x14ac:dyDescent="0.25">
      <c r="A1920" s="67"/>
      <c r="B1920" s="67"/>
    </row>
    <row r="1921" spans="1:2" x14ac:dyDescent="0.25">
      <c r="A1921" s="67"/>
      <c r="B1921" s="67"/>
    </row>
    <row r="1922" spans="1:2" x14ac:dyDescent="0.25">
      <c r="A1922" s="67"/>
      <c r="B1922" s="67"/>
    </row>
    <row r="1923" spans="1:2" x14ac:dyDescent="0.25">
      <c r="A1923" s="67"/>
      <c r="B1923" s="67"/>
    </row>
    <row r="1924" spans="1:2" x14ac:dyDescent="0.25">
      <c r="A1924" s="67"/>
      <c r="B1924" s="67"/>
    </row>
    <row r="1925" spans="1:2" x14ac:dyDescent="0.25">
      <c r="A1925" s="67"/>
      <c r="B1925" s="67"/>
    </row>
    <row r="1926" spans="1:2" x14ac:dyDescent="0.25">
      <c r="A1926" s="67"/>
      <c r="B1926" s="67"/>
    </row>
    <row r="1927" spans="1:2" x14ac:dyDescent="0.25">
      <c r="A1927" s="67"/>
      <c r="B1927" s="67"/>
    </row>
    <row r="1928" spans="1:2" x14ac:dyDescent="0.25">
      <c r="A1928" s="67"/>
      <c r="B1928" s="67"/>
    </row>
    <row r="1929" spans="1:2" x14ac:dyDescent="0.25">
      <c r="A1929" s="67"/>
      <c r="B1929" s="67"/>
    </row>
    <row r="1930" spans="1:2" x14ac:dyDescent="0.25">
      <c r="A1930" s="67"/>
      <c r="B1930" s="67"/>
    </row>
    <row r="1931" spans="1:2" x14ac:dyDescent="0.25">
      <c r="A1931" s="67"/>
      <c r="B1931" s="67"/>
    </row>
    <row r="1932" spans="1:2" x14ac:dyDescent="0.25">
      <c r="A1932" s="67"/>
      <c r="B1932" s="67"/>
    </row>
    <row r="1933" spans="1:2" x14ac:dyDescent="0.25">
      <c r="A1933" s="67"/>
      <c r="B1933" s="67"/>
    </row>
    <row r="1934" spans="1:2" x14ac:dyDescent="0.25">
      <c r="A1934" s="67"/>
      <c r="B1934" s="67"/>
    </row>
    <row r="1935" spans="1:2" x14ac:dyDescent="0.25">
      <c r="A1935" s="67"/>
      <c r="B1935" s="67"/>
    </row>
    <row r="1936" spans="1:2" x14ac:dyDescent="0.25">
      <c r="A1936" s="67"/>
      <c r="B1936" s="67"/>
    </row>
    <row r="1937" spans="1:2" x14ac:dyDescent="0.25">
      <c r="A1937" s="67"/>
      <c r="B1937" s="67"/>
    </row>
    <row r="1938" spans="1:2" x14ac:dyDescent="0.25">
      <c r="A1938" s="67"/>
      <c r="B1938" s="67"/>
    </row>
    <row r="1939" spans="1:2" x14ac:dyDescent="0.25">
      <c r="A1939" s="67"/>
      <c r="B1939" s="67"/>
    </row>
    <row r="1940" spans="1:2" x14ac:dyDescent="0.25">
      <c r="A1940" s="67"/>
      <c r="B1940" s="67"/>
    </row>
    <row r="1941" spans="1:2" x14ac:dyDescent="0.25">
      <c r="A1941" s="67"/>
      <c r="B1941" s="67"/>
    </row>
    <row r="1942" spans="1:2" x14ac:dyDescent="0.25">
      <c r="A1942" s="67"/>
      <c r="B1942" s="67"/>
    </row>
    <row r="1943" spans="1:2" x14ac:dyDescent="0.25">
      <c r="A1943" s="67"/>
      <c r="B1943" s="67"/>
    </row>
    <row r="1944" spans="1:2" x14ac:dyDescent="0.25">
      <c r="A1944" s="67"/>
      <c r="B1944" s="67"/>
    </row>
    <row r="1945" spans="1:2" x14ac:dyDescent="0.25">
      <c r="A1945" s="67"/>
      <c r="B1945" s="67"/>
    </row>
    <row r="1946" spans="1:2" x14ac:dyDescent="0.25">
      <c r="A1946" s="67"/>
      <c r="B1946" s="67"/>
    </row>
    <row r="1947" spans="1:2" x14ac:dyDescent="0.25">
      <c r="A1947" s="67"/>
      <c r="B1947" s="67"/>
    </row>
    <row r="1948" spans="1:2" x14ac:dyDescent="0.25">
      <c r="A1948" s="67"/>
      <c r="B1948" s="67"/>
    </row>
    <row r="1949" spans="1:2" x14ac:dyDescent="0.25">
      <c r="A1949" s="67"/>
      <c r="B1949" s="67"/>
    </row>
    <row r="1950" spans="1:2" x14ac:dyDescent="0.25">
      <c r="A1950" s="67"/>
      <c r="B1950" s="67"/>
    </row>
    <row r="1951" spans="1:2" x14ac:dyDescent="0.25">
      <c r="A1951" s="67"/>
      <c r="B1951" s="67"/>
    </row>
    <row r="1952" spans="1:2" x14ac:dyDescent="0.25">
      <c r="A1952" s="67"/>
      <c r="B1952" s="67"/>
    </row>
    <row r="1953" spans="1:2" x14ac:dyDescent="0.25">
      <c r="A1953" s="67"/>
      <c r="B1953" s="67"/>
    </row>
    <row r="1954" spans="1:2" x14ac:dyDescent="0.25">
      <c r="A1954" s="67"/>
      <c r="B1954" s="67"/>
    </row>
    <row r="1955" spans="1:2" x14ac:dyDescent="0.25">
      <c r="A1955" s="67"/>
      <c r="B1955" s="67"/>
    </row>
    <row r="1956" spans="1:2" x14ac:dyDescent="0.25">
      <c r="A1956" s="67"/>
      <c r="B1956" s="67"/>
    </row>
    <row r="1957" spans="1:2" x14ac:dyDescent="0.25">
      <c r="A1957" s="67"/>
      <c r="B1957" s="67"/>
    </row>
    <row r="1958" spans="1:2" x14ac:dyDescent="0.25">
      <c r="A1958" s="67"/>
      <c r="B1958" s="67"/>
    </row>
    <row r="1959" spans="1:2" x14ac:dyDescent="0.25">
      <c r="A1959" s="67"/>
      <c r="B1959" s="67"/>
    </row>
    <row r="1960" spans="1:2" x14ac:dyDescent="0.25">
      <c r="A1960" s="67"/>
      <c r="B1960" s="67"/>
    </row>
    <row r="1961" spans="1:2" x14ac:dyDescent="0.25">
      <c r="A1961" s="67"/>
      <c r="B1961" s="67"/>
    </row>
    <row r="1962" spans="1:2" x14ac:dyDescent="0.25">
      <c r="A1962" s="67"/>
      <c r="B1962" s="67"/>
    </row>
    <row r="1963" spans="1:2" x14ac:dyDescent="0.25">
      <c r="A1963" s="67"/>
      <c r="B1963" s="67"/>
    </row>
    <row r="1964" spans="1:2" x14ac:dyDescent="0.25">
      <c r="A1964" s="67"/>
      <c r="B1964" s="67"/>
    </row>
    <row r="1965" spans="1:2" x14ac:dyDescent="0.25">
      <c r="A1965" s="67"/>
      <c r="B1965" s="67"/>
    </row>
    <row r="1966" spans="1:2" x14ac:dyDescent="0.25">
      <c r="A1966" s="67"/>
      <c r="B1966" s="67"/>
    </row>
    <row r="1967" spans="1:2" x14ac:dyDescent="0.25">
      <c r="A1967" s="67"/>
      <c r="B1967" s="67"/>
    </row>
    <row r="1968" spans="1:2" x14ac:dyDescent="0.25">
      <c r="A1968" s="67"/>
      <c r="B1968" s="67"/>
    </row>
    <row r="1969" spans="1:2" x14ac:dyDescent="0.25">
      <c r="A1969" s="67"/>
      <c r="B1969" s="67"/>
    </row>
    <row r="1970" spans="1:2" x14ac:dyDescent="0.25">
      <c r="A1970" s="67"/>
      <c r="B1970" s="67"/>
    </row>
    <row r="1971" spans="1:2" x14ac:dyDescent="0.25">
      <c r="A1971" s="67"/>
      <c r="B1971" s="67"/>
    </row>
    <row r="1972" spans="1:2" x14ac:dyDescent="0.25">
      <c r="A1972" s="67"/>
      <c r="B1972" s="67"/>
    </row>
    <row r="1973" spans="1:2" x14ac:dyDescent="0.25">
      <c r="A1973" s="67"/>
      <c r="B1973" s="67"/>
    </row>
    <row r="1974" spans="1:2" x14ac:dyDescent="0.25">
      <c r="A1974" s="67"/>
      <c r="B1974" s="67"/>
    </row>
    <row r="1975" spans="1:2" x14ac:dyDescent="0.25">
      <c r="A1975" s="67"/>
      <c r="B1975" s="67"/>
    </row>
    <row r="1976" spans="1:2" x14ac:dyDescent="0.25">
      <c r="A1976" s="67"/>
      <c r="B1976" s="67"/>
    </row>
    <row r="1977" spans="1:2" x14ac:dyDescent="0.25">
      <c r="A1977" s="67"/>
      <c r="B1977" s="67"/>
    </row>
    <row r="1978" spans="1:2" x14ac:dyDescent="0.25">
      <c r="A1978" s="67"/>
      <c r="B1978" s="67"/>
    </row>
    <row r="1979" spans="1:2" x14ac:dyDescent="0.25">
      <c r="A1979" s="67"/>
      <c r="B1979" s="67"/>
    </row>
    <row r="1980" spans="1:2" x14ac:dyDescent="0.25">
      <c r="A1980" s="67"/>
      <c r="B1980" s="67"/>
    </row>
    <row r="1981" spans="1:2" x14ac:dyDescent="0.25">
      <c r="A1981" s="67"/>
      <c r="B1981" s="67"/>
    </row>
    <row r="1982" spans="1:2" x14ac:dyDescent="0.25">
      <c r="A1982" s="67"/>
      <c r="B1982" s="67"/>
    </row>
    <row r="1983" spans="1:2" x14ac:dyDescent="0.25">
      <c r="A1983" s="67"/>
      <c r="B1983" s="67"/>
    </row>
    <row r="1984" spans="1:2" x14ac:dyDescent="0.25">
      <c r="A1984" s="67"/>
      <c r="B1984" s="67"/>
    </row>
    <row r="1985" spans="1:2" x14ac:dyDescent="0.25">
      <c r="A1985" s="67"/>
      <c r="B1985" s="67"/>
    </row>
    <row r="1986" spans="1:2" x14ac:dyDescent="0.25">
      <c r="A1986" s="67"/>
      <c r="B1986" s="67"/>
    </row>
    <row r="1987" spans="1:2" x14ac:dyDescent="0.25">
      <c r="A1987" s="67"/>
      <c r="B1987" s="67"/>
    </row>
    <row r="1988" spans="1:2" x14ac:dyDescent="0.25">
      <c r="A1988" s="67"/>
      <c r="B1988" s="67"/>
    </row>
    <row r="1989" spans="1:2" x14ac:dyDescent="0.25">
      <c r="A1989" s="67"/>
      <c r="B1989" s="67"/>
    </row>
    <row r="1990" spans="1:2" x14ac:dyDescent="0.25">
      <c r="A1990" s="67"/>
      <c r="B1990" s="67"/>
    </row>
    <row r="1991" spans="1:2" x14ac:dyDescent="0.25">
      <c r="A1991" s="67"/>
      <c r="B1991" s="67"/>
    </row>
    <row r="1992" spans="1:2" x14ac:dyDescent="0.25">
      <c r="A1992" s="67"/>
      <c r="B1992" s="67"/>
    </row>
    <row r="1993" spans="1:2" x14ac:dyDescent="0.25">
      <c r="A1993" s="67"/>
      <c r="B1993" s="67"/>
    </row>
    <row r="1994" spans="1:2" x14ac:dyDescent="0.25">
      <c r="A1994" s="67"/>
      <c r="B1994" s="67"/>
    </row>
    <row r="1995" spans="1:2" x14ac:dyDescent="0.25">
      <c r="A1995" s="67"/>
      <c r="B1995" s="67"/>
    </row>
    <row r="1996" spans="1:2" x14ac:dyDescent="0.25">
      <c r="A1996" s="67"/>
      <c r="B1996" s="67"/>
    </row>
    <row r="1997" spans="1:2" x14ac:dyDescent="0.25">
      <c r="A1997" s="67"/>
      <c r="B1997" s="67"/>
    </row>
    <row r="1998" spans="1:2" x14ac:dyDescent="0.25">
      <c r="A1998" s="67"/>
      <c r="B1998" s="67"/>
    </row>
    <row r="1999" spans="1:2" x14ac:dyDescent="0.25">
      <c r="A1999" s="67"/>
      <c r="B1999" s="67"/>
    </row>
    <row r="2000" spans="1:2" x14ac:dyDescent="0.25">
      <c r="A2000" s="67"/>
      <c r="B2000" s="67"/>
    </row>
    <row r="2001" spans="1:2" x14ac:dyDescent="0.25">
      <c r="A2001" s="67"/>
      <c r="B2001" s="67"/>
    </row>
    <row r="2002" spans="1:2" x14ac:dyDescent="0.25">
      <c r="A2002" s="67"/>
      <c r="B2002" s="67"/>
    </row>
    <row r="2003" spans="1:2" x14ac:dyDescent="0.25">
      <c r="A2003" s="67"/>
      <c r="B2003" s="67"/>
    </row>
    <row r="2004" spans="1:2" x14ac:dyDescent="0.25">
      <c r="A2004" s="67"/>
      <c r="B2004" s="67"/>
    </row>
    <row r="2005" spans="1:2" x14ac:dyDescent="0.25">
      <c r="A2005" s="67"/>
      <c r="B2005" s="67"/>
    </row>
    <row r="2006" spans="1:2" x14ac:dyDescent="0.25">
      <c r="A2006" s="67"/>
      <c r="B2006" s="67"/>
    </row>
    <row r="2007" spans="1:2" x14ac:dyDescent="0.25">
      <c r="A2007" s="67"/>
      <c r="B2007" s="67"/>
    </row>
    <row r="2008" spans="1:2" x14ac:dyDescent="0.25">
      <c r="A2008" s="67"/>
      <c r="B2008" s="67"/>
    </row>
    <row r="2009" spans="1:2" x14ac:dyDescent="0.25">
      <c r="A2009" s="67"/>
      <c r="B2009" s="67"/>
    </row>
    <row r="2010" spans="1:2" x14ac:dyDescent="0.25">
      <c r="A2010" s="67"/>
      <c r="B2010" s="67"/>
    </row>
    <row r="2011" spans="1:2" x14ac:dyDescent="0.25">
      <c r="A2011" s="67"/>
      <c r="B2011" s="67"/>
    </row>
    <row r="2012" spans="1:2" x14ac:dyDescent="0.25">
      <c r="A2012" s="67"/>
      <c r="B2012" s="67"/>
    </row>
    <row r="2013" spans="1:2" x14ac:dyDescent="0.25">
      <c r="A2013" s="67"/>
      <c r="B2013" s="67"/>
    </row>
    <row r="2014" spans="1:2" x14ac:dyDescent="0.25">
      <c r="A2014" s="67"/>
      <c r="B2014" s="67"/>
    </row>
    <row r="2015" spans="1:2" x14ac:dyDescent="0.25">
      <c r="A2015" s="67"/>
      <c r="B2015" s="67"/>
    </row>
    <row r="2016" spans="1:2" x14ac:dyDescent="0.25">
      <c r="A2016" s="67"/>
      <c r="B2016" s="67"/>
    </row>
    <row r="2017" spans="1:2" x14ac:dyDescent="0.25">
      <c r="A2017" s="67"/>
      <c r="B2017" s="67"/>
    </row>
    <row r="2018" spans="1:2" x14ac:dyDescent="0.25">
      <c r="A2018" s="67"/>
      <c r="B2018" s="67"/>
    </row>
    <row r="2019" spans="1:2" x14ac:dyDescent="0.25">
      <c r="A2019" s="67"/>
      <c r="B2019" s="67"/>
    </row>
    <row r="2020" spans="1:2" x14ac:dyDescent="0.25">
      <c r="A2020" s="67"/>
      <c r="B2020" s="67"/>
    </row>
    <row r="2021" spans="1:2" x14ac:dyDescent="0.25">
      <c r="A2021" s="67"/>
      <c r="B2021" s="67"/>
    </row>
    <row r="2022" spans="1:2" x14ac:dyDescent="0.25">
      <c r="A2022" s="67"/>
      <c r="B2022" s="67"/>
    </row>
    <row r="2023" spans="1:2" x14ac:dyDescent="0.25">
      <c r="A2023" s="67"/>
      <c r="B2023" s="67"/>
    </row>
    <row r="2024" spans="1:2" x14ac:dyDescent="0.25">
      <c r="A2024" s="67"/>
      <c r="B2024" s="67"/>
    </row>
    <row r="2025" spans="1:2" x14ac:dyDescent="0.25">
      <c r="A2025" s="67"/>
      <c r="B2025" s="67"/>
    </row>
    <row r="2026" spans="1:2" x14ac:dyDescent="0.25">
      <c r="A2026" s="67"/>
      <c r="B2026" s="67"/>
    </row>
    <row r="2027" spans="1:2" x14ac:dyDescent="0.25">
      <c r="A2027" s="67"/>
      <c r="B2027" s="67"/>
    </row>
    <row r="2028" spans="1:2" x14ac:dyDescent="0.25">
      <c r="A2028" s="67"/>
      <c r="B2028" s="67"/>
    </row>
    <row r="2029" spans="1:2" x14ac:dyDescent="0.25">
      <c r="A2029" s="67"/>
      <c r="B2029" s="67"/>
    </row>
    <row r="2030" spans="1:2" x14ac:dyDescent="0.25">
      <c r="A2030" s="67"/>
      <c r="B2030" s="67"/>
    </row>
    <row r="2031" spans="1:2" x14ac:dyDescent="0.25">
      <c r="A2031" s="67"/>
      <c r="B2031" s="67"/>
    </row>
    <row r="2032" spans="1:2" x14ac:dyDescent="0.25">
      <c r="A2032" s="67"/>
      <c r="B2032" s="67"/>
    </row>
    <row r="2033" spans="1:2" x14ac:dyDescent="0.25">
      <c r="A2033" s="67"/>
      <c r="B2033" s="67"/>
    </row>
    <row r="2034" spans="1:2" x14ac:dyDescent="0.25">
      <c r="A2034" s="67"/>
      <c r="B2034" s="67"/>
    </row>
    <row r="2035" spans="1:2" x14ac:dyDescent="0.25">
      <c r="A2035" s="67"/>
      <c r="B2035" s="67"/>
    </row>
    <row r="2036" spans="1:2" x14ac:dyDescent="0.25">
      <c r="A2036" s="67"/>
      <c r="B2036" s="67"/>
    </row>
    <row r="2037" spans="1:2" x14ac:dyDescent="0.25">
      <c r="A2037" s="67"/>
      <c r="B2037" s="67"/>
    </row>
    <row r="2038" spans="1:2" x14ac:dyDescent="0.25">
      <c r="A2038" s="67"/>
      <c r="B2038" s="67"/>
    </row>
    <row r="2039" spans="1:2" x14ac:dyDescent="0.25">
      <c r="A2039" s="67"/>
      <c r="B2039" s="67"/>
    </row>
    <row r="2040" spans="1:2" x14ac:dyDescent="0.25">
      <c r="A2040" s="67"/>
      <c r="B2040" s="67"/>
    </row>
    <row r="2041" spans="1:2" x14ac:dyDescent="0.25">
      <c r="A2041" s="67"/>
      <c r="B2041" s="67"/>
    </row>
    <row r="2042" spans="1:2" x14ac:dyDescent="0.25">
      <c r="A2042" s="67"/>
      <c r="B2042" s="67"/>
    </row>
    <row r="2043" spans="1:2" x14ac:dyDescent="0.25">
      <c r="A2043" s="67"/>
      <c r="B2043" s="67"/>
    </row>
    <row r="2044" spans="1:2" x14ac:dyDescent="0.25">
      <c r="A2044" s="67"/>
      <c r="B2044" s="67"/>
    </row>
    <row r="2045" spans="1:2" x14ac:dyDescent="0.25">
      <c r="A2045" s="67"/>
      <c r="B2045" s="67"/>
    </row>
    <row r="2046" spans="1:2" x14ac:dyDescent="0.25">
      <c r="A2046" s="67"/>
      <c r="B2046" s="67"/>
    </row>
    <row r="2047" spans="1:2" x14ac:dyDescent="0.25">
      <c r="A2047" s="67"/>
      <c r="B2047" s="67"/>
    </row>
    <row r="2048" spans="1:2" x14ac:dyDescent="0.25">
      <c r="A2048" s="67"/>
      <c r="B2048" s="67"/>
    </row>
    <row r="2049" spans="1:2" x14ac:dyDescent="0.25">
      <c r="A2049" s="67"/>
      <c r="B2049" s="67"/>
    </row>
    <row r="2050" spans="1:2" x14ac:dyDescent="0.25">
      <c r="A2050" s="67"/>
      <c r="B2050" s="67"/>
    </row>
    <row r="2051" spans="1:2" x14ac:dyDescent="0.25">
      <c r="A2051" s="67"/>
      <c r="B2051" s="67"/>
    </row>
    <row r="2052" spans="1:2" x14ac:dyDescent="0.25">
      <c r="A2052" s="67"/>
      <c r="B2052" s="67"/>
    </row>
    <row r="2053" spans="1:2" x14ac:dyDescent="0.25">
      <c r="A2053" s="67"/>
      <c r="B2053" s="67"/>
    </row>
    <row r="2054" spans="1:2" x14ac:dyDescent="0.25">
      <c r="A2054" s="67"/>
      <c r="B2054" s="67"/>
    </row>
    <row r="2055" spans="1:2" x14ac:dyDescent="0.25">
      <c r="A2055" s="67"/>
      <c r="B2055" s="67"/>
    </row>
    <row r="2056" spans="1:2" x14ac:dyDescent="0.25">
      <c r="A2056" s="67"/>
      <c r="B2056" s="67"/>
    </row>
    <row r="2057" spans="1:2" x14ac:dyDescent="0.25">
      <c r="A2057" s="67"/>
      <c r="B2057" s="67"/>
    </row>
    <row r="2058" spans="1:2" x14ac:dyDescent="0.25">
      <c r="A2058" s="67"/>
      <c r="B2058" s="67"/>
    </row>
    <row r="2059" spans="1:2" x14ac:dyDescent="0.25">
      <c r="A2059" s="67"/>
      <c r="B2059" s="67"/>
    </row>
    <row r="2060" spans="1:2" x14ac:dyDescent="0.25">
      <c r="A2060" s="67"/>
      <c r="B2060" s="67"/>
    </row>
    <row r="2061" spans="1:2" x14ac:dyDescent="0.25">
      <c r="A2061" s="67"/>
      <c r="B2061" s="67"/>
    </row>
    <row r="2062" spans="1:2" x14ac:dyDescent="0.25">
      <c r="A2062" s="67"/>
      <c r="B2062" s="67"/>
    </row>
    <row r="2063" spans="1:2" x14ac:dyDescent="0.25">
      <c r="A2063" s="67"/>
      <c r="B2063" s="67"/>
    </row>
    <row r="2064" spans="1:2" x14ac:dyDescent="0.25">
      <c r="A2064" s="67"/>
      <c r="B2064" s="67"/>
    </row>
    <row r="2065" spans="1:2" x14ac:dyDescent="0.25">
      <c r="A2065" s="67"/>
      <c r="B2065" s="67"/>
    </row>
    <row r="2066" spans="1:2" x14ac:dyDescent="0.25">
      <c r="A2066" s="67"/>
      <c r="B2066" s="67"/>
    </row>
    <row r="2067" spans="1:2" x14ac:dyDescent="0.25">
      <c r="A2067" s="67"/>
      <c r="B2067" s="67"/>
    </row>
    <row r="2068" spans="1:2" x14ac:dyDescent="0.25">
      <c r="A2068" s="67"/>
      <c r="B2068" s="67"/>
    </row>
    <row r="2069" spans="1:2" x14ac:dyDescent="0.25">
      <c r="A2069" s="67"/>
      <c r="B2069" s="67"/>
    </row>
    <row r="2070" spans="1:2" x14ac:dyDescent="0.25">
      <c r="A2070" s="67"/>
      <c r="B2070" s="67"/>
    </row>
    <row r="2071" spans="1:2" x14ac:dyDescent="0.25">
      <c r="A2071" s="67"/>
      <c r="B2071" s="67"/>
    </row>
    <row r="2072" spans="1:2" x14ac:dyDescent="0.25">
      <c r="A2072" s="67"/>
      <c r="B2072" s="67"/>
    </row>
    <row r="2073" spans="1:2" x14ac:dyDescent="0.25">
      <c r="A2073" s="67"/>
      <c r="B2073" s="67"/>
    </row>
    <row r="2074" spans="1:2" x14ac:dyDescent="0.25">
      <c r="A2074" s="67"/>
      <c r="B2074" s="67"/>
    </row>
    <row r="2075" spans="1:2" x14ac:dyDescent="0.25">
      <c r="A2075" s="67"/>
      <c r="B2075" s="67"/>
    </row>
    <row r="2076" spans="1:2" x14ac:dyDescent="0.25">
      <c r="A2076" s="67"/>
      <c r="B2076" s="67"/>
    </row>
    <row r="2077" spans="1:2" x14ac:dyDescent="0.25">
      <c r="A2077" s="67"/>
      <c r="B2077" s="67"/>
    </row>
    <row r="2078" spans="1:2" x14ac:dyDescent="0.25">
      <c r="A2078" s="67"/>
      <c r="B2078" s="67"/>
    </row>
    <row r="2079" spans="1:2" x14ac:dyDescent="0.25">
      <c r="A2079" s="67"/>
      <c r="B2079" s="67"/>
    </row>
    <row r="2080" spans="1:2" x14ac:dyDescent="0.25">
      <c r="A2080" s="67"/>
      <c r="B2080" s="67"/>
    </row>
    <row r="2081" spans="1:2" x14ac:dyDescent="0.25">
      <c r="A2081" s="67"/>
      <c r="B2081" s="67"/>
    </row>
    <row r="2082" spans="1:2" x14ac:dyDescent="0.25">
      <c r="A2082" s="67"/>
      <c r="B2082" s="67"/>
    </row>
    <row r="2083" spans="1:2" x14ac:dyDescent="0.25">
      <c r="A2083" s="67"/>
      <c r="B2083" s="67"/>
    </row>
    <row r="2084" spans="1:2" x14ac:dyDescent="0.25">
      <c r="A2084" s="67"/>
      <c r="B2084" s="67"/>
    </row>
    <row r="2085" spans="1:2" x14ac:dyDescent="0.25">
      <c r="A2085" s="67"/>
      <c r="B2085" s="67"/>
    </row>
    <row r="2086" spans="1:2" x14ac:dyDescent="0.25">
      <c r="A2086" s="67"/>
      <c r="B2086" s="67"/>
    </row>
    <row r="2087" spans="1:2" x14ac:dyDescent="0.25">
      <c r="A2087" s="67"/>
      <c r="B2087" s="67"/>
    </row>
    <row r="2088" spans="1:2" x14ac:dyDescent="0.25">
      <c r="A2088" s="67"/>
      <c r="B2088" s="67"/>
    </row>
    <row r="2089" spans="1:2" x14ac:dyDescent="0.25">
      <c r="A2089" s="67"/>
      <c r="B2089" s="67"/>
    </row>
    <row r="2090" spans="1:2" x14ac:dyDescent="0.25">
      <c r="A2090" s="67"/>
      <c r="B2090" s="67"/>
    </row>
    <row r="2091" spans="1:2" x14ac:dyDescent="0.25">
      <c r="A2091" s="67"/>
      <c r="B2091" s="67"/>
    </row>
    <row r="2092" spans="1:2" x14ac:dyDescent="0.25">
      <c r="A2092" s="67"/>
      <c r="B2092" s="67"/>
    </row>
    <row r="2093" spans="1:2" x14ac:dyDescent="0.25">
      <c r="A2093" s="67"/>
      <c r="B2093" s="67"/>
    </row>
    <row r="2094" spans="1:2" x14ac:dyDescent="0.25">
      <c r="A2094" s="67"/>
      <c r="B2094" s="67"/>
    </row>
    <row r="2095" spans="1:2" x14ac:dyDescent="0.25">
      <c r="A2095" s="67"/>
      <c r="B2095" s="67"/>
    </row>
    <row r="2096" spans="1:2" x14ac:dyDescent="0.25">
      <c r="A2096" s="67"/>
      <c r="B2096" s="67"/>
    </row>
    <row r="2097" spans="1:2" x14ac:dyDescent="0.25">
      <c r="A2097" s="67"/>
      <c r="B2097" s="67"/>
    </row>
    <row r="2098" spans="1:2" x14ac:dyDescent="0.25">
      <c r="A2098" s="67"/>
      <c r="B2098" s="67"/>
    </row>
    <row r="2099" spans="1:2" x14ac:dyDescent="0.25">
      <c r="A2099" s="67"/>
      <c r="B2099" s="67"/>
    </row>
    <row r="2100" spans="1:2" x14ac:dyDescent="0.25">
      <c r="A2100" s="67"/>
      <c r="B2100" s="67"/>
    </row>
    <row r="2101" spans="1:2" x14ac:dyDescent="0.25">
      <c r="A2101" s="67"/>
      <c r="B2101" s="67"/>
    </row>
    <row r="2102" spans="1:2" x14ac:dyDescent="0.25">
      <c r="A2102" s="67"/>
      <c r="B2102" s="67"/>
    </row>
    <row r="2103" spans="1:2" x14ac:dyDescent="0.25">
      <c r="A2103" s="67"/>
      <c r="B2103" s="67"/>
    </row>
    <row r="2104" spans="1:2" x14ac:dyDescent="0.25">
      <c r="A2104" s="67"/>
      <c r="B2104" s="67"/>
    </row>
    <row r="2105" spans="1:2" x14ac:dyDescent="0.25">
      <c r="A2105" s="67"/>
      <c r="B2105" s="67"/>
    </row>
    <row r="2106" spans="1:2" x14ac:dyDescent="0.25">
      <c r="A2106" s="67"/>
      <c r="B2106" s="67"/>
    </row>
    <row r="2107" spans="1:2" x14ac:dyDescent="0.25">
      <c r="A2107" s="67"/>
      <c r="B2107" s="67"/>
    </row>
    <row r="2108" spans="1:2" x14ac:dyDescent="0.25">
      <c r="A2108" s="67"/>
      <c r="B2108" s="67"/>
    </row>
    <row r="2109" spans="1:2" x14ac:dyDescent="0.25">
      <c r="A2109" s="67"/>
      <c r="B2109" s="67"/>
    </row>
    <row r="2110" spans="1:2" x14ac:dyDescent="0.25">
      <c r="A2110" s="67"/>
      <c r="B2110" s="67"/>
    </row>
    <row r="2111" spans="1:2" x14ac:dyDescent="0.25">
      <c r="A2111" s="67"/>
      <c r="B2111" s="67"/>
    </row>
    <row r="2112" spans="1:2" x14ac:dyDescent="0.25">
      <c r="A2112" s="67"/>
      <c r="B2112" s="67"/>
    </row>
    <row r="2113" spans="1:2" x14ac:dyDescent="0.25">
      <c r="A2113" s="67"/>
      <c r="B2113" s="67"/>
    </row>
    <row r="2114" spans="1:2" x14ac:dyDescent="0.25">
      <c r="A2114" s="67"/>
      <c r="B2114" s="67"/>
    </row>
    <row r="2115" spans="1:2" x14ac:dyDescent="0.25">
      <c r="A2115" s="67"/>
      <c r="B2115" s="67"/>
    </row>
    <row r="2116" spans="1:2" x14ac:dyDescent="0.25">
      <c r="A2116" s="67"/>
      <c r="B2116" s="67"/>
    </row>
    <row r="2117" spans="1:2" x14ac:dyDescent="0.25">
      <c r="A2117" s="67"/>
      <c r="B2117" s="67"/>
    </row>
    <row r="2118" spans="1:2" x14ac:dyDescent="0.25">
      <c r="A2118" s="67"/>
      <c r="B2118" s="67"/>
    </row>
    <row r="2119" spans="1:2" x14ac:dyDescent="0.25">
      <c r="A2119" s="67"/>
      <c r="B2119" s="67"/>
    </row>
    <row r="2120" spans="1:2" x14ac:dyDescent="0.25">
      <c r="A2120" s="67"/>
      <c r="B2120" s="67"/>
    </row>
    <row r="2121" spans="1:2" x14ac:dyDescent="0.25">
      <c r="A2121" s="67"/>
      <c r="B2121" s="67"/>
    </row>
    <row r="2122" spans="1:2" x14ac:dyDescent="0.25">
      <c r="A2122" s="67"/>
      <c r="B2122" s="67"/>
    </row>
    <row r="2123" spans="1:2" x14ac:dyDescent="0.25">
      <c r="A2123" s="67"/>
      <c r="B2123" s="67"/>
    </row>
    <row r="2124" spans="1:2" x14ac:dyDescent="0.25">
      <c r="A2124" s="67"/>
      <c r="B2124" s="67"/>
    </row>
    <row r="2125" spans="1:2" x14ac:dyDescent="0.25">
      <c r="A2125" s="67"/>
      <c r="B2125" s="67"/>
    </row>
    <row r="2126" spans="1:2" x14ac:dyDescent="0.25">
      <c r="A2126" s="67"/>
      <c r="B2126" s="67"/>
    </row>
    <row r="2127" spans="1:2" x14ac:dyDescent="0.25">
      <c r="A2127" s="67"/>
      <c r="B2127" s="67"/>
    </row>
    <row r="2128" spans="1:2" x14ac:dyDescent="0.25">
      <c r="A2128" s="67"/>
      <c r="B2128" s="67"/>
    </row>
    <row r="2129" spans="1:2" x14ac:dyDescent="0.25">
      <c r="A2129" s="67"/>
      <c r="B2129" s="67"/>
    </row>
    <row r="2130" spans="1:2" x14ac:dyDescent="0.25">
      <c r="A2130" s="67"/>
      <c r="B2130" s="67"/>
    </row>
    <row r="2131" spans="1:2" x14ac:dyDescent="0.25">
      <c r="A2131" s="67"/>
      <c r="B2131" s="67"/>
    </row>
    <row r="2132" spans="1:2" x14ac:dyDescent="0.25">
      <c r="A2132" s="67"/>
      <c r="B2132" s="67"/>
    </row>
    <row r="2133" spans="1:2" x14ac:dyDescent="0.25">
      <c r="A2133" s="67"/>
      <c r="B2133" s="67"/>
    </row>
    <row r="2134" spans="1:2" x14ac:dyDescent="0.25">
      <c r="A2134" s="67"/>
      <c r="B2134" s="67"/>
    </row>
    <row r="2135" spans="1:2" x14ac:dyDescent="0.25">
      <c r="A2135" s="67"/>
      <c r="B2135" s="67"/>
    </row>
    <row r="2136" spans="1:2" x14ac:dyDescent="0.25">
      <c r="A2136" s="67"/>
      <c r="B2136" s="67"/>
    </row>
    <row r="2137" spans="1:2" x14ac:dyDescent="0.25">
      <c r="A2137" s="67"/>
      <c r="B2137" s="67"/>
    </row>
    <row r="2138" spans="1:2" x14ac:dyDescent="0.25">
      <c r="A2138" s="67"/>
      <c r="B2138" s="67"/>
    </row>
    <row r="2139" spans="1:2" x14ac:dyDescent="0.25">
      <c r="A2139" s="67"/>
      <c r="B2139" s="67"/>
    </row>
    <row r="2140" spans="1:2" x14ac:dyDescent="0.25">
      <c r="A2140" s="67"/>
      <c r="B2140" s="67"/>
    </row>
    <row r="2141" spans="1:2" x14ac:dyDescent="0.25">
      <c r="A2141" s="67"/>
      <c r="B2141" s="67"/>
    </row>
    <row r="2142" spans="1:2" x14ac:dyDescent="0.25">
      <c r="A2142" s="67"/>
      <c r="B2142" s="67"/>
    </row>
    <row r="2143" spans="1:2" x14ac:dyDescent="0.25">
      <c r="A2143" s="67"/>
      <c r="B2143" s="67"/>
    </row>
    <row r="2144" spans="1:2" x14ac:dyDescent="0.25">
      <c r="A2144" s="67"/>
      <c r="B2144" s="67"/>
    </row>
    <row r="2145" spans="1:2" x14ac:dyDescent="0.25">
      <c r="A2145" s="67"/>
      <c r="B2145" s="67"/>
    </row>
    <row r="2146" spans="1:2" x14ac:dyDescent="0.25">
      <c r="A2146" s="67"/>
      <c r="B2146" s="67"/>
    </row>
    <row r="2147" spans="1:2" x14ac:dyDescent="0.25">
      <c r="A2147" s="67"/>
      <c r="B2147" s="67"/>
    </row>
    <row r="2148" spans="1:2" x14ac:dyDescent="0.25">
      <c r="A2148" s="67"/>
      <c r="B2148" s="67"/>
    </row>
    <row r="2149" spans="1:2" x14ac:dyDescent="0.25">
      <c r="A2149" s="67"/>
      <c r="B2149" s="67"/>
    </row>
    <row r="2150" spans="1:2" x14ac:dyDescent="0.25">
      <c r="A2150" s="67"/>
      <c r="B2150" s="67"/>
    </row>
    <row r="2151" spans="1:2" x14ac:dyDescent="0.25">
      <c r="A2151" s="67"/>
      <c r="B2151" s="67"/>
    </row>
    <row r="2152" spans="1:2" x14ac:dyDescent="0.25">
      <c r="A2152" s="67"/>
      <c r="B2152" s="67"/>
    </row>
    <row r="2153" spans="1:2" x14ac:dyDescent="0.25">
      <c r="A2153" s="67"/>
      <c r="B2153" s="67"/>
    </row>
    <row r="2154" spans="1:2" x14ac:dyDescent="0.25">
      <c r="A2154" s="67"/>
      <c r="B2154" s="67"/>
    </row>
    <row r="2155" spans="1:2" x14ac:dyDescent="0.25">
      <c r="A2155" s="67"/>
      <c r="B2155" s="67"/>
    </row>
    <row r="2156" spans="1:2" x14ac:dyDescent="0.25">
      <c r="A2156" s="67"/>
      <c r="B2156" s="67"/>
    </row>
    <row r="2157" spans="1:2" x14ac:dyDescent="0.25">
      <c r="A2157" s="67"/>
      <c r="B2157" s="67"/>
    </row>
    <row r="2158" spans="1:2" x14ac:dyDescent="0.25">
      <c r="A2158" s="67"/>
      <c r="B2158" s="67"/>
    </row>
    <row r="2159" spans="1:2" x14ac:dyDescent="0.25">
      <c r="A2159" s="67"/>
      <c r="B2159" s="67"/>
    </row>
    <row r="2160" spans="1:2" x14ac:dyDescent="0.25">
      <c r="A2160" s="67"/>
      <c r="B2160" s="67"/>
    </row>
    <row r="2161" spans="1:2" x14ac:dyDescent="0.25">
      <c r="A2161" s="67"/>
      <c r="B2161" s="67"/>
    </row>
    <row r="2162" spans="1:2" x14ac:dyDescent="0.25">
      <c r="A2162" s="67"/>
      <c r="B2162" s="67"/>
    </row>
    <row r="2163" spans="1:2" x14ac:dyDescent="0.25">
      <c r="A2163" s="67"/>
      <c r="B2163" s="67"/>
    </row>
    <row r="2164" spans="1:2" x14ac:dyDescent="0.25">
      <c r="A2164" s="67"/>
      <c r="B2164" s="67"/>
    </row>
    <row r="2165" spans="1:2" x14ac:dyDescent="0.25">
      <c r="A2165" s="67"/>
      <c r="B2165" s="67"/>
    </row>
    <row r="2166" spans="1:2" x14ac:dyDescent="0.25">
      <c r="A2166" s="67"/>
      <c r="B2166" s="67"/>
    </row>
    <row r="2167" spans="1:2" x14ac:dyDescent="0.25">
      <c r="A2167" s="67"/>
      <c r="B2167" s="67"/>
    </row>
    <row r="2168" spans="1:2" x14ac:dyDescent="0.25">
      <c r="A2168" s="67"/>
      <c r="B2168" s="67"/>
    </row>
    <row r="2169" spans="1:2" x14ac:dyDescent="0.25">
      <c r="A2169" s="67"/>
      <c r="B2169" s="67"/>
    </row>
    <row r="2170" spans="1:2" x14ac:dyDescent="0.25">
      <c r="A2170" s="67"/>
      <c r="B2170" s="67"/>
    </row>
    <row r="2171" spans="1:2" x14ac:dyDescent="0.25">
      <c r="A2171" s="67"/>
      <c r="B2171" s="67"/>
    </row>
    <row r="2172" spans="1:2" x14ac:dyDescent="0.25">
      <c r="A2172" s="67"/>
      <c r="B2172" s="67"/>
    </row>
    <row r="2173" spans="1:2" x14ac:dyDescent="0.25">
      <c r="A2173" s="67"/>
      <c r="B2173" s="67"/>
    </row>
    <row r="2174" spans="1:2" x14ac:dyDescent="0.25">
      <c r="A2174" s="67"/>
      <c r="B2174" s="67"/>
    </row>
    <row r="2175" spans="1:2" x14ac:dyDescent="0.25">
      <c r="A2175" s="67"/>
      <c r="B2175" s="67"/>
    </row>
    <row r="2176" spans="1:2" x14ac:dyDescent="0.25">
      <c r="A2176" s="67"/>
      <c r="B2176" s="67"/>
    </row>
    <row r="2177" spans="1:2" x14ac:dyDescent="0.25">
      <c r="A2177" s="67"/>
      <c r="B2177" s="67"/>
    </row>
    <row r="2178" spans="1:2" x14ac:dyDescent="0.25">
      <c r="A2178" s="67"/>
      <c r="B2178" s="67"/>
    </row>
    <row r="2179" spans="1:2" x14ac:dyDescent="0.25">
      <c r="A2179" s="67"/>
      <c r="B2179" s="67"/>
    </row>
    <row r="2180" spans="1:2" x14ac:dyDescent="0.25">
      <c r="A2180" s="67"/>
      <c r="B2180" s="67"/>
    </row>
    <row r="2181" spans="1:2" x14ac:dyDescent="0.25">
      <c r="A2181" s="67"/>
      <c r="B2181" s="67"/>
    </row>
    <row r="2182" spans="1:2" x14ac:dyDescent="0.25">
      <c r="A2182" s="67"/>
      <c r="B2182" s="67"/>
    </row>
    <row r="2183" spans="1:2" x14ac:dyDescent="0.25">
      <c r="A2183" s="67"/>
      <c r="B2183" s="67"/>
    </row>
    <row r="2184" spans="1:2" x14ac:dyDescent="0.25">
      <c r="A2184" s="67"/>
      <c r="B2184" s="67"/>
    </row>
    <row r="2185" spans="1:2" x14ac:dyDescent="0.25">
      <c r="A2185" s="67"/>
      <c r="B2185" s="67"/>
    </row>
    <row r="2186" spans="1:2" x14ac:dyDescent="0.25">
      <c r="A2186" s="67"/>
      <c r="B2186" s="67"/>
    </row>
    <row r="2187" spans="1:2" x14ac:dyDescent="0.25">
      <c r="A2187" s="67"/>
      <c r="B2187" s="67"/>
    </row>
    <row r="2188" spans="1:2" x14ac:dyDescent="0.25">
      <c r="A2188" s="67"/>
      <c r="B2188" s="67"/>
    </row>
    <row r="2189" spans="1:2" x14ac:dyDescent="0.25">
      <c r="A2189" s="67"/>
      <c r="B2189" s="67"/>
    </row>
    <row r="2190" spans="1:2" x14ac:dyDescent="0.25">
      <c r="A2190" s="67"/>
      <c r="B2190" s="67"/>
    </row>
    <row r="2191" spans="1:2" x14ac:dyDescent="0.25">
      <c r="A2191" s="67"/>
      <c r="B2191" s="67"/>
    </row>
    <row r="2192" spans="1:2" x14ac:dyDescent="0.25">
      <c r="A2192" s="67"/>
      <c r="B2192" s="67"/>
    </row>
    <row r="2193" spans="1:2" x14ac:dyDescent="0.25">
      <c r="A2193" s="67"/>
      <c r="B2193" s="67"/>
    </row>
    <row r="2194" spans="1:2" x14ac:dyDescent="0.25">
      <c r="A2194" s="67"/>
      <c r="B2194" s="67"/>
    </row>
    <row r="2195" spans="1:2" x14ac:dyDescent="0.25">
      <c r="A2195" s="67"/>
      <c r="B2195" s="67"/>
    </row>
    <row r="2196" spans="1:2" x14ac:dyDescent="0.25">
      <c r="A2196" s="67"/>
      <c r="B2196" s="67"/>
    </row>
    <row r="2197" spans="1:2" x14ac:dyDescent="0.25">
      <c r="A2197" s="67"/>
      <c r="B2197" s="67"/>
    </row>
    <row r="2198" spans="1:2" x14ac:dyDescent="0.25">
      <c r="A2198" s="67"/>
      <c r="B2198" s="67"/>
    </row>
    <row r="2199" spans="1:2" x14ac:dyDescent="0.25">
      <c r="A2199" s="67"/>
      <c r="B2199" s="67"/>
    </row>
    <row r="2200" spans="1:2" x14ac:dyDescent="0.25">
      <c r="A2200" s="67"/>
      <c r="B2200" s="67"/>
    </row>
    <row r="2201" spans="1:2" x14ac:dyDescent="0.25">
      <c r="A2201" s="67"/>
      <c r="B2201" s="67"/>
    </row>
    <row r="2202" spans="1:2" x14ac:dyDescent="0.25">
      <c r="A2202" s="67"/>
      <c r="B2202" s="67"/>
    </row>
    <row r="2203" spans="1:2" x14ac:dyDescent="0.25">
      <c r="A2203" s="67"/>
      <c r="B2203" s="67"/>
    </row>
    <row r="2204" spans="1:2" x14ac:dyDescent="0.25">
      <c r="A2204" s="67"/>
      <c r="B2204" s="67"/>
    </row>
    <row r="2205" spans="1:2" x14ac:dyDescent="0.25">
      <c r="A2205" s="67"/>
      <c r="B2205" s="67"/>
    </row>
    <row r="2206" spans="1:2" x14ac:dyDescent="0.25">
      <c r="A2206" s="67"/>
      <c r="B2206" s="67"/>
    </row>
    <row r="2207" spans="1:2" x14ac:dyDescent="0.25">
      <c r="A2207" s="67"/>
      <c r="B2207" s="67"/>
    </row>
    <row r="2208" spans="1:2" x14ac:dyDescent="0.25">
      <c r="A2208" s="67"/>
      <c r="B2208" s="67"/>
    </row>
    <row r="2209" spans="1:2" x14ac:dyDescent="0.25">
      <c r="A2209" s="67"/>
      <c r="B2209" s="67"/>
    </row>
    <row r="2210" spans="1:2" x14ac:dyDescent="0.25">
      <c r="A2210" s="67"/>
      <c r="B2210" s="67"/>
    </row>
    <row r="2211" spans="1:2" x14ac:dyDescent="0.25">
      <c r="A2211" s="67"/>
      <c r="B2211" s="67"/>
    </row>
    <row r="2212" spans="1:2" x14ac:dyDescent="0.25">
      <c r="A2212" s="67"/>
      <c r="B2212" s="67"/>
    </row>
    <row r="2213" spans="1:2" x14ac:dyDescent="0.25">
      <c r="A2213" s="67"/>
      <c r="B2213" s="67"/>
    </row>
    <row r="2214" spans="1:2" x14ac:dyDescent="0.25">
      <c r="A2214" s="67"/>
      <c r="B2214" s="67"/>
    </row>
    <row r="2215" spans="1:2" x14ac:dyDescent="0.25">
      <c r="A2215" s="67"/>
      <c r="B2215" s="67"/>
    </row>
    <row r="2216" spans="1:2" x14ac:dyDescent="0.25">
      <c r="A2216" s="67"/>
      <c r="B2216" s="67"/>
    </row>
    <row r="2217" spans="1:2" x14ac:dyDescent="0.25">
      <c r="A2217" s="67"/>
      <c r="B2217" s="67"/>
    </row>
    <row r="2218" spans="1:2" x14ac:dyDescent="0.25">
      <c r="A2218" s="67"/>
      <c r="B2218" s="67"/>
    </row>
    <row r="2219" spans="1:2" x14ac:dyDescent="0.25">
      <c r="A2219" s="67"/>
      <c r="B2219" s="67"/>
    </row>
    <row r="2220" spans="1:2" x14ac:dyDescent="0.25">
      <c r="A2220" s="67"/>
      <c r="B2220" s="67"/>
    </row>
    <row r="2221" spans="1:2" x14ac:dyDescent="0.25">
      <c r="A2221" s="67"/>
      <c r="B2221" s="67"/>
    </row>
    <row r="2222" spans="1:2" x14ac:dyDescent="0.25">
      <c r="A2222" s="67"/>
      <c r="B2222" s="67"/>
    </row>
    <row r="2223" spans="1:2" x14ac:dyDescent="0.25">
      <c r="A2223" s="67"/>
      <c r="B2223" s="67"/>
    </row>
    <row r="2224" spans="1:2" x14ac:dyDescent="0.25">
      <c r="A2224" s="67"/>
      <c r="B2224" s="67"/>
    </row>
    <row r="2225" spans="1:2" x14ac:dyDescent="0.25">
      <c r="A2225" s="67"/>
      <c r="B2225" s="67"/>
    </row>
    <row r="2226" spans="1:2" x14ac:dyDescent="0.25">
      <c r="A2226" s="67"/>
      <c r="B2226" s="67"/>
    </row>
    <row r="2227" spans="1:2" x14ac:dyDescent="0.25">
      <c r="A2227" s="67"/>
      <c r="B2227" s="67"/>
    </row>
    <row r="2228" spans="1:2" x14ac:dyDescent="0.25">
      <c r="A2228" s="67"/>
      <c r="B2228" s="67"/>
    </row>
    <row r="2229" spans="1:2" x14ac:dyDescent="0.25">
      <c r="A2229" s="67"/>
      <c r="B2229" s="67"/>
    </row>
    <row r="2230" spans="1:2" x14ac:dyDescent="0.25">
      <c r="A2230" s="67"/>
      <c r="B2230" s="67"/>
    </row>
    <row r="2231" spans="1:2" x14ac:dyDescent="0.25">
      <c r="A2231" s="67"/>
      <c r="B2231" s="67"/>
    </row>
    <row r="2232" spans="1:2" x14ac:dyDescent="0.25">
      <c r="A2232" s="67"/>
      <c r="B2232" s="67"/>
    </row>
    <row r="2233" spans="1:2" x14ac:dyDescent="0.25">
      <c r="A2233" s="67"/>
      <c r="B2233" s="67"/>
    </row>
    <row r="2234" spans="1:2" x14ac:dyDescent="0.25">
      <c r="A2234" s="67"/>
      <c r="B2234" s="67"/>
    </row>
    <row r="2235" spans="1:2" x14ac:dyDescent="0.25">
      <c r="A2235" s="67"/>
      <c r="B2235" s="67"/>
    </row>
    <row r="2236" spans="1:2" x14ac:dyDescent="0.25">
      <c r="A2236" s="67"/>
      <c r="B2236" s="67"/>
    </row>
    <row r="2237" spans="1:2" x14ac:dyDescent="0.25">
      <c r="A2237" s="67"/>
      <c r="B2237" s="67"/>
    </row>
    <row r="2238" spans="1:2" x14ac:dyDescent="0.25">
      <c r="A2238" s="67"/>
      <c r="B2238" s="67"/>
    </row>
    <row r="2239" spans="1:2" x14ac:dyDescent="0.25">
      <c r="A2239" s="67"/>
      <c r="B2239" s="67"/>
    </row>
    <row r="2240" spans="1:2" x14ac:dyDescent="0.25">
      <c r="A2240" s="67"/>
      <c r="B2240" s="67"/>
    </row>
    <row r="2241" spans="1:2" x14ac:dyDescent="0.25">
      <c r="A2241" s="67"/>
      <c r="B2241" s="67"/>
    </row>
    <row r="2242" spans="1:2" x14ac:dyDescent="0.25">
      <c r="A2242" s="67"/>
      <c r="B2242" s="67"/>
    </row>
    <row r="2243" spans="1:2" x14ac:dyDescent="0.25">
      <c r="A2243" s="67"/>
      <c r="B2243" s="67"/>
    </row>
    <row r="2244" spans="1:2" x14ac:dyDescent="0.25">
      <c r="A2244" s="67"/>
      <c r="B2244" s="67"/>
    </row>
    <row r="2245" spans="1:2" x14ac:dyDescent="0.25">
      <c r="A2245" s="67"/>
      <c r="B2245" s="67"/>
    </row>
    <row r="2246" spans="1:2" x14ac:dyDescent="0.25">
      <c r="A2246" s="67"/>
      <c r="B2246" s="67"/>
    </row>
    <row r="2247" spans="1:2" x14ac:dyDescent="0.25">
      <c r="A2247" s="67"/>
      <c r="B2247" s="67"/>
    </row>
    <row r="2248" spans="1:2" x14ac:dyDescent="0.25">
      <c r="A2248" s="67"/>
      <c r="B2248" s="67"/>
    </row>
    <row r="2249" spans="1:2" x14ac:dyDescent="0.25">
      <c r="A2249" s="67"/>
      <c r="B2249" s="67"/>
    </row>
    <row r="2250" spans="1:2" x14ac:dyDescent="0.25">
      <c r="A2250" s="67"/>
      <c r="B2250" s="67"/>
    </row>
    <row r="2251" spans="1:2" x14ac:dyDescent="0.25">
      <c r="A2251" s="67"/>
      <c r="B2251" s="67"/>
    </row>
    <row r="2252" spans="1:2" x14ac:dyDescent="0.25">
      <c r="A2252" s="67"/>
      <c r="B2252" s="67"/>
    </row>
    <row r="2253" spans="1:2" x14ac:dyDescent="0.25">
      <c r="A2253" s="67"/>
      <c r="B2253" s="67"/>
    </row>
    <row r="2254" spans="1:2" x14ac:dyDescent="0.25">
      <c r="A2254" s="67"/>
      <c r="B2254" s="67"/>
    </row>
    <row r="2255" spans="1:2" x14ac:dyDescent="0.25">
      <c r="A2255" s="67"/>
      <c r="B2255" s="67"/>
    </row>
    <row r="2256" spans="1:2" x14ac:dyDescent="0.25">
      <c r="A2256" s="67"/>
      <c r="B2256" s="67"/>
    </row>
    <row r="2257" spans="1:2" x14ac:dyDescent="0.25">
      <c r="A2257" s="67"/>
      <c r="B2257" s="67"/>
    </row>
    <row r="2258" spans="1:2" x14ac:dyDescent="0.25">
      <c r="A2258" s="67"/>
      <c r="B2258" s="67"/>
    </row>
    <row r="2259" spans="1:2" x14ac:dyDescent="0.25">
      <c r="A2259" s="67"/>
      <c r="B2259" s="67"/>
    </row>
    <row r="2260" spans="1:2" x14ac:dyDescent="0.25">
      <c r="A2260" s="67"/>
      <c r="B2260" s="67"/>
    </row>
    <row r="2261" spans="1:2" x14ac:dyDescent="0.25">
      <c r="A2261" s="67"/>
      <c r="B2261" s="67"/>
    </row>
    <row r="2262" spans="1:2" x14ac:dyDescent="0.25">
      <c r="A2262" s="67"/>
      <c r="B2262" s="67"/>
    </row>
    <row r="2263" spans="1:2" x14ac:dyDescent="0.25">
      <c r="A2263" s="67"/>
      <c r="B2263" s="67"/>
    </row>
    <row r="2264" spans="1:2" x14ac:dyDescent="0.25">
      <c r="A2264" s="67"/>
      <c r="B2264" s="67"/>
    </row>
    <row r="2265" spans="1:2" x14ac:dyDescent="0.25">
      <c r="A2265" s="67"/>
      <c r="B2265" s="67"/>
    </row>
    <row r="2266" spans="1:2" x14ac:dyDescent="0.25">
      <c r="A2266" s="67"/>
      <c r="B2266" s="67"/>
    </row>
    <row r="2267" spans="1:2" x14ac:dyDescent="0.25">
      <c r="A2267" s="67"/>
      <c r="B2267" s="67"/>
    </row>
    <row r="2268" spans="1:2" x14ac:dyDescent="0.25">
      <c r="A2268" s="67"/>
      <c r="B2268" s="67"/>
    </row>
    <row r="2269" spans="1:2" x14ac:dyDescent="0.25">
      <c r="A2269" s="67"/>
      <c r="B2269" s="67"/>
    </row>
    <row r="2270" spans="1:2" x14ac:dyDescent="0.25">
      <c r="A2270" s="67"/>
      <c r="B2270" s="67"/>
    </row>
    <row r="2271" spans="1:2" x14ac:dyDescent="0.25">
      <c r="A2271" s="67"/>
      <c r="B2271" s="67"/>
    </row>
    <row r="2272" spans="1:2" x14ac:dyDescent="0.25">
      <c r="A2272" s="67"/>
      <c r="B2272" s="67"/>
    </row>
    <row r="2273" spans="1:2" x14ac:dyDescent="0.25">
      <c r="A2273" s="67"/>
      <c r="B2273" s="67"/>
    </row>
    <row r="2274" spans="1:2" x14ac:dyDescent="0.25">
      <c r="A2274" s="67"/>
      <c r="B2274" s="67"/>
    </row>
    <row r="2275" spans="1:2" x14ac:dyDescent="0.25">
      <c r="A2275" s="67"/>
      <c r="B2275" s="67"/>
    </row>
    <row r="2276" spans="1:2" x14ac:dyDescent="0.25">
      <c r="A2276" s="67"/>
      <c r="B2276" s="67"/>
    </row>
    <row r="2277" spans="1:2" x14ac:dyDescent="0.25">
      <c r="A2277" s="67"/>
      <c r="B2277" s="67"/>
    </row>
    <row r="2278" spans="1:2" x14ac:dyDescent="0.25">
      <c r="A2278" s="67"/>
      <c r="B2278" s="67"/>
    </row>
    <row r="2279" spans="1:2" x14ac:dyDescent="0.25">
      <c r="A2279" s="67"/>
      <c r="B2279" s="67"/>
    </row>
    <row r="2280" spans="1:2" x14ac:dyDescent="0.25">
      <c r="A2280" s="67"/>
      <c r="B2280" s="67"/>
    </row>
    <row r="2281" spans="1:2" x14ac:dyDescent="0.25">
      <c r="A2281" s="67"/>
      <c r="B2281" s="67"/>
    </row>
    <row r="2282" spans="1:2" x14ac:dyDescent="0.25">
      <c r="A2282" s="67"/>
      <c r="B2282" s="67"/>
    </row>
    <row r="2283" spans="1:2" x14ac:dyDescent="0.25">
      <c r="A2283" s="67"/>
      <c r="B2283" s="67"/>
    </row>
    <row r="2284" spans="1:2" x14ac:dyDescent="0.25">
      <c r="A2284" s="67"/>
      <c r="B2284" s="67"/>
    </row>
    <row r="2285" spans="1:2" x14ac:dyDescent="0.25">
      <c r="A2285" s="67"/>
      <c r="B2285" s="67"/>
    </row>
    <row r="2286" spans="1:2" x14ac:dyDescent="0.25">
      <c r="A2286" s="67"/>
      <c r="B2286" s="67"/>
    </row>
    <row r="2287" spans="1:2" x14ac:dyDescent="0.25">
      <c r="A2287" s="67"/>
      <c r="B2287" s="67"/>
    </row>
    <row r="2288" spans="1:2" x14ac:dyDescent="0.25">
      <c r="A2288" s="67"/>
      <c r="B2288" s="67"/>
    </row>
    <row r="2289" spans="1:2" x14ac:dyDescent="0.25">
      <c r="A2289" s="67"/>
      <c r="B2289" s="67"/>
    </row>
    <row r="2290" spans="1:2" x14ac:dyDescent="0.25">
      <c r="A2290" s="67"/>
      <c r="B2290" s="67"/>
    </row>
    <row r="2291" spans="1:2" x14ac:dyDescent="0.25">
      <c r="A2291" s="67"/>
      <c r="B2291" s="67"/>
    </row>
    <row r="2292" spans="1:2" x14ac:dyDescent="0.25">
      <c r="A2292" s="67"/>
      <c r="B2292" s="67"/>
    </row>
    <row r="2293" spans="1:2" x14ac:dyDescent="0.25">
      <c r="A2293" s="67"/>
      <c r="B2293" s="67"/>
    </row>
    <row r="2294" spans="1:2" x14ac:dyDescent="0.25">
      <c r="A2294" s="67"/>
      <c r="B2294" s="67"/>
    </row>
    <row r="2295" spans="1:2" x14ac:dyDescent="0.25">
      <c r="A2295" s="67"/>
      <c r="B2295" s="67"/>
    </row>
    <row r="2296" spans="1:2" x14ac:dyDescent="0.25">
      <c r="A2296" s="67"/>
      <c r="B2296" s="67"/>
    </row>
    <row r="2297" spans="1:2" x14ac:dyDescent="0.25">
      <c r="A2297" s="67"/>
      <c r="B2297" s="67"/>
    </row>
    <row r="2298" spans="1:2" x14ac:dyDescent="0.25">
      <c r="A2298" s="67"/>
      <c r="B2298" s="67"/>
    </row>
    <row r="2299" spans="1:2" x14ac:dyDescent="0.25">
      <c r="A2299" s="67"/>
      <c r="B2299" s="67"/>
    </row>
    <row r="2300" spans="1:2" x14ac:dyDescent="0.25">
      <c r="A2300" s="67"/>
      <c r="B2300" s="67"/>
    </row>
    <row r="2301" spans="1:2" x14ac:dyDescent="0.25">
      <c r="A2301" s="67"/>
      <c r="B2301" s="67"/>
    </row>
    <row r="2302" spans="1:2" x14ac:dyDescent="0.25">
      <c r="A2302" s="67"/>
      <c r="B2302" s="67"/>
    </row>
    <row r="2303" spans="1:2" x14ac:dyDescent="0.25">
      <c r="A2303" s="67"/>
      <c r="B2303" s="67"/>
    </row>
    <row r="2304" spans="1:2" x14ac:dyDescent="0.25">
      <c r="A2304" s="67"/>
      <c r="B2304" s="67"/>
    </row>
    <row r="2305" spans="1:2" x14ac:dyDescent="0.25">
      <c r="A2305" s="67"/>
      <c r="B2305" s="67"/>
    </row>
    <row r="2306" spans="1:2" x14ac:dyDescent="0.25">
      <c r="A2306" s="67"/>
      <c r="B2306" s="67"/>
    </row>
    <row r="2307" spans="1:2" x14ac:dyDescent="0.25">
      <c r="A2307" s="67"/>
      <c r="B2307" s="67"/>
    </row>
    <row r="2308" spans="1:2" x14ac:dyDescent="0.25">
      <c r="A2308" s="67"/>
      <c r="B2308" s="67"/>
    </row>
    <row r="2309" spans="1:2" x14ac:dyDescent="0.25">
      <c r="A2309" s="67"/>
      <c r="B2309" s="67"/>
    </row>
    <row r="2310" spans="1:2" x14ac:dyDescent="0.25">
      <c r="A2310" s="67"/>
      <c r="B2310" s="67"/>
    </row>
    <row r="2311" spans="1:2" x14ac:dyDescent="0.25">
      <c r="A2311" s="67"/>
      <c r="B2311" s="67"/>
    </row>
    <row r="2312" spans="1:2" x14ac:dyDescent="0.25">
      <c r="A2312" s="67"/>
      <c r="B2312" s="67"/>
    </row>
    <row r="2313" spans="1:2" x14ac:dyDescent="0.25">
      <c r="A2313" s="67"/>
      <c r="B2313" s="67"/>
    </row>
    <row r="2314" spans="1:2" x14ac:dyDescent="0.25">
      <c r="A2314" s="67"/>
      <c r="B2314" s="67"/>
    </row>
    <row r="2315" spans="1:2" x14ac:dyDescent="0.25">
      <c r="A2315" s="67"/>
      <c r="B2315" s="67"/>
    </row>
    <row r="2316" spans="1:2" x14ac:dyDescent="0.25">
      <c r="A2316" s="67"/>
      <c r="B2316" s="67"/>
    </row>
    <row r="2317" spans="1:2" x14ac:dyDescent="0.25">
      <c r="A2317" s="67"/>
      <c r="B2317" s="67"/>
    </row>
    <row r="2318" spans="1:2" x14ac:dyDescent="0.25">
      <c r="A2318" s="67"/>
      <c r="B2318" s="67"/>
    </row>
    <row r="2319" spans="1:2" x14ac:dyDescent="0.25">
      <c r="A2319" s="67"/>
      <c r="B2319" s="67"/>
    </row>
    <row r="2320" spans="1:2" x14ac:dyDescent="0.25">
      <c r="A2320" s="67"/>
      <c r="B2320" s="67"/>
    </row>
    <row r="2321" spans="1:2" x14ac:dyDescent="0.25">
      <c r="A2321" s="67"/>
      <c r="B2321" s="67"/>
    </row>
    <row r="2322" spans="1:2" x14ac:dyDescent="0.25">
      <c r="A2322" s="67"/>
      <c r="B2322" s="67"/>
    </row>
    <row r="2323" spans="1:2" x14ac:dyDescent="0.25">
      <c r="A2323" s="67"/>
      <c r="B2323" s="67"/>
    </row>
    <row r="2324" spans="1:2" x14ac:dyDescent="0.25">
      <c r="A2324" s="67"/>
      <c r="B2324" s="67"/>
    </row>
    <row r="2325" spans="1:2" x14ac:dyDescent="0.25">
      <c r="A2325" s="67"/>
      <c r="B2325" s="67"/>
    </row>
    <row r="2326" spans="1:2" x14ac:dyDescent="0.25">
      <c r="A2326" s="67"/>
      <c r="B2326" s="67"/>
    </row>
    <row r="2327" spans="1:2" x14ac:dyDescent="0.25">
      <c r="A2327" s="67"/>
      <c r="B2327" s="67"/>
    </row>
    <row r="2328" spans="1:2" x14ac:dyDescent="0.25">
      <c r="A2328" s="67"/>
      <c r="B2328" s="67"/>
    </row>
    <row r="2329" spans="1:2" x14ac:dyDescent="0.25">
      <c r="A2329" s="67"/>
      <c r="B2329" s="67"/>
    </row>
    <row r="2330" spans="1:2" x14ac:dyDescent="0.25">
      <c r="A2330" s="67"/>
      <c r="B2330" s="67"/>
    </row>
    <row r="2331" spans="1:2" x14ac:dyDescent="0.25">
      <c r="A2331" s="67"/>
      <c r="B2331" s="67"/>
    </row>
    <row r="2332" spans="1:2" x14ac:dyDescent="0.25">
      <c r="A2332" s="67"/>
      <c r="B2332" s="67"/>
    </row>
    <row r="2333" spans="1:2" x14ac:dyDescent="0.25">
      <c r="A2333" s="67"/>
      <c r="B2333" s="67"/>
    </row>
    <row r="2334" spans="1:2" x14ac:dyDescent="0.25">
      <c r="A2334" s="67"/>
      <c r="B2334" s="67"/>
    </row>
    <row r="2335" spans="1:2" x14ac:dyDescent="0.25">
      <c r="A2335" s="67"/>
      <c r="B2335" s="67"/>
    </row>
    <row r="2336" spans="1:2" x14ac:dyDescent="0.25">
      <c r="A2336" s="67"/>
      <c r="B2336" s="67"/>
    </row>
    <row r="2337" spans="1:2" x14ac:dyDescent="0.25">
      <c r="A2337" s="67"/>
      <c r="B2337" s="67"/>
    </row>
    <row r="2338" spans="1:2" x14ac:dyDescent="0.25">
      <c r="A2338" s="67"/>
      <c r="B2338" s="67"/>
    </row>
    <row r="2339" spans="1:2" x14ac:dyDescent="0.25">
      <c r="A2339" s="67"/>
      <c r="B2339" s="67"/>
    </row>
    <row r="2340" spans="1:2" x14ac:dyDescent="0.25">
      <c r="A2340" s="67"/>
      <c r="B2340" s="67"/>
    </row>
    <row r="2341" spans="1:2" x14ac:dyDescent="0.25">
      <c r="A2341" s="67"/>
      <c r="B2341" s="67"/>
    </row>
    <row r="2342" spans="1:2" x14ac:dyDescent="0.25">
      <c r="A2342" s="67"/>
      <c r="B2342" s="67"/>
    </row>
    <row r="2343" spans="1:2" x14ac:dyDescent="0.25">
      <c r="A2343" s="67"/>
      <c r="B2343" s="67"/>
    </row>
    <row r="2344" spans="1:2" x14ac:dyDescent="0.25">
      <c r="A2344" s="67"/>
      <c r="B2344" s="67"/>
    </row>
    <row r="2345" spans="1:2" x14ac:dyDescent="0.25">
      <c r="A2345" s="67"/>
      <c r="B2345" s="67"/>
    </row>
    <row r="2346" spans="1:2" x14ac:dyDescent="0.25">
      <c r="A2346" s="67"/>
      <c r="B2346" s="67"/>
    </row>
    <row r="2347" spans="1:2" x14ac:dyDescent="0.25">
      <c r="A2347" s="67"/>
      <c r="B2347" s="67"/>
    </row>
    <row r="2348" spans="1:2" x14ac:dyDescent="0.25">
      <c r="A2348" s="67"/>
      <c r="B2348" s="67"/>
    </row>
    <row r="2349" spans="1:2" x14ac:dyDescent="0.25">
      <c r="A2349" s="67"/>
      <c r="B2349" s="67"/>
    </row>
    <row r="2350" spans="1:2" x14ac:dyDescent="0.25">
      <c r="A2350" s="67"/>
      <c r="B2350" s="67"/>
    </row>
    <row r="2351" spans="1:2" x14ac:dyDescent="0.25">
      <c r="A2351" s="67"/>
      <c r="B2351" s="67"/>
    </row>
    <row r="2352" spans="1:2" x14ac:dyDescent="0.25">
      <c r="A2352" s="67"/>
      <c r="B2352" s="67"/>
    </row>
    <row r="2353" spans="1:2" x14ac:dyDescent="0.25">
      <c r="A2353" s="67"/>
      <c r="B2353" s="67"/>
    </row>
    <row r="2354" spans="1:2" x14ac:dyDescent="0.25">
      <c r="A2354" s="67"/>
      <c r="B2354" s="67"/>
    </row>
    <row r="2355" spans="1:2" x14ac:dyDescent="0.25">
      <c r="A2355" s="67"/>
      <c r="B2355" s="67"/>
    </row>
    <row r="2356" spans="1:2" x14ac:dyDescent="0.25">
      <c r="A2356" s="67"/>
      <c r="B2356" s="67"/>
    </row>
    <row r="2357" spans="1:2" x14ac:dyDescent="0.25">
      <c r="A2357" s="67"/>
      <c r="B2357" s="67"/>
    </row>
    <row r="2358" spans="1:2" x14ac:dyDescent="0.25">
      <c r="A2358" s="67"/>
      <c r="B2358" s="67"/>
    </row>
    <row r="2359" spans="1:2" x14ac:dyDescent="0.25">
      <c r="A2359" s="67"/>
      <c r="B2359" s="67"/>
    </row>
    <row r="2360" spans="1:2" x14ac:dyDescent="0.25">
      <c r="A2360" s="67"/>
      <c r="B2360" s="67"/>
    </row>
    <row r="2361" spans="1:2" x14ac:dyDescent="0.25">
      <c r="A2361" s="67"/>
      <c r="B2361" s="67"/>
    </row>
    <row r="2362" spans="1:2" x14ac:dyDescent="0.25">
      <c r="A2362" s="67"/>
      <c r="B2362" s="67"/>
    </row>
    <row r="2363" spans="1:2" x14ac:dyDescent="0.25">
      <c r="A2363" s="67"/>
      <c r="B2363" s="67"/>
    </row>
    <row r="2364" spans="1:2" x14ac:dyDescent="0.25">
      <c r="A2364" s="67"/>
      <c r="B2364" s="67"/>
    </row>
    <row r="2365" spans="1:2" x14ac:dyDescent="0.25">
      <c r="A2365" s="67"/>
      <c r="B2365" s="67"/>
    </row>
    <row r="2366" spans="1:2" x14ac:dyDescent="0.25">
      <c r="A2366" s="67"/>
      <c r="B2366" s="67"/>
    </row>
    <row r="2367" spans="1:2" x14ac:dyDescent="0.25">
      <c r="A2367" s="67"/>
      <c r="B2367" s="67"/>
    </row>
    <row r="2368" spans="1:2" x14ac:dyDescent="0.25">
      <c r="A2368" s="67"/>
      <c r="B2368" s="67"/>
    </row>
    <row r="2369" spans="1:2" x14ac:dyDescent="0.25">
      <c r="A2369" s="67"/>
      <c r="B2369" s="67"/>
    </row>
    <row r="2370" spans="1:2" x14ac:dyDescent="0.25">
      <c r="A2370" s="67"/>
      <c r="B2370" s="67"/>
    </row>
    <row r="2371" spans="1:2" x14ac:dyDescent="0.25">
      <c r="A2371" s="67"/>
      <c r="B2371" s="67"/>
    </row>
    <row r="2372" spans="1:2" x14ac:dyDescent="0.25">
      <c r="A2372" s="67"/>
      <c r="B2372" s="67"/>
    </row>
    <row r="2373" spans="1:2" x14ac:dyDescent="0.25">
      <c r="A2373" s="67"/>
      <c r="B2373" s="67"/>
    </row>
    <row r="2374" spans="1:2" x14ac:dyDescent="0.25">
      <c r="A2374" s="67"/>
      <c r="B2374" s="67"/>
    </row>
    <row r="2375" spans="1:2" x14ac:dyDescent="0.25">
      <c r="A2375" s="67"/>
      <c r="B2375" s="67"/>
    </row>
    <row r="2376" spans="1:2" x14ac:dyDescent="0.25">
      <c r="A2376" s="67"/>
      <c r="B2376" s="67"/>
    </row>
    <row r="2377" spans="1:2" x14ac:dyDescent="0.25">
      <c r="A2377" s="67"/>
      <c r="B2377" s="67"/>
    </row>
    <row r="2378" spans="1:2" x14ac:dyDescent="0.25">
      <c r="A2378" s="67"/>
      <c r="B2378" s="67"/>
    </row>
    <row r="2379" spans="1:2" x14ac:dyDescent="0.25">
      <c r="A2379" s="67"/>
      <c r="B2379" s="67"/>
    </row>
    <row r="2380" spans="1:2" x14ac:dyDescent="0.25">
      <c r="A2380" s="67"/>
      <c r="B2380" s="67"/>
    </row>
    <row r="2381" spans="1:2" x14ac:dyDescent="0.25">
      <c r="A2381" s="67"/>
      <c r="B2381" s="67"/>
    </row>
    <row r="2382" spans="1:2" x14ac:dyDescent="0.25">
      <c r="A2382" s="67"/>
      <c r="B2382" s="67"/>
    </row>
    <row r="2383" spans="1:2" x14ac:dyDescent="0.25">
      <c r="A2383" s="67"/>
      <c r="B2383" s="67"/>
    </row>
    <row r="2384" spans="1:2" x14ac:dyDescent="0.25">
      <c r="A2384" s="67"/>
      <c r="B2384" s="67"/>
    </row>
    <row r="2385" spans="1:2" x14ac:dyDescent="0.25">
      <c r="A2385" s="67"/>
      <c r="B2385" s="67"/>
    </row>
    <row r="2386" spans="1:2" x14ac:dyDescent="0.25">
      <c r="A2386" s="67"/>
      <c r="B2386" s="67"/>
    </row>
    <row r="2387" spans="1:2" x14ac:dyDescent="0.25">
      <c r="A2387" s="67"/>
      <c r="B2387" s="67"/>
    </row>
    <row r="2388" spans="1:2" x14ac:dyDescent="0.25">
      <c r="A2388" s="67"/>
      <c r="B2388" s="67"/>
    </row>
    <row r="2389" spans="1:2" x14ac:dyDescent="0.25">
      <c r="A2389" s="67"/>
      <c r="B2389" s="67"/>
    </row>
    <row r="2390" spans="1:2" x14ac:dyDescent="0.25">
      <c r="A2390" s="67"/>
      <c r="B2390" s="67"/>
    </row>
    <row r="2391" spans="1:2" x14ac:dyDescent="0.25">
      <c r="A2391" s="67"/>
      <c r="B2391" s="67"/>
    </row>
    <row r="2392" spans="1:2" x14ac:dyDescent="0.25">
      <c r="A2392" s="67"/>
      <c r="B2392" s="67"/>
    </row>
    <row r="2393" spans="1:2" x14ac:dyDescent="0.25">
      <c r="A2393" s="67"/>
      <c r="B2393" s="67"/>
    </row>
    <row r="2394" spans="1:2" x14ac:dyDescent="0.25">
      <c r="A2394" s="67"/>
      <c r="B2394" s="67"/>
    </row>
    <row r="2395" spans="1:2" x14ac:dyDescent="0.25">
      <c r="A2395" s="67"/>
      <c r="B2395" s="67"/>
    </row>
    <row r="2396" spans="1:2" x14ac:dyDescent="0.25">
      <c r="A2396" s="67"/>
      <c r="B2396" s="67"/>
    </row>
    <row r="2397" spans="1:2" x14ac:dyDescent="0.25">
      <c r="A2397" s="67"/>
      <c r="B2397" s="67"/>
    </row>
    <row r="2398" spans="1:2" x14ac:dyDescent="0.25">
      <c r="A2398" s="67"/>
      <c r="B2398" s="67"/>
    </row>
    <row r="2399" spans="1:2" x14ac:dyDescent="0.25">
      <c r="A2399" s="67"/>
      <c r="B2399" s="67"/>
    </row>
    <row r="2400" spans="1:2" x14ac:dyDescent="0.25">
      <c r="A2400" s="67"/>
      <c r="B2400" s="67"/>
    </row>
    <row r="2401" spans="1:2" x14ac:dyDescent="0.25">
      <c r="A2401" s="67"/>
      <c r="B2401" s="67"/>
    </row>
    <row r="2402" spans="1:2" x14ac:dyDescent="0.25">
      <c r="A2402" s="67"/>
      <c r="B2402" s="67"/>
    </row>
    <row r="2403" spans="1:2" x14ac:dyDescent="0.25">
      <c r="A2403" s="67"/>
      <c r="B2403" s="67"/>
    </row>
    <row r="2404" spans="1:2" x14ac:dyDescent="0.25">
      <c r="A2404" s="67"/>
      <c r="B2404" s="67"/>
    </row>
    <row r="2405" spans="1:2" x14ac:dyDescent="0.25">
      <c r="A2405" s="67"/>
      <c r="B2405" s="67"/>
    </row>
    <row r="2406" spans="1:2" x14ac:dyDescent="0.25">
      <c r="A2406" s="67"/>
      <c r="B2406" s="67"/>
    </row>
    <row r="2407" spans="1:2" x14ac:dyDescent="0.25">
      <c r="A2407" s="67"/>
      <c r="B2407" s="67"/>
    </row>
    <row r="2408" spans="1:2" x14ac:dyDescent="0.25">
      <c r="A2408" s="67"/>
      <c r="B2408" s="67"/>
    </row>
    <row r="2409" spans="1:2" x14ac:dyDescent="0.25">
      <c r="A2409" s="67"/>
      <c r="B2409" s="67"/>
    </row>
    <row r="2410" spans="1:2" x14ac:dyDescent="0.25">
      <c r="A2410" s="67"/>
      <c r="B2410" s="67"/>
    </row>
    <row r="2411" spans="1:2" x14ac:dyDescent="0.25">
      <c r="A2411" s="67"/>
      <c r="B2411" s="67"/>
    </row>
    <row r="2412" spans="1:2" x14ac:dyDescent="0.25">
      <c r="A2412" s="67"/>
      <c r="B2412" s="67"/>
    </row>
    <row r="2413" spans="1:2" x14ac:dyDescent="0.25">
      <c r="A2413" s="67"/>
      <c r="B2413" s="67"/>
    </row>
    <row r="2414" spans="1:2" x14ac:dyDescent="0.25">
      <c r="A2414" s="67"/>
      <c r="B2414" s="67"/>
    </row>
    <row r="2415" spans="1:2" x14ac:dyDescent="0.25">
      <c r="A2415" s="67"/>
      <c r="B2415" s="67"/>
    </row>
    <row r="2416" spans="1:2" x14ac:dyDescent="0.25">
      <c r="A2416" s="67"/>
      <c r="B2416" s="67"/>
    </row>
    <row r="2417" spans="1:2" x14ac:dyDescent="0.25">
      <c r="A2417" s="67"/>
      <c r="B2417" s="67"/>
    </row>
    <row r="2418" spans="1:2" x14ac:dyDescent="0.25">
      <c r="A2418" s="67"/>
      <c r="B2418" s="67"/>
    </row>
    <row r="2419" spans="1:2" x14ac:dyDescent="0.25">
      <c r="A2419" s="67"/>
      <c r="B2419" s="67"/>
    </row>
    <row r="2420" spans="1:2" x14ac:dyDescent="0.25">
      <c r="A2420" s="67"/>
      <c r="B2420" s="67"/>
    </row>
    <row r="2421" spans="1:2" x14ac:dyDescent="0.25">
      <c r="A2421" s="67"/>
      <c r="B2421" s="67"/>
    </row>
    <row r="2422" spans="1:2" x14ac:dyDescent="0.25">
      <c r="A2422" s="67"/>
      <c r="B2422" s="67"/>
    </row>
    <row r="2423" spans="1:2" x14ac:dyDescent="0.25">
      <c r="A2423" s="67"/>
      <c r="B2423" s="67"/>
    </row>
    <row r="2424" spans="1:2" x14ac:dyDescent="0.25">
      <c r="A2424" s="67"/>
      <c r="B2424" s="67"/>
    </row>
    <row r="2425" spans="1:2" x14ac:dyDescent="0.25">
      <c r="A2425" s="67"/>
      <c r="B2425" s="67"/>
    </row>
    <row r="2426" spans="1:2" x14ac:dyDescent="0.25">
      <c r="A2426" s="67"/>
      <c r="B2426" s="67"/>
    </row>
    <row r="2427" spans="1:2" x14ac:dyDescent="0.25">
      <c r="A2427" s="67"/>
      <c r="B2427" s="67"/>
    </row>
    <row r="2428" spans="1:2" x14ac:dyDescent="0.25">
      <c r="A2428" s="67"/>
      <c r="B2428" s="67"/>
    </row>
    <row r="2429" spans="1:2" x14ac:dyDescent="0.25">
      <c r="A2429" s="67"/>
      <c r="B2429" s="67"/>
    </row>
    <row r="2430" spans="1:2" x14ac:dyDescent="0.25">
      <c r="A2430" s="67"/>
      <c r="B2430" s="67"/>
    </row>
    <row r="2431" spans="1:2" x14ac:dyDescent="0.25">
      <c r="A2431" s="67"/>
      <c r="B2431" s="67"/>
    </row>
    <row r="2432" spans="1:2" x14ac:dyDescent="0.25">
      <c r="A2432" s="67"/>
      <c r="B2432" s="67"/>
    </row>
    <row r="2433" spans="1:2" x14ac:dyDescent="0.25">
      <c r="A2433" s="67"/>
      <c r="B2433" s="67"/>
    </row>
    <row r="2434" spans="1:2" x14ac:dyDescent="0.25">
      <c r="A2434" s="67"/>
      <c r="B2434" s="67"/>
    </row>
    <row r="2435" spans="1:2" x14ac:dyDescent="0.25">
      <c r="A2435" s="67"/>
      <c r="B2435" s="67"/>
    </row>
    <row r="2436" spans="1:2" x14ac:dyDescent="0.25">
      <c r="A2436" s="67"/>
      <c r="B2436" s="67"/>
    </row>
    <row r="2437" spans="1:2" x14ac:dyDescent="0.25">
      <c r="A2437" s="67"/>
      <c r="B2437" s="67"/>
    </row>
    <row r="2438" spans="1:2" x14ac:dyDescent="0.25">
      <c r="A2438" s="67"/>
      <c r="B2438" s="67"/>
    </row>
    <row r="2439" spans="1:2" x14ac:dyDescent="0.25">
      <c r="A2439" s="67"/>
      <c r="B2439" s="67"/>
    </row>
    <row r="2440" spans="1:2" x14ac:dyDescent="0.25">
      <c r="A2440" s="67"/>
      <c r="B2440" s="67"/>
    </row>
    <row r="2441" spans="1:2" x14ac:dyDescent="0.25">
      <c r="A2441" s="67"/>
      <c r="B2441" s="67"/>
    </row>
    <row r="2442" spans="1:2" x14ac:dyDescent="0.25">
      <c r="A2442" s="67"/>
      <c r="B2442" s="67"/>
    </row>
    <row r="2443" spans="1:2" x14ac:dyDescent="0.25">
      <c r="A2443" s="67"/>
      <c r="B2443" s="67"/>
    </row>
    <row r="2444" spans="1:2" x14ac:dyDescent="0.25">
      <c r="A2444" s="67"/>
      <c r="B2444" s="67"/>
    </row>
    <row r="2445" spans="1:2" x14ac:dyDescent="0.25">
      <c r="A2445" s="67"/>
      <c r="B2445" s="67"/>
    </row>
    <row r="2446" spans="1:2" x14ac:dyDescent="0.25">
      <c r="A2446" s="67"/>
      <c r="B2446" s="67"/>
    </row>
    <row r="2447" spans="1:2" x14ac:dyDescent="0.25">
      <c r="A2447" s="67"/>
      <c r="B2447" s="67"/>
    </row>
    <row r="2448" spans="1:2" x14ac:dyDescent="0.25">
      <c r="A2448" s="67"/>
      <c r="B2448" s="67"/>
    </row>
    <row r="2449" spans="1:2" x14ac:dyDescent="0.25">
      <c r="A2449" s="67"/>
      <c r="B2449" s="67"/>
    </row>
    <row r="2450" spans="1:2" x14ac:dyDescent="0.25">
      <c r="A2450" s="67"/>
      <c r="B2450" s="67"/>
    </row>
    <row r="2451" spans="1:2" x14ac:dyDescent="0.25">
      <c r="A2451" s="67"/>
      <c r="B2451" s="67"/>
    </row>
    <row r="2452" spans="1:2" x14ac:dyDescent="0.25">
      <c r="A2452" s="67"/>
      <c r="B2452" s="67"/>
    </row>
    <row r="2453" spans="1:2" x14ac:dyDescent="0.25">
      <c r="A2453" s="67"/>
      <c r="B2453" s="67"/>
    </row>
    <row r="2454" spans="1:2" x14ac:dyDescent="0.25">
      <c r="A2454" s="67"/>
      <c r="B2454" s="67"/>
    </row>
    <row r="2455" spans="1:2" x14ac:dyDescent="0.25">
      <c r="A2455" s="67"/>
      <c r="B2455" s="67"/>
    </row>
    <row r="2456" spans="1:2" x14ac:dyDescent="0.25">
      <c r="A2456" s="67"/>
      <c r="B2456" s="67"/>
    </row>
    <row r="2457" spans="1:2" x14ac:dyDescent="0.25">
      <c r="A2457" s="67"/>
      <c r="B2457" s="67"/>
    </row>
    <row r="2458" spans="1:2" x14ac:dyDescent="0.25">
      <c r="A2458" s="67"/>
      <c r="B2458" s="67"/>
    </row>
    <row r="2459" spans="1:2" x14ac:dyDescent="0.25">
      <c r="A2459" s="67"/>
      <c r="B2459" s="67"/>
    </row>
    <row r="2460" spans="1:2" x14ac:dyDescent="0.25">
      <c r="A2460" s="67"/>
      <c r="B2460" s="67"/>
    </row>
    <row r="2461" spans="1:2" x14ac:dyDescent="0.25">
      <c r="A2461" s="67"/>
      <c r="B2461" s="67"/>
    </row>
    <row r="2462" spans="1:2" x14ac:dyDescent="0.25">
      <c r="A2462" s="67"/>
      <c r="B2462" s="67"/>
    </row>
    <row r="2463" spans="1:2" x14ac:dyDescent="0.25">
      <c r="A2463" s="67"/>
      <c r="B2463" s="67"/>
    </row>
    <row r="2464" spans="1:2" x14ac:dyDescent="0.25">
      <c r="A2464" s="67"/>
      <c r="B2464" s="67"/>
    </row>
    <row r="2465" spans="1:2" x14ac:dyDescent="0.25">
      <c r="A2465" s="67"/>
      <c r="B2465" s="67"/>
    </row>
    <row r="2466" spans="1:2" x14ac:dyDescent="0.25">
      <c r="A2466" s="67"/>
      <c r="B2466" s="67"/>
    </row>
    <row r="2467" spans="1:2" x14ac:dyDescent="0.25">
      <c r="A2467" s="67"/>
      <c r="B2467" s="67"/>
    </row>
    <row r="2468" spans="1:2" x14ac:dyDescent="0.25">
      <c r="A2468" s="67"/>
      <c r="B2468" s="67"/>
    </row>
    <row r="2469" spans="1:2" x14ac:dyDescent="0.25">
      <c r="A2469" s="67"/>
      <c r="B2469" s="67"/>
    </row>
    <row r="2470" spans="1:2" x14ac:dyDescent="0.25">
      <c r="A2470" s="67"/>
      <c r="B2470" s="67"/>
    </row>
    <row r="2471" spans="1:2" x14ac:dyDescent="0.25">
      <c r="A2471" s="67"/>
      <c r="B2471" s="67"/>
    </row>
    <row r="2472" spans="1:2" x14ac:dyDescent="0.25">
      <c r="A2472" s="67"/>
      <c r="B2472" s="67"/>
    </row>
    <row r="2473" spans="1:2" x14ac:dyDescent="0.25">
      <c r="A2473" s="67"/>
      <c r="B2473" s="67"/>
    </row>
    <row r="2474" spans="1:2" x14ac:dyDescent="0.25">
      <c r="A2474" s="67"/>
      <c r="B2474" s="67"/>
    </row>
    <row r="2475" spans="1:2" x14ac:dyDescent="0.25">
      <c r="A2475" s="67"/>
      <c r="B2475" s="67"/>
    </row>
    <row r="2476" spans="1:2" x14ac:dyDescent="0.25">
      <c r="A2476" s="67"/>
      <c r="B2476" s="67"/>
    </row>
    <row r="2477" spans="1:2" x14ac:dyDescent="0.25">
      <c r="A2477" s="67"/>
      <c r="B2477" s="67"/>
    </row>
    <row r="2478" spans="1:2" x14ac:dyDescent="0.25">
      <c r="A2478" s="67"/>
      <c r="B2478" s="67"/>
    </row>
    <row r="2479" spans="1:2" x14ac:dyDescent="0.25">
      <c r="A2479" s="67"/>
      <c r="B2479" s="67"/>
    </row>
    <row r="2480" spans="1:2" x14ac:dyDescent="0.25">
      <c r="A2480" s="67"/>
      <c r="B2480" s="67"/>
    </row>
    <row r="2481" spans="1:2" x14ac:dyDescent="0.25">
      <c r="A2481" s="67"/>
      <c r="B2481" s="67"/>
    </row>
    <row r="2482" spans="1:2" x14ac:dyDescent="0.25">
      <c r="A2482" s="67"/>
      <c r="B2482" s="67"/>
    </row>
    <row r="2483" spans="1:2" x14ac:dyDescent="0.25">
      <c r="A2483" s="67"/>
      <c r="B2483" s="67"/>
    </row>
    <row r="2484" spans="1:2" x14ac:dyDescent="0.25">
      <c r="A2484" s="67"/>
      <c r="B2484" s="67"/>
    </row>
    <row r="2485" spans="1:2" x14ac:dyDescent="0.25">
      <c r="A2485" s="67"/>
      <c r="B2485" s="67"/>
    </row>
    <row r="2486" spans="1:2" x14ac:dyDescent="0.25">
      <c r="A2486" s="67"/>
      <c r="B2486" s="67"/>
    </row>
    <row r="2487" spans="1:2" x14ac:dyDescent="0.25">
      <c r="A2487" s="67"/>
      <c r="B2487" s="67"/>
    </row>
    <row r="2488" spans="1:2" x14ac:dyDescent="0.25">
      <c r="A2488" s="67"/>
      <c r="B2488" s="67"/>
    </row>
    <row r="2489" spans="1:2" x14ac:dyDescent="0.25">
      <c r="A2489" s="67"/>
      <c r="B2489" s="67"/>
    </row>
    <row r="2490" spans="1:2" x14ac:dyDescent="0.25">
      <c r="A2490" s="67"/>
      <c r="B2490" s="67"/>
    </row>
    <row r="2491" spans="1:2" x14ac:dyDescent="0.25">
      <c r="A2491" s="67"/>
      <c r="B2491" s="67"/>
    </row>
    <row r="2492" spans="1:2" x14ac:dyDescent="0.25">
      <c r="A2492" s="67"/>
      <c r="B2492" s="67"/>
    </row>
    <row r="2493" spans="1:2" x14ac:dyDescent="0.25">
      <c r="A2493" s="67"/>
      <c r="B2493" s="67"/>
    </row>
    <row r="2494" spans="1:2" x14ac:dyDescent="0.25">
      <c r="A2494" s="67"/>
      <c r="B2494" s="67"/>
    </row>
    <row r="2495" spans="1:2" x14ac:dyDescent="0.25">
      <c r="A2495" s="67"/>
      <c r="B2495" s="67"/>
    </row>
    <row r="2496" spans="1:2" x14ac:dyDescent="0.25">
      <c r="A2496" s="67"/>
      <c r="B2496" s="67"/>
    </row>
    <row r="2497" spans="1:2" x14ac:dyDescent="0.25">
      <c r="A2497" s="67"/>
      <c r="B2497" s="67"/>
    </row>
    <row r="2498" spans="1:2" x14ac:dyDescent="0.25">
      <c r="A2498" s="67"/>
      <c r="B2498" s="67"/>
    </row>
    <row r="2499" spans="1:2" x14ac:dyDescent="0.25">
      <c r="A2499" s="67"/>
      <c r="B2499" s="67"/>
    </row>
    <row r="2500" spans="1:2" x14ac:dyDescent="0.25">
      <c r="A2500" s="67"/>
      <c r="B2500" s="67"/>
    </row>
    <row r="2501" spans="1:2" x14ac:dyDescent="0.25">
      <c r="A2501" s="67"/>
      <c r="B2501" s="67"/>
    </row>
    <row r="2502" spans="1:2" x14ac:dyDescent="0.25">
      <c r="A2502" s="67"/>
      <c r="B2502" s="67"/>
    </row>
    <row r="2503" spans="1:2" x14ac:dyDescent="0.25">
      <c r="A2503" s="67"/>
      <c r="B2503" s="67"/>
    </row>
    <row r="2504" spans="1:2" x14ac:dyDescent="0.25">
      <c r="A2504" s="67"/>
      <c r="B2504" s="67"/>
    </row>
    <row r="2505" spans="1:2" x14ac:dyDescent="0.25">
      <c r="A2505" s="67"/>
      <c r="B2505" s="67"/>
    </row>
    <row r="2506" spans="1:2" x14ac:dyDescent="0.25">
      <c r="A2506" s="67"/>
      <c r="B2506" s="67"/>
    </row>
    <row r="2507" spans="1:2" x14ac:dyDescent="0.25">
      <c r="A2507" s="67"/>
      <c r="B2507" s="67"/>
    </row>
    <row r="2508" spans="1:2" x14ac:dyDescent="0.25">
      <c r="A2508" s="67"/>
      <c r="B2508" s="67"/>
    </row>
    <row r="2509" spans="1:2" x14ac:dyDescent="0.25">
      <c r="A2509" s="67"/>
      <c r="B2509" s="67"/>
    </row>
    <row r="2510" spans="1:2" x14ac:dyDescent="0.25">
      <c r="A2510" s="67"/>
      <c r="B2510" s="67"/>
    </row>
    <row r="2511" spans="1:2" x14ac:dyDescent="0.25">
      <c r="A2511" s="67"/>
      <c r="B2511" s="67"/>
    </row>
    <row r="2512" spans="1:2" x14ac:dyDescent="0.25">
      <c r="A2512" s="67"/>
      <c r="B2512" s="67"/>
    </row>
    <row r="2513" spans="1:2" x14ac:dyDescent="0.25">
      <c r="A2513" s="67"/>
      <c r="B2513" s="67"/>
    </row>
    <row r="2514" spans="1:2" x14ac:dyDescent="0.25">
      <c r="A2514" s="67"/>
      <c r="B2514" s="67"/>
    </row>
    <row r="2515" spans="1:2" x14ac:dyDescent="0.25">
      <c r="A2515" s="67"/>
      <c r="B2515" s="67"/>
    </row>
    <row r="2516" spans="1:2" x14ac:dyDescent="0.25">
      <c r="A2516" s="67"/>
      <c r="B2516" s="67"/>
    </row>
    <row r="2517" spans="1:2" x14ac:dyDescent="0.25">
      <c r="A2517" s="67"/>
      <c r="B2517" s="67"/>
    </row>
    <row r="2518" spans="1:2" x14ac:dyDescent="0.25">
      <c r="A2518" s="67"/>
      <c r="B2518" s="67"/>
    </row>
    <row r="2519" spans="1:2" x14ac:dyDescent="0.25">
      <c r="A2519" s="67"/>
      <c r="B2519" s="67"/>
    </row>
    <row r="2520" spans="1:2" x14ac:dyDescent="0.25">
      <c r="A2520" s="67"/>
      <c r="B2520" s="67"/>
    </row>
    <row r="2521" spans="1:2" x14ac:dyDescent="0.25">
      <c r="A2521" s="67"/>
      <c r="B2521" s="67"/>
    </row>
    <row r="2522" spans="1:2" x14ac:dyDescent="0.25">
      <c r="A2522" s="67"/>
      <c r="B2522" s="67"/>
    </row>
    <row r="2523" spans="1:2" x14ac:dyDescent="0.25">
      <c r="A2523" s="67"/>
      <c r="B2523" s="67"/>
    </row>
    <row r="2524" spans="1:2" x14ac:dyDescent="0.25">
      <c r="A2524" s="67"/>
      <c r="B2524" s="67"/>
    </row>
    <row r="2525" spans="1:2" x14ac:dyDescent="0.25">
      <c r="A2525" s="67"/>
      <c r="B2525" s="67"/>
    </row>
    <row r="2526" spans="1:2" x14ac:dyDescent="0.25">
      <c r="A2526" s="67"/>
      <c r="B2526" s="67"/>
    </row>
    <row r="2527" spans="1:2" x14ac:dyDescent="0.25">
      <c r="A2527" s="67"/>
      <c r="B2527" s="67"/>
    </row>
    <row r="2528" spans="1:2" x14ac:dyDescent="0.25">
      <c r="A2528" s="67"/>
      <c r="B2528" s="67"/>
    </row>
    <row r="2529" spans="1:2" x14ac:dyDescent="0.25">
      <c r="A2529" s="67"/>
      <c r="B2529" s="67"/>
    </row>
    <row r="2530" spans="1:2" x14ac:dyDescent="0.25">
      <c r="A2530" s="67"/>
      <c r="B2530" s="67"/>
    </row>
    <row r="2531" spans="1:2" x14ac:dyDescent="0.25">
      <c r="A2531" s="67"/>
      <c r="B2531" s="67"/>
    </row>
    <row r="2532" spans="1:2" x14ac:dyDescent="0.25">
      <c r="A2532" s="67"/>
      <c r="B2532" s="67"/>
    </row>
    <row r="2533" spans="1:2" x14ac:dyDescent="0.25">
      <c r="A2533" s="67"/>
      <c r="B2533" s="67"/>
    </row>
    <row r="2534" spans="1:2" x14ac:dyDescent="0.25">
      <c r="A2534" s="67"/>
      <c r="B2534" s="67"/>
    </row>
    <row r="2535" spans="1:2" x14ac:dyDescent="0.25">
      <c r="A2535" s="67"/>
      <c r="B2535" s="67"/>
    </row>
    <row r="2536" spans="1:2" x14ac:dyDescent="0.25">
      <c r="A2536" s="67"/>
      <c r="B2536" s="67"/>
    </row>
    <row r="2537" spans="1:2" x14ac:dyDescent="0.25">
      <c r="A2537" s="67"/>
      <c r="B2537" s="67"/>
    </row>
    <row r="2538" spans="1:2" x14ac:dyDescent="0.25">
      <c r="A2538" s="67"/>
      <c r="B2538" s="67"/>
    </row>
    <row r="2539" spans="1:2" x14ac:dyDescent="0.25">
      <c r="A2539" s="67"/>
      <c r="B2539" s="67"/>
    </row>
    <row r="2540" spans="1:2" x14ac:dyDescent="0.25">
      <c r="A2540" s="67"/>
      <c r="B2540" s="67"/>
    </row>
    <row r="2541" spans="1:2" x14ac:dyDescent="0.25">
      <c r="A2541" s="67"/>
      <c r="B2541" s="67"/>
    </row>
    <row r="2542" spans="1:2" x14ac:dyDescent="0.25">
      <c r="A2542" s="67"/>
      <c r="B2542" s="67"/>
    </row>
    <row r="2543" spans="1:2" x14ac:dyDescent="0.25">
      <c r="A2543" s="67"/>
      <c r="B2543" s="67"/>
    </row>
    <row r="2544" spans="1:2" x14ac:dyDescent="0.25">
      <c r="A2544" s="67"/>
      <c r="B2544" s="67"/>
    </row>
    <row r="2545" spans="1:2" x14ac:dyDescent="0.25">
      <c r="A2545" s="67"/>
      <c r="B2545" s="67"/>
    </row>
    <row r="2546" spans="1:2" x14ac:dyDescent="0.25">
      <c r="A2546" s="67"/>
      <c r="B2546" s="67"/>
    </row>
    <row r="2547" spans="1:2" x14ac:dyDescent="0.25">
      <c r="A2547" s="67"/>
      <c r="B2547" s="67"/>
    </row>
    <row r="2548" spans="1:2" x14ac:dyDescent="0.25">
      <c r="A2548" s="67"/>
      <c r="B2548" s="67"/>
    </row>
    <row r="2549" spans="1:2" x14ac:dyDescent="0.25">
      <c r="A2549" s="67"/>
      <c r="B2549" s="67"/>
    </row>
    <row r="2550" spans="1:2" x14ac:dyDescent="0.25">
      <c r="A2550" s="67"/>
      <c r="B2550" s="67"/>
    </row>
    <row r="2551" spans="1:2" x14ac:dyDescent="0.25">
      <c r="A2551" s="67"/>
      <c r="B2551" s="67"/>
    </row>
    <row r="2552" spans="1:2" x14ac:dyDescent="0.25">
      <c r="A2552" s="67"/>
      <c r="B2552" s="67"/>
    </row>
    <row r="2553" spans="1:2" x14ac:dyDescent="0.25">
      <c r="A2553" s="67"/>
      <c r="B2553" s="67"/>
    </row>
    <row r="2554" spans="1:2" x14ac:dyDescent="0.25">
      <c r="A2554" s="67"/>
      <c r="B2554" s="67"/>
    </row>
    <row r="2555" spans="1:2" x14ac:dyDescent="0.25">
      <c r="A2555" s="67"/>
      <c r="B2555" s="67"/>
    </row>
    <row r="2556" spans="1:2" x14ac:dyDescent="0.25">
      <c r="A2556" s="67"/>
      <c r="B2556" s="67"/>
    </row>
    <row r="2557" spans="1:2" x14ac:dyDescent="0.25">
      <c r="A2557" s="67"/>
      <c r="B2557" s="67"/>
    </row>
    <row r="2558" spans="1:2" x14ac:dyDescent="0.25">
      <c r="A2558" s="67"/>
      <c r="B2558" s="67"/>
    </row>
    <row r="2559" spans="1:2" x14ac:dyDescent="0.25">
      <c r="A2559" s="67"/>
      <c r="B2559" s="67"/>
    </row>
    <row r="2560" spans="1:2" x14ac:dyDescent="0.25">
      <c r="A2560" s="67"/>
      <c r="B2560" s="67"/>
    </row>
    <row r="2561" spans="1:2" x14ac:dyDescent="0.25">
      <c r="A2561" s="67"/>
      <c r="B2561" s="67"/>
    </row>
    <row r="2562" spans="1:2" x14ac:dyDescent="0.25">
      <c r="A2562" s="67"/>
      <c r="B2562" s="67"/>
    </row>
    <row r="2563" spans="1:2" x14ac:dyDescent="0.25">
      <c r="A2563" s="67"/>
      <c r="B2563" s="67"/>
    </row>
    <row r="2564" spans="1:2" x14ac:dyDescent="0.25">
      <c r="A2564" s="67"/>
      <c r="B2564" s="67"/>
    </row>
    <row r="2565" spans="1:2" x14ac:dyDescent="0.25">
      <c r="A2565" s="67"/>
      <c r="B2565" s="67"/>
    </row>
    <row r="2566" spans="1:2" x14ac:dyDescent="0.25">
      <c r="A2566" s="67"/>
      <c r="B2566" s="67"/>
    </row>
    <row r="2567" spans="1:2" x14ac:dyDescent="0.25">
      <c r="A2567" s="67"/>
      <c r="B2567" s="67"/>
    </row>
    <row r="2568" spans="1:2" x14ac:dyDescent="0.25">
      <c r="A2568" s="67"/>
      <c r="B2568" s="67"/>
    </row>
    <row r="2569" spans="1:2" x14ac:dyDescent="0.25">
      <c r="A2569" s="67"/>
      <c r="B2569" s="67"/>
    </row>
    <row r="2570" spans="1:2" x14ac:dyDescent="0.25">
      <c r="A2570" s="67"/>
      <c r="B2570" s="67"/>
    </row>
    <row r="2571" spans="1:2" x14ac:dyDescent="0.25">
      <c r="A2571" s="67"/>
      <c r="B2571" s="67"/>
    </row>
    <row r="2572" spans="1:2" x14ac:dyDescent="0.25">
      <c r="A2572" s="67"/>
      <c r="B2572" s="67"/>
    </row>
    <row r="2573" spans="1:2" x14ac:dyDescent="0.25">
      <c r="A2573" s="67"/>
      <c r="B2573" s="67"/>
    </row>
    <row r="2574" spans="1:2" x14ac:dyDescent="0.25">
      <c r="A2574" s="67"/>
      <c r="B2574" s="67"/>
    </row>
    <row r="2575" spans="1:2" x14ac:dyDescent="0.25">
      <c r="A2575" s="67"/>
      <c r="B2575" s="67"/>
    </row>
    <row r="2576" spans="1:2" x14ac:dyDescent="0.25">
      <c r="A2576" s="67"/>
      <c r="B2576" s="67"/>
    </row>
    <row r="2577" spans="1:2" x14ac:dyDescent="0.25">
      <c r="A2577" s="67"/>
      <c r="B2577" s="67"/>
    </row>
    <row r="2578" spans="1:2" x14ac:dyDescent="0.25">
      <c r="A2578" s="67"/>
      <c r="B2578" s="67"/>
    </row>
    <row r="2579" spans="1:2" x14ac:dyDescent="0.25">
      <c r="A2579" s="67"/>
      <c r="B2579" s="67"/>
    </row>
    <row r="2580" spans="1:2" x14ac:dyDescent="0.25">
      <c r="A2580" s="67"/>
      <c r="B2580" s="67"/>
    </row>
    <row r="2581" spans="1:2" x14ac:dyDescent="0.25">
      <c r="A2581" s="67"/>
      <c r="B2581" s="67"/>
    </row>
    <row r="2582" spans="1:2" x14ac:dyDescent="0.25">
      <c r="A2582" s="67"/>
      <c r="B2582" s="67"/>
    </row>
    <row r="2583" spans="1:2" x14ac:dyDescent="0.25">
      <c r="A2583" s="67"/>
      <c r="B2583" s="67"/>
    </row>
    <row r="2584" spans="1:2" x14ac:dyDescent="0.25">
      <c r="A2584" s="67"/>
      <c r="B2584" s="67"/>
    </row>
    <row r="2585" spans="1:2" x14ac:dyDescent="0.25">
      <c r="A2585" s="67"/>
      <c r="B2585" s="67"/>
    </row>
    <row r="2586" spans="1:2" x14ac:dyDescent="0.25">
      <c r="A2586" s="67"/>
      <c r="B2586" s="67"/>
    </row>
    <row r="2587" spans="1:2" x14ac:dyDescent="0.25">
      <c r="A2587" s="67"/>
      <c r="B2587" s="67"/>
    </row>
    <row r="2588" spans="1:2" x14ac:dyDescent="0.25">
      <c r="A2588" s="67"/>
      <c r="B2588" s="67"/>
    </row>
    <row r="2589" spans="1:2" x14ac:dyDescent="0.25">
      <c r="A2589" s="67"/>
      <c r="B2589" s="67"/>
    </row>
    <row r="2590" spans="1:2" x14ac:dyDescent="0.25">
      <c r="A2590" s="67"/>
      <c r="B2590" s="67"/>
    </row>
    <row r="2591" spans="1:2" x14ac:dyDescent="0.25">
      <c r="A2591" s="67"/>
      <c r="B2591" s="67"/>
    </row>
    <row r="2592" spans="1:2" x14ac:dyDescent="0.25">
      <c r="A2592" s="67"/>
      <c r="B2592" s="67"/>
    </row>
    <row r="2593" spans="1:2" x14ac:dyDescent="0.25">
      <c r="A2593" s="67"/>
      <c r="B2593" s="67"/>
    </row>
    <row r="2594" spans="1:2" x14ac:dyDescent="0.25">
      <c r="A2594" s="67"/>
      <c r="B2594" s="67"/>
    </row>
    <row r="2595" spans="1:2" x14ac:dyDescent="0.25">
      <c r="A2595" s="67"/>
      <c r="B2595" s="67"/>
    </row>
    <row r="2596" spans="1:2" x14ac:dyDescent="0.25">
      <c r="A2596" s="67"/>
      <c r="B2596" s="67"/>
    </row>
    <row r="2597" spans="1:2" x14ac:dyDescent="0.25">
      <c r="A2597" s="67"/>
      <c r="B2597" s="67"/>
    </row>
    <row r="2598" spans="1:2" x14ac:dyDescent="0.25">
      <c r="A2598" s="67"/>
      <c r="B2598" s="67"/>
    </row>
    <row r="2599" spans="1:2" x14ac:dyDescent="0.25">
      <c r="A2599" s="67"/>
      <c r="B2599" s="67"/>
    </row>
    <row r="2600" spans="1:2" x14ac:dyDescent="0.25">
      <c r="A2600" s="67"/>
      <c r="B2600" s="67"/>
    </row>
    <row r="2601" spans="1:2" x14ac:dyDescent="0.25">
      <c r="A2601" s="67"/>
      <c r="B2601" s="67"/>
    </row>
    <row r="2602" spans="1:2" x14ac:dyDescent="0.25">
      <c r="A2602" s="67"/>
      <c r="B2602" s="67"/>
    </row>
    <row r="2603" spans="1:2" x14ac:dyDescent="0.25">
      <c r="A2603" s="67"/>
      <c r="B2603" s="67"/>
    </row>
    <row r="2604" spans="1:2" x14ac:dyDescent="0.25">
      <c r="A2604" s="67"/>
      <c r="B2604" s="67"/>
    </row>
    <row r="2605" spans="1:2" x14ac:dyDescent="0.25">
      <c r="A2605" s="67"/>
      <c r="B2605" s="67"/>
    </row>
    <row r="2606" spans="1:2" x14ac:dyDescent="0.25">
      <c r="A2606" s="67"/>
      <c r="B2606" s="67"/>
    </row>
    <row r="2607" spans="1:2" x14ac:dyDescent="0.25">
      <c r="A2607" s="67"/>
      <c r="B2607" s="67"/>
    </row>
    <row r="2608" spans="1:2" x14ac:dyDescent="0.25">
      <c r="A2608" s="67"/>
      <c r="B2608" s="67"/>
    </row>
    <row r="2609" spans="1:2" x14ac:dyDescent="0.25">
      <c r="A2609" s="67"/>
      <c r="B2609" s="67"/>
    </row>
    <row r="2610" spans="1:2" x14ac:dyDescent="0.25">
      <c r="A2610" s="67"/>
      <c r="B2610" s="67"/>
    </row>
    <row r="2611" spans="1:2" x14ac:dyDescent="0.25">
      <c r="A2611" s="67"/>
      <c r="B2611" s="67"/>
    </row>
    <row r="2612" spans="1:2" x14ac:dyDescent="0.25">
      <c r="A2612" s="67"/>
      <c r="B2612" s="67"/>
    </row>
    <row r="2613" spans="1:2" x14ac:dyDescent="0.25">
      <c r="A2613" s="67"/>
      <c r="B2613" s="67"/>
    </row>
    <row r="2614" spans="1:2" x14ac:dyDescent="0.25">
      <c r="A2614" s="67"/>
      <c r="B2614" s="67"/>
    </row>
    <row r="2615" spans="1:2" x14ac:dyDescent="0.25">
      <c r="A2615" s="67"/>
      <c r="B2615" s="67"/>
    </row>
    <row r="2616" spans="1:2" x14ac:dyDescent="0.25">
      <c r="A2616" s="67"/>
      <c r="B2616" s="67"/>
    </row>
    <row r="2617" spans="1:2" x14ac:dyDescent="0.25">
      <c r="A2617" s="67"/>
      <c r="B2617" s="67"/>
    </row>
    <row r="2618" spans="1:2" x14ac:dyDescent="0.25">
      <c r="A2618" s="67"/>
      <c r="B2618" s="67"/>
    </row>
    <row r="2619" spans="1:2" x14ac:dyDescent="0.25">
      <c r="A2619" s="67"/>
      <c r="B2619" s="67"/>
    </row>
    <row r="2620" spans="1:2" x14ac:dyDescent="0.25">
      <c r="A2620" s="67"/>
      <c r="B2620" s="67"/>
    </row>
    <row r="2621" spans="1:2" x14ac:dyDescent="0.25">
      <c r="A2621" s="67"/>
      <c r="B2621" s="67"/>
    </row>
    <row r="2622" spans="1:2" x14ac:dyDescent="0.25">
      <c r="A2622" s="67"/>
      <c r="B2622" s="67"/>
    </row>
    <row r="2623" spans="1:2" x14ac:dyDescent="0.25">
      <c r="A2623" s="67"/>
      <c r="B2623" s="67"/>
    </row>
    <row r="2624" spans="1:2" x14ac:dyDescent="0.25">
      <c r="A2624" s="67"/>
      <c r="B2624" s="67"/>
    </row>
    <row r="2625" spans="1:2" x14ac:dyDescent="0.25">
      <c r="A2625" s="67"/>
      <c r="B2625" s="67"/>
    </row>
    <row r="2626" spans="1:2" x14ac:dyDescent="0.25">
      <c r="A2626" s="67"/>
      <c r="B2626" s="67"/>
    </row>
    <row r="2627" spans="1:2" x14ac:dyDescent="0.25">
      <c r="A2627" s="67"/>
      <c r="B2627" s="67"/>
    </row>
    <row r="2628" spans="1:2" x14ac:dyDescent="0.25">
      <c r="A2628" s="67"/>
      <c r="B2628" s="67"/>
    </row>
    <row r="2629" spans="1:2" x14ac:dyDescent="0.25">
      <c r="A2629" s="67"/>
      <c r="B2629" s="67"/>
    </row>
    <row r="2630" spans="1:2" x14ac:dyDescent="0.25">
      <c r="A2630" s="67"/>
      <c r="B2630" s="67"/>
    </row>
    <row r="2631" spans="1:2" x14ac:dyDescent="0.25">
      <c r="A2631" s="67"/>
      <c r="B2631" s="67"/>
    </row>
    <row r="2632" spans="1:2" x14ac:dyDescent="0.25">
      <c r="A2632" s="67"/>
      <c r="B2632" s="67"/>
    </row>
    <row r="2633" spans="1:2" x14ac:dyDescent="0.25">
      <c r="A2633" s="67"/>
      <c r="B2633" s="67"/>
    </row>
    <row r="2634" spans="1:2" x14ac:dyDescent="0.25">
      <c r="A2634" s="67"/>
      <c r="B2634" s="67"/>
    </row>
    <row r="2635" spans="1:2" x14ac:dyDescent="0.25">
      <c r="A2635" s="67"/>
      <c r="B2635" s="67"/>
    </row>
    <row r="2636" spans="1:2" x14ac:dyDescent="0.25">
      <c r="A2636" s="67"/>
      <c r="B2636" s="67"/>
    </row>
    <row r="2637" spans="1:2" x14ac:dyDescent="0.25">
      <c r="A2637" s="67"/>
      <c r="B2637" s="67"/>
    </row>
    <row r="2638" spans="1:2" x14ac:dyDescent="0.25">
      <c r="A2638" s="67"/>
      <c r="B2638" s="67"/>
    </row>
    <row r="2639" spans="1:2" x14ac:dyDescent="0.25">
      <c r="A2639" s="67"/>
      <c r="B2639" s="67"/>
    </row>
    <row r="2640" spans="1:2" x14ac:dyDescent="0.25">
      <c r="A2640" s="67"/>
      <c r="B2640" s="67"/>
    </row>
    <row r="2641" spans="1:2" x14ac:dyDescent="0.25">
      <c r="A2641" s="67"/>
      <c r="B2641" s="67"/>
    </row>
    <row r="2642" spans="1:2" x14ac:dyDescent="0.25">
      <c r="A2642" s="67"/>
      <c r="B2642" s="67"/>
    </row>
    <row r="2643" spans="1:2" x14ac:dyDescent="0.25">
      <c r="A2643" s="67"/>
      <c r="B2643" s="67"/>
    </row>
    <row r="2644" spans="1:2" x14ac:dyDescent="0.25">
      <c r="A2644" s="67"/>
      <c r="B2644" s="67"/>
    </row>
    <row r="2645" spans="1:2" x14ac:dyDescent="0.25">
      <c r="A2645" s="67"/>
      <c r="B2645" s="67"/>
    </row>
    <row r="2646" spans="1:2" x14ac:dyDescent="0.25">
      <c r="A2646" s="67"/>
      <c r="B2646" s="67"/>
    </row>
    <row r="2647" spans="1:2" x14ac:dyDescent="0.25">
      <c r="A2647" s="67"/>
      <c r="B2647" s="67"/>
    </row>
    <row r="2648" spans="1:2" x14ac:dyDescent="0.25">
      <c r="A2648" s="67"/>
      <c r="B2648" s="67"/>
    </row>
    <row r="2649" spans="1:2" x14ac:dyDescent="0.25">
      <c r="A2649" s="67"/>
      <c r="B2649" s="67"/>
    </row>
    <row r="2650" spans="1:2" x14ac:dyDescent="0.25">
      <c r="A2650" s="67"/>
      <c r="B2650" s="67"/>
    </row>
    <row r="2651" spans="1:2" x14ac:dyDescent="0.25">
      <c r="A2651" s="67"/>
      <c r="B2651" s="67"/>
    </row>
    <row r="2652" spans="1:2" x14ac:dyDescent="0.25">
      <c r="A2652" s="67"/>
      <c r="B2652" s="67"/>
    </row>
    <row r="2653" spans="1:2" x14ac:dyDescent="0.25">
      <c r="A2653" s="67"/>
      <c r="B2653" s="67"/>
    </row>
    <row r="2654" spans="1:2" x14ac:dyDescent="0.25">
      <c r="A2654" s="67"/>
      <c r="B2654" s="67"/>
    </row>
    <row r="2655" spans="1:2" x14ac:dyDescent="0.25">
      <c r="A2655" s="67"/>
      <c r="B2655" s="67"/>
    </row>
    <row r="2656" spans="1:2" x14ac:dyDescent="0.25">
      <c r="A2656" s="67"/>
      <c r="B2656" s="67"/>
    </row>
    <row r="2657" spans="1:2" x14ac:dyDescent="0.25">
      <c r="A2657" s="67"/>
      <c r="B2657" s="67"/>
    </row>
    <row r="2658" spans="1:2" x14ac:dyDescent="0.25">
      <c r="A2658" s="67"/>
      <c r="B2658" s="67"/>
    </row>
    <row r="2659" spans="1:2" x14ac:dyDescent="0.25">
      <c r="A2659" s="67"/>
      <c r="B2659" s="67"/>
    </row>
    <row r="2660" spans="1:2" x14ac:dyDescent="0.25">
      <c r="A2660" s="67"/>
      <c r="B2660" s="67"/>
    </row>
    <row r="2661" spans="1:2" x14ac:dyDescent="0.25">
      <c r="A2661" s="67"/>
      <c r="B2661" s="67"/>
    </row>
    <row r="2662" spans="1:2" x14ac:dyDescent="0.25">
      <c r="A2662" s="67"/>
      <c r="B2662" s="67"/>
    </row>
    <row r="2663" spans="1:2" x14ac:dyDescent="0.25">
      <c r="A2663" s="67"/>
      <c r="B2663" s="67"/>
    </row>
    <row r="2664" spans="1:2" x14ac:dyDescent="0.25">
      <c r="A2664" s="67"/>
      <c r="B2664" s="67"/>
    </row>
    <row r="2665" spans="1:2" x14ac:dyDescent="0.25">
      <c r="A2665" s="67"/>
      <c r="B2665" s="67"/>
    </row>
    <row r="2666" spans="1:2" x14ac:dyDescent="0.25">
      <c r="A2666" s="67"/>
      <c r="B2666" s="67"/>
    </row>
    <row r="2667" spans="1:2" x14ac:dyDescent="0.25">
      <c r="A2667" s="67"/>
      <c r="B2667" s="67"/>
    </row>
    <row r="2668" spans="1:2" x14ac:dyDescent="0.25">
      <c r="A2668" s="67"/>
      <c r="B2668" s="67"/>
    </row>
    <row r="2669" spans="1:2" x14ac:dyDescent="0.25">
      <c r="A2669" s="67"/>
      <c r="B2669" s="67"/>
    </row>
    <row r="2670" spans="1:2" x14ac:dyDescent="0.25">
      <c r="A2670" s="67"/>
      <c r="B2670" s="67"/>
    </row>
    <row r="2671" spans="1:2" x14ac:dyDescent="0.25">
      <c r="A2671" s="67"/>
      <c r="B2671" s="67"/>
    </row>
    <row r="2672" spans="1:2" x14ac:dyDescent="0.25">
      <c r="A2672" s="67"/>
      <c r="B2672" s="67"/>
    </row>
    <row r="2673" spans="1:2" x14ac:dyDescent="0.25">
      <c r="A2673" s="67"/>
      <c r="B2673" s="67"/>
    </row>
    <row r="2674" spans="1:2" x14ac:dyDescent="0.25">
      <c r="A2674" s="67"/>
      <c r="B2674" s="67"/>
    </row>
    <row r="2675" spans="1:2" x14ac:dyDescent="0.25">
      <c r="A2675" s="67"/>
      <c r="B2675" s="67"/>
    </row>
    <row r="2676" spans="1:2" x14ac:dyDescent="0.25">
      <c r="A2676" s="67"/>
      <c r="B2676" s="67"/>
    </row>
    <row r="2677" spans="1:2" x14ac:dyDescent="0.25">
      <c r="A2677" s="67"/>
      <c r="B2677" s="67"/>
    </row>
    <row r="2678" spans="1:2" x14ac:dyDescent="0.25">
      <c r="A2678" s="67"/>
      <c r="B2678" s="67"/>
    </row>
    <row r="2679" spans="1:2" x14ac:dyDescent="0.25">
      <c r="A2679" s="67"/>
      <c r="B2679" s="67"/>
    </row>
    <row r="2680" spans="1:2" x14ac:dyDescent="0.25">
      <c r="A2680" s="67"/>
      <c r="B2680" s="67"/>
    </row>
    <row r="2681" spans="1:2" x14ac:dyDescent="0.25">
      <c r="A2681" s="67"/>
      <c r="B2681" s="67"/>
    </row>
    <row r="2682" spans="1:2" x14ac:dyDescent="0.25">
      <c r="A2682" s="67"/>
      <c r="B2682" s="67"/>
    </row>
    <row r="2683" spans="1:2" x14ac:dyDescent="0.25">
      <c r="A2683" s="67"/>
      <c r="B2683" s="67"/>
    </row>
    <row r="2684" spans="1:2" x14ac:dyDescent="0.25">
      <c r="A2684" s="67"/>
      <c r="B2684" s="67"/>
    </row>
    <row r="2685" spans="1:2" x14ac:dyDescent="0.25">
      <c r="A2685" s="67"/>
      <c r="B2685" s="67"/>
    </row>
    <row r="2686" spans="1:2" x14ac:dyDescent="0.25">
      <c r="A2686" s="67"/>
      <c r="B2686" s="67"/>
    </row>
    <row r="2687" spans="1:2" x14ac:dyDescent="0.25">
      <c r="A2687" s="67"/>
      <c r="B2687" s="67"/>
    </row>
    <row r="2688" spans="1:2" x14ac:dyDescent="0.25">
      <c r="A2688" s="67"/>
      <c r="B2688" s="67"/>
    </row>
    <row r="2689" spans="1:2" x14ac:dyDescent="0.25">
      <c r="A2689" s="67"/>
      <c r="B2689" s="67"/>
    </row>
    <row r="2690" spans="1:2" x14ac:dyDescent="0.25">
      <c r="A2690" s="67"/>
      <c r="B2690" s="67"/>
    </row>
    <row r="2691" spans="1:2" x14ac:dyDescent="0.25">
      <c r="A2691" s="67"/>
      <c r="B2691" s="67"/>
    </row>
    <row r="2692" spans="1:2" x14ac:dyDescent="0.25">
      <c r="A2692" s="67"/>
      <c r="B2692" s="67"/>
    </row>
    <row r="2693" spans="1:2" x14ac:dyDescent="0.25">
      <c r="A2693" s="67"/>
      <c r="B2693" s="67"/>
    </row>
    <row r="2694" spans="1:2" x14ac:dyDescent="0.25">
      <c r="A2694" s="67"/>
      <c r="B2694" s="67"/>
    </row>
    <row r="2695" spans="1:2" x14ac:dyDescent="0.25">
      <c r="A2695" s="67"/>
      <c r="B2695" s="67"/>
    </row>
    <row r="2696" spans="1:2" x14ac:dyDescent="0.25">
      <c r="A2696" s="67"/>
      <c r="B2696" s="67"/>
    </row>
    <row r="2697" spans="1:2" x14ac:dyDescent="0.25">
      <c r="A2697" s="67"/>
      <c r="B2697" s="67"/>
    </row>
    <row r="2698" spans="1:2" x14ac:dyDescent="0.25">
      <c r="A2698" s="67"/>
      <c r="B2698" s="67"/>
    </row>
    <row r="2699" spans="1:2" x14ac:dyDescent="0.25">
      <c r="A2699" s="67"/>
      <c r="B2699" s="67"/>
    </row>
    <row r="2700" spans="1:2" x14ac:dyDescent="0.25">
      <c r="A2700" s="67"/>
      <c r="B2700" s="67"/>
    </row>
    <row r="2701" spans="1:2" x14ac:dyDescent="0.25">
      <c r="A2701" s="67"/>
      <c r="B2701" s="67"/>
    </row>
    <row r="2702" spans="1:2" x14ac:dyDescent="0.25">
      <c r="A2702" s="67"/>
      <c r="B2702" s="67"/>
    </row>
    <row r="2703" spans="1:2" x14ac:dyDescent="0.25">
      <c r="A2703" s="67"/>
      <c r="B2703" s="67"/>
    </row>
    <row r="2704" spans="1:2" x14ac:dyDescent="0.25">
      <c r="A2704" s="67"/>
      <c r="B2704" s="67"/>
    </row>
    <row r="2705" spans="1:2" x14ac:dyDescent="0.25">
      <c r="A2705" s="67"/>
      <c r="B2705" s="67"/>
    </row>
    <row r="2706" spans="1:2" x14ac:dyDescent="0.25">
      <c r="A2706" s="67"/>
      <c r="B2706" s="67"/>
    </row>
    <row r="2707" spans="1:2" x14ac:dyDescent="0.25">
      <c r="A2707" s="67"/>
      <c r="B2707" s="67"/>
    </row>
    <row r="2708" spans="1:2" x14ac:dyDescent="0.25">
      <c r="A2708" s="67"/>
      <c r="B2708" s="67"/>
    </row>
    <row r="2709" spans="1:2" x14ac:dyDescent="0.25">
      <c r="A2709" s="67"/>
      <c r="B2709" s="67"/>
    </row>
    <row r="2710" spans="1:2" x14ac:dyDescent="0.25">
      <c r="A2710" s="67"/>
      <c r="B2710" s="67"/>
    </row>
    <row r="2711" spans="1:2" x14ac:dyDescent="0.25">
      <c r="A2711" s="67"/>
      <c r="B2711" s="67"/>
    </row>
    <row r="2712" spans="1:2" x14ac:dyDescent="0.25">
      <c r="A2712" s="67"/>
      <c r="B2712" s="67"/>
    </row>
    <row r="2713" spans="1:2" x14ac:dyDescent="0.25">
      <c r="A2713" s="67"/>
      <c r="B2713" s="67"/>
    </row>
    <row r="2714" spans="1:2" x14ac:dyDescent="0.25">
      <c r="A2714" s="67"/>
      <c r="B2714" s="67"/>
    </row>
    <row r="2715" spans="1:2" x14ac:dyDescent="0.25">
      <c r="A2715" s="67"/>
      <c r="B2715" s="67"/>
    </row>
    <row r="2716" spans="1:2" x14ac:dyDescent="0.25">
      <c r="A2716" s="67"/>
      <c r="B2716" s="67"/>
    </row>
    <row r="2717" spans="1:2" x14ac:dyDescent="0.25">
      <c r="A2717" s="67"/>
      <c r="B2717" s="67"/>
    </row>
    <row r="2718" spans="1:2" x14ac:dyDescent="0.25">
      <c r="A2718" s="67"/>
      <c r="B2718" s="67"/>
    </row>
    <row r="2719" spans="1:2" x14ac:dyDescent="0.25">
      <c r="A2719" s="67"/>
      <c r="B2719" s="67"/>
    </row>
    <row r="2720" spans="1:2" x14ac:dyDescent="0.25">
      <c r="A2720" s="67"/>
      <c r="B2720" s="67"/>
    </row>
    <row r="2721" spans="1:2" x14ac:dyDescent="0.25">
      <c r="A2721" s="67"/>
      <c r="B2721" s="67"/>
    </row>
    <row r="2722" spans="1:2" x14ac:dyDescent="0.25">
      <c r="A2722" s="67"/>
      <c r="B2722" s="67"/>
    </row>
    <row r="2723" spans="1:2" x14ac:dyDescent="0.25">
      <c r="A2723" s="67"/>
      <c r="B2723" s="67"/>
    </row>
    <row r="2724" spans="1:2" x14ac:dyDescent="0.25">
      <c r="A2724" s="67"/>
      <c r="B2724" s="67"/>
    </row>
    <row r="2725" spans="1:2" x14ac:dyDescent="0.25">
      <c r="A2725" s="67"/>
      <c r="B2725" s="67"/>
    </row>
    <row r="2726" spans="1:2" x14ac:dyDescent="0.25">
      <c r="A2726" s="67"/>
      <c r="B2726" s="67"/>
    </row>
    <row r="2727" spans="1:2" x14ac:dyDescent="0.25">
      <c r="A2727" s="67"/>
      <c r="B2727" s="67"/>
    </row>
    <row r="2728" spans="1:2" x14ac:dyDescent="0.25">
      <c r="A2728" s="67"/>
      <c r="B2728" s="67"/>
    </row>
    <row r="2729" spans="1:2" x14ac:dyDescent="0.25">
      <c r="A2729" s="67"/>
      <c r="B2729" s="67"/>
    </row>
    <row r="2730" spans="1:2" x14ac:dyDescent="0.25">
      <c r="A2730" s="67"/>
      <c r="B2730" s="67"/>
    </row>
    <row r="2731" spans="1:2" x14ac:dyDescent="0.25">
      <c r="A2731" s="67"/>
      <c r="B2731" s="67"/>
    </row>
    <row r="2732" spans="1:2" x14ac:dyDescent="0.25">
      <c r="A2732" s="67"/>
      <c r="B2732" s="67"/>
    </row>
    <row r="2733" spans="1:2" x14ac:dyDescent="0.25">
      <c r="A2733" s="67"/>
      <c r="B2733" s="67"/>
    </row>
    <row r="2734" spans="1:2" x14ac:dyDescent="0.25">
      <c r="A2734" s="67"/>
      <c r="B2734" s="67"/>
    </row>
    <row r="2735" spans="1:2" x14ac:dyDescent="0.25">
      <c r="A2735" s="67"/>
      <c r="B2735" s="67"/>
    </row>
    <row r="2736" spans="1:2" x14ac:dyDescent="0.25">
      <c r="A2736" s="67"/>
      <c r="B2736" s="67"/>
    </row>
    <row r="2737" spans="1:2" x14ac:dyDescent="0.25">
      <c r="A2737" s="67"/>
      <c r="B2737" s="67"/>
    </row>
    <row r="2738" spans="1:2" x14ac:dyDescent="0.25">
      <c r="A2738" s="67"/>
      <c r="B2738" s="67"/>
    </row>
    <row r="2739" spans="1:2" x14ac:dyDescent="0.25">
      <c r="A2739" s="67"/>
      <c r="B2739" s="67"/>
    </row>
    <row r="2740" spans="1:2" x14ac:dyDescent="0.25">
      <c r="A2740" s="67"/>
      <c r="B2740" s="67"/>
    </row>
    <row r="2741" spans="1:2" x14ac:dyDescent="0.25">
      <c r="A2741" s="67"/>
      <c r="B2741" s="67"/>
    </row>
    <row r="2742" spans="1:2" x14ac:dyDescent="0.25">
      <c r="A2742" s="67"/>
      <c r="B2742" s="67"/>
    </row>
    <row r="2743" spans="1:2" x14ac:dyDescent="0.25">
      <c r="A2743" s="67"/>
      <c r="B2743" s="67"/>
    </row>
    <row r="2744" spans="1:2" x14ac:dyDescent="0.25">
      <c r="A2744" s="67"/>
      <c r="B2744" s="67"/>
    </row>
    <row r="2745" spans="1:2" x14ac:dyDescent="0.25">
      <c r="A2745" s="67"/>
      <c r="B2745" s="67"/>
    </row>
    <row r="2746" spans="1:2" x14ac:dyDescent="0.25">
      <c r="A2746" s="67"/>
      <c r="B2746" s="67"/>
    </row>
    <row r="2747" spans="1:2" x14ac:dyDescent="0.25">
      <c r="A2747" s="67"/>
      <c r="B2747" s="67"/>
    </row>
    <row r="2748" spans="1:2" x14ac:dyDescent="0.25">
      <c r="A2748" s="67"/>
      <c r="B2748" s="67"/>
    </row>
    <row r="2749" spans="1:2" x14ac:dyDescent="0.25">
      <c r="A2749" s="67"/>
      <c r="B2749" s="67"/>
    </row>
    <row r="2750" spans="1:2" x14ac:dyDescent="0.25">
      <c r="A2750" s="67"/>
      <c r="B2750" s="67"/>
    </row>
    <row r="2751" spans="1:2" x14ac:dyDescent="0.25">
      <c r="A2751" s="67"/>
      <c r="B2751" s="67"/>
    </row>
    <row r="2752" spans="1:2" x14ac:dyDescent="0.25">
      <c r="A2752" s="67"/>
      <c r="B2752" s="67"/>
    </row>
    <row r="2753" spans="1:2" x14ac:dyDescent="0.25">
      <c r="A2753" s="67"/>
      <c r="B2753" s="67"/>
    </row>
    <row r="2754" spans="1:2" x14ac:dyDescent="0.25">
      <c r="A2754" s="67"/>
      <c r="B2754" s="67"/>
    </row>
    <row r="2755" spans="1:2" x14ac:dyDescent="0.25">
      <c r="A2755" s="67"/>
      <c r="B2755" s="67"/>
    </row>
    <row r="2756" spans="1:2" x14ac:dyDescent="0.25">
      <c r="A2756" s="67"/>
      <c r="B2756" s="67"/>
    </row>
    <row r="2757" spans="1:2" x14ac:dyDescent="0.25">
      <c r="A2757" s="67"/>
      <c r="B2757" s="67"/>
    </row>
    <row r="2758" spans="1:2" x14ac:dyDescent="0.25">
      <c r="A2758" s="67"/>
      <c r="B2758" s="67"/>
    </row>
    <row r="2759" spans="1:2" x14ac:dyDescent="0.25">
      <c r="A2759" s="67"/>
      <c r="B2759" s="67"/>
    </row>
    <row r="2760" spans="1:2" x14ac:dyDescent="0.25">
      <c r="A2760" s="67"/>
      <c r="B2760" s="67"/>
    </row>
    <row r="2761" spans="1:2" x14ac:dyDescent="0.25">
      <c r="A2761" s="67"/>
      <c r="B2761" s="67"/>
    </row>
    <row r="2762" spans="1:2" x14ac:dyDescent="0.25">
      <c r="A2762" s="67"/>
      <c r="B2762" s="67"/>
    </row>
    <row r="2763" spans="1:2" x14ac:dyDescent="0.25">
      <c r="A2763" s="67"/>
      <c r="B2763" s="67"/>
    </row>
    <row r="2764" spans="1:2" x14ac:dyDescent="0.25">
      <c r="A2764" s="67"/>
      <c r="B2764" s="67"/>
    </row>
    <row r="2765" spans="1:2" x14ac:dyDescent="0.25">
      <c r="A2765" s="67"/>
      <c r="B2765" s="67"/>
    </row>
    <row r="2766" spans="1:2" x14ac:dyDescent="0.25">
      <c r="A2766" s="67"/>
      <c r="B2766" s="67"/>
    </row>
    <row r="2767" spans="1:2" x14ac:dyDescent="0.25">
      <c r="A2767" s="67"/>
      <c r="B2767" s="67"/>
    </row>
    <row r="2768" spans="1:2" x14ac:dyDescent="0.25">
      <c r="A2768" s="67"/>
      <c r="B2768" s="67"/>
    </row>
    <row r="2769" spans="1:2" x14ac:dyDescent="0.25">
      <c r="A2769" s="67"/>
      <c r="B2769" s="67"/>
    </row>
    <row r="2770" spans="1:2" x14ac:dyDescent="0.25">
      <c r="A2770" s="67"/>
      <c r="B2770" s="67"/>
    </row>
    <row r="2771" spans="1:2" x14ac:dyDescent="0.25">
      <c r="A2771" s="67"/>
      <c r="B2771" s="67"/>
    </row>
    <row r="2772" spans="1:2" x14ac:dyDescent="0.25">
      <c r="A2772" s="67"/>
      <c r="B2772" s="67"/>
    </row>
    <row r="2773" spans="1:2" x14ac:dyDescent="0.25">
      <c r="A2773" s="67"/>
      <c r="B2773" s="67"/>
    </row>
    <row r="2774" spans="1:2" x14ac:dyDescent="0.25">
      <c r="A2774" s="67"/>
      <c r="B2774" s="67"/>
    </row>
    <row r="2775" spans="1:2" x14ac:dyDescent="0.25">
      <c r="A2775" s="67"/>
      <c r="B2775" s="67"/>
    </row>
    <row r="2776" spans="1:2" x14ac:dyDescent="0.25">
      <c r="A2776" s="67"/>
      <c r="B2776" s="67"/>
    </row>
    <row r="2777" spans="1:2" x14ac:dyDescent="0.25">
      <c r="A2777" s="67"/>
      <c r="B2777" s="67"/>
    </row>
    <row r="2778" spans="1:2" x14ac:dyDescent="0.25">
      <c r="A2778" s="67"/>
      <c r="B2778" s="67"/>
    </row>
    <row r="2779" spans="1:2" x14ac:dyDescent="0.25">
      <c r="A2779" s="67"/>
      <c r="B2779" s="67"/>
    </row>
    <row r="2780" spans="1:2" x14ac:dyDescent="0.25">
      <c r="A2780" s="67"/>
      <c r="B2780" s="67"/>
    </row>
    <row r="2781" spans="1:2" x14ac:dyDescent="0.25">
      <c r="A2781" s="67"/>
      <c r="B2781" s="67"/>
    </row>
    <row r="2782" spans="1:2" x14ac:dyDescent="0.25">
      <c r="A2782" s="67"/>
      <c r="B2782" s="67"/>
    </row>
    <row r="2783" spans="1:2" x14ac:dyDescent="0.25">
      <c r="A2783" s="67"/>
      <c r="B2783" s="67"/>
    </row>
    <row r="2784" spans="1:2" x14ac:dyDescent="0.25">
      <c r="A2784" s="67"/>
      <c r="B2784" s="67"/>
    </row>
    <row r="2785" spans="1:2" x14ac:dyDescent="0.25">
      <c r="A2785" s="67"/>
      <c r="B2785" s="67"/>
    </row>
    <row r="2786" spans="1:2" x14ac:dyDescent="0.25">
      <c r="A2786" s="67"/>
      <c r="B2786" s="67"/>
    </row>
    <row r="2787" spans="1:2" x14ac:dyDescent="0.25">
      <c r="A2787" s="67"/>
      <c r="B2787" s="67"/>
    </row>
    <row r="2788" spans="1:2" x14ac:dyDescent="0.25">
      <c r="A2788" s="67"/>
      <c r="B2788" s="67"/>
    </row>
    <row r="2789" spans="1:2" x14ac:dyDescent="0.25">
      <c r="A2789" s="67"/>
      <c r="B2789" s="67"/>
    </row>
    <row r="2790" spans="1:2" x14ac:dyDescent="0.25">
      <c r="A2790" s="67"/>
      <c r="B2790" s="67"/>
    </row>
    <row r="2791" spans="1:2" x14ac:dyDescent="0.25">
      <c r="A2791" s="67"/>
      <c r="B2791" s="67"/>
    </row>
    <row r="2792" spans="1:2" x14ac:dyDescent="0.25">
      <c r="A2792" s="67"/>
      <c r="B2792" s="67"/>
    </row>
    <row r="2793" spans="1:2" x14ac:dyDescent="0.25">
      <c r="A2793" s="67"/>
      <c r="B2793" s="67"/>
    </row>
    <row r="2794" spans="1:2" x14ac:dyDescent="0.25">
      <c r="A2794" s="67"/>
      <c r="B2794" s="67"/>
    </row>
    <row r="2795" spans="1:2" x14ac:dyDescent="0.25">
      <c r="A2795" s="67"/>
      <c r="B2795" s="67"/>
    </row>
    <row r="2796" spans="1:2" x14ac:dyDescent="0.25">
      <c r="A2796" s="67"/>
      <c r="B2796" s="67"/>
    </row>
    <row r="2797" spans="1:2" x14ac:dyDescent="0.25">
      <c r="A2797" s="67"/>
      <c r="B2797" s="67"/>
    </row>
    <row r="2798" spans="1:2" x14ac:dyDescent="0.25">
      <c r="A2798" s="67"/>
      <c r="B2798" s="67"/>
    </row>
    <row r="2799" spans="1:2" x14ac:dyDescent="0.25">
      <c r="A2799" s="67"/>
      <c r="B2799" s="67"/>
    </row>
    <row r="2800" spans="1:2" x14ac:dyDescent="0.25">
      <c r="A2800" s="67"/>
      <c r="B2800" s="67"/>
    </row>
    <row r="2801" spans="1:2" x14ac:dyDescent="0.25">
      <c r="A2801" s="67"/>
      <c r="B2801" s="67"/>
    </row>
    <row r="2802" spans="1:2" x14ac:dyDescent="0.25">
      <c r="A2802" s="67"/>
      <c r="B2802" s="67"/>
    </row>
    <row r="2803" spans="1:2" x14ac:dyDescent="0.25">
      <c r="A2803" s="67"/>
      <c r="B2803" s="67"/>
    </row>
    <row r="2804" spans="1:2" x14ac:dyDescent="0.25">
      <c r="A2804" s="67"/>
      <c r="B2804" s="67"/>
    </row>
    <row r="2805" spans="1:2" x14ac:dyDescent="0.25">
      <c r="A2805" s="67"/>
      <c r="B2805" s="67"/>
    </row>
    <row r="2806" spans="1:2" x14ac:dyDescent="0.25">
      <c r="A2806" s="67"/>
      <c r="B2806" s="67"/>
    </row>
    <row r="2807" spans="1:2" x14ac:dyDescent="0.25">
      <c r="A2807" s="67"/>
      <c r="B2807" s="67"/>
    </row>
    <row r="2808" spans="1:2" x14ac:dyDescent="0.25">
      <c r="A2808" s="67"/>
      <c r="B2808" s="67"/>
    </row>
    <row r="2809" spans="1:2" x14ac:dyDescent="0.25">
      <c r="A2809" s="67"/>
      <c r="B2809" s="67"/>
    </row>
    <row r="2810" spans="1:2" x14ac:dyDescent="0.25">
      <c r="A2810" s="67"/>
      <c r="B2810" s="67"/>
    </row>
    <row r="2811" spans="1:2" x14ac:dyDescent="0.25">
      <c r="A2811" s="67"/>
      <c r="B2811" s="67"/>
    </row>
    <row r="2812" spans="1:2" x14ac:dyDescent="0.25">
      <c r="A2812" s="67"/>
      <c r="B2812" s="67"/>
    </row>
    <row r="2813" spans="1:2" x14ac:dyDescent="0.25">
      <c r="A2813" s="67"/>
      <c r="B2813" s="67"/>
    </row>
    <row r="2814" spans="1:2" x14ac:dyDescent="0.25">
      <c r="A2814" s="67"/>
      <c r="B2814" s="67"/>
    </row>
    <row r="2815" spans="1:2" x14ac:dyDescent="0.25">
      <c r="A2815" s="67"/>
      <c r="B2815" s="67"/>
    </row>
    <row r="2816" spans="1:2" x14ac:dyDescent="0.25">
      <c r="A2816" s="67"/>
      <c r="B2816" s="67"/>
    </row>
    <row r="2817" spans="1:2" x14ac:dyDescent="0.25">
      <c r="A2817" s="67"/>
      <c r="B2817" s="67"/>
    </row>
    <row r="2818" spans="1:2" x14ac:dyDescent="0.25">
      <c r="A2818" s="67"/>
      <c r="B2818" s="67"/>
    </row>
    <row r="2819" spans="1:2" x14ac:dyDescent="0.25">
      <c r="A2819" s="67"/>
      <c r="B2819" s="67"/>
    </row>
    <row r="2820" spans="1:2" x14ac:dyDescent="0.25">
      <c r="A2820" s="67"/>
      <c r="B2820" s="67"/>
    </row>
    <row r="2821" spans="1:2" x14ac:dyDescent="0.25">
      <c r="A2821" s="67"/>
      <c r="B2821" s="67"/>
    </row>
    <row r="2822" spans="1:2" x14ac:dyDescent="0.25">
      <c r="A2822" s="67"/>
      <c r="B2822" s="67"/>
    </row>
    <row r="2823" spans="1:2" x14ac:dyDescent="0.25">
      <c r="A2823" s="67"/>
      <c r="B2823" s="67"/>
    </row>
    <row r="2824" spans="1:2" x14ac:dyDescent="0.25">
      <c r="A2824" s="67"/>
      <c r="B2824" s="67"/>
    </row>
    <row r="2825" spans="1:2" x14ac:dyDescent="0.25">
      <c r="A2825" s="67"/>
      <c r="B2825" s="67"/>
    </row>
    <row r="2826" spans="1:2" x14ac:dyDescent="0.25">
      <c r="A2826" s="67"/>
      <c r="B2826" s="67"/>
    </row>
    <row r="2827" spans="1:2" x14ac:dyDescent="0.25">
      <c r="A2827" s="67"/>
      <c r="B2827" s="67"/>
    </row>
    <row r="2828" spans="1:2" x14ac:dyDescent="0.25">
      <c r="A2828" s="67"/>
      <c r="B2828" s="67"/>
    </row>
    <row r="2829" spans="1:2" x14ac:dyDescent="0.25">
      <c r="A2829" s="67"/>
      <c r="B2829" s="67"/>
    </row>
    <row r="2830" spans="1:2" x14ac:dyDescent="0.25">
      <c r="A2830" s="67"/>
      <c r="B2830" s="67"/>
    </row>
    <row r="2831" spans="1:2" x14ac:dyDescent="0.25">
      <c r="A2831" s="67"/>
      <c r="B2831" s="67"/>
    </row>
    <row r="2832" spans="1:2" x14ac:dyDescent="0.25">
      <c r="A2832" s="67"/>
      <c r="B2832" s="67"/>
    </row>
    <row r="2833" spans="1:2" x14ac:dyDescent="0.25">
      <c r="A2833" s="67"/>
      <c r="B2833" s="67"/>
    </row>
    <row r="2834" spans="1:2" x14ac:dyDescent="0.25">
      <c r="A2834" s="67"/>
      <c r="B2834" s="67"/>
    </row>
    <row r="2835" spans="1:2" x14ac:dyDescent="0.25">
      <c r="A2835" s="67"/>
      <c r="B2835" s="67"/>
    </row>
    <row r="2836" spans="1:2" x14ac:dyDescent="0.25">
      <c r="A2836" s="67"/>
      <c r="B2836" s="67"/>
    </row>
    <row r="2837" spans="1:2" x14ac:dyDescent="0.25">
      <c r="A2837" s="67"/>
      <c r="B2837" s="67"/>
    </row>
    <row r="2838" spans="1:2" x14ac:dyDescent="0.25">
      <c r="A2838" s="67"/>
      <c r="B2838" s="67"/>
    </row>
    <row r="2839" spans="1:2" x14ac:dyDescent="0.25">
      <c r="A2839" s="67"/>
      <c r="B2839" s="67"/>
    </row>
    <row r="2840" spans="1:2" x14ac:dyDescent="0.25">
      <c r="A2840" s="67"/>
      <c r="B2840" s="67"/>
    </row>
    <row r="2841" spans="1:2" x14ac:dyDescent="0.25">
      <c r="A2841" s="67"/>
      <c r="B2841" s="67"/>
    </row>
    <row r="2842" spans="1:2" x14ac:dyDescent="0.25">
      <c r="A2842" s="67"/>
      <c r="B2842" s="67"/>
    </row>
    <row r="2843" spans="1:2" x14ac:dyDescent="0.25">
      <c r="A2843" s="67"/>
      <c r="B2843" s="67"/>
    </row>
    <row r="2844" spans="1:2" x14ac:dyDescent="0.25">
      <c r="A2844" s="67"/>
      <c r="B2844" s="67"/>
    </row>
    <row r="2845" spans="1:2" x14ac:dyDescent="0.25">
      <c r="A2845" s="67"/>
      <c r="B2845" s="67"/>
    </row>
    <row r="2846" spans="1:2" x14ac:dyDescent="0.25">
      <c r="A2846" s="67"/>
      <c r="B2846" s="67"/>
    </row>
    <row r="2847" spans="1:2" x14ac:dyDescent="0.25">
      <c r="A2847" s="67"/>
      <c r="B2847" s="67"/>
    </row>
    <row r="2848" spans="1:2" x14ac:dyDescent="0.25">
      <c r="A2848" s="67"/>
      <c r="B2848" s="67"/>
    </row>
    <row r="2849" spans="1:2" x14ac:dyDescent="0.25">
      <c r="A2849" s="67"/>
      <c r="B2849" s="67"/>
    </row>
    <row r="2850" spans="1:2" x14ac:dyDescent="0.25">
      <c r="A2850" s="67"/>
      <c r="B2850" s="67"/>
    </row>
    <row r="2851" spans="1:2" x14ac:dyDescent="0.25">
      <c r="A2851" s="67"/>
      <c r="B2851" s="67"/>
    </row>
    <row r="2852" spans="1:2" x14ac:dyDescent="0.25">
      <c r="A2852" s="67"/>
      <c r="B2852" s="67"/>
    </row>
    <row r="2853" spans="1:2" x14ac:dyDescent="0.25">
      <c r="A2853" s="67"/>
      <c r="B2853" s="67"/>
    </row>
    <row r="2854" spans="1:2" x14ac:dyDescent="0.25">
      <c r="A2854" s="67"/>
      <c r="B2854" s="67"/>
    </row>
    <row r="2855" spans="1:2" x14ac:dyDescent="0.25">
      <c r="A2855" s="67"/>
      <c r="B2855" s="67"/>
    </row>
    <row r="2856" spans="1:2" x14ac:dyDescent="0.25">
      <c r="A2856" s="67"/>
      <c r="B2856" s="67"/>
    </row>
    <row r="2857" spans="1:2" x14ac:dyDescent="0.25">
      <c r="A2857" s="67"/>
      <c r="B2857" s="67"/>
    </row>
    <row r="2858" spans="1:2" x14ac:dyDescent="0.25">
      <c r="A2858" s="67"/>
      <c r="B2858" s="67"/>
    </row>
    <row r="2859" spans="1:2" x14ac:dyDescent="0.25">
      <c r="A2859" s="67"/>
      <c r="B2859" s="67"/>
    </row>
    <row r="2860" spans="1:2" x14ac:dyDescent="0.25">
      <c r="A2860" s="67"/>
      <c r="B2860" s="67"/>
    </row>
    <row r="2861" spans="1:2" x14ac:dyDescent="0.25">
      <c r="A2861" s="67"/>
      <c r="B2861" s="67"/>
    </row>
    <row r="2862" spans="1:2" x14ac:dyDescent="0.25">
      <c r="A2862" s="67"/>
      <c r="B2862" s="67"/>
    </row>
    <row r="2863" spans="1:2" x14ac:dyDescent="0.25">
      <c r="A2863" s="67"/>
      <c r="B2863" s="67"/>
    </row>
    <row r="2864" spans="1:2" x14ac:dyDescent="0.25">
      <c r="A2864" s="67"/>
      <c r="B2864" s="67"/>
    </row>
    <row r="2865" spans="1:2" x14ac:dyDescent="0.25">
      <c r="A2865" s="67"/>
      <c r="B2865" s="67"/>
    </row>
    <row r="2866" spans="1:2" x14ac:dyDescent="0.25">
      <c r="A2866" s="67"/>
      <c r="B2866" s="67"/>
    </row>
    <row r="2867" spans="1:2" x14ac:dyDescent="0.25">
      <c r="A2867" s="67"/>
      <c r="B2867" s="67"/>
    </row>
    <row r="2868" spans="1:2" x14ac:dyDescent="0.25">
      <c r="A2868" s="67"/>
      <c r="B2868" s="67"/>
    </row>
    <row r="2869" spans="1:2" x14ac:dyDescent="0.25">
      <c r="A2869" s="67"/>
      <c r="B2869" s="67"/>
    </row>
    <row r="2870" spans="1:2" x14ac:dyDescent="0.25">
      <c r="A2870" s="67"/>
      <c r="B2870" s="67"/>
    </row>
    <row r="2871" spans="1:2" x14ac:dyDescent="0.25">
      <c r="A2871" s="67"/>
      <c r="B2871" s="67"/>
    </row>
    <row r="2872" spans="1:2" x14ac:dyDescent="0.25">
      <c r="A2872" s="67"/>
      <c r="B2872" s="67"/>
    </row>
    <row r="2873" spans="1:2" x14ac:dyDescent="0.25">
      <c r="A2873" s="67"/>
      <c r="B2873" s="67"/>
    </row>
    <row r="2874" spans="1:2" x14ac:dyDescent="0.25">
      <c r="A2874" s="67"/>
      <c r="B2874" s="67"/>
    </row>
    <row r="2875" spans="1:2" x14ac:dyDescent="0.25">
      <c r="A2875" s="67"/>
      <c r="B2875" s="67"/>
    </row>
    <row r="2876" spans="1:2" x14ac:dyDescent="0.25">
      <c r="A2876" s="67"/>
      <c r="B2876" s="67"/>
    </row>
    <row r="2877" spans="1:2" x14ac:dyDescent="0.25">
      <c r="A2877" s="67"/>
      <c r="B2877" s="67"/>
    </row>
    <row r="2878" spans="1:2" x14ac:dyDescent="0.25">
      <c r="A2878" s="67"/>
      <c r="B2878" s="67"/>
    </row>
    <row r="2879" spans="1:2" x14ac:dyDescent="0.25">
      <c r="A2879" s="67"/>
      <c r="B2879" s="67"/>
    </row>
    <row r="2880" spans="1:2" x14ac:dyDescent="0.25">
      <c r="A2880" s="67"/>
      <c r="B2880" s="67"/>
    </row>
    <row r="2881" spans="1:2" x14ac:dyDescent="0.25">
      <c r="A2881" s="67"/>
      <c r="B2881" s="67"/>
    </row>
    <row r="2882" spans="1:2" x14ac:dyDescent="0.25">
      <c r="A2882" s="67"/>
      <c r="B2882" s="67"/>
    </row>
    <row r="2883" spans="1:2" x14ac:dyDescent="0.25">
      <c r="A2883" s="67"/>
      <c r="B2883" s="67"/>
    </row>
    <row r="2884" spans="1:2" x14ac:dyDescent="0.25">
      <c r="A2884" s="67"/>
      <c r="B2884" s="67"/>
    </row>
    <row r="2885" spans="1:2" x14ac:dyDescent="0.25">
      <c r="A2885" s="67"/>
      <c r="B2885" s="67"/>
    </row>
    <row r="2886" spans="1:2" x14ac:dyDescent="0.25">
      <c r="A2886" s="67"/>
      <c r="B2886" s="67"/>
    </row>
    <row r="2887" spans="1:2" x14ac:dyDescent="0.25">
      <c r="A2887" s="67"/>
      <c r="B2887" s="67"/>
    </row>
    <row r="2888" spans="1:2" x14ac:dyDescent="0.25">
      <c r="A2888" s="67"/>
      <c r="B2888" s="67"/>
    </row>
    <row r="2889" spans="1:2" x14ac:dyDescent="0.25">
      <c r="A2889" s="67"/>
      <c r="B2889" s="67"/>
    </row>
    <row r="2890" spans="1:2" x14ac:dyDescent="0.25">
      <c r="A2890" s="67"/>
      <c r="B2890" s="67"/>
    </row>
    <row r="2891" spans="1:2" x14ac:dyDescent="0.25">
      <c r="A2891" s="67"/>
      <c r="B2891" s="67"/>
    </row>
    <row r="2892" spans="1:2" x14ac:dyDescent="0.25">
      <c r="A2892" s="67"/>
      <c r="B2892" s="67"/>
    </row>
    <row r="2893" spans="1:2" x14ac:dyDescent="0.25">
      <c r="A2893" s="67"/>
      <c r="B2893" s="67"/>
    </row>
    <row r="2894" spans="1:2" x14ac:dyDescent="0.25">
      <c r="A2894" s="67"/>
      <c r="B2894" s="67"/>
    </row>
    <row r="2895" spans="1:2" x14ac:dyDescent="0.25">
      <c r="A2895" s="67"/>
      <c r="B2895" s="67"/>
    </row>
    <row r="2896" spans="1:2" x14ac:dyDescent="0.25">
      <c r="A2896" s="67"/>
      <c r="B2896" s="67"/>
    </row>
    <row r="2897" spans="1:2" x14ac:dyDescent="0.25">
      <c r="A2897" s="67"/>
      <c r="B2897" s="67"/>
    </row>
    <row r="2898" spans="1:2" x14ac:dyDescent="0.25">
      <c r="A2898" s="67"/>
      <c r="B2898" s="67"/>
    </row>
    <row r="2899" spans="1:2" x14ac:dyDescent="0.25">
      <c r="A2899" s="67"/>
      <c r="B2899" s="67"/>
    </row>
    <row r="2900" spans="1:2" x14ac:dyDescent="0.25">
      <c r="A2900" s="67"/>
      <c r="B2900" s="67"/>
    </row>
    <row r="2901" spans="1:2" x14ac:dyDescent="0.25">
      <c r="A2901" s="67"/>
      <c r="B2901" s="67"/>
    </row>
    <row r="2902" spans="1:2" x14ac:dyDescent="0.25">
      <c r="A2902" s="67"/>
      <c r="B2902" s="67"/>
    </row>
    <row r="2903" spans="1:2" x14ac:dyDescent="0.25">
      <c r="A2903" s="67"/>
      <c r="B2903" s="67"/>
    </row>
    <row r="2904" spans="1:2" x14ac:dyDescent="0.25">
      <c r="A2904" s="67"/>
      <c r="B2904" s="67"/>
    </row>
    <row r="2905" spans="1:2" x14ac:dyDescent="0.25">
      <c r="A2905" s="67"/>
      <c r="B2905" s="67"/>
    </row>
    <row r="2906" spans="1:2" x14ac:dyDescent="0.25">
      <c r="A2906" s="67"/>
      <c r="B2906" s="67"/>
    </row>
    <row r="2907" spans="1:2" x14ac:dyDescent="0.25">
      <c r="A2907" s="67"/>
      <c r="B2907" s="67"/>
    </row>
    <row r="2908" spans="1:2" x14ac:dyDescent="0.25">
      <c r="A2908" s="67"/>
      <c r="B2908" s="67"/>
    </row>
    <row r="2909" spans="1:2" x14ac:dyDescent="0.25">
      <c r="A2909" s="67"/>
      <c r="B2909" s="67"/>
    </row>
    <row r="2910" spans="1:2" x14ac:dyDescent="0.25">
      <c r="A2910" s="67"/>
      <c r="B2910" s="67"/>
    </row>
    <row r="2911" spans="1:2" x14ac:dyDescent="0.25">
      <c r="A2911" s="67"/>
      <c r="B2911" s="67"/>
    </row>
    <row r="2912" spans="1:2" x14ac:dyDescent="0.25">
      <c r="A2912" s="67"/>
      <c r="B2912" s="67"/>
    </row>
    <row r="2913" spans="1:2" x14ac:dyDescent="0.25">
      <c r="A2913" s="67"/>
      <c r="B2913" s="67"/>
    </row>
    <row r="2914" spans="1:2" x14ac:dyDescent="0.25">
      <c r="A2914" s="67"/>
      <c r="B2914" s="67"/>
    </row>
    <row r="2915" spans="1:2" x14ac:dyDescent="0.25">
      <c r="A2915" s="67"/>
      <c r="B2915" s="67"/>
    </row>
    <row r="2916" spans="1:2" x14ac:dyDescent="0.25">
      <c r="A2916" s="67"/>
      <c r="B2916" s="67"/>
    </row>
    <row r="2917" spans="1:2" x14ac:dyDescent="0.25">
      <c r="A2917" s="67"/>
      <c r="B2917" s="67"/>
    </row>
    <row r="2918" spans="1:2" x14ac:dyDescent="0.25">
      <c r="A2918" s="67"/>
      <c r="B2918" s="67"/>
    </row>
    <row r="2919" spans="1:2" x14ac:dyDescent="0.25">
      <c r="A2919" s="67"/>
      <c r="B2919" s="67"/>
    </row>
    <row r="2920" spans="1:2" x14ac:dyDescent="0.25">
      <c r="A2920" s="67"/>
      <c r="B2920" s="67"/>
    </row>
    <row r="2921" spans="1:2" x14ac:dyDescent="0.25">
      <c r="A2921" s="67"/>
      <c r="B2921" s="67"/>
    </row>
    <row r="2922" spans="1:2" x14ac:dyDescent="0.25">
      <c r="A2922" s="67"/>
      <c r="B2922" s="67"/>
    </row>
    <row r="2923" spans="1:2" x14ac:dyDescent="0.25">
      <c r="A2923" s="67"/>
      <c r="B2923" s="67"/>
    </row>
    <row r="2924" spans="1:2" x14ac:dyDescent="0.25">
      <c r="A2924" s="67"/>
      <c r="B2924" s="67"/>
    </row>
    <row r="2925" spans="1:2" x14ac:dyDescent="0.25">
      <c r="A2925" s="67"/>
      <c r="B2925" s="67"/>
    </row>
    <row r="2926" spans="1:2" x14ac:dyDescent="0.25">
      <c r="A2926" s="67"/>
      <c r="B2926" s="67"/>
    </row>
    <row r="2927" spans="1:2" x14ac:dyDescent="0.25">
      <c r="A2927" s="67"/>
      <c r="B2927" s="67"/>
    </row>
    <row r="2928" spans="1:2" x14ac:dyDescent="0.25">
      <c r="A2928" s="67"/>
      <c r="B2928" s="67"/>
    </row>
    <row r="2929" spans="1:2" x14ac:dyDescent="0.25">
      <c r="A2929" s="67"/>
      <c r="B2929" s="67"/>
    </row>
    <row r="2930" spans="1:2" x14ac:dyDescent="0.25">
      <c r="A2930" s="67"/>
      <c r="B2930" s="67"/>
    </row>
    <row r="2931" spans="1:2" x14ac:dyDescent="0.25">
      <c r="A2931" s="67"/>
      <c r="B2931" s="67"/>
    </row>
    <row r="2932" spans="1:2" x14ac:dyDescent="0.25">
      <c r="A2932" s="67"/>
      <c r="B2932" s="67"/>
    </row>
    <row r="2933" spans="1:2" x14ac:dyDescent="0.25">
      <c r="A2933" s="67"/>
      <c r="B2933" s="67"/>
    </row>
    <row r="2934" spans="1:2" x14ac:dyDescent="0.25">
      <c r="A2934" s="67"/>
      <c r="B2934" s="67"/>
    </row>
    <row r="2935" spans="1:2" x14ac:dyDescent="0.25">
      <c r="A2935" s="67"/>
      <c r="B2935" s="67"/>
    </row>
    <row r="2936" spans="1:2" x14ac:dyDescent="0.25">
      <c r="A2936" s="67"/>
      <c r="B2936" s="67"/>
    </row>
    <row r="2937" spans="1:2" x14ac:dyDescent="0.25">
      <c r="A2937" s="67"/>
      <c r="B2937" s="67"/>
    </row>
    <row r="2938" spans="1:2" x14ac:dyDescent="0.25">
      <c r="A2938" s="67"/>
      <c r="B2938" s="67"/>
    </row>
    <row r="2939" spans="1:2" x14ac:dyDescent="0.25">
      <c r="A2939" s="67"/>
      <c r="B2939" s="67"/>
    </row>
    <row r="2940" spans="1:2" x14ac:dyDescent="0.25">
      <c r="A2940" s="67"/>
      <c r="B2940" s="67"/>
    </row>
    <row r="2941" spans="1:2" x14ac:dyDescent="0.25">
      <c r="A2941" s="67"/>
      <c r="B2941" s="67"/>
    </row>
    <row r="2942" spans="1:2" x14ac:dyDescent="0.25">
      <c r="A2942" s="67"/>
      <c r="B2942" s="67"/>
    </row>
    <row r="2943" spans="1:2" x14ac:dyDescent="0.25">
      <c r="A2943" s="67"/>
      <c r="B2943" s="67"/>
    </row>
    <row r="2944" spans="1:2" x14ac:dyDescent="0.25">
      <c r="A2944" s="67"/>
      <c r="B2944" s="67"/>
    </row>
    <row r="2945" spans="1:2" x14ac:dyDescent="0.25">
      <c r="A2945" s="67"/>
      <c r="B2945" s="67"/>
    </row>
    <row r="2946" spans="1:2" x14ac:dyDescent="0.25">
      <c r="A2946" s="67"/>
      <c r="B2946" s="67"/>
    </row>
    <row r="2947" spans="1:2" x14ac:dyDescent="0.25">
      <c r="A2947" s="67"/>
      <c r="B2947" s="67"/>
    </row>
    <row r="2948" spans="1:2" x14ac:dyDescent="0.25">
      <c r="A2948" s="67"/>
      <c r="B2948" s="67"/>
    </row>
    <row r="2949" spans="1:2" x14ac:dyDescent="0.25">
      <c r="A2949" s="67"/>
      <c r="B2949" s="67"/>
    </row>
    <row r="2950" spans="1:2" x14ac:dyDescent="0.25">
      <c r="A2950" s="67"/>
      <c r="B2950" s="67"/>
    </row>
    <row r="2951" spans="1:2" x14ac:dyDescent="0.25">
      <c r="A2951" s="67"/>
      <c r="B2951" s="67"/>
    </row>
    <row r="2952" spans="1:2" x14ac:dyDescent="0.25">
      <c r="A2952" s="67"/>
      <c r="B2952" s="67"/>
    </row>
    <row r="2953" spans="1:2" x14ac:dyDescent="0.25">
      <c r="A2953" s="67"/>
      <c r="B2953" s="67"/>
    </row>
    <row r="2954" spans="1:2" x14ac:dyDescent="0.25">
      <c r="A2954" s="67"/>
      <c r="B2954" s="67"/>
    </row>
    <row r="2955" spans="1:2" x14ac:dyDescent="0.25">
      <c r="A2955" s="67"/>
      <c r="B2955" s="67"/>
    </row>
    <row r="2956" spans="1:2" x14ac:dyDescent="0.25">
      <c r="A2956" s="67"/>
      <c r="B2956" s="67"/>
    </row>
    <row r="2957" spans="1:2" x14ac:dyDescent="0.25">
      <c r="A2957" s="67"/>
      <c r="B2957" s="67"/>
    </row>
    <row r="2958" spans="1:2" x14ac:dyDescent="0.25">
      <c r="A2958" s="67"/>
      <c r="B2958" s="67"/>
    </row>
    <row r="2959" spans="1:2" x14ac:dyDescent="0.25">
      <c r="A2959" s="67"/>
      <c r="B2959" s="67"/>
    </row>
    <row r="2960" spans="1:2" x14ac:dyDescent="0.25">
      <c r="A2960" s="67"/>
      <c r="B2960" s="67"/>
    </row>
    <row r="2961" spans="1:2" x14ac:dyDescent="0.25">
      <c r="A2961" s="67"/>
      <c r="B2961" s="67"/>
    </row>
    <row r="2962" spans="1:2" x14ac:dyDescent="0.25">
      <c r="A2962" s="67"/>
      <c r="B2962" s="67"/>
    </row>
    <row r="2963" spans="1:2" x14ac:dyDescent="0.25">
      <c r="A2963" s="67"/>
      <c r="B2963" s="67"/>
    </row>
    <row r="2964" spans="1:2" x14ac:dyDescent="0.25">
      <c r="A2964" s="67"/>
      <c r="B2964" s="67"/>
    </row>
    <row r="2965" spans="1:2" x14ac:dyDescent="0.25">
      <c r="A2965" s="67"/>
      <c r="B2965" s="67"/>
    </row>
    <row r="2966" spans="1:2" x14ac:dyDescent="0.25">
      <c r="A2966" s="67"/>
      <c r="B2966" s="67"/>
    </row>
    <row r="2967" spans="1:2" x14ac:dyDescent="0.25">
      <c r="A2967" s="67"/>
      <c r="B2967" s="67"/>
    </row>
    <row r="2968" spans="1:2" x14ac:dyDescent="0.25">
      <c r="A2968" s="67"/>
      <c r="B2968" s="67"/>
    </row>
    <row r="2969" spans="1:2" x14ac:dyDescent="0.25">
      <c r="A2969" s="67"/>
      <c r="B2969" s="67"/>
    </row>
    <row r="2970" spans="1:2" x14ac:dyDescent="0.25">
      <c r="A2970" s="67"/>
      <c r="B2970" s="67"/>
    </row>
    <row r="2971" spans="1:2" x14ac:dyDescent="0.25">
      <c r="A2971" s="67"/>
      <c r="B2971" s="67"/>
    </row>
    <row r="2972" spans="1:2" x14ac:dyDescent="0.25">
      <c r="A2972" s="67"/>
      <c r="B2972" s="67"/>
    </row>
    <row r="2973" spans="1:2" x14ac:dyDescent="0.25">
      <c r="A2973" s="67"/>
      <c r="B2973" s="67"/>
    </row>
    <row r="2974" spans="1:2" x14ac:dyDescent="0.25">
      <c r="A2974" s="67"/>
      <c r="B2974" s="67"/>
    </row>
    <row r="2975" spans="1:2" x14ac:dyDescent="0.25">
      <c r="A2975" s="67"/>
      <c r="B2975" s="67"/>
    </row>
    <row r="2976" spans="1:2" x14ac:dyDescent="0.25">
      <c r="A2976" s="67"/>
      <c r="B2976" s="67"/>
    </row>
    <row r="2977" spans="1:2" x14ac:dyDescent="0.25">
      <c r="A2977" s="67"/>
      <c r="B2977" s="67"/>
    </row>
    <row r="2978" spans="1:2" x14ac:dyDescent="0.25">
      <c r="A2978" s="67"/>
      <c r="B2978" s="67"/>
    </row>
    <row r="2979" spans="1:2" x14ac:dyDescent="0.25">
      <c r="A2979" s="67"/>
      <c r="B2979" s="67"/>
    </row>
    <row r="2980" spans="1:2" x14ac:dyDescent="0.25">
      <c r="A2980" s="67"/>
      <c r="B2980" s="67"/>
    </row>
    <row r="2981" spans="1:2" x14ac:dyDescent="0.25">
      <c r="A2981" s="67"/>
      <c r="B2981" s="67"/>
    </row>
    <row r="2982" spans="1:2" x14ac:dyDescent="0.25">
      <c r="A2982" s="67"/>
      <c r="B2982" s="67"/>
    </row>
    <row r="2983" spans="1:2" x14ac:dyDescent="0.25">
      <c r="A2983" s="67"/>
      <c r="B2983" s="67"/>
    </row>
    <row r="2984" spans="1:2" x14ac:dyDescent="0.25">
      <c r="A2984" s="67"/>
      <c r="B2984" s="67"/>
    </row>
    <row r="2985" spans="1:2" x14ac:dyDescent="0.25">
      <c r="A2985" s="67"/>
      <c r="B2985" s="67"/>
    </row>
    <row r="2986" spans="1:2" x14ac:dyDescent="0.25">
      <c r="A2986" s="67"/>
      <c r="B2986" s="67"/>
    </row>
    <row r="2987" spans="1:2" x14ac:dyDescent="0.25">
      <c r="A2987" s="67"/>
      <c r="B2987" s="67"/>
    </row>
    <row r="2988" spans="1:2" x14ac:dyDescent="0.25">
      <c r="A2988" s="67"/>
      <c r="B2988" s="67"/>
    </row>
    <row r="2989" spans="1:2" x14ac:dyDescent="0.25">
      <c r="A2989" s="67"/>
      <c r="B2989" s="67"/>
    </row>
    <row r="2990" spans="1:2" x14ac:dyDescent="0.25">
      <c r="A2990" s="67"/>
      <c r="B2990" s="67"/>
    </row>
    <row r="2991" spans="1:2" x14ac:dyDescent="0.25">
      <c r="A2991" s="67"/>
      <c r="B2991" s="67"/>
    </row>
    <row r="2992" spans="1:2" x14ac:dyDescent="0.25">
      <c r="A2992" s="67"/>
      <c r="B2992" s="67"/>
    </row>
    <row r="2993" spans="1:2" x14ac:dyDescent="0.25">
      <c r="A2993" s="67"/>
      <c r="B2993" s="67"/>
    </row>
    <row r="2994" spans="1:2" x14ac:dyDescent="0.25">
      <c r="A2994" s="67"/>
      <c r="B2994" s="67"/>
    </row>
    <row r="2995" spans="1:2" x14ac:dyDescent="0.25">
      <c r="A2995" s="67"/>
      <c r="B2995" s="67"/>
    </row>
    <row r="2996" spans="1:2" x14ac:dyDescent="0.25">
      <c r="A2996" s="67"/>
      <c r="B2996" s="67"/>
    </row>
    <row r="2997" spans="1:2" x14ac:dyDescent="0.25">
      <c r="A2997" s="67"/>
      <c r="B2997" s="67"/>
    </row>
    <row r="2998" spans="1:2" x14ac:dyDescent="0.25">
      <c r="A2998" s="67"/>
      <c r="B2998" s="67"/>
    </row>
    <row r="2999" spans="1:2" x14ac:dyDescent="0.25">
      <c r="A2999" s="67"/>
      <c r="B2999" s="67"/>
    </row>
    <row r="3000" spans="1:2" x14ac:dyDescent="0.25">
      <c r="A3000" s="67"/>
      <c r="B3000" s="67"/>
    </row>
    <row r="3001" spans="1:2" x14ac:dyDescent="0.25">
      <c r="A3001" s="67"/>
      <c r="B3001" s="67"/>
    </row>
    <row r="3002" spans="1:2" x14ac:dyDescent="0.25">
      <c r="A3002" s="67"/>
      <c r="B3002" s="67"/>
    </row>
    <row r="3003" spans="1:2" x14ac:dyDescent="0.25">
      <c r="A3003" s="67"/>
      <c r="B3003" s="67"/>
    </row>
    <row r="3004" spans="1:2" x14ac:dyDescent="0.25">
      <c r="A3004" s="67"/>
      <c r="B3004" s="67"/>
    </row>
    <row r="3005" spans="1:2" x14ac:dyDescent="0.25">
      <c r="A3005" s="67"/>
      <c r="B3005" s="67"/>
    </row>
    <row r="3006" spans="1:2" x14ac:dyDescent="0.25">
      <c r="A3006" s="67"/>
      <c r="B3006" s="67"/>
    </row>
    <row r="3007" spans="1:2" x14ac:dyDescent="0.25">
      <c r="A3007" s="67"/>
      <c r="B3007" s="67"/>
    </row>
    <row r="3008" spans="1:2" x14ac:dyDescent="0.25">
      <c r="A3008" s="67"/>
      <c r="B3008" s="67"/>
    </row>
    <row r="3009" spans="1:2" x14ac:dyDescent="0.25">
      <c r="A3009" s="67"/>
      <c r="B3009" s="67"/>
    </row>
    <row r="3010" spans="1:2" x14ac:dyDescent="0.25">
      <c r="A3010" s="67"/>
      <c r="B3010" s="67"/>
    </row>
    <row r="3011" spans="1:2" x14ac:dyDescent="0.25">
      <c r="A3011" s="67"/>
      <c r="B3011" s="67"/>
    </row>
    <row r="3012" spans="1:2" x14ac:dyDescent="0.25">
      <c r="A3012" s="67"/>
      <c r="B3012" s="67"/>
    </row>
    <row r="3013" spans="1:2" x14ac:dyDescent="0.25">
      <c r="A3013" s="67"/>
      <c r="B3013" s="67"/>
    </row>
    <row r="3014" spans="1:2" x14ac:dyDescent="0.25">
      <c r="A3014" s="67"/>
      <c r="B3014" s="67"/>
    </row>
    <row r="3015" spans="1:2" x14ac:dyDescent="0.25">
      <c r="A3015" s="67"/>
      <c r="B3015" s="67"/>
    </row>
    <row r="3016" spans="1:2" x14ac:dyDescent="0.25">
      <c r="A3016" s="67"/>
      <c r="B3016" s="67"/>
    </row>
    <row r="3017" spans="1:2" x14ac:dyDescent="0.25">
      <c r="A3017" s="67"/>
      <c r="B3017" s="67"/>
    </row>
    <row r="3018" spans="1:2" x14ac:dyDescent="0.25">
      <c r="A3018" s="67"/>
      <c r="B3018" s="67"/>
    </row>
    <row r="3019" spans="1:2" x14ac:dyDescent="0.25">
      <c r="A3019" s="67"/>
      <c r="B3019" s="67"/>
    </row>
    <row r="3020" spans="1:2" x14ac:dyDescent="0.25">
      <c r="A3020" s="67"/>
      <c r="B3020" s="67"/>
    </row>
    <row r="3021" spans="1:2" x14ac:dyDescent="0.25">
      <c r="A3021" s="67"/>
      <c r="B3021" s="67"/>
    </row>
    <row r="3022" spans="1:2" x14ac:dyDescent="0.25">
      <c r="A3022" s="67"/>
      <c r="B3022" s="67"/>
    </row>
    <row r="3023" spans="1:2" x14ac:dyDescent="0.25">
      <c r="A3023" s="67"/>
      <c r="B3023" s="67"/>
    </row>
    <row r="3024" spans="1:2" x14ac:dyDescent="0.25">
      <c r="A3024" s="67"/>
      <c r="B3024" s="67"/>
    </row>
    <row r="3025" spans="1:2" x14ac:dyDescent="0.25">
      <c r="A3025" s="67"/>
      <c r="B3025" s="67"/>
    </row>
    <row r="3026" spans="1:2" x14ac:dyDescent="0.25">
      <c r="A3026" s="67"/>
      <c r="B3026" s="67"/>
    </row>
    <row r="3027" spans="1:2" x14ac:dyDescent="0.25">
      <c r="A3027" s="67"/>
      <c r="B3027" s="67"/>
    </row>
    <row r="3028" spans="1:2" x14ac:dyDescent="0.25">
      <c r="A3028" s="67"/>
      <c r="B3028" s="67"/>
    </row>
    <row r="3029" spans="1:2" x14ac:dyDescent="0.25">
      <c r="A3029" s="67"/>
      <c r="B3029" s="67"/>
    </row>
    <row r="3030" spans="1:2" x14ac:dyDescent="0.25">
      <c r="A3030" s="67"/>
      <c r="B3030" s="67"/>
    </row>
    <row r="3031" spans="1:2" x14ac:dyDescent="0.25">
      <c r="A3031" s="67"/>
      <c r="B3031" s="67"/>
    </row>
    <row r="3032" spans="1:2" x14ac:dyDescent="0.25">
      <c r="A3032" s="67"/>
      <c r="B3032" s="67"/>
    </row>
    <row r="3033" spans="1:2" x14ac:dyDescent="0.25">
      <c r="A3033" s="67"/>
      <c r="B3033" s="67"/>
    </row>
    <row r="3034" spans="1:2" x14ac:dyDescent="0.25">
      <c r="A3034" s="67"/>
      <c r="B3034" s="67"/>
    </row>
    <row r="3035" spans="1:2" x14ac:dyDescent="0.25">
      <c r="A3035" s="67"/>
      <c r="B3035" s="67"/>
    </row>
    <row r="3036" spans="1:2" x14ac:dyDescent="0.25">
      <c r="A3036" s="67"/>
      <c r="B3036" s="67"/>
    </row>
    <row r="3037" spans="1:2" x14ac:dyDescent="0.25">
      <c r="A3037" s="67"/>
      <c r="B3037" s="67"/>
    </row>
    <row r="3038" spans="1:2" x14ac:dyDescent="0.25">
      <c r="A3038" s="67"/>
      <c r="B3038" s="67"/>
    </row>
    <row r="3039" spans="1:2" x14ac:dyDescent="0.25">
      <c r="A3039" s="67"/>
      <c r="B3039" s="67"/>
    </row>
    <row r="3040" spans="1:2" x14ac:dyDescent="0.25">
      <c r="A3040" s="67"/>
      <c r="B3040" s="67"/>
    </row>
    <row r="3041" spans="1:2" x14ac:dyDescent="0.25">
      <c r="A3041" s="67"/>
      <c r="B3041" s="67"/>
    </row>
    <row r="3042" spans="1:2" x14ac:dyDescent="0.25">
      <c r="A3042" s="67"/>
      <c r="B3042" s="67"/>
    </row>
    <row r="3043" spans="1:2" x14ac:dyDescent="0.25">
      <c r="A3043" s="67"/>
      <c r="B3043" s="67"/>
    </row>
    <row r="3044" spans="1:2" x14ac:dyDescent="0.25">
      <c r="A3044" s="67"/>
      <c r="B3044" s="67"/>
    </row>
    <row r="3045" spans="1:2" x14ac:dyDescent="0.25">
      <c r="A3045" s="67"/>
      <c r="B3045" s="67"/>
    </row>
    <row r="3046" spans="1:2" x14ac:dyDescent="0.25">
      <c r="A3046" s="67"/>
      <c r="B3046" s="67"/>
    </row>
    <row r="3047" spans="1:2" x14ac:dyDescent="0.25">
      <c r="A3047" s="67"/>
      <c r="B3047" s="67"/>
    </row>
    <row r="3048" spans="1:2" x14ac:dyDescent="0.25">
      <c r="A3048" s="67"/>
      <c r="B3048" s="67"/>
    </row>
    <row r="3049" spans="1:2" x14ac:dyDescent="0.25">
      <c r="A3049" s="67"/>
      <c r="B3049" s="67"/>
    </row>
    <row r="3050" spans="1:2" x14ac:dyDescent="0.25">
      <c r="A3050" s="67"/>
      <c r="B3050" s="67"/>
    </row>
    <row r="3051" spans="1:2" x14ac:dyDescent="0.25">
      <c r="A3051" s="67"/>
      <c r="B3051" s="67"/>
    </row>
    <row r="3052" spans="1:2" x14ac:dyDescent="0.25">
      <c r="A3052" s="67"/>
      <c r="B3052" s="67"/>
    </row>
    <row r="3053" spans="1:2" x14ac:dyDescent="0.25">
      <c r="A3053" s="67"/>
      <c r="B3053" s="67"/>
    </row>
    <row r="3054" spans="1:2" x14ac:dyDescent="0.25">
      <c r="A3054" s="67"/>
      <c r="B3054" s="67"/>
    </row>
    <row r="3055" spans="1:2" x14ac:dyDescent="0.25">
      <c r="A3055" s="67"/>
      <c r="B3055" s="67"/>
    </row>
    <row r="3056" spans="1:2" x14ac:dyDescent="0.25">
      <c r="A3056" s="67"/>
      <c r="B3056" s="67"/>
    </row>
    <row r="3057" spans="1:2" x14ac:dyDescent="0.25">
      <c r="A3057" s="67"/>
      <c r="B3057" s="67"/>
    </row>
    <row r="3058" spans="1:2" x14ac:dyDescent="0.25">
      <c r="A3058" s="67"/>
      <c r="B3058" s="67"/>
    </row>
    <row r="3059" spans="1:2" x14ac:dyDescent="0.25">
      <c r="A3059" s="67"/>
      <c r="B3059" s="67"/>
    </row>
    <row r="3060" spans="1:2" x14ac:dyDescent="0.25">
      <c r="A3060" s="67"/>
      <c r="B3060" s="67"/>
    </row>
    <row r="3061" spans="1:2" x14ac:dyDescent="0.25">
      <c r="A3061" s="67"/>
      <c r="B3061" s="67"/>
    </row>
    <row r="3062" spans="1:2" x14ac:dyDescent="0.25">
      <c r="A3062" s="67"/>
      <c r="B3062" s="67"/>
    </row>
    <row r="3063" spans="1:2" x14ac:dyDescent="0.25">
      <c r="A3063" s="67"/>
      <c r="B3063" s="67"/>
    </row>
    <row r="3064" spans="1:2" x14ac:dyDescent="0.25">
      <c r="A3064" s="67"/>
      <c r="B3064" s="67"/>
    </row>
    <row r="3065" spans="1:2" x14ac:dyDescent="0.25">
      <c r="A3065" s="67"/>
      <c r="B3065" s="67"/>
    </row>
    <row r="3066" spans="1:2" x14ac:dyDescent="0.25">
      <c r="A3066" s="67"/>
      <c r="B3066" s="67"/>
    </row>
    <row r="3067" spans="1:2" x14ac:dyDescent="0.25">
      <c r="A3067" s="67"/>
      <c r="B3067" s="67"/>
    </row>
    <row r="3068" spans="1:2" x14ac:dyDescent="0.25">
      <c r="A3068" s="67"/>
      <c r="B3068" s="67"/>
    </row>
    <row r="3069" spans="1:2" x14ac:dyDescent="0.25">
      <c r="A3069" s="67"/>
      <c r="B3069" s="67"/>
    </row>
    <row r="3070" spans="1:2" x14ac:dyDescent="0.25">
      <c r="A3070" s="67"/>
      <c r="B3070" s="67"/>
    </row>
    <row r="3071" spans="1:2" x14ac:dyDescent="0.25">
      <c r="A3071" s="67"/>
      <c r="B3071" s="67"/>
    </row>
    <row r="3072" spans="1:2" x14ac:dyDescent="0.25">
      <c r="A3072" s="67"/>
      <c r="B3072" s="67"/>
    </row>
    <row r="3073" spans="1:2" x14ac:dyDescent="0.25">
      <c r="A3073" s="67"/>
      <c r="B3073" s="67"/>
    </row>
    <row r="3074" spans="1:2" x14ac:dyDescent="0.25">
      <c r="A3074" s="67"/>
      <c r="B3074" s="67"/>
    </row>
    <row r="3075" spans="1:2" x14ac:dyDescent="0.25">
      <c r="A3075" s="67"/>
      <c r="B3075" s="67"/>
    </row>
    <row r="3076" spans="1:2" x14ac:dyDescent="0.25">
      <c r="A3076" s="67"/>
      <c r="B3076" s="67"/>
    </row>
    <row r="3077" spans="1:2" x14ac:dyDescent="0.25">
      <c r="A3077" s="67"/>
      <c r="B3077" s="67"/>
    </row>
    <row r="3078" spans="1:2" x14ac:dyDescent="0.25">
      <c r="A3078" s="67"/>
      <c r="B3078" s="67"/>
    </row>
    <row r="3079" spans="1:2" x14ac:dyDescent="0.25">
      <c r="A3079" s="67"/>
      <c r="B3079" s="67"/>
    </row>
    <row r="3080" spans="1:2" x14ac:dyDescent="0.25">
      <c r="A3080" s="67"/>
      <c r="B3080" s="67"/>
    </row>
    <row r="3081" spans="1:2" x14ac:dyDescent="0.25">
      <c r="A3081" s="67"/>
      <c r="B3081" s="67"/>
    </row>
    <row r="3082" spans="1:2" x14ac:dyDescent="0.25">
      <c r="A3082" s="67"/>
      <c r="B3082" s="67"/>
    </row>
    <row r="3083" spans="1:2" x14ac:dyDescent="0.25">
      <c r="A3083" s="67"/>
      <c r="B3083" s="67"/>
    </row>
    <row r="3084" spans="1:2" x14ac:dyDescent="0.25">
      <c r="A3084" s="67"/>
      <c r="B3084" s="67"/>
    </row>
    <row r="3085" spans="1:2" x14ac:dyDescent="0.25">
      <c r="A3085" s="67"/>
      <c r="B3085" s="67"/>
    </row>
    <row r="3086" spans="1:2" x14ac:dyDescent="0.25">
      <c r="A3086" s="67"/>
      <c r="B3086" s="67"/>
    </row>
    <row r="3087" spans="1:2" x14ac:dyDescent="0.25">
      <c r="A3087" s="67"/>
      <c r="B3087" s="67"/>
    </row>
    <row r="3088" spans="1:2" x14ac:dyDescent="0.25">
      <c r="A3088" s="67"/>
      <c r="B3088" s="67"/>
    </row>
    <row r="3089" spans="1:2" x14ac:dyDescent="0.25">
      <c r="A3089" s="67"/>
      <c r="B3089" s="67"/>
    </row>
    <row r="3090" spans="1:2" x14ac:dyDescent="0.25">
      <c r="A3090" s="67"/>
      <c r="B3090" s="67"/>
    </row>
    <row r="3091" spans="1:2" x14ac:dyDescent="0.25">
      <c r="A3091" s="67"/>
      <c r="B3091" s="67"/>
    </row>
    <row r="3092" spans="1:2" x14ac:dyDescent="0.25">
      <c r="A3092" s="67"/>
      <c r="B3092" s="67"/>
    </row>
    <row r="3093" spans="1:2" x14ac:dyDescent="0.25">
      <c r="A3093" s="67"/>
      <c r="B3093" s="67"/>
    </row>
    <row r="3094" spans="1:2" x14ac:dyDescent="0.25">
      <c r="A3094" s="67"/>
      <c r="B3094" s="67"/>
    </row>
    <row r="3095" spans="1:2" x14ac:dyDescent="0.25">
      <c r="A3095" s="67"/>
      <c r="B3095" s="67"/>
    </row>
    <row r="3096" spans="1:2" x14ac:dyDescent="0.25">
      <c r="A3096" s="67"/>
      <c r="B3096" s="67"/>
    </row>
    <row r="3097" spans="1:2" x14ac:dyDescent="0.25">
      <c r="A3097" s="67"/>
      <c r="B3097" s="67"/>
    </row>
    <row r="3098" spans="1:2" x14ac:dyDescent="0.25">
      <c r="A3098" s="67"/>
      <c r="B3098" s="67"/>
    </row>
    <row r="3099" spans="1:2" x14ac:dyDescent="0.25">
      <c r="A3099" s="67"/>
      <c r="B3099" s="67"/>
    </row>
    <row r="3100" spans="1:2" x14ac:dyDescent="0.25">
      <c r="A3100" s="67"/>
      <c r="B3100" s="67"/>
    </row>
    <row r="3101" spans="1:2" x14ac:dyDescent="0.25">
      <c r="A3101" s="67"/>
      <c r="B3101" s="67"/>
    </row>
    <row r="3102" spans="1:2" x14ac:dyDescent="0.25">
      <c r="A3102" s="67"/>
      <c r="B3102" s="67"/>
    </row>
    <row r="3103" spans="1:2" x14ac:dyDescent="0.25">
      <c r="A3103" s="67"/>
      <c r="B3103" s="67"/>
    </row>
    <row r="3104" spans="1:2" x14ac:dyDescent="0.25">
      <c r="A3104" s="67"/>
      <c r="B3104" s="67"/>
    </row>
    <row r="3105" spans="1:2" x14ac:dyDescent="0.25">
      <c r="A3105" s="67"/>
      <c r="B3105" s="67"/>
    </row>
    <row r="3106" spans="1:2" x14ac:dyDescent="0.25">
      <c r="A3106" s="67"/>
      <c r="B3106" s="67"/>
    </row>
    <row r="3107" spans="1:2" x14ac:dyDescent="0.25">
      <c r="A3107" s="67"/>
      <c r="B3107" s="67"/>
    </row>
    <row r="3108" spans="1:2" x14ac:dyDescent="0.25">
      <c r="A3108" s="67"/>
      <c r="B3108" s="67"/>
    </row>
    <row r="3109" spans="1:2" x14ac:dyDescent="0.25">
      <c r="A3109" s="67"/>
      <c r="B3109" s="67"/>
    </row>
    <row r="3110" spans="1:2" x14ac:dyDescent="0.25">
      <c r="A3110" s="67"/>
      <c r="B3110" s="67"/>
    </row>
    <row r="3111" spans="1:2" x14ac:dyDescent="0.25">
      <c r="A3111" s="67"/>
      <c r="B3111" s="67"/>
    </row>
    <row r="3112" spans="1:2" x14ac:dyDescent="0.25">
      <c r="A3112" s="67"/>
      <c r="B3112" s="67"/>
    </row>
    <row r="3113" spans="1:2" x14ac:dyDescent="0.25">
      <c r="A3113" s="67"/>
      <c r="B3113" s="67"/>
    </row>
    <row r="3114" spans="1:2" x14ac:dyDescent="0.25">
      <c r="A3114" s="67"/>
      <c r="B3114" s="67"/>
    </row>
    <row r="3115" spans="1:2" x14ac:dyDescent="0.25">
      <c r="A3115" s="67"/>
      <c r="B3115" s="67"/>
    </row>
    <row r="3116" spans="1:2" x14ac:dyDescent="0.25">
      <c r="A3116" s="67"/>
      <c r="B3116" s="67"/>
    </row>
    <row r="3117" spans="1:2" x14ac:dyDescent="0.25">
      <c r="A3117" s="67"/>
      <c r="B3117" s="67"/>
    </row>
    <row r="3118" spans="1:2" x14ac:dyDescent="0.25">
      <c r="A3118" s="67"/>
      <c r="B3118" s="67"/>
    </row>
    <row r="3119" spans="1:2" x14ac:dyDescent="0.25">
      <c r="A3119" s="67"/>
      <c r="B3119" s="67"/>
    </row>
    <row r="3120" spans="1:2" x14ac:dyDescent="0.25">
      <c r="A3120" s="67"/>
      <c r="B3120" s="67"/>
    </row>
    <row r="3121" spans="1:2" x14ac:dyDescent="0.25">
      <c r="A3121" s="67"/>
      <c r="B3121" s="67"/>
    </row>
    <row r="3122" spans="1:2" x14ac:dyDescent="0.25">
      <c r="A3122" s="67"/>
      <c r="B3122" s="67"/>
    </row>
    <row r="3123" spans="1:2" x14ac:dyDescent="0.25">
      <c r="A3123" s="67"/>
      <c r="B3123" s="67"/>
    </row>
    <row r="3124" spans="1:2" x14ac:dyDescent="0.25">
      <c r="A3124" s="67"/>
      <c r="B3124" s="67"/>
    </row>
    <row r="3125" spans="1:2" x14ac:dyDescent="0.25">
      <c r="A3125" s="67"/>
      <c r="B3125" s="67"/>
    </row>
    <row r="3126" spans="1:2" x14ac:dyDescent="0.25">
      <c r="A3126" s="67"/>
      <c r="B3126" s="67"/>
    </row>
    <row r="3127" spans="1:2" x14ac:dyDescent="0.25">
      <c r="A3127" s="67"/>
      <c r="B3127" s="67"/>
    </row>
    <row r="3128" spans="1:2" x14ac:dyDescent="0.25">
      <c r="A3128" s="67"/>
      <c r="B3128" s="67"/>
    </row>
    <row r="3129" spans="1:2" x14ac:dyDescent="0.25">
      <c r="A3129" s="67"/>
      <c r="B3129" s="67"/>
    </row>
    <row r="3130" spans="1:2" x14ac:dyDescent="0.25">
      <c r="A3130" s="67"/>
      <c r="B3130" s="67"/>
    </row>
    <row r="3131" spans="1:2" x14ac:dyDescent="0.25">
      <c r="A3131" s="67"/>
      <c r="B3131" s="67"/>
    </row>
    <row r="3132" spans="1:2" x14ac:dyDescent="0.25">
      <c r="A3132" s="67"/>
      <c r="B3132" s="67"/>
    </row>
    <row r="3133" spans="1:2" x14ac:dyDescent="0.25">
      <c r="A3133" s="67"/>
      <c r="B3133" s="67"/>
    </row>
    <row r="3134" spans="1:2" x14ac:dyDescent="0.25">
      <c r="A3134" s="67"/>
      <c r="B3134" s="67"/>
    </row>
    <row r="3135" spans="1:2" x14ac:dyDescent="0.25">
      <c r="A3135" s="67"/>
      <c r="B3135" s="67"/>
    </row>
    <row r="3136" spans="1:2" x14ac:dyDescent="0.25">
      <c r="A3136" s="67"/>
      <c r="B3136" s="67"/>
    </row>
    <row r="3137" spans="1:2" x14ac:dyDescent="0.25">
      <c r="A3137" s="67"/>
      <c r="B3137" s="67"/>
    </row>
    <row r="3138" spans="1:2" x14ac:dyDescent="0.25">
      <c r="A3138" s="67"/>
      <c r="B3138" s="67"/>
    </row>
    <row r="3139" spans="1:2" x14ac:dyDescent="0.25">
      <c r="A3139" s="67"/>
      <c r="B3139" s="67"/>
    </row>
    <row r="3140" spans="1:2" x14ac:dyDescent="0.25">
      <c r="A3140" s="67"/>
      <c r="B3140" s="67"/>
    </row>
    <row r="3141" spans="1:2" x14ac:dyDescent="0.25">
      <c r="A3141" s="67"/>
      <c r="B3141" s="67"/>
    </row>
    <row r="3142" spans="1:2" x14ac:dyDescent="0.25">
      <c r="A3142" s="67"/>
      <c r="B3142" s="67"/>
    </row>
    <row r="3143" spans="1:2" x14ac:dyDescent="0.25">
      <c r="A3143" s="67"/>
      <c r="B3143" s="67"/>
    </row>
    <row r="3144" spans="1:2" x14ac:dyDescent="0.25">
      <c r="A3144" s="67"/>
      <c r="B3144" s="67"/>
    </row>
    <row r="3145" spans="1:2" x14ac:dyDescent="0.25">
      <c r="A3145" s="67"/>
      <c r="B3145" s="67"/>
    </row>
    <row r="3146" spans="1:2" x14ac:dyDescent="0.25">
      <c r="A3146" s="67"/>
      <c r="B3146" s="67"/>
    </row>
    <row r="3147" spans="1:2" x14ac:dyDescent="0.25">
      <c r="A3147" s="67"/>
      <c r="B3147" s="67"/>
    </row>
    <row r="3148" spans="1:2" x14ac:dyDescent="0.25">
      <c r="A3148" s="67"/>
      <c r="B3148" s="67"/>
    </row>
    <row r="3149" spans="1:2" x14ac:dyDescent="0.25">
      <c r="A3149" s="67"/>
      <c r="B3149" s="67"/>
    </row>
    <row r="3150" spans="1:2" x14ac:dyDescent="0.25">
      <c r="A3150" s="67"/>
      <c r="B3150" s="67"/>
    </row>
    <row r="3151" spans="1:2" x14ac:dyDescent="0.25">
      <c r="A3151" s="67"/>
      <c r="B3151" s="67"/>
    </row>
    <row r="3152" spans="1:2" x14ac:dyDescent="0.25">
      <c r="A3152" s="67"/>
      <c r="B3152" s="67"/>
    </row>
    <row r="3153" spans="1:2" x14ac:dyDescent="0.25">
      <c r="A3153" s="67"/>
      <c r="B3153" s="67"/>
    </row>
    <row r="3154" spans="1:2" x14ac:dyDescent="0.25">
      <c r="A3154" s="67"/>
      <c r="B3154" s="67"/>
    </row>
    <row r="3155" spans="1:2" x14ac:dyDescent="0.25">
      <c r="A3155" s="67"/>
      <c r="B3155" s="67"/>
    </row>
    <row r="3156" spans="1:2" x14ac:dyDescent="0.25">
      <c r="A3156" s="67"/>
      <c r="B3156" s="67"/>
    </row>
    <row r="3157" spans="1:2" x14ac:dyDescent="0.25">
      <c r="A3157" s="67"/>
      <c r="B3157" s="67"/>
    </row>
    <row r="3158" spans="1:2" x14ac:dyDescent="0.25">
      <c r="A3158" s="67"/>
      <c r="B3158" s="67"/>
    </row>
    <row r="3159" spans="1:2" x14ac:dyDescent="0.25">
      <c r="A3159" s="67"/>
      <c r="B3159" s="67"/>
    </row>
    <row r="3160" spans="1:2" x14ac:dyDescent="0.25">
      <c r="A3160" s="67"/>
      <c r="B3160" s="67"/>
    </row>
    <row r="3161" spans="1:2" x14ac:dyDescent="0.25">
      <c r="A3161" s="67"/>
      <c r="B3161" s="67"/>
    </row>
    <row r="3162" spans="1:2" x14ac:dyDescent="0.25">
      <c r="A3162" s="67"/>
      <c r="B3162" s="67"/>
    </row>
    <row r="3163" spans="1:2" x14ac:dyDescent="0.25">
      <c r="A3163" s="67"/>
      <c r="B3163" s="67"/>
    </row>
    <row r="3164" spans="1:2" x14ac:dyDescent="0.25">
      <c r="A3164" s="67"/>
      <c r="B3164" s="67"/>
    </row>
    <row r="3165" spans="1:2" x14ac:dyDescent="0.25">
      <c r="A3165" s="67"/>
      <c r="B3165" s="67"/>
    </row>
    <row r="3166" spans="1:2" x14ac:dyDescent="0.25">
      <c r="A3166" s="67"/>
      <c r="B3166" s="67"/>
    </row>
    <row r="3167" spans="1:2" x14ac:dyDescent="0.25">
      <c r="A3167" s="67"/>
      <c r="B3167" s="67"/>
    </row>
    <row r="3168" spans="1:2" x14ac:dyDescent="0.25">
      <c r="A3168" s="67"/>
      <c r="B3168" s="67"/>
    </row>
    <row r="3169" spans="1:2" x14ac:dyDescent="0.25">
      <c r="A3169" s="67"/>
      <c r="B3169" s="67"/>
    </row>
    <row r="3170" spans="1:2" x14ac:dyDescent="0.25">
      <c r="A3170" s="67"/>
      <c r="B3170" s="67"/>
    </row>
    <row r="3171" spans="1:2" x14ac:dyDescent="0.25">
      <c r="A3171" s="67"/>
      <c r="B3171" s="67"/>
    </row>
    <row r="3172" spans="1:2" x14ac:dyDescent="0.25">
      <c r="A3172" s="67"/>
      <c r="B3172" s="67"/>
    </row>
    <row r="3173" spans="1:2" x14ac:dyDescent="0.25">
      <c r="A3173" s="67"/>
      <c r="B3173" s="67"/>
    </row>
    <row r="3174" spans="1:2" x14ac:dyDescent="0.25">
      <c r="A3174" s="67"/>
      <c r="B3174" s="67"/>
    </row>
    <row r="3175" spans="1:2" x14ac:dyDescent="0.25">
      <c r="A3175" s="67"/>
      <c r="B3175" s="67"/>
    </row>
    <row r="3176" spans="1:2" x14ac:dyDescent="0.25">
      <c r="A3176" s="67"/>
      <c r="B3176" s="67"/>
    </row>
    <row r="3177" spans="1:2" x14ac:dyDescent="0.25">
      <c r="A3177" s="67"/>
      <c r="B3177" s="67"/>
    </row>
    <row r="3178" spans="1:2" x14ac:dyDescent="0.25">
      <c r="A3178" s="67"/>
      <c r="B3178" s="67"/>
    </row>
    <row r="3179" spans="1:2" x14ac:dyDescent="0.25">
      <c r="A3179" s="67"/>
      <c r="B3179" s="67"/>
    </row>
    <row r="3180" spans="1:2" x14ac:dyDescent="0.25">
      <c r="A3180" s="67"/>
      <c r="B3180" s="67"/>
    </row>
    <row r="3181" spans="1:2" x14ac:dyDescent="0.25">
      <c r="A3181" s="67"/>
      <c r="B3181" s="67"/>
    </row>
    <row r="3182" spans="1:2" x14ac:dyDescent="0.25">
      <c r="A3182" s="67"/>
      <c r="B3182" s="67"/>
    </row>
    <row r="3183" spans="1:2" x14ac:dyDescent="0.25">
      <c r="A3183" s="67"/>
      <c r="B3183" s="67"/>
    </row>
    <row r="3184" spans="1:2" x14ac:dyDescent="0.25">
      <c r="A3184" s="67"/>
      <c r="B3184" s="67"/>
    </row>
    <row r="3185" spans="1:2" x14ac:dyDescent="0.25">
      <c r="A3185" s="67"/>
      <c r="B3185" s="67"/>
    </row>
    <row r="3186" spans="1:2" x14ac:dyDescent="0.25">
      <c r="A3186" s="67"/>
      <c r="B3186" s="67"/>
    </row>
    <row r="3187" spans="1:2" x14ac:dyDescent="0.25">
      <c r="A3187" s="67"/>
      <c r="B3187" s="67"/>
    </row>
    <row r="3188" spans="1:2" x14ac:dyDescent="0.25">
      <c r="A3188" s="67"/>
      <c r="B3188" s="67"/>
    </row>
    <row r="3189" spans="1:2" x14ac:dyDescent="0.25">
      <c r="A3189" s="67"/>
      <c r="B3189" s="67"/>
    </row>
    <row r="3190" spans="1:2" x14ac:dyDescent="0.25">
      <c r="A3190" s="67"/>
      <c r="B3190" s="67"/>
    </row>
    <row r="3191" spans="1:2" x14ac:dyDescent="0.25">
      <c r="A3191" s="67"/>
      <c r="B3191" s="67"/>
    </row>
    <row r="3192" spans="1:2" x14ac:dyDescent="0.25">
      <c r="A3192" s="67"/>
      <c r="B3192" s="67"/>
    </row>
    <row r="3193" spans="1:2" x14ac:dyDescent="0.25">
      <c r="A3193" s="67"/>
      <c r="B3193" s="67"/>
    </row>
    <row r="3194" spans="1:2" x14ac:dyDescent="0.25">
      <c r="A3194" s="67"/>
      <c r="B3194" s="67"/>
    </row>
    <row r="3195" spans="1:2" x14ac:dyDescent="0.25">
      <c r="A3195" s="67"/>
      <c r="B3195" s="67"/>
    </row>
    <row r="3196" spans="1:2" x14ac:dyDescent="0.25">
      <c r="A3196" s="67"/>
      <c r="B3196" s="67"/>
    </row>
    <row r="3197" spans="1:2" x14ac:dyDescent="0.25">
      <c r="A3197" s="67"/>
      <c r="B3197" s="67"/>
    </row>
    <row r="3198" spans="1:2" x14ac:dyDescent="0.25">
      <c r="A3198" s="67"/>
      <c r="B3198" s="67"/>
    </row>
    <row r="3199" spans="1:2" x14ac:dyDescent="0.25">
      <c r="A3199" s="67"/>
      <c r="B3199" s="67"/>
    </row>
    <row r="3200" spans="1:2" x14ac:dyDescent="0.25">
      <c r="A3200" s="67"/>
      <c r="B3200" s="67"/>
    </row>
    <row r="3201" spans="1:2" x14ac:dyDescent="0.25">
      <c r="A3201" s="67"/>
      <c r="B3201" s="67"/>
    </row>
    <row r="3202" spans="1:2" x14ac:dyDescent="0.25">
      <c r="A3202" s="67"/>
      <c r="B3202" s="67"/>
    </row>
    <row r="3203" spans="1:2" x14ac:dyDescent="0.25">
      <c r="A3203" s="67"/>
      <c r="B3203" s="67"/>
    </row>
    <row r="3204" spans="1:2" x14ac:dyDescent="0.25">
      <c r="A3204" s="67"/>
      <c r="B3204" s="67"/>
    </row>
    <row r="3205" spans="1:2" x14ac:dyDescent="0.25">
      <c r="A3205" s="67"/>
      <c r="B3205" s="67"/>
    </row>
    <row r="3206" spans="1:2" x14ac:dyDescent="0.25">
      <c r="A3206" s="67"/>
      <c r="B3206" s="67"/>
    </row>
    <row r="3207" spans="1:2" x14ac:dyDescent="0.25">
      <c r="A3207" s="67"/>
      <c r="B3207" s="67"/>
    </row>
    <row r="3208" spans="1:2" x14ac:dyDescent="0.25">
      <c r="A3208" s="67"/>
      <c r="B3208" s="67"/>
    </row>
    <row r="3209" spans="1:2" x14ac:dyDescent="0.25">
      <c r="A3209" s="67"/>
      <c r="B3209" s="67"/>
    </row>
    <row r="3210" spans="1:2" x14ac:dyDescent="0.25">
      <c r="A3210" s="67"/>
      <c r="B3210" s="67"/>
    </row>
    <row r="3211" spans="1:2" x14ac:dyDescent="0.25">
      <c r="A3211" s="67"/>
      <c r="B3211" s="67"/>
    </row>
    <row r="3212" spans="1:2" x14ac:dyDescent="0.25">
      <c r="A3212" s="67"/>
      <c r="B3212" s="67"/>
    </row>
    <row r="3213" spans="1:2" x14ac:dyDescent="0.25">
      <c r="A3213" s="67"/>
      <c r="B3213" s="67"/>
    </row>
    <row r="3214" spans="1:2" x14ac:dyDescent="0.25">
      <c r="A3214" s="67"/>
      <c r="B3214" s="67"/>
    </row>
    <row r="3215" spans="1:2" x14ac:dyDescent="0.25">
      <c r="A3215" s="67"/>
      <c r="B3215" s="67"/>
    </row>
    <row r="3216" spans="1:2" x14ac:dyDescent="0.25">
      <c r="A3216" s="67"/>
      <c r="B3216" s="67"/>
    </row>
    <row r="3217" spans="1:2" x14ac:dyDescent="0.25">
      <c r="A3217" s="67"/>
      <c r="B3217" s="67"/>
    </row>
    <row r="3218" spans="1:2" x14ac:dyDescent="0.25">
      <c r="A3218" s="67"/>
      <c r="B3218" s="67"/>
    </row>
    <row r="3219" spans="1:2" x14ac:dyDescent="0.25">
      <c r="A3219" s="67"/>
      <c r="B3219" s="67"/>
    </row>
    <row r="3220" spans="1:2" x14ac:dyDescent="0.25">
      <c r="A3220" s="67"/>
      <c r="B3220" s="67"/>
    </row>
    <row r="3221" spans="1:2" x14ac:dyDescent="0.25">
      <c r="A3221" s="67"/>
      <c r="B3221" s="67"/>
    </row>
    <row r="3222" spans="1:2" x14ac:dyDescent="0.25">
      <c r="A3222" s="67"/>
      <c r="B3222" s="67"/>
    </row>
    <row r="3223" spans="1:2" x14ac:dyDescent="0.25">
      <c r="A3223" s="67"/>
      <c r="B3223" s="67"/>
    </row>
    <row r="3224" spans="1:2" x14ac:dyDescent="0.25">
      <c r="A3224" s="67"/>
      <c r="B3224" s="67"/>
    </row>
    <row r="3225" spans="1:2" x14ac:dyDescent="0.25">
      <c r="A3225" s="67"/>
      <c r="B3225" s="67"/>
    </row>
    <row r="3226" spans="1:2" x14ac:dyDescent="0.25">
      <c r="A3226" s="67"/>
      <c r="B3226" s="67"/>
    </row>
    <row r="3227" spans="1:2" x14ac:dyDescent="0.25">
      <c r="A3227" s="67"/>
      <c r="B3227" s="67"/>
    </row>
    <row r="3228" spans="1:2" x14ac:dyDescent="0.25">
      <c r="A3228" s="67"/>
      <c r="B3228" s="67"/>
    </row>
    <row r="3229" spans="1:2" x14ac:dyDescent="0.25">
      <c r="A3229" s="67"/>
      <c r="B3229" s="67"/>
    </row>
    <row r="3230" spans="1:2" x14ac:dyDescent="0.25">
      <c r="A3230" s="67"/>
      <c r="B3230" s="67"/>
    </row>
    <row r="3231" spans="1:2" x14ac:dyDescent="0.25">
      <c r="A3231" s="67"/>
      <c r="B3231" s="67"/>
    </row>
    <row r="3232" spans="1:2" x14ac:dyDescent="0.25">
      <c r="A3232" s="67"/>
      <c r="B3232" s="67"/>
    </row>
    <row r="3233" spans="1:2" x14ac:dyDescent="0.25">
      <c r="A3233" s="67"/>
      <c r="B3233" s="67"/>
    </row>
    <row r="3234" spans="1:2" x14ac:dyDescent="0.25">
      <c r="A3234" s="67"/>
      <c r="B3234" s="67"/>
    </row>
    <row r="3235" spans="1:2" x14ac:dyDescent="0.25">
      <c r="A3235" s="67"/>
      <c r="B3235" s="67"/>
    </row>
    <row r="3236" spans="1:2" x14ac:dyDescent="0.25">
      <c r="A3236" s="67"/>
      <c r="B3236" s="67"/>
    </row>
    <row r="3237" spans="1:2" x14ac:dyDescent="0.25">
      <c r="A3237" s="67"/>
      <c r="B3237" s="67"/>
    </row>
    <row r="3238" spans="1:2" x14ac:dyDescent="0.25">
      <c r="A3238" s="67"/>
      <c r="B3238" s="67"/>
    </row>
    <row r="3239" spans="1:2" x14ac:dyDescent="0.25">
      <c r="A3239" s="67"/>
      <c r="B3239" s="67"/>
    </row>
    <row r="3240" spans="1:2" x14ac:dyDescent="0.25">
      <c r="A3240" s="67"/>
      <c r="B3240" s="67"/>
    </row>
    <row r="3241" spans="1:2" x14ac:dyDescent="0.25">
      <c r="A3241" s="67"/>
      <c r="B3241" s="67"/>
    </row>
    <row r="3242" spans="1:2" x14ac:dyDescent="0.25">
      <c r="A3242" s="67"/>
      <c r="B3242" s="67"/>
    </row>
    <row r="3243" spans="1:2" x14ac:dyDescent="0.25">
      <c r="A3243" s="67"/>
      <c r="B3243" s="67"/>
    </row>
    <row r="3244" spans="1:2" x14ac:dyDescent="0.25">
      <c r="A3244" s="67"/>
      <c r="B3244" s="67"/>
    </row>
    <row r="3245" spans="1:2" x14ac:dyDescent="0.25">
      <c r="A3245" s="67"/>
      <c r="B3245" s="67"/>
    </row>
    <row r="3246" spans="1:2" x14ac:dyDescent="0.25">
      <c r="A3246" s="67"/>
      <c r="B3246" s="67"/>
    </row>
    <row r="3247" spans="1:2" x14ac:dyDescent="0.25">
      <c r="A3247" s="67"/>
      <c r="B3247" s="67"/>
    </row>
    <row r="3248" spans="1:2" x14ac:dyDescent="0.25">
      <c r="A3248" s="67"/>
      <c r="B3248" s="67"/>
    </row>
    <row r="3249" spans="1:2" x14ac:dyDescent="0.25">
      <c r="A3249" s="67"/>
      <c r="B3249" s="67"/>
    </row>
    <row r="3250" spans="1:2" x14ac:dyDescent="0.25">
      <c r="A3250" s="67"/>
      <c r="B3250" s="67"/>
    </row>
    <row r="3251" spans="1:2" x14ac:dyDescent="0.25">
      <c r="A3251" s="67"/>
      <c r="B3251" s="67"/>
    </row>
    <row r="3252" spans="1:2" x14ac:dyDescent="0.25">
      <c r="A3252" s="67"/>
      <c r="B3252" s="67"/>
    </row>
    <row r="3253" spans="1:2" x14ac:dyDescent="0.25">
      <c r="A3253" s="67"/>
      <c r="B3253" s="67"/>
    </row>
    <row r="3254" spans="1:2" x14ac:dyDescent="0.25">
      <c r="A3254" s="67"/>
      <c r="B3254" s="67"/>
    </row>
    <row r="3255" spans="1:2" x14ac:dyDescent="0.25">
      <c r="A3255" s="67"/>
      <c r="B3255" s="67"/>
    </row>
    <row r="3256" spans="1:2" x14ac:dyDescent="0.25">
      <c r="A3256" s="67"/>
      <c r="B3256" s="67"/>
    </row>
    <row r="3257" spans="1:2" x14ac:dyDescent="0.25">
      <c r="A3257" s="67"/>
      <c r="B3257" s="67"/>
    </row>
    <row r="3258" spans="1:2" x14ac:dyDescent="0.25">
      <c r="A3258" s="67"/>
      <c r="B3258" s="67"/>
    </row>
    <row r="3259" spans="1:2" x14ac:dyDescent="0.25">
      <c r="A3259" s="67"/>
      <c r="B3259" s="67"/>
    </row>
    <row r="3260" spans="1:2" x14ac:dyDescent="0.25">
      <c r="A3260" s="67"/>
      <c r="B3260" s="67"/>
    </row>
    <row r="3261" spans="1:2" x14ac:dyDescent="0.25">
      <c r="A3261" s="67"/>
      <c r="B3261" s="67"/>
    </row>
    <row r="3262" spans="1:2" x14ac:dyDescent="0.25">
      <c r="A3262" s="67"/>
      <c r="B3262" s="67"/>
    </row>
    <row r="3263" spans="1:2" x14ac:dyDescent="0.25">
      <c r="A3263" s="67"/>
      <c r="B3263" s="67"/>
    </row>
    <row r="3264" spans="1:2" x14ac:dyDescent="0.25">
      <c r="A3264" s="67"/>
      <c r="B3264" s="67"/>
    </row>
    <row r="3265" spans="1:2" x14ac:dyDescent="0.25">
      <c r="A3265" s="67"/>
      <c r="B3265" s="67"/>
    </row>
    <row r="3266" spans="1:2" x14ac:dyDescent="0.25">
      <c r="A3266" s="67"/>
      <c r="B3266" s="67"/>
    </row>
    <row r="3267" spans="1:2" x14ac:dyDescent="0.25">
      <c r="A3267" s="67"/>
      <c r="B3267" s="67"/>
    </row>
    <row r="3268" spans="1:2" x14ac:dyDescent="0.25">
      <c r="A3268" s="67"/>
      <c r="B3268" s="67"/>
    </row>
    <row r="3269" spans="1:2" x14ac:dyDescent="0.25">
      <c r="A3269" s="67"/>
      <c r="B3269" s="67"/>
    </row>
    <row r="3270" spans="1:2" x14ac:dyDescent="0.25">
      <c r="A3270" s="67"/>
      <c r="B3270" s="67"/>
    </row>
    <row r="3271" spans="1:2" x14ac:dyDescent="0.25">
      <c r="A3271" s="67"/>
      <c r="B3271" s="67"/>
    </row>
    <row r="3272" spans="1:2" x14ac:dyDescent="0.25">
      <c r="A3272" s="67"/>
      <c r="B3272" s="67"/>
    </row>
    <row r="3273" spans="1:2" x14ac:dyDescent="0.25">
      <c r="A3273" s="67"/>
      <c r="B3273" s="67"/>
    </row>
    <row r="3274" spans="1:2" x14ac:dyDescent="0.25">
      <c r="A3274" s="67"/>
      <c r="B3274" s="67"/>
    </row>
    <row r="3275" spans="1:2" x14ac:dyDescent="0.25">
      <c r="A3275" s="67"/>
      <c r="B3275" s="67"/>
    </row>
    <row r="3276" spans="1:2" x14ac:dyDescent="0.25">
      <c r="A3276" s="67"/>
      <c r="B3276" s="67"/>
    </row>
    <row r="3277" spans="1:2" x14ac:dyDescent="0.25">
      <c r="A3277" s="67"/>
      <c r="B3277" s="67"/>
    </row>
    <row r="3278" spans="1:2" x14ac:dyDescent="0.25">
      <c r="A3278" s="67"/>
      <c r="B3278" s="67"/>
    </row>
    <row r="3279" spans="1:2" x14ac:dyDescent="0.25">
      <c r="A3279" s="67"/>
      <c r="B3279" s="67"/>
    </row>
    <row r="3280" spans="1:2" x14ac:dyDescent="0.25">
      <c r="A3280" s="67"/>
      <c r="B3280" s="67"/>
    </row>
    <row r="3281" spans="1:2" x14ac:dyDescent="0.25">
      <c r="A3281" s="67"/>
      <c r="B3281" s="67"/>
    </row>
    <row r="3282" spans="1:2" x14ac:dyDescent="0.25">
      <c r="A3282" s="67"/>
      <c r="B3282" s="67"/>
    </row>
    <row r="3283" spans="1:2" x14ac:dyDescent="0.25">
      <c r="A3283" s="67"/>
      <c r="B3283" s="67"/>
    </row>
    <row r="3284" spans="1:2" x14ac:dyDescent="0.25">
      <c r="A3284" s="67"/>
      <c r="B3284" s="67"/>
    </row>
    <row r="3285" spans="1:2" x14ac:dyDescent="0.25">
      <c r="A3285" s="67"/>
      <c r="B3285" s="67"/>
    </row>
    <row r="3286" spans="1:2" x14ac:dyDescent="0.25">
      <c r="A3286" s="67"/>
      <c r="B3286" s="67"/>
    </row>
    <row r="3287" spans="1:2" x14ac:dyDescent="0.25">
      <c r="A3287" s="67"/>
      <c r="B3287" s="67"/>
    </row>
    <row r="3288" spans="1:2" x14ac:dyDescent="0.25">
      <c r="A3288" s="67"/>
      <c r="B3288" s="67"/>
    </row>
    <row r="3289" spans="1:2" x14ac:dyDescent="0.25">
      <c r="A3289" s="67"/>
      <c r="B3289" s="67"/>
    </row>
    <row r="3290" spans="1:2" x14ac:dyDescent="0.25">
      <c r="A3290" s="67"/>
      <c r="B3290" s="67"/>
    </row>
    <row r="3291" spans="1:2" x14ac:dyDescent="0.25">
      <c r="A3291" s="67"/>
      <c r="B3291" s="67"/>
    </row>
    <row r="3292" spans="1:2" x14ac:dyDescent="0.25">
      <c r="A3292" s="67"/>
      <c r="B3292" s="67"/>
    </row>
    <row r="3293" spans="1:2" x14ac:dyDescent="0.25">
      <c r="A3293" s="67"/>
      <c r="B3293" s="67"/>
    </row>
    <row r="3294" spans="1:2" x14ac:dyDescent="0.25">
      <c r="A3294" s="67"/>
      <c r="B3294" s="67"/>
    </row>
    <row r="3295" spans="1:2" x14ac:dyDescent="0.25">
      <c r="A3295" s="67"/>
      <c r="B3295" s="67"/>
    </row>
    <row r="3296" spans="1:2" x14ac:dyDescent="0.25">
      <c r="A3296" s="67"/>
      <c r="B3296" s="67"/>
    </row>
    <row r="3297" spans="1:2" x14ac:dyDescent="0.25">
      <c r="A3297" s="67"/>
      <c r="B3297" s="67"/>
    </row>
    <row r="3298" spans="1:2" x14ac:dyDescent="0.25">
      <c r="A3298" s="67"/>
      <c r="B3298" s="67"/>
    </row>
    <row r="3299" spans="1:2" x14ac:dyDescent="0.25">
      <c r="A3299" s="67"/>
      <c r="B3299" s="67"/>
    </row>
    <row r="3300" spans="1:2" x14ac:dyDescent="0.25">
      <c r="A3300" s="67"/>
      <c r="B3300" s="67"/>
    </row>
    <row r="3301" spans="1:2" x14ac:dyDescent="0.25">
      <c r="A3301" s="67"/>
      <c r="B3301" s="67"/>
    </row>
    <row r="3302" spans="1:2" x14ac:dyDescent="0.25">
      <c r="A3302" s="67"/>
      <c r="B3302" s="67"/>
    </row>
    <row r="3303" spans="1:2" x14ac:dyDescent="0.25">
      <c r="A3303" s="67"/>
      <c r="B3303" s="67"/>
    </row>
    <row r="3304" spans="1:2" x14ac:dyDescent="0.25">
      <c r="A3304" s="67"/>
      <c r="B3304" s="67"/>
    </row>
    <row r="3305" spans="1:2" x14ac:dyDescent="0.25">
      <c r="A3305" s="67"/>
      <c r="B3305" s="67"/>
    </row>
    <row r="3306" spans="1:2" x14ac:dyDescent="0.25">
      <c r="A3306" s="67"/>
      <c r="B3306" s="67"/>
    </row>
    <row r="3307" spans="1:2" x14ac:dyDescent="0.25">
      <c r="A3307" s="67"/>
      <c r="B3307" s="67"/>
    </row>
    <row r="3308" spans="1:2" x14ac:dyDescent="0.25">
      <c r="A3308" s="67"/>
      <c r="B3308" s="67"/>
    </row>
    <row r="3309" spans="1:2" x14ac:dyDescent="0.25">
      <c r="A3309" s="67"/>
      <c r="B3309" s="67"/>
    </row>
    <row r="3310" spans="1:2" x14ac:dyDescent="0.25">
      <c r="A3310" s="67"/>
      <c r="B3310" s="67"/>
    </row>
    <row r="3311" spans="1:2" x14ac:dyDescent="0.25">
      <c r="A3311" s="67"/>
      <c r="B3311" s="67"/>
    </row>
    <row r="3312" spans="1:2" x14ac:dyDescent="0.25">
      <c r="A3312" s="67"/>
      <c r="B3312" s="67"/>
    </row>
    <row r="3313" spans="1:2" x14ac:dyDescent="0.25">
      <c r="A3313" s="67"/>
      <c r="B3313" s="67"/>
    </row>
    <row r="3314" spans="1:2" x14ac:dyDescent="0.25">
      <c r="A3314" s="67"/>
      <c r="B3314" s="67"/>
    </row>
    <row r="3315" spans="1:2" x14ac:dyDescent="0.25">
      <c r="A3315" s="67"/>
      <c r="B3315" s="67"/>
    </row>
    <row r="3316" spans="1:2" x14ac:dyDescent="0.25">
      <c r="A3316" s="67"/>
      <c r="B3316" s="67"/>
    </row>
    <row r="3317" spans="1:2" x14ac:dyDescent="0.25">
      <c r="A3317" s="67"/>
      <c r="B3317" s="67"/>
    </row>
    <row r="3318" spans="1:2" x14ac:dyDescent="0.25">
      <c r="A3318" s="67"/>
      <c r="B3318" s="67"/>
    </row>
    <row r="3319" spans="1:2" x14ac:dyDescent="0.25">
      <c r="A3319" s="67"/>
      <c r="B3319" s="67"/>
    </row>
    <row r="3320" spans="1:2" x14ac:dyDescent="0.25">
      <c r="A3320" s="67"/>
      <c r="B3320" s="67"/>
    </row>
    <row r="3321" spans="1:2" x14ac:dyDescent="0.25">
      <c r="A3321" s="67"/>
      <c r="B3321" s="67"/>
    </row>
    <row r="3322" spans="1:2" x14ac:dyDescent="0.25">
      <c r="A3322" s="67"/>
      <c r="B3322" s="67"/>
    </row>
    <row r="3323" spans="1:2" x14ac:dyDescent="0.25">
      <c r="A3323" s="67"/>
      <c r="B3323" s="67"/>
    </row>
    <row r="3324" spans="1:2" x14ac:dyDescent="0.25">
      <c r="A3324" s="67"/>
      <c r="B3324" s="67"/>
    </row>
    <row r="3325" spans="1:2" x14ac:dyDescent="0.25">
      <c r="A3325" s="67"/>
      <c r="B3325" s="67"/>
    </row>
    <row r="3326" spans="1:2" x14ac:dyDescent="0.25">
      <c r="A3326" s="67"/>
      <c r="B3326" s="67"/>
    </row>
    <row r="3327" spans="1:2" x14ac:dyDescent="0.25">
      <c r="A3327" s="67"/>
      <c r="B3327" s="67"/>
    </row>
    <row r="3328" spans="1:2" x14ac:dyDescent="0.25">
      <c r="A3328" s="67"/>
      <c r="B3328" s="67"/>
    </row>
    <row r="3329" spans="1:2" x14ac:dyDescent="0.25">
      <c r="A3329" s="67"/>
      <c r="B3329" s="67"/>
    </row>
    <row r="3330" spans="1:2" x14ac:dyDescent="0.25">
      <c r="A3330" s="67"/>
      <c r="B3330" s="67"/>
    </row>
    <row r="3331" spans="1:2" x14ac:dyDescent="0.25">
      <c r="A3331" s="67"/>
      <c r="B3331" s="67"/>
    </row>
    <row r="3332" spans="1:2" x14ac:dyDescent="0.25">
      <c r="A3332" s="67"/>
      <c r="B3332" s="67"/>
    </row>
    <row r="3333" spans="1:2" x14ac:dyDescent="0.25">
      <c r="A3333" s="67"/>
      <c r="B3333" s="67"/>
    </row>
    <row r="3334" spans="1:2" x14ac:dyDescent="0.25">
      <c r="A3334" s="67"/>
      <c r="B3334" s="67"/>
    </row>
    <row r="3335" spans="1:2" x14ac:dyDescent="0.25">
      <c r="A3335" s="67"/>
      <c r="B3335" s="67"/>
    </row>
    <row r="3336" spans="1:2" x14ac:dyDescent="0.25">
      <c r="A3336" s="67"/>
      <c r="B3336" s="67"/>
    </row>
    <row r="3337" spans="1:2" x14ac:dyDescent="0.25">
      <c r="A3337" s="67"/>
      <c r="B3337" s="67"/>
    </row>
    <row r="3338" spans="1:2" x14ac:dyDescent="0.25">
      <c r="A3338" s="67"/>
      <c r="B3338" s="67"/>
    </row>
    <row r="3339" spans="1:2" x14ac:dyDescent="0.25">
      <c r="A3339" s="67"/>
      <c r="B3339" s="67"/>
    </row>
    <row r="3340" spans="1:2" x14ac:dyDescent="0.25">
      <c r="A3340" s="67"/>
      <c r="B3340" s="67"/>
    </row>
    <row r="3341" spans="1:2" x14ac:dyDescent="0.25">
      <c r="A3341" s="67"/>
      <c r="B3341" s="67"/>
    </row>
    <row r="3342" spans="1:2" x14ac:dyDescent="0.25">
      <c r="A3342" s="67"/>
      <c r="B3342" s="67"/>
    </row>
    <row r="3343" spans="1:2" x14ac:dyDescent="0.25">
      <c r="A3343" s="67"/>
      <c r="B3343" s="67"/>
    </row>
    <row r="3344" spans="1:2" x14ac:dyDescent="0.25">
      <c r="A3344" s="67"/>
      <c r="B3344" s="67"/>
    </row>
    <row r="3345" spans="1:2" x14ac:dyDescent="0.25">
      <c r="A3345" s="67"/>
      <c r="B3345" s="67"/>
    </row>
    <row r="3346" spans="1:2" x14ac:dyDescent="0.25">
      <c r="A3346" s="67"/>
      <c r="B3346" s="67"/>
    </row>
    <row r="3347" spans="1:2" x14ac:dyDescent="0.25">
      <c r="A3347" s="67"/>
      <c r="B3347" s="67"/>
    </row>
    <row r="3348" spans="1:2" x14ac:dyDescent="0.25">
      <c r="A3348" s="67"/>
      <c r="B3348" s="67"/>
    </row>
    <row r="3349" spans="1:2" x14ac:dyDescent="0.25">
      <c r="A3349" s="67"/>
      <c r="B3349" s="67"/>
    </row>
    <row r="3350" spans="1:2" x14ac:dyDescent="0.25">
      <c r="A3350" s="67"/>
      <c r="B3350" s="67"/>
    </row>
    <row r="3351" spans="1:2" x14ac:dyDescent="0.25">
      <c r="A3351" s="67"/>
      <c r="B3351" s="67"/>
    </row>
    <row r="3352" spans="1:2" x14ac:dyDescent="0.25">
      <c r="A3352" s="67"/>
      <c r="B3352" s="67"/>
    </row>
    <row r="3353" spans="1:2" x14ac:dyDescent="0.25">
      <c r="A3353" s="67"/>
      <c r="B3353" s="67"/>
    </row>
    <row r="3354" spans="1:2" x14ac:dyDescent="0.25">
      <c r="A3354" s="67"/>
      <c r="B3354" s="67"/>
    </row>
    <row r="3355" spans="1:2" x14ac:dyDescent="0.25">
      <c r="A3355" s="67"/>
      <c r="B3355" s="67"/>
    </row>
    <row r="3356" spans="1:2" x14ac:dyDescent="0.25">
      <c r="A3356" s="67"/>
      <c r="B3356" s="67"/>
    </row>
    <row r="3357" spans="1:2" x14ac:dyDescent="0.25">
      <c r="A3357" s="67"/>
      <c r="B3357" s="67"/>
    </row>
    <row r="3358" spans="1:2" x14ac:dyDescent="0.25">
      <c r="A3358" s="67"/>
      <c r="B3358" s="67"/>
    </row>
    <row r="3359" spans="1:2" x14ac:dyDescent="0.25">
      <c r="A3359" s="67"/>
      <c r="B3359" s="67"/>
    </row>
    <row r="3360" spans="1:2" x14ac:dyDescent="0.25">
      <c r="A3360" s="67"/>
      <c r="B3360" s="67"/>
    </row>
    <row r="3361" spans="1:2" x14ac:dyDescent="0.25">
      <c r="A3361" s="67"/>
      <c r="B3361" s="67"/>
    </row>
    <row r="3362" spans="1:2" x14ac:dyDescent="0.25">
      <c r="A3362" s="67"/>
      <c r="B3362" s="67"/>
    </row>
    <row r="3363" spans="1:2" x14ac:dyDescent="0.25">
      <c r="A3363" s="67"/>
      <c r="B3363" s="67"/>
    </row>
    <row r="3364" spans="1:2" x14ac:dyDescent="0.25">
      <c r="A3364" s="67"/>
      <c r="B3364" s="67"/>
    </row>
    <row r="3365" spans="1:2" x14ac:dyDescent="0.25">
      <c r="A3365" s="67"/>
      <c r="B3365" s="67"/>
    </row>
    <row r="3366" spans="1:2" x14ac:dyDescent="0.25">
      <c r="A3366" s="67"/>
      <c r="B3366" s="67"/>
    </row>
    <row r="3367" spans="1:2" x14ac:dyDescent="0.25">
      <c r="A3367" s="67"/>
      <c r="B3367" s="67"/>
    </row>
    <row r="3368" spans="1:2" x14ac:dyDescent="0.25">
      <c r="A3368" s="67"/>
      <c r="B3368" s="67"/>
    </row>
    <row r="3369" spans="1:2" x14ac:dyDescent="0.25">
      <c r="A3369" s="67"/>
      <c r="B3369" s="67"/>
    </row>
    <row r="3370" spans="1:2" x14ac:dyDescent="0.25">
      <c r="A3370" s="67"/>
      <c r="B3370" s="67"/>
    </row>
    <row r="3371" spans="1:2" x14ac:dyDescent="0.25">
      <c r="A3371" s="67"/>
      <c r="B3371" s="67"/>
    </row>
    <row r="3372" spans="1:2" x14ac:dyDescent="0.25">
      <c r="A3372" s="67"/>
      <c r="B3372" s="67"/>
    </row>
    <row r="3373" spans="1:2" x14ac:dyDescent="0.25">
      <c r="A3373" s="67"/>
      <c r="B3373" s="67"/>
    </row>
    <row r="3374" spans="1:2" x14ac:dyDescent="0.25">
      <c r="A3374" s="67"/>
      <c r="B3374" s="67"/>
    </row>
    <row r="3375" spans="1:2" x14ac:dyDescent="0.25">
      <c r="A3375" s="67"/>
      <c r="B3375" s="67"/>
    </row>
    <row r="3376" spans="1:2" x14ac:dyDescent="0.25">
      <c r="A3376" s="67"/>
      <c r="B3376" s="67"/>
    </row>
    <row r="3377" spans="1:2" x14ac:dyDescent="0.25">
      <c r="A3377" s="67"/>
      <c r="B3377" s="67"/>
    </row>
    <row r="3378" spans="1:2" x14ac:dyDescent="0.25">
      <c r="A3378" s="67"/>
      <c r="B3378" s="67"/>
    </row>
    <row r="3379" spans="1:2" x14ac:dyDescent="0.25">
      <c r="A3379" s="67"/>
      <c r="B3379" s="67"/>
    </row>
    <row r="3380" spans="1:2" x14ac:dyDescent="0.25">
      <c r="A3380" s="67"/>
      <c r="B3380" s="67"/>
    </row>
    <row r="3381" spans="1:2" x14ac:dyDescent="0.25">
      <c r="A3381" s="67"/>
      <c r="B3381" s="67"/>
    </row>
    <row r="3382" spans="1:2" x14ac:dyDescent="0.25">
      <c r="A3382" s="67"/>
      <c r="B3382" s="67"/>
    </row>
    <row r="3383" spans="1:2" x14ac:dyDescent="0.25">
      <c r="A3383" s="67"/>
      <c r="B3383" s="67"/>
    </row>
    <row r="3384" spans="1:2" x14ac:dyDescent="0.25">
      <c r="A3384" s="67"/>
      <c r="B3384" s="67"/>
    </row>
    <row r="3385" spans="1:2" x14ac:dyDescent="0.25">
      <c r="A3385" s="67"/>
      <c r="B3385" s="67"/>
    </row>
    <row r="3386" spans="1:2" x14ac:dyDescent="0.25">
      <c r="A3386" s="67"/>
      <c r="B3386" s="67"/>
    </row>
    <row r="3387" spans="1:2" x14ac:dyDescent="0.25">
      <c r="A3387" s="67"/>
      <c r="B3387" s="67"/>
    </row>
    <row r="3388" spans="1:2" x14ac:dyDescent="0.25">
      <c r="A3388" s="67"/>
      <c r="B3388" s="67"/>
    </row>
    <row r="3389" spans="1:2" x14ac:dyDescent="0.25">
      <c r="A3389" s="67"/>
      <c r="B3389" s="67"/>
    </row>
    <row r="3390" spans="1:2" x14ac:dyDescent="0.25">
      <c r="A3390" s="67"/>
      <c r="B3390" s="67"/>
    </row>
    <row r="3391" spans="1:2" x14ac:dyDescent="0.25">
      <c r="A3391" s="67"/>
      <c r="B3391" s="67"/>
    </row>
    <row r="3392" spans="1:2" x14ac:dyDescent="0.25">
      <c r="A3392" s="67"/>
      <c r="B3392" s="67"/>
    </row>
    <row r="3393" spans="1:2" x14ac:dyDescent="0.25">
      <c r="A3393" s="67"/>
      <c r="B3393" s="67"/>
    </row>
    <row r="3394" spans="1:2" x14ac:dyDescent="0.25">
      <c r="A3394" s="67"/>
      <c r="B3394" s="67"/>
    </row>
    <row r="3395" spans="1:2" x14ac:dyDescent="0.25">
      <c r="A3395" s="67"/>
      <c r="B3395" s="67"/>
    </row>
    <row r="3396" spans="1:2" x14ac:dyDescent="0.25">
      <c r="A3396" s="67"/>
      <c r="B3396" s="67"/>
    </row>
    <row r="3397" spans="1:2" x14ac:dyDescent="0.25">
      <c r="A3397" s="67"/>
      <c r="B3397" s="67"/>
    </row>
    <row r="3398" spans="1:2" x14ac:dyDescent="0.25">
      <c r="A3398" s="67"/>
      <c r="B3398" s="67"/>
    </row>
    <row r="3399" spans="1:2" x14ac:dyDescent="0.25">
      <c r="A3399" s="67"/>
      <c r="B3399" s="67"/>
    </row>
    <row r="3400" spans="1:2" x14ac:dyDescent="0.25">
      <c r="A3400" s="67"/>
      <c r="B3400" s="67"/>
    </row>
    <row r="3401" spans="1:2" x14ac:dyDescent="0.25">
      <c r="A3401" s="67"/>
      <c r="B3401" s="67"/>
    </row>
    <row r="3402" spans="1:2" x14ac:dyDescent="0.25">
      <c r="A3402" s="67"/>
      <c r="B3402" s="67"/>
    </row>
    <row r="3403" spans="1:2" x14ac:dyDescent="0.25">
      <c r="A3403" s="67"/>
      <c r="B3403" s="67"/>
    </row>
    <row r="3404" spans="1:2" x14ac:dyDescent="0.25">
      <c r="A3404" s="67"/>
      <c r="B3404" s="67"/>
    </row>
    <row r="3405" spans="1:2" x14ac:dyDescent="0.25">
      <c r="A3405" s="67"/>
      <c r="B3405" s="67"/>
    </row>
    <row r="3406" spans="1:2" x14ac:dyDescent="0.25">
      <c r="A3406" s="67"/>
      <c r="B3406" s="67"/>
    </row>
    <row r="3407" spans="1:2" x14ac:dyDescent="0.25">
      <c r="A3407" s="67"/>
      <c r="B3407" s="67"/>
    </row>
    <row r="3408" spans="1:2" x14ac:dyDescent="0.25">
      <c r="A3408" s="67"/>
      <c r="B3408" s="67"/>
    </row>
    <row r="3409" spans="1:2" x14ac:dyDescent="0.25">
      <c r="A3409" s="67"/>
      <c r="B3409" s="67"/>
    </row>
    <row r="3410" spans="1:2" x14ac:dyDescent="0.25">
      <c r="A3410" s="67"/>
      <c r="B3410" s="67"/>
    </row>
    <row r="3411" spans="1:2" x14ac:dyDescent="0.25">
      <c r="A3411" s="67"/>
      <c r="B3411" s="67"/>
    </row>
    <row r="3412" spans="1:2" x14ac:dyDescent="0.25">
      <c r="A3412" s="67"/>
      <c r="B3412" s="67"/>
    </row>
    <row r="3413" spans="1:2" x14ac:dyDescent="0.25">
      <c r="A3413" s="67"/>
      <c r="B3413" s="67"/>
    </row>
    <row r="3414" spans="1:2" x14ac:dyDescent="0.25">
      <c r="A3414" s="67"/>
      <c r="B3414" s="67"/>
    </row>
    <row r="3415" spans="1:2" x14ac:dyDescent="0.25">
      <c r="A3415" s="67"/>
      <c r="B3415" s="67"/>
    </row>
    <row r="3416" spans="1:2" x14ac:dyDescent="0.25">
      <c r="A3416" s="67"/>
      <c r="B3416" s="67"/>
    </row>
    <row r="3417" spans="1:2" x14ac:dyDescent="0.25">
      <c r="A3417" s="67"/>
      <c r="B3417" s="67"/>
    </row>
    <row r="3418" spans="1:2" x14ac:dyDescent="0.25">
      <c r="A3418" s="67"/>
      <c r="B3418" s="67"/>
    </row>
    <row r="3419" spans="1:2" x14ac:dyDescent="0.25">
      <c r="A3419" s="67"/>
      <c r="B3419" s="67"/>
    </row>
    <row r="3420" spans="1:2" x14ac:dyDescent="0.25">
      <c r="A3420" s="67"/>
      <c r="B3420" s="67"/>
    </row>
    <row r="3421" spans="1:2" x14ac:dyDescent="0.25">
      <c r="A3421" s="67"/>
      <c r="B3421" s="67"/>
    </row>
    <row r="3422" spans="1:2" x14ac:dyDescent="0.25">
      <c r="A3422" s="67"/>
      <c r="B3422" s="67"/>
    </row>
    <row r="3423" spans="1:2" x14ac:dyDescent="0.25">
      <c r="A3423" s="67"/>
      <c r="B3423" s="67"/>
    </row>
    <row r="3424" spans="1:2" x14ac:dyDescent="0.25">
      <c r="A3424" s="67"/>
      <c r="B3424" s="67"/>
    </row>
    <row r="3425" spans="1:2" x14ac:dyDescent="0.25">
      <c r="A3425" s="67"/>
      <c r="B3425" s="67"/>
    </row>
    <row r="3426" spans="1:2" x14ac:dyDescent="0.25">
      <c r="A3426" s="67"/>
      <c r="B3426" s="67"/>
    </row>
    <row r="3427" spans="1:2" x14ac:dyDescent="0.25">
      <c r="A3427" s="67"/>
      <c r="B3427" s="67"/>
    </row>
    <row r="3428" spans="1:2" x14ac:dyDescent="0.25">
      <c r="A3428" s="67"/>
      <c r="B3428" s="67"/>
    </row>
    <row r="3429" spans="1:2" x14ac:dyDescent="0.25">
      <c r="A3429" s="67"/>
      <c r="B3429" s="67"/>
    </row>
    <row r="3430" spans="1:2" x14ac:dyDescent="0.25">
      <c r="A3430" s="67"/>
      <c r="B3430" s="67"/>
    </row>
    <row r="3431" spans="1:2" x14ac:dyDescent="0.25">
      <c r="A3431" s="67"/>
      <c r="B3431" s="67"/>
    </row>
    <row r="3432" spans="1:2" x14ac:dyDescent="0.25">
      <c r="A3432" s="67"/>
      <c r="B3432" s="67"/>
    </row>
    <row r="3433" spans="1:2" x14ac:dyDescent="0.25">
      <c r="A3433" s="67"/>
      <c r="B3433" s="67"/>
    </row>
    <row r="3434" spans="1:2" x14ac:dyDescent="0.25">
      <c r="A3434" s="67"/>
      <c r="B3434" s="67"/>
    </row>
    <row r="3435" spans="1:2" x14ac:dyDescent="0.25">
      <c r="A3435" s="67"/>
      <c r="B3435" s="67"/>
    </row>
    <row r="3436" spans="1:2" x14ac:dyDescent="0.25">
      <c r="A3436" s="67"/>
      <c r="B3436" s="67"/>
    </row>
    <row r="3437" spans="1:2" x14ac:dyDescent="0.25">
      <c r="A3437" s="67"/>
      <c r="B3437" s="67"/>
    </row>
    <row r="3438" spans="1:2" x14ac:dyDescent="0.25">
      <c r="A3438" s="67"/>
      <c r="B3438" s="67"/>
    </row>
    <row r="3439" spans="1:2" x14ac:dyDescent="0.25">
      <c r="A3439" s="67"/>
      <c r="B3439" s="67"/>
    </row>
    <row r="3440" spans="1:2" x14ac:dyDescent="0.25">
      <c r="A3440" s="67"/>
      <c r="B3440" s="67"/>
    </row>
    <row r="3441" spans="1:2" x14ac:dyDescent="0.25">
      <c r="A3441" s="67"/>
      <c r="B3441" s="67"/>
    </row>
    <row r="3442" spans="1:2" x14ac:dyDescent="0.25">
      <c r="A3442" s="67"/>
      <c r="B3442" s="67"/>
    </row>
    <row r="3443" spans="1:2" x14ac:dyDescent="0.25">
      <c r="A3443" s="67"/>
      <c r="B3443" s="67"/>
    </row>
    <row r="3444" spans="1:2" x14ac:dyDescent="0.25">
      <c r="A3444" s="67"/>
      <c r="B3444" s="67"/>
    </row>
    <row r="3445" spans="1:2" x14ac:dyDescent="0.25">
      <c r="A3445" s="67"/>
      <c r="B3445" s="67"/>
    </row>
    <row r="3446" spans="1:2" x14ac:dyDescent="0.25">
      <c r="A3446" s="67"/>
      <c r="B3446" s="67"/>
    </row>
    <row r="3447" spans="1:2" x14ac:dyDescent="0.25">
      <c r="A3447" s="67"/>
      <c r="B3447" s="67"/>
    </row>
    <row r="3448" spans="1:2" x14ac:dyDescent="0.25">
      <c r="A3448" s="67"/>
      <c r="B3448" s="67"/>
    </row>
    <row r="3449" spans="1:2" x14ac:dyDescent="0.25">
      <c r="A3449" s="67"/>
      <c r="B3449" s="67"/>
    </row>
    <row r="3450" spans="1:2" x14ac:dyDescent="0.25">
      <c r="A3450" s="67"/>
      <c r="B3450" s="67"/>
    </row>
    <row r="3451" spans="1:2" x14ac:dyDescent="0.25">
      <c r="A3451" s="67"/>
      <c r="B3451" s="67"/>
    </row>
    <row r="3452" spans="1:2" x14ac:dyDescent="0.25">
      <c r="A3452" s="67"/>
      <c r="B3452" s="67"/>
    </row>
    <row r="3453" spans="1:2" x14ac:dyDescent="0.25">
      <c r="A3453" s="67"/>
      <c r="B3453" s="67"/>
    </row>
    <row r="3454" spans="1:2" x14ac:dyDescent="0.25">
      <c r="A3454" s="67"/>
      <c r="B3454" s="67"/>
    </row>
    <row r="3455" spans="1:2" x14ac:dyDescent="0.25">
      <c r="A3455" s="67"/>
      <c r="B3455" s="67"/>
    </row>
    <row r="3456" spans="1:2" x14ac:dyDescent="0.25">
      <c r="A3456" s="67"/>
      <c r="B3456" s="67"/>
    </row>
    <row r="3457" spans="1:2" x14ac:dyDescent="0.25">
      <c r="A3457" s="67"/>
      <c r="B3457" s="67"/>
    </row>
    <row r="3458" spans="1:2" x14ac:dyDescent="0.25">
      <c r="A3458" s="67"/>
      <c r="B3458" s="67"/>
    </row>
    <row r="3459" spans="1:2" x14ac:dyDescent="0.25">
      <c r="A3459" s="67"/>
      <c r="B3459" s="67"/>
    </row>
    <row r="3460" spans="1:2" x14ac:dyDescent="0.25">
      <c r="A3460" s="67"/>
      <c r="B3460" s="67"/>
    </row>
    <row r="3461" spans="1:2" x14ac:dyDescent="0.25">
      <c r="A3461" s="67"/>
      <c r="B3461" s="67"/>
    </row>
    <row r="3462" spans="1:2" x14ac:dyDescent="0.25">
      <c r="A3462" s="67"/>
      <c r="B3462" s="67"/>
    </row>
    <row r="3463" spans="1:2" x14ac:dyDescent="0.25">
      <c r="A3463" s="67"/>
      <c r="B3463" s="67"/>
    </row>
    <row r="3464" spans="1:2" x14ac:dyDescent="0.25">
      <c r="A3464" s="67"/>
      <c r="B3464" s="67"/>
    </row>
    <row r="3465" spans="1:2" x14ac:dyDescent="0.25">
      <c r="A3465" s="67"/>
      <c r="B3465" s="67"/>
    </row>
    <row r="3466" spans="1:2" x14ac:dyDescent="0.25">
      <c r="A3466" s="67"/>
      <c r="B3466" s="67"/>
    </row>
    <row r="3467" spans="1:2" x14ac:dyDescent="0.25">
      <c r="A3467" s="67"/>
      <c r="B3467" s="67"/>
    </row>
    <row r="3468" spans="1:2" x14ac:dyDescent="0.25">
      <c r="A3468" s="67"/>
      <c r="B3468" s="67"/>
    </row>
    <row r="3469" spans="1:2" x14ac:dyDescent="0.25">
      <c r="A3469" s="67"/>
      <c r="B3469" s="67"/>
    </row>
    <row r="3470" spans="1:2" x14ac:dyDescent="0.25">
      <c r="A3470" s="67"/>
      <c r="B3470" s="67"/>
    </row>
    <row r="3471" spans="1:2" x14ac:dyDescent="0.25">
      <c r="A3471" s="67"/>
      <c r="B3471" s="67"/>
    </row>
    <row r="3472" spans="1:2" x14ac:dyDescent="0.25">
      <c r="A3472" s="67"/>
      <c r="B3472" s="67"/>
    </row>
    <row r="3473" spans="1:2" x14ac:dyDescent="0.25">
      <c r="A3473" s="67"/>
      <c r="B3473" s="67"/>
    </row>
    <row r="3474" spans="1:2" x14ac:dyDescent="0.25">
      <c r="A3474" s="67"/>
      <c r="B3474" s="67"/>
    </row>
    <row r="3475" spans="1:2" x14ac:dyDescent="0.25">
      <c r="A3475" s="67"/>
      <c r="B3475" s="67"/>
    </row>
    <row r="3476" spans="1:2" x14ac:dyDescent="0.25">
      <c r="A3476" s="67"/>
      <c r="B3476" s="67"/>
    </row>
    <row r="3477" spans="1:2" x14ac:dyDescent="0.25">
      <c r="A3477" s="67"/>
      <c r="B3477" s="67"/>
    </row>
    <row r="3478" spans="1:2" x14ac:dyDescent="0.25">
      <c r="A3478" s="67"/>
      <c r="B3478" s="67"/>
    </row>
    <row r="3479" spans="1:2" x14ac:dyDescent="0.25">
      <c r="A3479" s="67"/>
      <c r="B3479" s="67"/>
    </row>
    <row r="3480" spans="1:2" x14ac:dyDescent="0.25">
      <c r="A3480" s="67"/>
      <c r="B3480" s="67"/>
    </row>
    <row r="3481" spans="1:2" x14ac:dyDescent="0.25">
      <c r="A3481" s="67"/>
      <c r="B3481" s="67"/>
    </row>
    <row r="3482" spans="1:2" x14ac:dyDescent="0.25">
      <c r="A3482" s="67"/>
      <c r="B3482" s="67"/>
    </row>
    <row r="3483" spans="1:2" x14ac:dyDescent="0.25">
      <c r="A3483" s="67"/>
      <c r="B3483" s="67"/>
    </row>
    <row r="3484" spans="1:2" x14ac:dyDescent="0.25">
      <c r="A3484" s="67"/>
      <c r="B3484" s="67"/>
    </row>
    <row r="3485" spans="1:2" x14ac:dyDescent="0.25">
      <c r="A3485" s="67"/>
      <c r="B3485" s="67"/>
    </row>
    <row r="3486" spans="1:2" x14ac:dyDescent="0.25">
      <c r="A3486" s="67"/>
      <c r="B3486" s="67"/>
    </row>
    <row r="3487" spans="1:2" x14ac:dyDescent="0.25">
      <c r="A3487" s="67"/>
      <c r="B3487" s="67"/>
    </row>
    <row r="3488" spans="1:2" x14ac:dyDescent="0.25">
      <c r="A3488" s="67"/>
      <c r="B3488" s="67"/>
    </row>
    <row r="3489" spans="1:2" x14ac:dyDescent="0.25">
      <c r="A3489" s="67"/>
      <c r="B3489" s="67"/>
    </row>
    <row r="3490" spans="1:2" x14ac:dyDescent="0.25">
      <c r="A3490" s="67"/>
      <c r="B3490" s="67"/>
    </row>
    <row r="3491" spans="1:2" x14ac:dyDescent="0.25">
      <c r="A3491" s="67"/>
      <c r="B3491" s="67"/>
    </row>
    <row r="3492" spans="1:2" x14ac:dyDescent="0.25">
      <c r="A3492" s="67"/>
      <c r="B3492" s="67"/>
    </row>
    <row r="3493" spans="1:2" x14ac:dyDescent="0.25">
      <c r="A3493" s="67"/>
      <c r="B3493" s="67"/>
    </row>
    <row r="3494" spans="1:2" x14ac:dyDescent="0.25">
      <c r="A3494" s="67"/>
      <c r="B3494" s="67"/>
    </row>
    <row r="3495" spans="1:2" x14ac:dyDescent="0.25">
      <c r="A3495" s="67"/>
      <c r="B3495" s="67"/>
    </row>
    <row r="3496" spans="1:2" x14ac:dyDescent="0.25">
      <c r="A3496" s="67"/>
      <c r="B3496" s="67"/>
    </row>
    <row r="3497" spans="1:2" x14ac:dyDescent="0.25">
      <c r="A3497" s="67"/>
      <c r="B3497" s="67"/>
    </row>
    <row r="3498" spans="1:2" x14ac:dyDescent="0.25">
      <c r="A3498" s="67"/>
      <c r="B3498" s="67"/>
    </row>
    <row r="3499" spans="1:2" x14ac:dyDescent="0.25">
      <c r="A3499" s="67"/>
      <c r="B3499" s="67"/>
    </row>
    <row r="3500" spans="1:2" x14ac:dyDescent="0.25">
      <c r="A3500" s="67"/>
      <c r="B3500" s="67"/>
    </row>
    <row r="3501" spans="1:2" x14ac:dyDescent="0.25">
      <c r="A3501" s="67"/>
      <c r="B3501" s="67"/>
    </row>
    <row r="3502" spans="1:2" x14ac:dyDescent="0.25">
      <c r="A3502" s="67"/>
      <c r="B3502" s="67"/>
    </row>
    <row r="3503" spans="1:2" x14ac:dyDescent="0.25">
      <c r="A3503" s="67"/>
      <c r="B3503" s="67"/>
    </row>
    <row r="3504" spans="1:2" x14ac:dyDescent="0.25">
      <c r="A3504" s="67"/>
      <c r="B3504" s="67"/>
    </row>
    <row r="3505" spans="1:2" x14ac:dyDescent="0.25">
      <c r="A3505" s="67"/>
      <c r="B3505" s="67"/>
    </row>
    <row r="3506" spans="1:2" x14ac:dyDescent="0.25">
      <c r="A3506" s="67"/>
      <c r="B3506" s="67"/>
    </row>
    <row r="3507" spans="1:2" x14ac:dyDescent="0.25">
      <c r="A3507" s="67"/>
      <c r="B3507" s="67"/>
    </row>
    <row r="3508" spans="1:2" x14ac:dyDescent="0.25">
      <c r="A3508" s="67"/>
      <c r="B3508" s="67"/>
    </row>
    <row r="3509" spans="1:2" x14ac:dyDescent="0.25">
      <c r="A3509" s="67"/>
      <c r="B3509" s="67"/>
    </row>
    <row r="3510" spans="1:2" x14ac:dyDescent="0.25">
      <c r="A3510" s="67"/>
      <c r="B3510" s="67"/>
    </row>
    <row r="3511" spans="1:2" x14ac:dyDescent="0.25">
      <c r="A3511" s="67"/>
      <c r="B3511" s="67"/>
    </row>
    <row r="3512" spans="1:2" x14ac:dyDescent="0.25">
      <c r="A3512" s="67"/>
      <c r="B3512" s="67"/>
    </row>
    <row r="3513" spans="1:2" x14ac:dyDescent="0.25">
      <c r="A3513" s="67"/>
      <c r="B3513" s="67"/>
    </row>
    <row r="3514" spans="1:2" x14ac:dyDescent="0.25">
      <c r="A3514" s="67"/>
      <c r="B3514" s="67"/>
    </row>
    <row r="3515" spans="1:2" x14ac:dyDescent="0.25">
      <c r="A3515" s="67"/>
      <c r="B3515" s="67"/>
    </row>
    <row r="3516" spans="1:2" x14ac:dyDescent="0.25">
      <c r="A3516" s="67"/>
      <c r="B3516" s="67"/>
    </row>
    <row r="3517" spans="1:2" x14ac:dyDescent="0.25">
      <c r="A3517" s="67"/>
      <c r="B3517" s="67"/>
    </row>
    <row r="3518" spans="1:2" x14ac:dyDescent="0.25">
      <c r="A3518" s="67"/>
      <c r="B3518" s="67"/>
    </row>
    <row r="3519" spans="1:2" x14ac:dyDescent="0.25">
      <c r="A3519" s="67"/>
      <c r="B3519" s="67"/>
    </row>
    <row r="3520" spans="1:2" x14ac:dyDescent="0.25">
      <c r="A3520" s="67"/>
      <c r="B3520" s="67"/>
    </row>
    <row r="3521" spans="1:2" x14ac:dyDescent="0.25">
      <c r="A3521" s="67"/>
      <c r="B3521" s="67"/>
    </row>
    <row r="3522" spans="1:2" x14ac:dyDescent="0.25">
      <c r="A3522" s="67"/>
      <c r="B3522" s="67"/>
    </row>
    <row r="3523" spans="1:2" x14ac:dyDescent="0.25">
      <c r="A3523" s="67"/>
      <c r="B3523" s="67"/>
    </row>
    <row r="3524" spans="1:2" x14ac:dyDescent="0.25">
      <c r="A3524" s="67"/>
      <c r="B3524" s="67"/>
    </row>
    <row r="3525" spans="1:2" x14ac:dyDescent="0.25">
      <c r="A3525" s="67"/>
      <c r="B3525" s="67"/>
    </row>
    <row r="3526" spans="1:2" x14ac:dyDescent="0.25">
      <c r="A3526" s="67"/>
      <c r="B3526" s="67"/>
    </row>
    <row r="3527" spans="1:2" x14ac:dyDescent="0.25">
      <c r="A3527" s="67"/>
      <c r="B3527" s="67"/>
    </row>
    <row r="3528" spans="1:2" x14ac:dyDescent="0.25">
      <c r="A3528" s="67"/>
      <c r="B3528" s="67"/>
    </row>
    <row r="3529" spans="1:2" x14ac:dyDescent="0.25">
      <c r="A3529" s="67"/>
      <c r="B3529" s="67"/>
    </row>
    <row r="3530" spans="1:2" x14ac:dyDescent="0.25">
      <c r="A3530" s="67"/>
      <c r="B3530" s="67"/>
    </row>
    <row r="3531" spans="1:2" x14ac:dyDescent="0.25">
      <c r="A3531" s="67"/>
      <c r="B3531" s="67"/>
    </row>
    <row r="3532" spans="1:2" x14ac:dyDescent="0.25">
      <c r="A3532" s="67"/>
      <c r="B3532" s="67"/>
    </row>
    <row r="3533" spans="1:2" x14ac:dyDescent="0.25">
      <c r="A3533" s="67"/>
      <c r="B3533" s="67"/>
    </row>
    <row r="3534" spans="1:2" x14ac:dyDescent="0.25">
      <c r="A3534" s="67"/>
      <c r="B3534" s="67"/>
    </row>
    <row r="3535" spans="1:2" x14ac:dyDescent="0.25">
      <c r="A3535" s="67"/>
      <c r="B3535" s="67"/>
    </row>
    <row r="3536" spans="1:2" x14ac:dyDescent="0.25">
      <c r="A3536" s="67"/>
      <c r="B3536" s="67"/>
    </row>
    <row r="3537" spans="1:2" x14ac:dyDescent="0.25">
      <c r="A3537" s="67"/>
      <c r="B3537" s="67"/>
    </row>
    <row r="3538" spans="1:2" x14ac:dyDescent="0.25">
      <c r="A3538" s="67"/>
      <c r="B3538" s="67"/>
    </row>
    <row r="3539" spans="1:2" x14ac:dyDescent="0.25">
      <c r="A3539" s="67"/>
      <c r="B3539" s="67"/>
    </row>
    <row r="3540" spans="1:2" x14ac:dyDescent="0.25">
      <c r="A3540" s="67"/>
      <c r="B3540" s="67"/>
    </row>
    <row r="3541" spans="1:2" x14ac:dyDescent="0.25">
      <c r="A3541" s="67"/>
      <c r="B3541" s="67"/>
    </row>
    <row r="3542" spans="1:2" x14ac:dyDescent="0.25">
      <c r="A3542" s="67"/>
      <c r="B3542" s="67"/>
    </row>
    <row r="3543" spans="1:2" x14ac:dyDescent="0.25">
      <c r="A3543" s="67"/>
      <c r="B3543" s="67"/>
    </row>
    <row r="3544" spans="1:2" x14ac:dyDescent="0.25">
      <c r="A3544" s="67"/>
      <c r="B3544" s="67"/>
    </row>
    <row r="3545" spans="1:2" x14ac:dyDescent="0.25">
      <c r="A3545" s="67"/>
      <c r="B3545" s="67"/>
    </row>
    <row r="3546" spans="1:2" x14ac:dyDescent="0.25">
      <c r="A3546" s="67"/>
      <c r="B3546" s="67"/>
    </row>
    <row r="3547" spans="1:2" x14ac:dyDescent="0.25">
      <c r="A3547" s="67"/>
      <c r="B3547" s="67"/>
    </row>
    <row r="3548" spans="1:2" x14ac:dyDescent="0.25">
      <c r="A3548" s="67"/>
      <c r="B3548" s="67"/>
    </row>
    <row r="3549" spans="1:2" x14ac:dyDescent="0.25">
      <c r="A3549" s="67"/>
      <c r="B3549" s="67"/>
    </row>
    <row r="3550" spans="1:2" x14ac:dyDescent="0.25">
      <c r="A3550" s="67"/>
      <c r="B3550" s="67"/>
    </row>
    <row r="3551" spans="1:2" x14ac:dyDescent="0.25">
      <c r="A3551" s="67"/>
      <c r="B3551" s="67"/>
    </row>
    <row r="3552" spans="1:2" x14ac:dyDescent="0.25">
      <c r="A3552" s="67"/>
      <c r="B3552" s="67"/>
    </row>
    <row r="3553" spans="1:2" x14ac:dyDescent="0.25">
      <c r="A3553" s="67"/>
      <c r="B3553" s="67"/>
    </row>
    <row r="3554" spans="1:2" x14ac:dyDescent="0.25">
      <c r="A3554" s="67"/>
      <c r="B3554" s="67"/>
    </row>
    <row r="3555" spans="1:2" x14ac:dyDescent="0.25">
      <c r="A3555" s="67"/>
      <c r="B3555" s="67"/>
    </row>
    <row r="3556" spans="1:2" x14ac:dyDescent="0.25">
      <c r="A3556" s="67"/>
      <c r="B3556" s="67"/>
    </row>
    <row r="3557" spans="1:2" x14ac:dyDescent="0.25">
      <c r="A3557" s="67"/>
      <c r="B3557" s="67"/>
    </row>
    <row r="3558" spans="1:2" x14ac:dyDescent="0.25">
      <c r="A3558" s="67"/>
      <c r="B3558" s="67"/>
    </row>
    <row r="3559" spans="1:2" x14ac:dyDescent="0.25">
      <c r="A3559" s="67"/>
      <c r="B3559" s="67"/>
    </row>
    <row r="3560" spans="1:2" x14ac:dyDescent="0.25">
      <c r="A3560" s="67"/>
      <c r="B3560" s="67"/>
    </row>
    <row r="3561" spans="1:2" x14ac:dyDescent="0.25">
      <c r="A3561" s="67"/>
      <c r="B3561" s="67"/>
    </row>
    <row r="3562" spans="1:2" x14ac:dyDescent="0.25">
      <c r="A3562" s="67"/>
      <c r="B3562" s="67"/>
    </row>
    <row r="3563" spans="1:2" x14ac:dyDescent="0.25">
      <c r="A3563" s="67"/>
      <c r="B3563" s="67"/>
    </row>
    <row r="3564" spans="1:2" x14ac:dyDescent="0.25">
      <c r="A3564" s="67"/>
      <c r="B3564" s="67"/>
    </row>
    <row r="3565" spans="1:2" x14ac:dyDescent="0.25">
      <c r="A3565" s="67"/>
      <c r="B3565" s="67"/>
    </row>
    <row r="3566" spans="1:2" x14ac:dyDescent="0.25">
      <c r="A3566" s="67"/>
      <c r="B3566" s="67"/>
    </row>
    <row r="3567" spans="1:2" x14ac:dyDescent="0.25">
      <c r="A3567" s="67"/>
      <c r="B3567" s="67"/>
    </row>
    <row r="3568" spans="1:2" x14ac:dyDescent="0.25">
      <c r="A3568" s="67"/>
      <c r="B3568" s="67"/>
    </row>
    <row r="3569" spans="1:2" x14ac:dyDescent="0.25">
      <c r="A3569" s="67"/>
      <c r="B3569" s="67"/>
    </row>
    <row r="3570" spans="1:2" x14ac:dyDescent="0.25">
      <c r="A3570" s="67"/>
      <c r="B3570" s="67"/>
    </row>
    <row r="3571" spans="1:2" x14ac:dyDescent="0.25">
      <c r="A3571" s="67"/>
      <c r="B3571" s="67"/>
    </row>
    <row r="3572" spans="1:2" x14ac:dyDescent="0.25">
      <c r="A3572" s="67"/>
      <c r="B3572" s="67"/>
    </row>
    <row r="3573" spans="1:2" x14ac:dyDescent="0.25">
      <c r="A3573" s="67"/>
      <c r="B3573" s="67"/>
    </row>
    <row r="3574" spans="1:2" x14ac:dyDescent="0.25">
      <c r="A3574" s="67"/>
      <c r="B3574" s="67"/>
    </row>
    <row r="3575" spans="1:2" x14ac:dyDescent="0.25">
      <c r="A3575" s="67"/>
      <c r="B3575" s="67"/>
    </row>
    <row r="3576" spans="1:2" x14ac:dyDescent="0.25">
      <c r="A3576" s="67"/>
      <c r="B3576" s="67"/>
    </row>
    <row r="3577" spans="1:2" x14ac:dyDescent="0.25">
      <c r="A3577" s="67"/>
      <c r="B3577" s="67"/>
    </row>
    <row r="3578" spans="1:2" x14ac:dyDescent="0.25">
      <c r="A3578" s="67"/>
      <c r="B3578" s="67"/>
    </row>
    <row r="3579" spans="1:2" x14ac:dyDescent="0.25">
      <c r="A3579" s="67"/>
      <c r="B3579" s="67"/>
    </row>
    <row r="3580" spans="1:2" x14ac:dyDescent="0.25">
      <c r="A3580" s="67"/>
      <c r="B3580" s="67"/>
    </row>
    <row r="3581" spans="1:2" x14ac:dyDescent="0.25">
      <c r="A3581" s="67"/>
      <c r="B3581" s="67"/>
    </row>
    <row r="3582" spans="1:2" x14ac:dyDescent="0.25">
      <c r="A3582" s="67"/>
      <c r="B3582" s="67"/>
    </row>
    <row r="3583" spans="1:2" x14ac:dyDescent="0.25">
      <c r="A3583" s="67"/>
      <c r="B3583" s="67"/>
    </row>
    <row r="3584" spans="1:2" x14ac:dyDescent="0.25">
      <c r="A3584" s="67"/>
      <c r="B3584" s="67"/>
    </row>
    <row r="3585" spans="1:2" x14ac:dyDescent="0.25">
      <c r="A3585" s="67"/>
      <c r="B3585" s="67"/>
    </row>
    <row r="3586" spans="1:2" x14ac:dyDescent="0.25">
      <c r="A3586" s="67"/>
      <c r="B3586" s="67"/>
    </row>
    <row r="3587" spans="1:2" x14ac:dyDescent="0.25">
      <c r="A3587" s="67"/>
      <c r="B3587" s="67"/>
    </row>
    <row r="3588" spans="1:2" x14ac:dyDescent="0.25">
      <c r="A3588" s="67"/>
      <c r="B3588" s="67"/>
    </row>
    <row r="3589" spans="1:2" x14ac:dyDescent="0.25">
      <c r="A3589" s="67"/>
      <c r="B3589" s="67"/>
    </row>
    <row r="3590" spans="1:2" x14ac:dyDescent="0.25">
      <c r="A3590" s="67"/>
      <c r="B3590" s="67"/>
    </row>
    <row r="3591" spans="1:2" x14ac:dyDescent="0.25">
      <c r="A3591" s="67"/>
      <c r="B3591" s="67"/>
    </row>
    <row r="3592" spans="1:2" x14ac:dyDescent="0.25">
      <c r="A3592" s="67"/>
      <c r="B3592" s="67"/>
    </row>
    <row r="3593" spans="1:2" x14ac:dyDescent="0.25">
      <c r="A3593" s="67"/>
      <c r="B3593" s="67"/>
    </row>
    <row r="3594" spans="1:2" x14ac:dyDescent="0.25">
      <c r="A3594" s="67"/>
      <c r="B3594" s="67"/>
    </row>
    <row r="3595" spans="1:2" x14ac:dyDescent="0.25">
      <c r="A3595" s="67"/>
      <c r="B3595" s="67"/>
    </row>
    <row r="3596" spans="1:2" x14ac:dyDescent="0.25">
      <c r="A3596" s="67"/>
      <c r="B3596" s="67"/>
    </row>
    <row r="3597" spans="1:2" x14ac:dyDescent="0.25">
      <c r="A3597" s="67"/>
      <c r="B3597" s="67"/>
    </row>
    <row r="3598" spans="1:2" x14ac:dyDescent="0.25">
      <c r="A3598" s="67"/>
      <c r="B3598" s="67"/>
    </row>
    <row r="3599" spans="1:2" x14ac:dyDescent="0.25">
      <c r="A3599" s="67"/>
      <c r="B3599" s="67"/>
    </row>
    <row r="3600" spans="1:2" x14ac:dyDescent="0.25">
      <c r="A3600" s="67"/>
      <c r="B3600" s="67"/>
    </row>
    <row r="3601" spans="1:2" x14ac:dyDescent="0.25">
      <c r="A3601" s="67"/>
      <c r="B3601" s="67"/>
    </row>
    <row r="3602" spans="1:2" x14ac:dyDescent="0.25">
      <c r="A3602" s="67"/>
      <c r="B3602" s="67"/>
    </row>
    <row r="3603" spans="1:2" x14ac:dyDescent="0.25">
      <c r="A3603" s="67"/>
      <c r="B3603" s="67"/>
    </row>
    <row r="3604" spans="1:2" x14ac:dyDescent="0.25">
      <c r="A3604" s="67"/>
      <c r="B3604" s="67"/>
    </row>
    <row r="3605" spans="1:2" x14ac:dyDescent="0.25">
      <c r="A3605" s="67"/>
      <c r="B3605" s="67"/>
    </row>
    <row r="3606" spans="1:2" x14ac:dyDescent="0.25">
      <c r="A3606" s="67"/>
      <c r="B3606" s="67"/>
    </row>
    <row r="3607" spans="1:2" x14ac:dyDescent="0.25">
      <c r="A3607" s="67"/>
      <c r="B3607" s="67"/>
    </row>
    <row r="3608" spans="1:2" x14ac:dyDescent="0.25">
      <c r="A3608" s="67"/>
      <c r="B3608" s="67"/>
    </row>
    <row r="3609" spans="1:2" x14ac:dyDescent="0.25">
      <c r="A3609" s="67"/>
      <c r="B3609" s="67"/>
    </row>
    <row r="3610" spans="1:2" x14ac:dyDescent="0.25">
      <c r="A3610" s="67"/>
      <c r="B3610" s="67"/>
    </row>
    <row r="3611" spans="1:2" x14ac:dyDescent="0.25">
      <c r="A3611" s="67"/>
      <c r="B3611" s="67"/>
    </row>
    <row r="3612" spans="1:2" x14ac:dyDescent="0.25">
      <c r="A3612" s="67"/>
      <c r="B3612" s="67"/>
    </row>
    <row r="3613" spans="1:2" x14ac:dyDescent="0.25">
      <c r="A3613" s="67"/>
      <c r="B3613" s="67"/>
    </row>
    <row r="3614" spans="1:2" x14ac:dyDescent="0.25">
      <c r="A3614" s="67"/>
      <c r="B3614" s="67"/>
    </row>
    <row r="3615" spans="1:2" x14ac:dyDescent="0.25">
      <c r="A3615" s="67"/>
      <c r="B3615" s="67"/>
    </row>
    <row r="3616" spans="1:2" x14ac:dyDescent="0.25">
      <c r="A3616" s="67"/>
      <c r="B3616" s="67"/>
    </row>
    <row r="3617" spans="1:2" x14ac:dyDescent="0.25">
      <c r="A3617" s="67"/>
      <c r="B3617" s="67"/>
    </row>
    <row r="3618" spans="1:2" x14ac:dyDescent="0.25">
      <c r="A3618" s="67"/>
      <c r="B3618" s="67"/>
    </row>
    <row r="3619" spans="1:2" x14ac:dyDescent="0.25">
      <c r="A3619" s="67"/>
      <c r="B3619" s="67"/>
    </row>
    <row r="3620" spans="1:2" x14ac:dyDescent="0.25">
      <c r="A3620" s="67"/>
      <c r="B3620" s="67"/>
    </row>
    <row r="3621" spans="1:2" x14ac:dyDescent="0.25">
      <c r="A3621" s="67"/>
      <c r="B3621" s="67"/>
    </row>
    <row r="3622" spans="1:2" x14ac:dyDescent="0.25">
      <c r="A3622" s="67"/>
      <c r="B3622" s="67"/>
    </row>
    <row r="3623" spans="1:2" x14ac:dyDescent="0.25">
      <c r="A3623" s="67"/>
      <c r="B3623" s="67"/>
    </row>
    <row r="3624" spans="1:2" x14ac:dyDescent="0.25">
      <c r="A3624" s="67"/>
      <c r="B3624" s="67"/>
    </row>
    <row r="3625" spans="1:2" x14ac:dyDescent="0.25">
      <c r="A3625" s="67"/>
      <c r="B3625" s="67"/>
    </row>
    <row r="3626" spans="1:2" x14ac:dyDescent="0.25">
      <c r="A3626" s="67"/>
      <c r="B3626" s="67"/>
    </row>
    <row r="3627" spans="1:2" x14ac:dyDescent="0.25">
      <c r="A3627" s="67"/>
      <c r="B3627" s="67"/>
    </row>
    <row r="3628" spans="1:2" x14ac:dyDescent="0.25">
      <c r="A3628" s="67"/>
      <c r="B3628" s="67"/>
    </row>
    <row r="3629" spans="1:2" x14ac:dyDescent="0.25">
      <c r="A3629" s="67"/>
      <c r="B3629" s="67"/>
    </row>
    <row r="3630" spans="1:2" x14ac:dyDescent="0.25">
      <c r="A3630" s="67"/>
      <c r="B3630" s="67"/>
    </row>
    <row r="3631" spans="1:2" x14ac:dyDescent="0.25">
      <c r="A3631" s="67"/>
      <c r="B3631" s="67"/>
    </row>
    <row r="3632" spans="1:2" x14ac:dyDescent="0.25">
      <c r="A3632" s="67"/>
      <c r="B3632" s="67"/>
    </row>
    <row r="3633" spans="1:2" x14ac:dyDescent="0.25">
      <c r="A3633" s="67"/>
      <c r="B3633" s="67"/>
    </row>
    <row r="3634" spans="1:2" x14ac:dyDescent="0.25">
      <c r="A3634" s="67"/>
      <c r="B3634" s="67"/>
    </row>
    <row r="3635" spans="1:2" x14ac:dyDescent="0.25">
      <c r="A3635" s="67"/>
      <c r="B3635" s="67"/>
    </row>
    <row r="3636" spans="1:2" x14ac:dyDescent="0.25">
      <c r="A3636" s="67"/>
      <c r="B3636" s="67"/>
    </row>
    <row r="3637" spans="1:2" x14ac:dyDescent="0.25">
      <c r="A3637" s="67"/>
      <c r="B3637" s="67"/>
    </row>
    <row r="3638" spans="1:2" x14ac:dyDescent="0.25">
      <c r="A3638" s="67"/>
      <c r="B3638" s="67"/>
    </row>
    <row r="3639" spans="1:2" x14ac:dyDescent="0.25">
      <c r="A3639" s="67"/>
      <c r="B3639" s="67"/>
    </row>
    <row r="3640" spans="1:2" x14ac:dyDescent="0.25">
      <c r="A3640" s="67"/>
      <c r="B3640" s="67"/>
    </row>
    <row r="3641" spans="1:2" x14ac:dyDescent="0.25">
      <c r="A3641" s="67"/>
      <c r="B3641" s="67"/>
    </row>
    <row r="3642" spans="1:2" x14ac:dyDescent="0.25">
      <c r="A3642" s="67"/>
      <c r="B3642" s="67"/>
    </row>
    <row r="3643" spans="1:2" x14ac:dyDescent="0.25">
      <c r="A3643" s="67"/>
      <c r="B3643" s="67"/>
    </row>
    <row r="3644" spans="1:2" x14ac:dyDescent="0.25">
      <c r="A3644" s="67"/>
      <c r="B3644" s="67"/>
    </row>
    <row r="3645" spans="1:2" x14ac:dyDescent="0.25">
      <c r="A3645" s="67"/>
      <c r="B3645" s="67"/>
    </row>
    <row r="3646" spans="1:2" x14ac:dyDescent="0.25">
      <c r="A3646" s="67"/>
      <c r="B3646" s="67"/>
    </row>
    <row r="3647" spans="1:2" x14ac:dyDescent="0.25">
      <c r="A3647" s="67"/>
      <c r="B3647" s="67"/>
    </row>
    <row r="3648" spans="1:2" x14ac:dyDescent="0.25">
      <c r="A3648" s="67"/>
      <c r="B3648" s="67"/>
    </row>
    <row r="3649" spans="1:2" x14ac:dyDescent="0.25">
      <c r="A3649" s="67"/>
      <c r="B3649" s="67"/>
    </row>
    <row r="3650" spans="1:2" x14ac:dyDescent="0.25">
      <c r="A3650" s="67"/>
      <c r="B3650" s="67"/>
    </row>
    <row r="3651" spans="1:2" x14ac:dyDescent="0.25">
      <c r="A3651" s="67"/>
      <c r="B3651" s="67"/>
    </row>
    <row r="3652" spans="1:2" x14ac:dyDescent="0.25">
      <c r="A3652" s="67"/>
      <c r="B3652" s="67"/>
    </row>
    <row r="3653" spans="1:2" x14ac:dyDescent="0.25">
      <c r="A3653" s="67"/>
      <c r="B3653" s="67"/>
    </row>
    <row r="3654" spans="1:2" x14ac:dyDescent="0.25">
      <c r="A3654" s="67"/>
      <c r="B3654" s="67"/>
    </row>
    <row r="3655" spans="1:2" x14ac:dyDescent="0.25">
      <c r="A3655" s="67"/>
      <c r="B3655" s="67"/>
    </row>
    <row r="3656" spans="1:2" x14ac:dyDescent="0.25">
      <c r="A3656" s="67"/>
      <c r="B3656" s="67"/>
    </row>
    <row r="3657" spans="1:2" x14ac:dyDescent="0.25">
      <c r="A3657" s="67"/>
      <c r="B3657" s="67"/>
    </row>
    <row r="3658" spans="1:2" x14ac:dyDescent="0.25">
      <c r="A3658" s="67"/>
      <c r="B3658" s="67"/>
    </row>
    <row r="3659" spans="1:2" x14ac:dyDescent="0.25">
      <c r="A3659" s="67"/>
      <c r="B3659" s="67"/>
    </row>
    <row r="3660" spans="1:2" x14ac:dyDescent="0.25">
      <c r="A3660" s="67"/>
      <c r="B3660" s="67"/>
    </row>
    <row r="3661" spans="1:2" x14ac:dyDescent="0.25">
      <c r="A3661" s="67"/>
      <c r="B3661" s="67"/>
    </row>
    <row r="3662" spans="1:2" x14ac:dyDescent="0.25">
      <c r="A3662" s="67"/>
      <c r="B3662" s="67"/>
    </row>
    <row r="3663" spans="1:2" x14ac:dyDescent="0.25">
      <c r="A3663" s="67"/>
      <c r="B3663" s="67"/>
    </row>
    <row r="3664" spans="1:2" x14ac:dyDescent="0.25">
      <c r="A3664" s="67"/>
      <c r="B3664" s="67"/>
    </row>
    <row r="3665" spans="1:2" x14ac:dyDescent="0.25">
      <c r="A3665" s="67"/>
      <c r="B3665" s="67"/>
    </row>
    <row r="3666" spans="1:2" x14ac:dyDescent="0.25">
      <c r="A3666" s="67"/>
      <c r="B3666" s="67"/>
    </row>
    <row r="3667" spans="1:2" x14ac:dyDescent="0.25">
      <c r="A3667" s="67"/>
      <c r="B3667" s="67"/>
    </row>
    <row r="3668" spans="1:2" x14ac:dyDescent="0.25">
      <c r="A3668" s="67"/>
      <c r="B3668" s="67"/>
    </row>
    <row r="3669" spans="1:2" x14ac:dyDescent="0.25">
      <c r="A3669" s="67"/>
      <c r="B3669" s="67"/>
    </row>
    <row r="3670" spans="1:2" x14ac:dyDescent="0.25">
      <c r="A3670" s="67"/>
      <c r="B3670" s="67"/>
    </row>
    <row r="3671" spans="1:2" x14ac:dyDescent="0.25">
      <c r="A3671" s="67"/>
      <c r="B3671" s="67"/>
    </row>
    <row r="3672" spans="1:2" x14ac:dyDescent="0.25">
      <c r="A3672" s="67"/>
      <c r="B3672" s="67"/>
    </row>
    <row r="3673" spans="1:2" x14ac:dyDescent="0.25">
      <c r="A3673" s="67"/>
      <c r="B3673" s="67"/>
    </row>
    <row r="3674" spans="1:2" x14ac:dyDescent="0.25">
      <c r="A3674" s="67"/>
      <c r="B3674" s="67"/>
    </row>
    <row r="3675" spans="1:2" x14ac:dyDescent="0.25">
      <c r="A3675" s="67"/>
      <c r="B3675" s="67"/>
    </row>
    <row r="3676" spans="1:2" x14ac:dyDescent="0.25">
      <c r="A3676" s="67"/>
      <c r="B3676" s="67"/>
    </row>
    <row r="3677" spans="1:2" x14ac:dyDescent="0.25">
      <c r="A3677" s="67"/>
      <c r="B3677" s="67"/>
    </row>
    <row r="3678" spans="1:2" x14ac:dyDescent="0.25">
      <c r="A3678" s="67"/>
      <c r="B3678" s="67"/>
    </row>
    <row r="3679" spans="1:2" x14ac:dyDescent="0.25">
      <c r="A3679" s="67"/>
      <c r="B3679" s="67"/>
    </row>
    <row r="3680" spans="1:2" x14ac:dyDescent="0.25">
      <c r="A3680" s="67"/>
      <c r="B3680" s="67"/>
    </row>
    <row r="3681" spans="1:2" x14ac:dyDescent="0.25">
      <c r="A3681" s="67"/>
      <c r="B3681" s="67"/>
    </row>
    <row r="3682" spans="1:2" x14ac:dyDescent="0.25">
      <c r="A3682" s="67"/>
      <c r="B3682" s="67"/>
    </row>
    <row r="3683" spans="1:2" x14ac:dyDescent="0.25">
      <c r="A3683" s="67"/>
      <c r="B3683" s="67"/>
    </row>
    <row r="3684" spans="1:2" x14ac:dyDescent="0.25">
      <c r="A3684" s="67"/>
      <c r="B3684" s="67"/>
    </row>
    <row r="3685" spans="1:2" x14ac:dyDescent="0.25">
      <c r="A3685" s="67"/>
      <c r="B3685" s="67"/>
    </row>
    <row r="3686" spans="1:2" x14ac:dyDescent="0.25">
      <c r="A3686" s="67"/>
      <c r="B3686" s="67"/>
    </row>
    <row r="3687" spans="1:2" x14ac:dyDescent="0.25">
      <c r="A3687" s="67"/>
      <c r="B3687" s="67"/>
    </row>
    <row r="3688" spans="1:2" x14ac:dyDescent="0.25">
      <c r="A3688" s="67"/>
      <c r="B3688" s="67"/>
    </row>
    <row r="3689" spans="1:2" x14ac:dyDescent="0.25">
      <c r="A3689" s="67"/>
      <c r="B3689" s="67"/>
    </row>
    <row r="3690" spans="1:2" x14ac:dyDescent="0.25">
      <c r="A3690" s="67"/>
      <c r="B3690" s="67"/>
    </row>
    <row r="3691" spans="1:2" x14ac:dyDescent="0.25">
      <c r="A3691" s="67"/>
      <c r="B3691" s="67"/>
    </row>
    <row r="3692" spans="1:2" x14ac:dyDescent="0.25">
      <c r="A3692" s="67"/>
      <c r="B3692" s="67"/>
    </row>
    <row r="3693" spans="1:2" x14ac:dyDescent="0.25">
      <c r="A3693" s="67"/>
      <c r="B3693" s="67"/>
    </row>
    <row r="3694" spans="1:2" x14ac:dyDescent="0.25">
      <c r="A3694" s="67"/>
      <c r="B3694" s="67"/>
    </row>
    <row r="3695" spans="1:2" x14ac:dyDescent="0.25">
      <c r="A3695" s="67"/>
      <c r="B3695" s="67"/>
    </row>
    <row r="3696" spans="1:2" x14ac:dyDescent="0.25">
      <c r="A3696" s="67"/>
      <c r="B3696" s="67"/>
    </row>
    <row r="3697" spans="1:2" x14ac:dyDescent="0.25">
      <c r="A3697" s="67"/>
      <c r="B3697" s="67"/>
    </row>
    <row r="3698" spans="1:2" x14ac:dyDescent="0.25">
      <c r="A3698" s="67"/>
      <c r="B3698" s="67"/>
    </row>
    <row r="3699" spans="1:2" x14ac:dyDescent="0.25">
      <c r="A3699" s="67"/>
      <c r="B3699" s="67"/>
    </row>
    <row r="3700" spans="1:2" x14ac:dyDescent="0.25">
      <c r="A3700" s="67"/>
      <c r="B3700" s="67"/>
    </row>
    <row r="3701" spans="1:2" x14ac:dyDescent="0.25">
      <c r="A3701" s="67"/>
      <c r="B3701" s="67"/>
    </row>
    <row r="3702" spans="1:2" x14ac:dyDescent="0.25">
      <c r="A3702" s="67"/>
      <c r="B3702" s="67"/>
    </row>
    <row r="3703" spans="1:2" x14ac:dyDescent="0.25">
      <c r="A3703" s="67"/>
      <c r="B3703" s="67"/>
    </row>
    <row r="3704" spans="1:2" x14ac:dyDescent="0.25">
      <c r="A3704" s="67"/>
      <c r="B3704" s="67"/>
    </row>
    <row r="3705" spans="1:2" x14ac:dyDescent="0.25">
      <c r="A3705" s="67"/>
      <c r="B3705" s="67"/>
    </row>
    <row r="3706" spans="1:2" x14ac:dyDescent="0.25">
      <c r="A3706" s="67"/>
      <c r="B3706" s="67"/>
    </row>
    <row r="3707" spans="1:2" x14ac:dyDescent="0.25">
      <c r="A3707" s="67"/>
      <c r="B3707" s="67"/>
    </row>
    <row r="3708" spans="1:2" x14ac:dyDescent="0.25">
      <c r="A3708" s="67"/>
      <c r="B3708" s="67"/>
    </row>
    <row r="3709" spans="1:2" x14ac:dyDescent="0.25">
      <c r="A3709" s="67"/>
      <c r="B3709" s="67"/>
    </row>
    <row r="3710" spans="1:2" x14ac:dyDescent="0.25">
      <c r="A3710" s="67"/>
      <c r="B3710" s="67"/>
    </row>
    <row r="3711" spans="1:2" x14ac:dyDescent="0.25">
      <c r="A3711" s="67"/>
      <c r="B3711" s="67"/>
    </row>
    <row r="3712" spans="1:2" x14ac:dyDescent="0.25">
      <c r="A3712" s="67"/>
      <c r="B3712" s="67"/>
    </row>
    <row r="3713" spans="1:2" x14ac:dyDescent="0.25">
      <c r="A3713" s="67"/>
      <c r="B3713" s="67"/>
    </row>
    <row r="3714" spans="1:2" x14ac:dyDescent="0.25">
      <c r="A3714" s="67"/>
      <c r="B3714" s="67"/>
    </row>
    <row r="3715" spans="1:2" x14ac:dyDescent="0.25">
      <c r="A3715" s="67"/>
      <c r="B3715" s="67"/>
    </row>
    <row r="3716" spans="1:2" x14ac:dyDescent="0.25">
      <c r="A3716" s="67"/>
      <c r="B3716" s="67"/>
    </row>
    <row r="3717" spans="1:2" x14ac:dyDescent="0.25">
      <c r="A3717" s="67"/>
      <c r="B3717" s="67"/>
    </row>
    <row r="3718" spans="1:2" x14ac:dyDescent="0.25">
      <c r="A3718" s="67"/>
      <c r="B3718" s="67"/>
    </row>
    <row r="3719" spans="1:2" x14ac:dyDescent="0.25">
      <c r="A3719" s="67"/>
      <c r="B3719" s="67"/>
    </row>
    <row r="3720" spans="1:2" x14ac:dyDescent="0.25">
      <c r="A3720" s="67"/>
      <c r="B3720" s="67"/>
    </row>
    <row r="3721" spans="1:2" x14ac:dyDescent="0.25">
      <c r="A3721" s="67"/>
      <c r="B3721" s="67"/>
    </row>
    <row r="3722" spans="1:2" x14ac:dyDescent="0.25">
      <c r="A3722" s="67"/>
      <c r="B3722" s="67"/>
    </row>
    <row r="3723" spans="1:2" x14ac:dyDescent="0.25">
      <c r="A3723" s="67"/>
      <c r="B3723" s="67"/>
    </row>
    <row r="3724" spans="1:2" x14ac:dyDescent="0.25">
      <c r="A3724" s="67"/>
      <c r="B3724" s="67"/>
    </row>
    <row r="3725" spans="1:2" x14ac:dyDescent="0.25">
      <c r="A3725" s="67"/>
      <c r="B3725" s="67"/>
    </row>
    <row r="3726" spans="1:2" x14ac:dyDescent="0.25">
      <c r="A3726" s="67"/>
      <c r="B3726" s="67"/>
    </row>
    <row r="3727" spans="1:2" x14ac:dyDescent="0.25">
      <c r="A3727" s="67"/>
      <c r="B3727" s="67"/>
    </row>
    <row r="3728" spans="1:2" x14ac:dyDescent="0.25">
      <c r="A3728" s="67"/>
      <c r="B3728" s="67"/>
    </row>
    <row r="3729" spans="1:2" x14ac:dyDescent="0.25">
      <c r="A3729" s="67"/>
      <c r="B3729" s="67"/>
    </row>
    <row r="3730" spans="1:2" x14ac:dyDescent="0.25">
      <c r="A3730" s="67"/>
      <c r="B3730" s="67"/>
    </row>
    <row r="3731" spans="1:2" x14ac:dyDescent="0.25">
      <c r="A3731" s="67"/>
      <c r="B3731" s="67"/>
    </row>
    <row r="3732" spans="1:2" x14ac:dyDescent="0.25">
      <c r="A3732" s="67"/>
      <c r="B3732" s="67"/>
    </row>
    <row r="3733" spans="1:2" x14ac:dyDescent="0.25">
      <c r="A3733" s="67"/>
      <c r="B3733" s="67"/>
    </row>
    <row r="3734" spans="1:2" x14ac:dyDescent="0.25">
      <c r="A3734" s="67"/>
      <c r="B3734" s="67"/>
    </row>
    <row r="3735" spans="1:2" x14ac:dyDescent="0.25">
      <c r="A3735" s="67"/>
      <c r="B3735" s="67"/>
    </row>
    <row r="3736" spans="1:2" x14ac:dyDescent="0.25">
      <c r="A3736" s="67"/>
      <c r="B3736" s="67"/>
    </row>
    <row r="3737" spans="1:2" x14ac:dyDescent="0.25">
      <c r="A3737" s="67"/>
      <c r="B3737" s="67"/>
    </row>
    <row r="3738" spans="1:2" x14ac:dyDescent="0.25">
      <c r="A3738" s="67"/>
      <c r="B3738" s="67"/>
    </row>
    <row r="3739" spans="1:2" x14ac:dyDescent="0.25">
      <c r="A3739" s="67"/>
      <c r="B3739" s="67"/>
    </row>
    <row r="3740" spans="1:2" x14ac:dyDescent="0.25">
      <c r="A3740" s="67"/>
      <c r="B3740" s="67"/>
    </row>
    <row r="3741" spans="1:2" x14ac:dyDescent="0.25">
      <c r="A3741" s="67"/>
      <c r="B3741" s="67"/>
    </row>
    <row r="3742" spans="1:2" x14ac:dyDescent="0.25">
      <c r="A3742" s="67"/>
      <c r="B3742" s="67"/>
    </row>
    <row r="3743" spans="1:2" x14ac:dyDescent="0.25">
      <c r="A3743" s="67"/>
      <c r="B3743" s="67"/>
    </row>
    <row r="3744" spans="1:2" x14ac:dyDescent="0.25">
      <c r="A3744" s="67"/>
      <c r="B3744" s="67"/>
    </row>
    <row r="3745" spans="1:2" x14ac:dyDescent="0.25">
      <c r="A3745" s="67"/>
      <c r="B3745" s="67"/>
    </row>
    <row r="3746" spans="1:2" x14ac:dyDescent="0.25">
      <c r="A3746" s="67"/>
      <c r="B3746" s="67"/>
    </row>
    <row r="3747" spans="1:2" x14ac:dyDescent="0.25">
      <c r="A3747" s="67"/>
      <c r="B3747" s="67"/>
    </row>
    <row r="3748" spans="1:2" x14ac:dyDescent="0.25">
      <c r="A3748" s="67"/>
      <c r="B3748" s="67"/>
    </row>
    <row r="3749" spans="1:2" x14ac:dyDescent="0.25">
      <c r="A3749" s="67"/>
      <c r="B3749" s="67"/>
    </row>
    <row r="3750" spans="1:2" x14ac:dyDescent="0.25">
      <c r="A3750" s="67"/>
      <c r="B3750" s="67"/>
    </row>
    <row r="3751" spans="1:2" x14ac:dyDescent="0.25">
      <c r="A3751" s="67"/>
      <c r="B3751" s="67"/>
    </row>
    <row r="3752" spans="1:2" x14ac:dyDescent="0.25">
      <c r="A3752" s="67"/>
      <c r="B3752" s="67"/>
    </row>
    <row r="3753" spans="1:2" x14ac:dyDescent="0.25">
      <c r="A3753" s="67"/>
      <c r="B3753" s="67"/>
    </row>
    <row r="3754" spans="1:2" x14ac:dyDescent="0.25">
      <c r="A3754" s="67"/>
      <c r="B3754" s="67"/>
    </row>
    <row r="3755" spans="1:2" x14ac:dyDescent="0.25">
      <c r="A3755" s="67"/>
      <c r="B3755" s="67"/>
    </row>
    <row r="3756" spans="1:2" x14ac:dyDescent="0.25">
      <c r="A3756" s="67"/>
      <c r="B3756" s="67"/>
    </row>
    <row r="3757" spans="1:2" x14ac:dyDescent="0.25">
      <c r="A3757" s="67"/>
      <c r="B3757" s="67"/>
    </row>
    <row r="3758" spans="1:2" x14ac:dyDescent="0.25">
      <c r="A3758" s="67"/>
      <c r="B3758" s="67"/>
    </row>
    <row r="3759" spans="1:2" x14ac:dyDescent="0.25">
      <c r="A3759" s="67"/>
      <c r="B3759" s="67"/>
    </row>
    <row r="3760" spans="1:2" x14ac:dyDescent="0.25">
      <c r="A3760" s="67"/>
      <c r="B3760" s="67"/>
    </row>
    <row r="3761" spans="1:2" x14ac:dyDescent="0.25">
      <c r="A3761" s="67"/>
      <c r="B3761" s="67"/>
    </row>
    <row r="3762" spans="1:2" x14ac:dyDescent="0.25">
      <c r="A3762" s="67"/>
      <c r="B3762" s="67"/>
    </row>
    <row r="3763" spans="1:2" x14ac:dyDescent="0.25">
      <c r="A3763" s="67"/>
      <c r="B3763" s="67"/>
    </row>
    <row r="3764" spans="1:2" x14ac:dyDescent="0.25">
      <c r="A3764" s="67"/>
      <c r="B3764" s="67"/>
    </row>
    <row r="3765" spans="1:2" x14ac:dyDescent="0.25">
      <c r="A3765" s="67"/>
      <c r="B3765" s="67"/>
    </row>
    <row r="3766" spans="1:2" x14ac:dyDescent="0.25">
      <c r="A3766" s="67"/>
      <c r="B3766" s="67"/>
    </row>
    <row r="3767" spans="1:2" x14ac:dyDescent="0.25">
      <c r="A3767" s="67"/>
      <c r="B3767" s="67"/>
    </row>
    <row r="3768" spans="1:2" x14ac:dyDescent="0.25">
      <c r="A3768" s="67"/>
      <c r="B3768" s="67"/>
    </row>
    <row r="3769" spans="1:2" x14ac:dyDescent="0.25">
      <c r="A3769" s="67"/>
      <c r="B3769" s="67"/>
    </row>
    <row r="3770" spans="1:2" x14ac:dyDescent="0.25">
      <c r="A3770" s="67"/>
      <c r="B3770" s="67"/>
    </row>
    <row r="3771" spans="1:2" x14ac:dyDescent="0.25">
      <c r="A3771" s="67"/>
      <c r="B3771" s="67"/>
    </row>
    <row r="3772" spans="1:2" x14ac:dyDescent="0.25">
      <c r="A3772" s="67"/>
      <c r="B3772" s="67"/>
    </row>
    <row r="3773" spans="1:2" x14ac:dyDescent="0.25">
      <c r="A3773" s="67"/>
      <c r="B3773" s="67"/>
    </row>
    <row r="3774" spans="1:2" x14ac:dyDescent="0.25">
      <c r="A3774" s="67"/>
      <c r="B3774" s="67"/>
    </row>
    <row r="3775" spans="1:2" x14ac:dyDescent="0.25">
      <c r="A3775" s="67"/>
      <c r="B3775" s="67"/>
    </row>
    <row r="3776" spans="1:2" x14ac:dyDescent="0.25">
      <c r="A3776" s="67"/>
      <c r="B3776" s="67"/>
    </row>
    <row r="3777" spans="1:2" x14ac:dyDescent="0.25">
      <c r="A3777" s="67"/>
      <c r="B3777" s="67"/>
    </row>
    <row r="3778" spans="1:2" x14ac:dyDescent="0.25">
      <c r="A3778" s="67"/>
      <c r="B3778" s="67"/>
    </row>
    <row r="3779" spans="1:2" x14ac:dyDescent="0.25">
      <c r="A3779" s="67"/>
      <c r="B3779" s="67"/>
    </row>
    <row r="3780" spans="1:2" x14ac:dyDescent="0.25">
      <c r="A3780" s="67"/>
      <c r="B3780" s="67"/>
    </row>
    <row r="3781" spans="1:2" x14ac:dyDescent="0.25">
      <c r="A3781" s="67"/>
      <c r="B3781" s="67"/>
    </row>
    <row r="3782" spans="1:2" x14ac:dyDescent="0.25">
      <c r="A3782" s="67"/>
      <c r="B3782" s="67"/>
    </row>
    <row r="3783" spans="1:2" x14ac:dyDescent="0.25">
      <c r="A3783" s="67"/>
      <c r="B3783" s="67"/>
    </row>
    <row r="3784" spans="1:2" x14ac:dyDescent="0.25">
      <c r="A3784" s="67"/>
      <c r="B3784" s="67"/>
    </row>
    <row r="3785" spans="1:2" x14ac:dyDescent="0.25">
      <c r="A3785" s="67"/>
      <c r="B3785" s="67"/>
    </row>
    <row r="3786" spans="1:2" x14ac:dyDescent="0.25">
      <c r="A3786" s="67"/>
      <c r="B3786" s="67"/>
    </row>
    <row r="3787" spans="1:2" x14ac:dyDescent="0.25">
      <c r="A3787" s="67"/>
      <c r="B3787" s="67"/>
    </row>
    <row r="3788" spans="1:2" x14ac:dyDescent="0.25">
      <c r="A3788" s="67"/>
      <c r="B3788" s="67"/>
    </row>
    <row r="3789" spans="1:2" x14ac:dyDescent="0.25">
      <c r="A3789" s="67"/>
      <c r="B3789" s="67"/>
    </row>
    <row r="3790" spans="1:2" x14ac:dyDescent="0.25">
      <c r="A3790" s="67"/>
      <c r="B3790" s="67"/>
    </row>
    <row r="3791" spans="1:2" x14ac:dyDescent="0.25">
      <c r="A3791" s="67"/>
      <c r="B3791" s="67"/>
    </row>
    <row r="3792" spans="1:2" x14ac:dyDescent="0.25">
      <c r="A3792" s="67"/>
      <c r="B3792" s="67"/>
    </row>
    <row r="3793" spans="1:2" x14ac:dyDescent="0.25">
      <c r="A3793" s="67"/>
      <c r="B3793" s="67"/>
    </row>
    <row r="3794" spans="1:2" x14ac:dyDescent="0.25">
      <c r="A3794" s="67"/>
      <c r="B3794" s="67"/>
    </row>
    <row r="3795" spans="1:2" x14ac:dyDescent="0.25">
      <c r="A3795" s="67"/>
      <c r="B3795" s="67"/>
    </row>
    <row r="3796" spans="1:2" x14ac:dyDescent="0.25">
      <c r="A3796" s="67"/>
      <c r="B3796" s="67"/>
    </row>
    <row r="3797" spans="1:2" x14ac:dyDescent="0.25">
      <c r="A3797" s="67"/>
      <c r="B3797" s="67"/>
    </row>
    <row r="3798" spans="1:2" x14ac:dyDescent="0.25">
      <c r="A3798" s="67"/>
      <c r="B3798" s="67"/>
    </row>
    <row r="3799" spans="1:2" x14ac:dyDescent="0.25">
      <c r="A3799" s="67"/>
      <c r="B3799" s="67"/>
    </row>
    <row r="3800" spans="1:2" x14ac:dyDescent="0.25">
      <c r="A3800" s="67"/>
      <c r="B3800" s="67"/>
    </row>
    <row r="3801" spans="1:2" x14ac:dyDescent="0.25">
      <c r="A3801" s="67"/>
      <c r="B3801" s="67"/>
    </row>
    <row r="3802" spans="1:2" x14ac:dyDescent="0.25">
      <c r="A3802" s="67"/>
      <c r="B3802" s="67"/>
    </row>
    <row r="3803" spans="1:2" x14ac:dyDescent="0.25">
      <c r="A3803" s="67"/>
      <c r="B3803" s="67"/>
    </row>
    <row r="3804" spans="1:2" x14ac:dyDescent="0.25">
      <c r="A3804" s="67"/>
      <c r="B3804" s="67"/>
    </row>
    <row r="3805" spans="1:2" x14ac:dyDescent="0.25">
      <c r="A3805" s="67"/>
      <c r="B3805" s="67"/>
    </row>
    <row r="3806" spans="1:2" x14ac:dyDescent="0.25">
      <c r="A3806" s="67"/>
      <c r="B3806" s="67"/>
    </row>
    <row r="3807" spans="1:2" x14ac:dyDescent="0.25">
      <c r="A3807" s="67"/>
      <c r="B3807" s="67"/>
    </row>
    <row r="3808" spans="1:2" x14ac:dyDescent="0.25">
      <c r="A3808" s="67"/>
      <c r="B3808" s="67"/>
    </row>
    <row r="3809" spans="1:2" x14ac:dyDescent="0.25">
      <c r="A3809" s="67"/>
      <c r="B3809" s="67"/>
    </row>
    <row r="3810" spans="1:2" x14ac:dyDescent="0.25">
      <c r="A3810" s="67"/>
      <c r="B3810" s="67"/>
    </row>
    <row r="3811" spans="1:2" x14ac:dyDescent="0.25">
      <c r="A3811" s="67"/>
      <c r="B3811" s="67"/>
    </row>
    <row r="3812" spans="1:2" x14ac:dyDescent="0.25">
      <c r="A3812" s="67"/>
      <c r="B3812" s="67"/>
    </row>
    <row r="3813" spans="1:2" x14ac:dyDescent="0.25">
      <c r="A3813" s="67"/>
      <c r="B3813" s="67"/>
    </row>
    <row r="3814" spans="1:2" x14ac:dyDescent="0.25">
      <c r="A3814" s="67"/>
      <c r="B3814" s="67"/>
    </row>
    <row r="3815" spans="1:2" x14ac:dyDescent="0.25">
      <c r="A3815" s="67"/>
      <c r="B3815" s="67"/>
    </row>
    <row r="3816" spans="1:2" x14ac:dyDescent="0.25">
      <c r="A3816" s="67"/>
      <c r="B3816" s="67"/>
    </row>
    <row r="3817" spans="1:2" x14ac:dyDescent="0.25">
      <c r="A3817" s="67"/>
      <c r="B3817" s="67"/>
    </row>
    <row r="3818" spans="1:2" x14ac:dyDescent="0.25">
      <c r="A3818" s="67"/>
      <c r="B3818" s="67"/>
    </row>
    <row r="3819" spans="1:2" x14ac:dyDescent="0.25">
      <c r="A3819" s="67"/>
      <c r="B3819" s="67"/>
    </row>
    <row r="3820" spans="1:2" x14ac:dyDescent="0.25">
      <c r="A3820" s="67"/>
      <c r="B3820" s="67"/>
    </row>
    <row r="3821" spans="1:2" x14ac:dyDescent="0.25">
      <c r="A3821" s="67"/>
      <c r="B3821" s="67"/>
    </row>
    <row r="3822" spans="1:2" x14ac:dyDescent="0.25">
      <c r="A3822" s="67"/>
      <c r="B3822" s="67"/>
    </row>
    <row r="3823" spans="1:2" x14ac:dyDescent="0.25">
      <c r="A3823" s="67"/>
      <c r="B3823" s="67"/>
    </row>
    <row r="3824" spans="1:2" x14ac:dyDescent="0.25">
      <c r="A3824" s="67"/>
      <c r="B3824" s="67"/>
    </row>
    <row r="3825" spans="1:2" x14ac:dyDescent="0.25">
      <c r="A3825" s="67"/>
      <c r="B3825" s="67"/>
    </row>
    <row r="3826" spans="1:2" x14ac:dyDescent="0.25">
      <c r="A3826" s="67"/>
      <c r="B3826" s="67"/>
    </row>
    <row r="3827" spans="1:2" x14ac:dyDescent="0.25">
      <c r="A3827" s="67"/>
      <c r="B3827" s="67"/>
    </row>
    <row r="3828" spans="1:2" x14ac:dyDescent="0.25">
      <c r="A3828" s="67"/>
      <c r="B3828" s="67"/>
    </row>
    <row r="3829" spans="1:2" x14ac:dyDescent="0.25">
      <c r="A3829" s="67"/>
      <c r="B3829" s="67"/>
    </row>
    <row r="3830" spans="1:2" x14ac:dyDescent="0.25">
      <c r="A3830" s="67"/>
      <c r="B3830" s="67"/>
    </row>
    <row r="3831" spans="1:2" x14ac:dyDescent="0.25">
      <c r="A3831" s="67"/>
      <c r="B3831" s="67"/>
    </row>
    <row r="3832" spans="1:2" x14ac:dyDescent="0.25">
      <c r="A3832" s="67"/>
      <c r="B3832" s="67"/>
    </row>
    <row r="3833" spans="1:2" x14ac:dyDescent="0.25">
      <c r="A3833" s="67"/>
      <c r="B3833" s="67"/>
    </row>
    <row r="3834" spans="1:2" x14ac:dyDescent="0.25">
      <c r="A3834" s="67"/>
      <c r="B3834" s="67"/>
    </row>
    <row r="3835" spans="1:2" x14ac:dyDescent="0.25">
      <c r="A3835" s="67"/>
      <c r="B3835" s="67"/>
    </row>
    <row r="3836" spans="1:2" x14ac:dyDescent="0.25">
      <c r="A3836" s="67"/>
      <c r="B3836" s="67"/>
    </row>
    <row r="3837" spans="1:2" x14ac:dyDescent="0.25">
      <c r="A3837" s="67"/>
      <c r="B3837" s="67"/>
    </row>
    <row r="3838" spans="1:2" x14ac:dyDescent="0.25">
      <c r="A3838" s="67"/>
      <c r="B3838" s="67"/>
    </row>
    <row r="3839" spans="1:2" x14ac:dyDescent="0.25">
      <c r="A3839" s="67"/>
      <c r="B3839" s="67"/>
    </row>
    <row r="3840" spans="1:2" x14ac:dyDescent="0.25">
      <c r="A3840" s="67"/>
      <c r="B3840" s="67"/>
    </row>
    <row r="3841" spans="1:2" x14ac:dyDescent="0.25">
      <c r="A3841" s="67"/>
      <c r="B3841" s="67"/>
    </row>
    <row r="3842" spans="1:2" x14ac:dyDescent="0.25">
      <c r="A3842" s="67"/>
      <c r="B3842" s="67"/>
    </row>
    <row r="3843" spans="1:2" x14ac:dyDescent="0.25">
      <c r="A3843" s="67"/>
      <c r="B3843" s="67"/>
    </row>
    <row r="3844" spans="1:2" x14ac:dyDescent="0.25">
      <c r="A3844" s="67"/>
      <c r="B3844" s="67"/>
    </row>
    <row r="3845" spans="1:2" x14ac:dyDescent="0.25">
      <c r="A3845" s="67"/>
      <c r="B3845" s="67"/>
    </row>
    <row r="3846" spans="1:2" x14ac:dyDescent="0.25">
      <c r="A3846" s="67"/>
      <c r="B3846" s="67"/>
    </row>
    <row r="3847" spans="1:2" x14ac:dyDescent="0.25">
      <c r="A3847" s="67"/>
      <c r="B3847" s="67"/>
    </row>
    <row r="3848" spans="1:2" x14ac:dyDescent="0.25">
      <c r="A3848" s="67"/>
      <c r="B3848" s="67"/>
    </row>
    <row r="3849" spans="1:2" x14ac:dyDescent="0.25">
      <c r="A3849" s="67"/>
      <c r="B3849" s="67"/>
    </row>
    <row r="3850" spans="1:2" x14ac:dyDescent="0.25">
      <c r="A3850" s="67"/>
      <c r="B3850" s="67"/>
    </row>
    <row r="3851" spans="1:2" x14ac:dyDescent="0.25">
      <c r="A3851" s="67"/>
      <c r="B3851" s="67"/>
    </row>
    <row r="3852" spans="1:2" x14ac:dyDescent="0.25">
      <c r="A3852" s="67"/>
      <c r="B3852" s="67"/>
    </row>
    <row r="3853" spans="1:2" x14ac:dyDescent="0.25">
      <c r="A3853" s="67"/>
      <c r="B3853" s="67"/>
    </row>
    <row r="3854" spans="1:2" x14ac:dyDescent="0.25">
      <c r="A3854" s="67"/>
      <c r="B3854" s="67"/>
    </row>
    <row r="3855" spans="1:2" x14ac:dyDescent="0.25">
      <c r="A3855" s="67"/>
      <c r="B3855" s="67"/>
    </row>
    <row r="3856" spans="1:2" x14ac:dyDescent="0.25">
      <c r="A3856" s="67"/>
      <c r="B3856" s="67"/>
    </row>
    <row r="3857" spans="1:2" x14ac:dyDescent="0.25">
      <c r="A3857" s="67"/>
      <c r="B3857" s="67"/>
    </row>
    <row r="3858" spans="1:2" x14ac:dyDescent="0.25">
      <c r="A3858" s="67"/>
      <c r="B3858" s="67"/>
    </row>
    <row r="3859" spans="1:2" x14ac:dyDescent="0.25">
      <c r="A3859" s="67"/>
      <c r="B3859" s="67"/>
    </row>
    <row r="3860" spans="1:2" x14ac:dyDescent="0.25">
      <c r="A3860" s="67"/>
      <c r="B3860" s="67"/>
    </row>
    <row r="3861" spans="1:2" x14ac:dyDescent="0.25">
      <c r="A3861" s="67"/>
      <c r="B3861" s="67"/>
    </row>
    <row r="3862" spans="1:2" x14ac:dyDescent="0.25">
      <c r="A3862" s="67"/>
      <c r="B3862" s="67"/>
    </row>
    <row r="3863" spans="1:2" x14ac:dyDescent="0.25">
      <c r="A3863" s="67"/>
      <c r="B3863" s="67"/>
    </row>
    <row r="3864" spans="1:2" x14ac:dyDescent="0.25">
      <c r="A3864" s="67"/>
      <c r="B3864" s="67"/>
    </row>
    <row r="3865" spans="1:2" x14ac:dyDescent="0.25">
      <c r="A3865" s="67"/>
      <c r="B3865" s="67"/>
    </row>
    <row r="3866" spans="1:2" x14ac:dyDescent="0.25">
      <c r="A3866" s="67"/>
      <c r="B3866" s="67"/>
    </row>
    <row r="3867" spans="1:2" x14ac:dyDescent="0.25">
      <c r="A3867" s="67"/>
      <c r="B3867" s="67"/>
    </row>
    <row r="3868" spans="1:2" x14ac:dyDescent="0.25">
      <c r="A3868" s="67"/>
      <c r="B3868" s="67"/>
    </row>
    <row r="3869" spans="1:2" x14ac:dyDescent="0.25">
      <c r="A3869" s="67"/>
      <c r="B3869" s="67"/>
    </row>
    <row r="3870" spans="1:2" x14ac:dyDescent="0.25">
      <c r="A3870" s="67"/>
      <c r="B3870" s="67"/>
    </row>
    <row r="3871" spans="1:2" x14ac:dyDescent="0.25">
      <c r="A3871" s="67"/>
      <c r="B3871" s="67"/>
    </row>
    <row r="3872" spans="1:2" x14ac:dyDescent="0.25">
      <c r="A3872" s="67"/>
      <c r="B3872" s="67"/>
    </row>
    <row r="3873" spans="1:2" x14ac:dyDescent="0.25">
      <c r="A3873" s="67"/>
      <c r="B3873" s="67"/>
    </row>
    <row r="3874" spans="1:2" x14ac:dyDescent="0.25">
      <c r="A3874" s="67"/>
      <c r="B3874" s="67"/>
    </row>
    <row r="3875" spans="1:2" x14ac:dyDescent="0.25">
      <c r="A3875" s="67"/>
      <c r="B3875" s="67"/>
    </row>
    <row r="3876" spans="1:2" x14ac:dyDescent="0.25">
      <c r="A3876" s="67"/>
      <c r="B3876" s="67"/>
    </row>
    <row r="3877" spans="1:2" x14ac:dyDescent="0.25">
      <c r="A3877" s="67"/>
      <c r="B3877" s="67"/>
    </row>
    <row r="3878" spans="1:2" x14ac:dyDescent="0.25">
      <c r="A3878" s="67"/>
      <c r="B3878" s="67"/>
    </row>
    <row r="3879" spans="1:2" x14ac:dyDescent="0.25">
      <c r="A3879" s="67"/>
      <c r="B3879" s="67"/>
    </row>
    <row r="3880" spans="1:2" x14ac:dyDescent="0.25">
      <c r="A3880" s="67"/>
      <c r="B3880" s="67"/>
    </row>
    <row r="3881" spans="1:2" x14ac:dyDescent="0.25">
      <c r="A3881" s="67"/>
      <c r="B3881" s="67"/>
    </row>
    <row r="3882" spans="1:2" x14ac:dyDescent="0.25">
      <c r="A3882" s="67"/>
      <c r="B3882" s="67"/>
    </row>
    <row r="3883" spans="1:2" x14ac:dyDescent="0.25">
      <c r="A3883" s="67"/>
      <c r="B3883" s="67"/>
    </row>
    <row r="3884" spans="1:2" x14ac:dyDescent="0.25">
      <c r="A3884" s="67"/>
      <c r="B3884" s="67"/>
    </row>
    <row r="3885" spans="1:2" x14ac:dyDescent="0.25">
      <c r="A3885" s="67"/>
      <c r="B3885" s="67"/>
    </row>
    <row r="3886" spans="1:2" x14ac:dyDescent="0.25">
      <c r="A3886" s="67"/>
      <c r="B3886" s="67"/>
    </row>
    <row r="3887" spans="1:2" x14ac:dyDescent="0.25">
      <c r="A3887" s="67"/>
      <c r="B3887" s="67"/>
    </row>
    <row r="3888" spans="1:2" x14ac:dyDescent="0.25">
      <c r="A3888" s="67"/>
      <c r="B3888" s="67"/>
    </row>
    <row r="3889" spans="1:2" x14ac:dyDescent="0.25">
      <c r="A3889" s="67"/>
      <c r="B3889" s="67"/>
    </row>
    <row r="3890" spans="1:2" x14ac:dyDescent="0.25">
      <c r="A3890" s="67"/>
      <c r="B3890" s="67"/>
    </row>
    <row r="3891" spans="1:2" x14ac:dyDescent="0.25">
      <c r="A3891" s="67"/>
      <c r="B3891" s="67"/>
    </row>
    <row r="3892" spans="1:2" x14ac:dyDescent="0.25">
      <c r="A3892" s="67"/>
      <c r="B3892" s="67"/>
    </row>
    <row r="3893" spans="1:2" x14ac:dyDescent="0.25">
      <c r="A3893" s="67"/>
      <c r="B3893" s="67"/>
    </row>
    <row r="3894" spans="1:2" x14ac:dyDescent="0.25">
      <c r="A3894" s="67"/>
      <c r="B3894" s="67"/>
    </row>
    <row r="3895" spans="1:2" x14ac:dyDescent="0.25">
      <c r="A3895" s="67"/>
      <c r="B3895" s="67"/>
    </row>
    <row r="3896" spans="1:2" x14ac:dyDescent="0.25">
      <c r="A3896" s="67"/>
      <c r="B3896" s="67"/>
    </row>
    <row r="3897" spans="1:2" x14ac:dyDescent="0.25">
      <c r="A3897" s="67"/>
      <c r="B3897" s="67"/>
    </row>
    <row r="3898" spans="1:2" x14ac:dyDescent="0.25">
      <c r="A3898" s="67"/>
      <c r="B3898" s="67"/>
    </row>
    <row r="3899" spans="1:2" x14ac:dyDescent="0.25">
      <c r="A3899" s="67"/>
      <c r="B3899" s="67"/>
    </row>
    <row r="3900" spans="1:2" x14ac:dyDescent="0.25">
      <c r="A3900" s="67"/>
      <c r="B3900" s="67"/>
    </row>
    <row r="3901" spans="1:2" x14ac:dyDescent="0.25">
      <c r="A3901" s="67"/>
      <c r="B3901" s="67"/>
    </row>
    <row r="3902" spans="1:2" x14ac:dyDescent="0.25">
      <c r="A3902" s="67"/>
      <c r="B3902" s="67"/>
    </row>
    <row r="3903" spans="1:2" x14ac:dyDescent="0.25">
      <c r="A3903" s="67"/>
      <c r="B3903" s="67"/>
    </row>
    <row r="3904" spans="1:2" x14ac:dyDescent="0.25">
      <c r="A3904" s="67"/>
      <c r="B3904" s="67"/>
    </row>
    <row r="3905" spans="1:2" x14ac:dyDescent="0.25">
      <c r="A3905" s="67"/>
      <c r="B3905" s="67"/>
    </row>
    <row r="3906" spans="1:2" x14ac:dyDescent="0.25">
      <c r="A3906" s="67"/>
      <c r="B3906" s="67"/>
    </row>
    <row r="3907" spans="1:2" x14ac:dyDescent="0.25">
      <c r="A3907" s="67"/>
      <c r="B3907" s="67"/>
    </row>
    <row r="3908" spans="1:2" x14ac:dyDescent="0.25">
      <c r="A3908" s="67"/>
      <c r="B3908" s="67"/>
    </row>
    <row r="3909" spans="1:2" x14ac:dyDescent="0.25">
      <c r="A3909" s="67"/>
      <c r="B3909" s="67"/>
    </row>
    <row r="3910" spans="1:2" x14ac:dyDescent="0.25">
      <c r="A3910" s="67"/>
      <c r="B3910" s="67"/>
    </row>
    <row r="3911" spans="1:2" x14ac:dyDescent="0.25">
      <c r="A3911" s="67"/>
      <c r="B3911" s="67"/>
    </row>
    <row r="3912" spans="1:2" x14ac:dyDescent="0.25">
      <c r="A3912" s="67"/>
      <c r="B3912" s="67"/>
    </row>
    <row r="3913" spans="1:2" x14ac:dyDescent="0.25">
      <c r="A3913" s="67"/>
      <c r="B3913" s="67"/>
    </row>
    <row r="3914" spans="1:2" x14ac:dyDescent="0.25">
      <c r="A3914" s="67"/>
      <c r="B3914" s="67"/>
    </row>
    <row r="3915" spans="1:2" x14ac:dyDescent="0.25">
      <c r="A3915" s="67"/>
      <c r="B3915" s="67"/>
    </row>
    <row r="3916" spans="1:2" x14ac:dyDescent="0.25">
      <c r="A3916" s="67"/>
      <c r="B3916" s="67"/>
    </row>
    <row r="3917" spans="1:2" x14ac:dyDescent="0.25">
      <c r="A3917" s="67"/>
      <c r="B3917" s="67"/>
    </row>
    <row r="3918" spans="1:2" x14ac:dyDescent="0.25">
      <c r="A3918" s="67"/>
      <c r="B3918" s="67"/>
    </row>
    <row r="3919" spans="1:2" x14ac:dyDescent="0.25">
      <c r="A3919" s="67"/>
      <c r="B3919" s="67"/>
    </row>
    <row r="3920" spans="1:2" x14ac:dyDescent="0.25">
      <c r="A3920" s="67"/>
      <c r="B3920" s="67"/>
    </row>
    <row r="3921" spans="1:2" x14ac:dyDescent="0.25">
      <c r="A3921" s="67"/>
      <c r="B3921" s="67"/>
    </row>
    <row r="3922" spans="1:2" x14ac:dyDescent="0.25">
      <c r="A3922" s="67"/>
      <c r="B3922" s="67"/>
    </row>
    <row r="3923" spans="1:2" x14ac:dyDescent="0.25">
      <c r="A3923" s="67"/>
      <c r="B3923" s="67"/>
    </row>
    <row r="3924" spans="1:2" x14ac:dyDescent="0.25">
      <c r="A3924" s="67"/>
      <c r="B3924" s="67"/>
    </row>
    <row r="3925" spans="1:2" x14ac:dyDescent="0.25">
      <c r="A3925" s="67"/>
      <c r="B3925" s="67"/>
    </row>
    <row r="3926" spans="1:2" x14ac:dyDescent="0.25">
      <c r="A3926" s="67"/>
      <c r="B3926" s="67"/>
    </row>
    <row r="3927" spans="1:2" x14ac:dyDescent="0.25">
      <c r="A3927" s="67"/>
      <c r="B3927" s="67"/>
    </row>
    <row r="3928" spans="1:2" x14ac:dyDescent="0.25">
      <c r="A3928" s="67"/>
      <c r="B3928" s="67"/>
    </row>
    <row r="3929" spans="1:2" x14ac:dyDescent="0.25">
      <c r="A3929" s="67"/>
      <c r="B3929" s="67"/>
    </row>
    <row r="3930" spans="1:2" x14ac:dyDescent="0.25">
      <c r="A3930" s="67"/>
      <c r="B3930" s="67"/>
    </row>
    <row r="3931" spans="1:2" x14ac:dyDescent="0.25">
      <c r="A3931" s="67"/>
      <c r="B3931" s="67"/>
    </row>
    <row r="3932" spans="1:2" x14ac:dyDescent="0.25">
      <c r="A3932" s="67"/>
      <c r="B3932" s="67"/>
    </row>
    <row r="3933" spans="1:2" x14ac:dyDescent="0.25">
      <c r="A3933" s="67"/>
      <c r="B3933" s="67"/>
    </row>
    <row r="3934" spans="1:2" x14ac:dyDescent="0.25">
      <c r="A3934" s="67"/>
      <c r="B3934" s="67"/>
    </row>
    <row r="3935" spans="1:2" x14ac:dyDescent="0.25">
      <c r="A3935" s="67"/>
      <c r="B3935" s="67"/>
    </row>
    <row r="3936" spans="1:2" x14ac:dyDescent="0.25">
      <c r="A3936" s="67"/>
      <c r="B3936" s="67"/>
    </row>
    <row r="3937" spans="1:2" x14ac:dyDescent="0.25">
      <c r="A3937" s="67"/>
      <c r="B3937" s="67"/>
    </row>
    <row r="3938" spans="1:2" x14ac:dyDescent="0.25">
      <c r="A3938" s="67"/>
      <c r="B3938" s="67"/>
    </row>
    <row r="3939" spans="1:2" x14ac:dyDescent="0.25">
      <c r="A3939" s="67"/>
      <c r="B3939" s="67"/>
    </row>
    <row r="3940" spans="1:2" x14ac:dyDescent="0.25">
      <c r="A3940" s="67"/>
      <c r="B3940" s="67"/>
    </row>
    <row r="3941" spans="1:2" x14ac:dyDescent="0.25">
      <c r="A3941" s="67"/>
      <c r="B3941" s="67"/>
    </row>
    <row r="3942" spans="1:2" x14ac:dyDescent="0.25">
      <c r="A3942" s="67"/>
      <c r="B3942" s="67"/>
    </row>
    <row r="3943" spans="1:2" x14ac:dyDescent="0.25">
      <c r="A3943" s="67"/>
      <c r="B3943" s="67"/>
    </row>
    <row r="3944" spans="1:2" x14ac:dyDescent="0.25">
      <c r="A3944" s="67"/>
      <c r="B3944" s="67"/>
    </row>
    <row r="3945" spans="1:2" x14ac:dyDescent="0.25">
      <c r="A3945" s="67"/>
      <c r="B3945" s="67"/>
    </row>
    <row r="3946" spans="1:2" x14ac:dyDescent="0.25">
      <c r="A3946" s="67"/>
      <c r="B3946" s="67"/>
    </row>
    <row r="3947" spans="1:2" x14ac:dyDescent="0.25">
      <c r="A3947" s="67"/>
      <c r="B3947" s="67"/>
    </row>
    <row r="3948" spans="1:2" x14ac:dyDescent="0.25">
      <c r="A3948" s="67"/>
      <c r="B3948" s="67"/>
    </row>
    <row r="3949" spans="1:2" x14ac:dyDescent="0.25">
      <c r="A3949" s="67"/>
      <c r="B3949" s="67"/>
    </row>
    <row r="3950" spans="1:2" x14ac:dyDescent="0.25">
      <c r="A3950" s="67"/>
      <c r="B3950" s="67"/>
    </row>
    <row r="3951" spans="1:2" x14ac:dyDescent="0.25">
      <c r="A3951" s="67"/>
      <c r="B3951" s="67"/>
    </row>
    <row r="3952" spans="1:2" x14ac:dyDescent="0.25">
      <c r="A3952" s="67"/>
      <c r="B3952" s="67"/>
    </row>
    <row r="3953" spans="1:2" x14ac:dyDescent="0.25">
      <c r="A3953" s="67"/>
      <c r="B3953" s="67"/>
    </row>
    <row r="3954" spans="1:2" x14ac:dyDescent="0.25">
      <c r="A3954" s="67"/>
      <c r="B3954" s="67"/>
    </row>
    <row r="3955" spans="1:2" x14ac:dyDescent="0.25">
      <c r="A3955" s="67"/>
      <c r="B3955" s="67"/>
    </row>
    <row r="3956" spans="1:2" x14ac:dyDescent="0.25">
      <c r="A3956" s="67"/>
      <c r="B3956" s="67"/>
    </row>
    <row r="3957" spans="1:2" x14ac:dyDescent="0.25">
      <c r="A3957" s="67"/>
      <c r="B3957" s="67"/>
    </row>
    <row r="3958" spans="1:2" x14ac:dyDescent="0.25">
      <c r="A3958" s="67"/>
      <c r="B3958" s="67"/>
    </row>
    <row r="3959" spans="1:2" x14ac:dyDescent="0.25">
      <c r="A3959" s="67"/>
      <c r="B3959" s="67"/>
    </row>
    <row r="3960" spans="1:2" x14ac:dyDescent="0.25">
      <c r="A3960" s="67"/>
      <c r="B3960" s="67"/>
    </row>
    <row r="3961" spans="1:2" x14ac:dyDescent="0.25">
      <c r="A3961" s="67"/>
      <c r="B3961" s="67"/>
    </row>
    <row r="3962" spans="1:2" x14ac:dyDescent="0.25">
      <c r="A3962" s="67"/>
      <c r="B3962" s="67"/>
    </row>
    <row r="3963" spans="1:2" x14ac:dyDescent="0.25">
      <c r="A3963" s="67"/>
      <c r="B3963" s="67"/>
    </row>
    <row r="3964" spans="1:2" x14ac:dyDescent="0.25">
      <c r="A3964" s="67"/>
      <c r="B3964" s="67"/>
    </row>
    <row r="3965" spans="1:2" x14ac:dyDescent="0.25">
      <c r="A3965" s="67"/>
      <c r="B3965" s="67"/>
    </row>
    <row r="3966" spans="1:2" x14ac:dyDescent="0.25">
      <c r="A3966" s="67"/>
      <c r="B3966" s="67"/>
    </row>
    <row r="3967" spans="1:2" x14ac:dyDescent="0.25">
      <c r="A3967" s="67"/>
      <c r="B3967" s="67"/>
    </row>
    <row r="3968" spans="1:2" x14ac:dyDescent="0.25">
      <c r="A3968" s="67"/>
      <c r="B3968" s="67"/>
    </row>
    <row r="3969" spans="1:2" x14ac:dyDescent="0.25">
      <c r="A3969" s="67"/>
      <c r="B3969" s="67"/>
    </row>
    <row r="3970" spans="1:2" x14ac:dyDescent="0.25">
      <c r="A3970" s="67"/>
      <c r="B3970" s="67"/>
    </row>
    <row r="3971" spans="1:2" x14ac:dyDescent="0.25">
      <c r="A3971" s="67"/>
      <c r="B3971" s="67"/>
    </row>
    <row r="3972" spans="1:2" x14ac:dyDescent="0.25">
      <c r="A3972" s="67"/>
      <c r="B3972" s="67"/>
    </row>
    <row r="3973" spans="1:2" x14ac:dyDescent="0.25">
      <c r="A3973" s="67"/>
      <c r="B3973" s="67"/>
    </row>
    <row r="3974" spans="1:2" x14ac:dyDescent="0.25">
      <c r="A3974" s="67"/>
      <c r="B3974" s="67"/>
    </row>
    <row r="3975" spans="1:2" x14ac:dyDescent="0.25">
      <c r="A3975" s="67"/>
      <c r="B3975" s="67"/>
    </row>
    <row r="3976" spans="1:2" x14ac:dyDescent="0.25">
      <c r="A3976" s="67"/>
      <c r="B3976" s="67"/>
    </row>
    <row r="3977" spans="1:2" x14ac:dyDescent="0.25">
      <c r="A3977" s="67"/>
      <c r="B3977" s="67"/>
    </row>
    <row r="3978" spans="1:2" x14ac:dyDescent="0.25">
      <c r="A3978" s="67"/>
      <c r="B3978" s="67"/>
    </row>
    <row r="3979" spans="1:2" x14ac:dyDescent="0.25">
      <c r="A3979" s="67"/>
      <c r="B3979" s="67"/>
    </row>
    <row r="3980" spans="1:2" x14ac:dyDescent="0.25">
      <c r="A3980" s="67"/>
      <c r="B3980" s="67"/>
    </row>
    <row r="3981" spans="1:2" x14ac:dyDescent="0.25">
      <c r="A3981" s="67"/>
      <c r="B3981" s="67"/>
    </row>
    <row r="3982" spans="1:2" x14ac:dyDescent="0.25">
      <c r="A3982" s="67"/>
      <c r="B3982" s="67"/>
    </row>
    <row r="3983" spans="1:2" x14ac:dyDescent="0.25">
      <c r="A3983" s="67"/>
      <c r="B3983" s="67"/>
    </row>
    <row r="3984" spans="1:2" x14ac:dyDescent="0.25">
      <c r="A3984" s="67"/>
      <c r="B3984" s="67"/>
    </row>
    <row r="3985" spans="1:2" x14ac:dyDescent="0.25">
      <c r="A3985" s="67"/>
      <c r="B3985" s="67"/>
    </row>
    <row r="3986" spans="1:2" x14ac:dyDescent="0.25">
      <c r="A3986" s="67"/>
      <c r="B3986" s="67"/>
    </row>
    <row r="3987" spans="1:2" x14ac:dyDescent="0.25">
      <c r="A3987" s="67"/>
      <c r="B3987" s="67"/>
    </row>
    <row r="3988" spans="1:2" x14ac:dyDescent="0.25">
      <c r="A3988" s="67"/>
      <c r="B3988" s="67"/>
    </row>
    <row r="3989" spans="1:2" x14ac:dyDescent="0.25">
      <c r="A3989" s="67"/>
      <c r="B3989" s="67"/>
    </row>
    <row r="3990" spans="1:2" x14ac:dyDescent="0.25">
      <c r="A3990" s="67"/>
      <c r="B3990" s="67"/>
    </row>
    <row r="3991" spans="1:2" x14ac:dyDescent="0.25">
      <c r="A3991" s="67"/>
      <c r="B3991" s="67"/>
    </row>
    <row r="3992" spans="1:2" x14ac:dyDescent="0.25">
      <c r="A3992" s="67"/>
      <c r="B3992" s="67"/>
    </row>
    <row r="3993" spans="1:2" x14ac:dyDescent="0.25">
      <c r="A3993" s="67"/>
      <c r="B3993" s="67"/>
    </row>
    <row r="3994" spans="1:2" x14ac:dyDescent="0.25">
      <c r="A3994" s="67"/>
      <c r="B3994" s="67"/>
    </row>
    <row r="3995" spans="1:2" x14ac:dyDescent="0.25">
      <c r="A3995" s="67"/>
      <c r="B3995" s="67"/>
    </row>
    <row r="3996" spans="1:2" x14ac:dyDescent="0.25">
      <c r="A3996" s="67"/>
      <c r="B3996" s="67"/>
    </row>
    <row r="3997" spans="1:2" x14ac:dyDescent="0.25">
      <c r="A3997" s="67"/>
      <c r="B3997" s="67"/>
    </row>
    <row r="3998" spans="1:2" x14ac:dyDescent="0.25">
      <c r="A3998" s="67"/>
      <c r="B3998" s="67"/>
    </row>
    <row r="3999" spans="1:2" x14ac:dyDescent="0.25">
      <c r="A3999" s="67"/>
      <c r="B3999" s="67"/>
    </row>
    <row r="4000" spans="1:2" x14ac:dyDescent="0.25">
      <c r="A4000" s="67"/>
      <c r="B4000" s="67"/>
    </row>
    <row r="4001" spans="1:2" x14ac:dyDescent="0.25">
      <c r="A4001" s="67"/>
      <c r="B4001" s="67"/>
    </row>
    <row r="4002" spans="1:2" x14ac:dyDescent="0.25">
      <c r="A4002" s="67"/>
      <c r="B4002" s="67"/>
    </row>
    <row r="4003" spans="1:2" x14ac:dyDescent="0.25">
      <c r="A4003" s="67"/>
      <c r="B4003" s="67"/>
    </row>
    <row r="4004" spans="1:2" x14ac:dyDescent="0.25">
      <c r="A4004" s="67"/>
      <c r="B4004" s="67"/>
    </row>
    <row r="4005" spans="1:2" x14ac:dyDescent="0.25">
      <c r="A4005" s="67"/>
      <c r="B4005" s="67"/>
    </row>
    <row r="4006" spans="1:2" x14ac:dyDescent="0.25">
      <c r="A4006" s="67"/>
      <c r="B4006" s="67"/>
    </row>
    <row r="4007" spans="1:2" x14ac:dyDescent="0.25">
      <c r="A4007" s="67"/>
      <c r="B4007" s="67"/>
    </row>
    <row r="4008" spans="1:2" x14ac:dyDescent="0.25">
      <c r="A4008" s="67"/>
      <c r="B4008" s="67"/>
    </row>
    <row r="4009" spans="1:2" x14ac:dyDescent="0.25">
      <c r="A4009" s="67"/>
      <c r="B4009" s="67"/>
    </row>
    <row r="4010" spans="1:2" x14ac:dyDescent="0.25">
      <c r="A4010" s="67"/>
      <c r="B4010" s="67"/>
    </row>
    <row r="4011" spans="1:2" x14ac:dyDescent="0.25">
      <c r="A4011" s="67"/>
      <c r="B4011" s="67"/>
    </row>
    <row r="4012" spans="1:2" x14ac:dyDescent="0.25">
      <c r="A4012" s="67"/>
      <c r="B4012" s="67"/>
    </row>
    <row r="4013" spans="1:2" x14ac:dyDescent="0.25">
      <c r="A4013" s="67"/>
      <c r="B4013" s="67"/>
    </row>
    <row r="4014" spans="1:2" x14ac:dyDescent="0.25">
      <c r="A4014" s="67"/>
      <c r="B4014" s="67"/>
    </row>
    <row r="4015" spans="1:2" x14ac:dyDescent="0.25">
      <c r="A4015" s="67"/>
      <c r="B4015" s="67"/>
    </row>
    <row r="4016" spans="1:2" x14ac:dyDescent="0.25">
      <c r="A4016" s="67"/>
      <c r="B4016" s="67"/>
    </row>
    <row r="4017" spans="1:2" x14ac:dyDescent="0.25">
      <c r="A4017" s="67"/>
      <c r="B4017" s="67"/>
    </row>
    <row r="4018" spans="1:2" x14ac:dyDescent="0.25">
      <c r="A4018" s="67"/>
      <c r="B4018" s="67"/>
    </row>
    <row r="4019" spans="1:2" x14ac:dyDescent="0.25">
      <c r="A4019" s="67"/>
      <c r="B4019" s="67"/>
    </row>
    <row r="4020" spans="1:2" x14ac:dyDescent="0.25">
      <c r="A4020" s="67"/>
      <c r="B4020" s="67"/>
    </row>
    <row r="4021" spans="1:2" x14ac:dyDescent="0.25">
      <c r="A4021" s="67"/>
      <c r="B4021" s="67"/>
    </row>
    <row r="4022" spans="1:2" x14ac:dyDescent="0.25">
      <c r="A4022" s="67"/>
      <c r="B4022" s="67"/>
    </row>
    <row r="4023" spans="1:2" x14ac:dyDescent="0.25">
      <c r="A4023" s="67"/>
      <c r="B4023" s="67"/>
    </row>
    <row r="4024" spans="1:2" x14ac:dyDescent="0.25">
      <c r="A4024" s="67"/>
      <c r="B4024" s="67"/>
    </row>
    <row r="4025" spans="1:2" x14ac:dyDescent="0.25">
      <c r="A4025" s="67"/>
      <c r="B4025" s="67"/>
    </row>
    <row r="4026" spans="1:2" x14ac:dyDescent="0.25">
      <c r="A4026" s="67"/>
      <c r="B4026" s="67"/>
    </row>
    <row r="4027" spans="1:2" x14ac:dyDescent="0.25">
      <c r="A4027" s="67"/>
      <c r="B4027" s="67"/>
    </row>
    <row r="4028" spans="1:2" x14ac:dyDescent="0.25">
      <c r="A4028" s="67"/>
      <c r="B4028" s="67"/>
    </row>
    <row r="4029" spans="1:2" x14ac:dyDescent="0.25">
      <c r="A4029" s="67"/>
      <c r="B4029" s="67"/>
    </row>
    <row r="4030" spans="1:2" x14ac:dyDescent="0.25">
      <c r="A4030" s="67"/>
      <c r="B4030" s="67"/>
    </row>
    <row r="4031" spans="1:2" x14ac:dyDescent="0.25">
      <c r="A4031" s="67"/>
      <c r="B4031" s="67"/>
    </row>
    <row r="4032" spans="1:2" x14ac:dyDescent="0.25">
      <c r="A4032" s="67"/>
      <c r="B4032" s="67"/>
    </row>
    <row r="4033" spans="1:2" x14ac:dyDescent="0.25">
      <c r="A4033" s="67"/>
      <c r="B4033" s="67"/>
    </row>
    <row r="4034" spans="1:2" x14ac:dyDescent="0.25">
      <c r="A4034" s="67"/>
      <c r="B4034" s="67"/>
    </row>
    <row r="4035" spans="1:2" x14ac:dyDescent="0.25">
      <c r="A4035" s="67"/>
      <c r="B4035" s="67"/>
    </row>
    <row r="4036" spans="1:2" x14ac:dyDescent="0.25">
      <c r="A4036" s="67"/>
      <c r="B4036" s="67"/>
    </row>
    <row r="4037" spans="1:2" x14ac:dyDescent="0.25">
      <c r="A4037" s="67"/>
      <c r="B4037" s="67"/>
    </row>
    <row r="4038" spans="1:2" x14ac:dyDescent="0.25">
      <c r="A4038" s="67"/>
      <c r="B4038" s="67"/>
    </row>
    <row r="4039" spans="1:2" x14ac:dyDescent="0.25">
      <c r="A4039" s="67"/>
      <c r="B4039" s="67"/>
    </row>
    <row r="4040" spans="1:2" x14ac:dyDescent="0.25">
      <c r="A4040" s="67"/>
      <c r="B4040" s="67"/>
    </row>
    <row r="4041" spans="1:2" x14ac:dyDescent="0.25">
      <c r="A4041" s="67"/>
      <c r="B4041" s="67"/>
    </row>
    <row r="4042" spans="1:2" x14ac:dyDescent="0.25">
      <c r="A4042" s="67"/>
      <c r="B4042" s="67"/>
    </row>
    <row r="4043" spans="1:2" x14ac:dyDescent="0.25">
      <c r="A4043" s="67"/>
      <c r="B4043" s="67"/>
    </row>
    <row r="4044" spans="1:2" x14ac:dyDescent="0.25">
      <c r="A4044" s="67"/>
      <c r="B4044" s="67"/>
    </row>
    <row r="4045" spans="1:2" x14ac:dyDescent="0.25">
      <c r="A4045" s="67"/>
      <c r="B4045" s="67"/>
    </row>
    <row r="4046" spans="1:2" x14ac:dyDescent="0.25">
      <c r="A4046" s="67"/>
      <c r="B4046" s="67"/>
    </row>
    <row r="4047" spans="1:2" x14ac:dyDescent="0.25">
      <c r="A4047" s="67"/>
      <c r="B4047" s="67"/>
    </row>
    <row r="4048" spans="1:2" x14ac:dyDescent="0.25">
      <c r="A4048" s="67"/>
      <c r="B4048" s="67"/>
    </row>
    <row r="4049" spans="1:2" x14ac:dyDescent="0.25">
      <c r="A4049" s="67"/>
      <c r="B4049" s="67"/>
    </row>
    <row r="4050" spans="1:2" x14ac:dyDescent="0.25">
      <c r="A4050" s="67"/>
      <c r="B4050" s="67"/>
    </row>
    <row r="4051" spans="1:2" x14ac:dyDescent="0.25">
      <c r="A4051" s="67"/>
      <c r="B4051" s="67"/>
    </row>
    <row r="4052" spans="1:2" x14ac:dyDescent="0.25">
      <c r="A4052" s="67"/>
      <c r="B4052" s="67"/>
    </row>
    <row r="4053" spans="1:2" x14ac:dyDescent="0.25">
      <c r="A4053" s="67"/>
      <c r="B4053" s="67"/>
    </row>
    <row r="4054" spans="1:2" x14ac:dyDescent="0.25">
      <c r="A4054" s="67"/>
      <c r="B4054" s="67"/>
    </row>
    <row r="4055" spans="1:2" x14ac:dyDescent="0.25">
      <c r="A4055" s="67"/>
      <c r="B4055" s="67"/>
    </row>
    <row r="4056" spans="1:2" x14ac:dyDescent="0.25">
      <c r="A4056" s="67"/>
      <c r="B4056" s="67"/>
    </row>
    <row r="4057" spans="1:2" x14ac:dyDescent="0.25">
      <c r="A4057" s="67"/>
      <c r="B4057" s="67"/>
    </row>
    <row r="4058" spans="1:2" x14ac:dyDescent="0.25">
      <c r="A4058" s="67"/>
      <c r="B4058" s="67"/>
    </row>
    <row r="4059" spans="1:2" x14ac:dyDescent="0.25">
      <c r="A4059" s="67"/>
      <c r="B4059" s="67"/>
    </row>
    <row r="4060" spans="1:2" x14ac:dyDescent="0.25">
      <c r="A4060" s="67"/>
      <c r="B4060" s="67"/>
    </row>
    <row r="4061" spans="1:2" x14ac:dyDescent="0.25">
      <c r="A4061" s="67"/>
      <c r="B4061" s="67"/>
    </row>
    <row r="4062" spans="1:2" x14ac:dyDescent="0.25">
      <c r="A4062" s="67"/>
      <c r="B4062" s="67"/>
    </row>
    <row r="4063" spans="1:2" x14ac:dyDescent="0.25">
      <c r="A4063" s="67"/>
      <c r="B4063" s="67"/>
    </row>
    <row r="4064" spans="1:2" x14ac:dyDescent="0.25">
      <c r="A4064" s="67"/>
      <c r="B4064" s="67"/>
    </row>
    <row r="4065" spans="1:2" x14ac:dyDescent="0.25">
      <c r="A4065" s="67"/>
      <c r="B4065" s="67"/>
    </row>
    <row r="4066" spans="1:2" x14ac:dyDescent="0.25">
      <c r="A4066" s="67"/>
      <c r="B4066" s="67"/>
    </row>
    <row r="4067" spans="1:2" x14ac:dyDescent="0.25">
      <c r="A4067" s="67"/>
      <c r="B4067" s="67"/>
    </row>
    <row r="4068" spans="1:2" x14ac:dyDescent="0.25">
      <c r="A4068" s="67"/>
      <c r="B4068" s="67"/>
    </row>
    <row r="4069" spans="1:2" x14ac:dyDescent="0.25">
      <c r="A4069" s="67"/>
      <c r="B4069" s="67"/>
    </row>
    <row r="4070" spans="1:2" x14ac:dyDescent="0.25">
      <c r="A4070" s="67"/>
      <c r="B4070" s="67"/>
    </row>
    <row r="4071" spans="1:2" x14ac:dyDescent="0.25">
      <c r="A4071" s="67"/>
      <c r="B4071" s="67"/>
    </row>
    <row r="4072" spans="1:2" x14ac:dyDescent="0.25">
      <c r="A4072" s="67"/>
      <c r="B4072" s="67"/>
    </row>
    <row r="4073" spans="1:2" x14ac:dyDescent="0.25">
      <c r="A4073" s="67"/>
      <c r="B4073" s="67"/>
    </row>
    <row r="4074" spans="1:2" x14ac:dyDescent="0.25">
      <c r="A4074" s="67"/>
      <c r="B4074" s="67"/>
    </row>
    <row r="4075" spans="1:2" x14ac:dyDescent="0.25">
      <c r="A4075" s="67"/>
      <c r="B4075" s="67"/>
    </row>
    <row r="4076" spans="1:2" x14ac:dyDescent="0.25">
      <c r="A4076" s="67"/>
      <c r="B4076" s="67"/>
    </row>
    <row r="4077" spans="1:2" x14ac:dyDescent="0.25">
      <c r="A4077" s="67"/>
      <c r="B4077" s="67"/>
    </row>
    <row r="4078" spans="1:2" x14ac:dyDescent="0.25">
      <c r="A4078" s="67"/>
      <c r="B4078" s="67"/>
    </row>
    <row r="4079" spans="1:2" x14ac:dyDescent="0.25">
      <c r="A4079" s="67"/>
      <c r="B4079" s="67"/>
    </row>
    <row r="4080" spans="1:2" x14ac:dyDescent="0.25">
      <c r="A4080" s="67"/>
      <c r="B4080" s="67"/>
    </row>
    <row r="4081" spans="1:2" x14ac:dyDescent="0.25">
      <c r="A4081" s="67"/>
      <c r="B4081" s="67"/>
    </row>
    <row r="4082" spans="1:2" x14ac:dyDescent="0.25">
      <c r="A4082" s="67"/>
      <c r="B4082" s="67"/>
    </row>
    <row r="4083" spans="1:2" x14ac:dyDescent="0.25">
      <c r="A4083" s="67"/>
      <c r="B4083" s="67"/>
    </row>
    <row r="4084" spans="1:2" x14ac:dyDescent="0.25">
      <c r="A4084" s="67"/>
      <c r="B4084" s="67"/>
    </row>
    <row r="4085" spans="1:2" x14ac:dyDescent="0.25">
      <c r="A4085" s="67"/>
      <c r="B4085" s="67"/>
    </row>
    <row r="4086" spans="1:2" x14ac:dyDescent="0.25">
      <c r="A4086" s="67"/>
      <c r="B4086" s="67"/>
    </row>
    <row r="4087" spans="1:2" x14ac:dyDescent="0.25">
      <c r="A4087" s="67"/>
      <c r="B4087" s="67"/>
    </row>
    <row r="4088" spans="1:2" x14ac:dyDescent="0.25">
      <c r="A4088" s="67"/>
      <c r="B4088" s="67"/>
    </row>
    <row r="4089" spans="1:2" x14ac:dyDescent="0.25">
      <c r="A4089" s="67"/>
      <c r="B4089" s="67"/>
    </row>
    <row r="4090" spans="1:2" x14ac:dyDescent="0.25">
      <c r="A4090" s="67"/>
      <c r="B4090" s="67"/>
    </row>
    <row r="4091" spans="1:2" x14ac:dyDescent="0.25">
      <c r="A4091" s="67"/>
      <c r="B4091" s="67"/>
    </row>
    <row r="4092" spans="1:2" x14ac:dyDescent="0.25">
      <c r="A4092" s="67"/>
      <c r="B4092" s="67"/>
    </row>
    <row r="4093" spans="1:2" x14ac:dyDescent="0.25">
      <c r="A4093" s="67"/>
      <c r="B4093" s="67"/>
    </row>
    <row r="4094" spans="1:2" x14ac:dyDescent="0.25">
      <c r="A4094" s="67"/>
      <c r="B4094" s="67"/>
    </row>
    <row r="4095" spans="1:2" x14ac:dyDescent="0.25">
      <c r="A4095" s="67"/>
      <c r="B4095" s="67"/>
    </row>
    <row r="4096" spans="1:2" x14ac:dyDescent="0.25">
      <c r="A4096" s="67"/>
      <c r="B4096" s="67"/>
    </row>
    <row r="4097" spans="1:2" x14ac:dyDescent="0.25">
      <c r="A4097" s="67"/>
      <c r="B4097" s="67"/>
    </row>
    <row r="4098" spans="1:2" x14ac:dyDescent="0.25">
      <c r="A4098" s="67"/>
      <c r="B4098" s="67"/>
    </row>
    <row r="4099" spans="1:2" x14ac:dyDescent="0.25">
      <c r="A4099" s="67"/>
      <c r="B4099" s="67"/>
    </row>
    <row r="4100" spans="1:2" x14ac:dyDescent="0.25">
      <c r="A4100" s="67"/>
      <c r="B4100" s="67"/>
    </row>
    <row r="4101" spans="1:2" x14ac:dyDescent="0.25">
      <c r="A4101" s="67"/>
      <c r="B4101" s="67"/>
    </row>
    <row r="4102" spans="1:2" x14ac:dyDescent="0.25">
      <c r="A4102" s="67"/>
      <c r="B4102" s="67"/>
    </row>
    <row r="4103" spans="1:2" x14ac:dyDescent="0.25">
      <c r="A4103" s="67"/>
      <c r="B4103" s="67"/>
    </row>
    <row r="4104" spans="1:2" x14ac:dyDescent="0.25">
      <c r="A4104" s="67"/>
      <c r="B4104" s="67"/>
    </row>
    <row r="4105" spans="1:2" x14ac:dyDescent="0.25">
      <c r="A4105" s="67"/>
      <c r="B4105" s="67"/>
    </row>
    <row r="4106" spans="1:2" x14ac:dyDescent="0.25">
      <c r="A4106" s="67"/>
      <c r="B4106" s="67"/>
    </row>
    <row r="4107" spans="1:2" x14ac:dyDescent="0.25">
      <c r="A4107" s="67"/>
      <c r="B4107" s="67"/>
    </row>
    <row r="4108" spans="1:2" x14ac:dyDescent="0.25">
      <c r="A4108" s="67"/>
      <c r="B4108" s="67"/>
    </row>
    <row r="4109" spans="1:2" x14ac:dyDescent="0.25">
      <c r="A4109" s="67"/>
      <c r="B4109" s="67"/>
    </row>
    <row r="4110" spans="1:2" x14ac:dyDescent="0.25">
      <c r="A4110" s="67"/>
      <c r="B4110" s="67"/>
    </row>
    <row r="4111" spans="1:2" x14ac:dyDescent="0.25">
      <c r="A4111" s="67"/>
      <c r="B4111" s="67"/>
    </row>
    <row r="4112" spans="1:2" x14ac:dyDescent="0.25">
      <c r="A4112" s="67"/>
      <c r="B4112" s="67"/>
    </row>
    <row r="4113" spans="1:2" x14ac:dyDescent="0.25">
      <c r="A4113" s="67"/>
      <c r="B4113" s="67"/>
    </row>
    <row r="4114" spans="1:2" x14ac:dyDescent="0.25">
      <c r="A4114" s="67"/>
      <c r="B4114" s="67"/>
    </row>
    <row r="4115" spans="1:2" x14ac:dyDescent="0.25">
      <c r="A4115" s="67"/>
      <c r="B4115" s="67"/>
    </row>
    <row r="4116" spans="1:2" x14ac:dyDescent="0.25">
      <c r="A4116" s="67"/>
      <c r="B4116" s="67"/>
    </row>
    <row r="4117" spans="1:2" x14ac:dyDescent="0.25">
      <c r="A4117" s="67"/>
      <c r="B4117" s="67"/>
    </row>
    <row r="4118" spans="1:2" x14ac:dyDescent="0.25">
      <c r="A4118" s="67"/>
      <c r="B4118" s="67"/>
    </row>
    <row r="4119" spans="1:2" x14ac:dyDescent="0.25">
      <c r="A4119" s="67"/>
      <c r="B4119" s="67"/>
    </row>
    <row r="4120" spans="1:2" x14ac:dyDescent="0.25">
      <c r="A4120" s="67"/>
      <c r="B4120" s="67"/>
    </row>
    <row r="4121" spans="1:2" x14ac:dyDescent="0.25">
      <c r="A4121" s="67"/>
      <c r="B4121" s="67"/>
    </row>
    <row r="4122" spans="1:2" x14ac:dyDescent="0.25">
      <c r="A4122" s="67"/>
      <c r="B4122" s="67"/>
    </row>
    <row r="4123" spans="1:2" x14ac:dyDescent="0.25">
      <c r="A4123" s="67"/>
      <c r="B4123" s="67"/>
    </row>
    <row r="4124" spans="1:2" x14ac:dyDescent="0.25">
      <c r="A4124" s="67"/>
      <c r="B4124" s="67"/>
    </row>
    <row r="4125" spans="1:2" x14ac:dyDescent="0.25">
      <c r="A4125" s="67"/>
      <c r="B4125" s="67"/>
    </row>
    <row r="4126" spans="1:2" x14ac:dyDescent="0.25">
      <c r="A4126" s="67"/>
      <c r="B4126" s="67"/>
    </row>
    <row r="4127" spans="1:2" x14ac:dyDescent="0.25">
      <c r="A4127" s="67"/>
      <c r="B4127" s="67"/>
    </row>
    <row r="4128" spans="1:2" x14ac:dyDescent="0.25">
      <c r="A4128" s="67"/>
      <c r="B4128" s="67"/>
    </row>
    <row r="4129" spans="1:2" x14ac:dyDescent="0.25">
      <c r="A4129" s="67"/>
      <c r="B4129" s="67"/>
    </row>
    <row r="4130" spans="1:2" x14ac:dyDescent="0.25">
      <c r="A4130" s="67"/>
      <c r="B4130" s="67"/>
    </row>
    <row r="4131" spans="1:2" x14ac:dyDescent="0.25">
      <c r="A4131" s="67"/>
      <c r="B4131" s="67"/>
    </row>
    <row r="4132" spans="1:2" x14ac:dyDescent="0.25">
      <c r="A4132" s="67"/>
      <c r="B4132" s="67"/>
    </row>
    <row r="4133" spans="1:2" x14ac:dyDescent="0.25">
      <c r="A4133" s="67"/>
      <c r="B4133" s="67"/>
    </row>
    <row r="4134" spans="1:2" x14ac:dyDescent="0.25">
      <c r="A4134" s="67"/>
      <c r="B4134" s="67"/>
    </row>
    <row r="4135" spans="1:2" x14ac:dyDescent="0.25">
      <c r="A4135" s="67"/>
      <c r="B4135" s="67"/>
    </row>
    <row r="4136" spans="1:2" x14ac:dyDescent="0.25">
      <c r="A4136" s="67"/>
      <c r="B4136" s="67"/>
    </row>
    <row r="4137" spans="1:2" x14ac:dyDescent="0.25">
      <c r="A4137" s="67"/>
      <c r="B4137" s="67"/>
    </row>
    <row r="4138" spans="1:2" x14ac:dyDescent="0.25">
      <c r="A4138" s="67"/>
      <c r="B4138" s="67"/>
    </row>
    <row r="4139" spans="1:2" x14ac:dyDescent="0.25">
      <c r="A4139" s="67"/>
      <c r="B4139" s="67"/>
    </row>
    <row r="4140" spans="1:2" x14ac:dyDescent="0.25">
      <c r="A4140" s="67"/>
      <c r="B4140" s="67"/>
    </row>
    <row r="4141" spans="1:2" x14ac:dyDescent="0.25">
      <c r="A4141" s="67"/>
      <c r="B4141" s="67"/>
    </row>
    <row r="4142" spans="1:2" x14ac:dyDescent="0.25">
      <c r="A4142" s="67"/>
      <c r="B4142" s="67"/>
    </row>
    <row r="4143" spans="1:2" x14ac:dyDescent="0.25">
      <c r="A4143" s="67"/>
      <c r="B4143" s="67"/>
    </row>
    <row r="4144" spans="1:2" x14ac:dyDescent="0.25">
      <c r="A4144" s="67"/>
      <c r="B4144" s="67"/>
    </row>
    <row r="4145" spans="1:2" x14ac:dyDescent="0.25">
      <c r="A4145" s="67"/>
      <c r="B4145" s="67"/>
    </row>
    <row r="4146" spans="1:2" x14ac:dyDescent="0.25">
      <c r="A4146" s="67"/>
      <c r="B4146" s="67"/>
    </row>
    <row r="4147" spans="1:2" x14ac:dyDescent="0.25">
      <c r="A4147" s="67"/>
      <c r="B4147" s="67"/>
    </row>
    <row r="4148" spans="1:2" x14ac:dyDescent="0.25">
      <c r="A4148" s="67"/>
      <c r="B4148" s="67"/>
    </row>
    <row r="4149" spans="1:2" x14ac:dyDescent="0.25">
      <c r="A4149" s="67"/>
      <c r="B4149" s="67"/>
    </row>
    <row r="4150" spans="1:2" x14ac:dyDescent="0.25">
      <c r="A4150" s="67"/>
      <c r="B4150" s="67"/>
    </row>
    <row r="4151" spans="1:2" x14ac:dyDescent="0.25">
      <c r="A4151" s="67"/>
      <c r="B4151" s="67"/>
    </row>
    <row r="4152" spans="1:2" x14ac:dyDescent="0.25">
      <c r="A4152" s="67"/>
      <c r="B4152" s="67"/>
    </row>
    <row r="4153" spans="1:2" x14ac:dyDescent="0.25">
      <c r="A4153" s="67"/>
      <c r="B4153" s="67"/>
    </row>
    <row r="4154" spans="1:2" x14ac:dyDescent="0.25">
      <c r="A4154" s="67"/>
      <c r="B4154" s="67"/>
    </row>
    <row r="4155" spans="1:2" x14ac:dyDescent="0.25">
      <c r="A4155" s="67"/>
      <c r="B4155" s="67"/>
    </row>
    <row r="4156" spans="1:2" x14ac:dyDescent="0.25">
      <c r="A4156" s="67"/>
      <c r="B4156" s="67"/>
    </row>
    <row r="4157" spans="1:2" x14ac:dyDescent="0.25">
      <c r="A4157" s="67"/>
      <c r="B4157" s="67"/>
    </row>
    <row r="4158" spans="1:2" x14ac:dyDescent="0.25">
      <c r="A4158" s="67"/>
      <c r="B4158" s="67"/>
    </row>
    <row r="4159" spans="1:2" x14ac:dyDescent="0.25">
      <c r="A4159" s="67"/>
      <c r="B4159" s="67"/>
    </row>
    <row r="4160" spans="1:2" x14ac:dyDescent="0.25">
      <c r="A4160" s="67"/>
      <c r="B4160" s="67"/>
    </row>
    <row r="4161" spans="1:2" x14ac:dyDescent="0.25">
      <c r="A4161" s="67"/>
      <c r="B4161" s="67"/>
    </row>
    <row r="4162" spans="1:2" x14ac:dyDescent="0.25">
      <c r="A4162" s="67"/>
      <c r="B4162" s="67"/>
    </row>
    <row r="4163" spans="1:2" x14ac:dyDescent="0.25">
      <c r="A4163" s="67"/>
      <c r="B4163" s="67"/>
    </row>
    <row r="4164" spans="1:2" x14ac:dyDescent="0.25">
      <c r="A4164" s="67"/>
      <c r="B4164" s="67"/>
    </row>
    <row r="4165" spans="1:2" x14ac:dyDescent="0.25">
      <c r="A4165" s="67"/>
      <c r="B4165" s="67"/>
    </row>
    <row r="4166" spans="1:2" x14ac:dyDescent="0.25">
      <c r="A4166" s="67"/>
      <c r="B4166" s="67"/>
    </row>
    <row r="4167" spans="1:2" x14ac:dyDescent="0.25">
      <c r="A4167" s="67"/>
      <c r="B4167" s="67"/>
    </row>
    <row r="4168" spans="1:2" x14ac:dyDescent="0.25">
      <c r="A4168" s="67"/>
      <c r="B4168" s="67"/>
    </row>
    <row r="4169" spans="1:2" x14ac:dyDescent="0.25">
      <c r="A4169" s="67"/>
      <c r="B4169" s="67"/>
    </row>
    <row r="4170" spans="1:2" x14ac:dyDescent="0.25">
      <c r="A4170" s="67"/>
      <c r="B4170" s="67"/>
    </row>
    <row r="4171" spans="1:2" x14ac:dyDescent="0.25">
      <c r="A4171" s="67"/>
      <c r="B4171" s="67"/>
    </row>
    <row r="4172" spans="1:2" x14ac:dyDescent="0.25">
      <c r="A4172" s="67"/>
      <c r="B4172" s="67"/>
    </row>
    <row r="4173" spans="1:2" x14ac:dyDescent="0.25">
      <c r="A4173" s="67"/>
      <c r="B4173" s="67"/>
    </row>
    <row r="4174" spans="1:2" x14ac:dyDescent="0.25">
      <c r="A4174" s="67"/>
      <c r="B4174" s="67"/>
    </row>
    <row r="4175" spans="1:2" x14ac:dyDescent="0.25">
      <c r="A4175" s="67"/>
      <c r="B4175" s="67"/>
    </row>
    <row r="4176" spans="1:2" x14ac:dyDescent="0.25">
      <c r="A4176" s="67"/>
      <c r="B4176" s="67"/>
    </row>
    <row r="4177" spans="1:2" x14ac:dyDescent="0.25">
      <c r="A4177" s="67"/>
      <c r="B4177" s="67"/>
    </row>
    <row r="4178" spans="1:2" x14ac:dyDescent="0.25">
      <c r="A4178" s="67"/>
      <c r="B4178" s="67"/>
    </row>
    <row r="4179" spans="1:2" x14ac:dyDescent="0.25">
      <c r="A4179" s="67"/>
      <c r="B4179" s="67"/>
    </row>
    <row r="4180" spans="1:2" x14ac:dyDescent="0.25">
      <c r="A4180" s="67"/>
      <c r="B4180" s="67"/>
    </row>
    <row r="4181" spans="1:2" x14ac:dyDescent="0.25">
      <c r="A4181" s="67"/>
      <c r="B4181" s="67"/>
    </row>
    <row r="4182" spans="1:2" x14ac:dyDescent="0.25">
      <c r="A4182" s="67"/>
      <c r="B4182" s="67"/>
    </row>
    <row r="4183" spans="1:2" x14ac:dyDescent="0.25">
      <c r="A4183" s="67"/>
      <c r="B4183" s="67"/>
    </row>
    <row r="4184" spans="1:2" x14ac:dyDescent="0.25">
      <c r="A4184" s="67"/>
      <c r="B4184" s="67"/>
    </row>
    <row r="4185" spans="1:2" x14ac:dyDescent="0.25">
      <c r="A4185" s="67"/>
      <c r="B4185" s="67"/>
    </row>
    <row r="4186" spans="1:2" x14ac:dyDescent="0.25">
      <c r="A4186" s="67"/>
      <c r="B4186" s="67"/>
    </row>
    <row r="4187" spans="1:2" x14ac:dyDescent="0.25">
      <c r="A4187" s="67"/>
      <c r="B4187" s="67"/>
    </row>
    <row r="4188" spans="1:2" x14ac:dyDescent="0.25">
      <c r="A4188" s="67"/>
      <c r="B4188" s="67"/>
    </row>
    <row r="4189" spans="1:2" x14ac:dyDescent="0.25">
      <c r="A4189" s="67"/>
      <c r="B4189" s="67"/>
    </row>
    <row r="4190" spans="1:2" x14ac:dyDescent="0.25">
      <c r="A4190" s="67"/>
      <c r="B4190" s="67"/>
    </row>
    <row r="4191" spans="1:2" x14ac:dyDescent="0.25">
      <c r="A4191" s="67"/>
      <c r="B4191" s="67"/>
    </row>
    <row r="4192" spans="1:2" x14ac:dyDescent="0.25">
      <c r="A4192" s="67"/>
      <c r="B4192" s="67"/>
    </row>
    <row r="4193" spans="1:2" x14ac:dyDescent="0.25">
      <c r="A4193" s="67"/>
      <c r="B4193" s="67"/>
    </row>
    <row r="4194" spans="1:2" x14ac:dyDescent="0.25">
      <c r="A4194" s="67"/>
      <c r="B4194" s="67"/>
    </row>
    <row r="4195" spans="1:2" x14ac:dyDescent="0.25">
      <c r="A4195" s="67"/>
      <c r="B4195" s="67"/>
    </row>
    <row r="4196" spans="1:2" x14ac:dyDescent="0.25">
      <c r="A4196" s="67"/>
      <c r="B4196" s="67"/>
    </row>
    <row r="4197" spans="1:2" x14ac:dyDescent="0.25">
      <c r="A4197" s="67"/>
      <c r="B4197" s="67"/>
    </row>
    <row r="4198" spans="1:2" x14ac:dyDescent="0.25">
      <c r="A4198" s="67"/>
      <c r="B4198" s="67"/>
    </row>
    <row r="4199" spans="1:2" x14ac:dyDescent="0.25">
      <c r="A4199" s="67"/>
      <c r="B4199" s="67"/>
    </row>
    <row r="4200" spans="1:2" x14ac:dyDescent="0.25">
      <c r="A4200" s="67"/>
      <c r="B4200" s="67"/>
    </row>
    <row r="4201" spans="1:2" x14ac:dyDescent="0.25">
      <c r="A4201" s="67"/>
      <c r="B4201" s="67"/>
    </row>
    <row r="4202" spans="1:2" x14ac:dyDescent="0.25">
      <c r="A4202" s="67"/>
      <c r="B4202" s="67"/>
    </row>
    <row r="4203" spans="1:2" x14ac:dyDescent="0.25">
      <c r="A4203" s="67"/>
      <c r="B4203" s="67"/>
    </row>
    <row r="4204" spans="1:2" x14ac:dyDescent="0.25">
      <c r="A4204" s="67"/>
      <c r="B4204" s="67"/>
    </row>
    <row r="4205" spans="1:2" x14ac:dyDescent="0.25">
      <c r="A4205" s="67"/>
      <c r="B4205" s="67"/>
    </row>
    <row r="4206" spans="1:2" x14ac:dyDescent="0.25">
      <c r="A4206" s="67"/>
      <c r="B4206" s="67"/>
    </row>
    <row r="4207" spans="1:2" x14ac:dyDescent="0.25">
      <c r="A4207" s="67"/>
      <c r="B4207" s="67"/>
    </row>
    <row r="4208" spans="1:2" x14ac:dyDescent="0.25">
      <c r="A4208" s="67"/>
      <c r="B4208" s="67"/>
    </row>
    <row r="4209" spans="1:2" x14ac:dyDescent="0.25">
      <c r="A4209" s="67"/>
      <c r="B4209" s="67"/>
    </row>
    <row r="4210" spans="1:2" x14ac:dyDescent="0.25">
      <c r="A4210" s="67"/>
      <c r="B4210" s="67"/>
    </row>
    <row r="4211" spans="1:2" x14ac:dyDescent="0.25">
      <c r="A4211" s="67"/>
      <c r="B4211" s="67"/>
    </row>
    <row r="4212" spans="1:2" x14ac:dyDescent="0.25">
      <c r="A4212" s="67"/>
      <c r="B4212" s="67"/>
    </row>
    <row r="4213" spans="1:2" x14ac:dyDescent="0.25">
      <c r="A4213" s="67"/>
      <c r="B4213" s="67"/>
    </row>
    <row r="4214" spans="1:2" x14ac:dyDescent="0.25">
      <c r="A4214" s="67"/>
      <c r="B4214" s="67"/>
    </row>
    <row r="4215" spans="1:2" x14ac:dyDescent="0.25">
      <c r="A4215" s="67"/>
      <c r="B4215" s="67"/>
    </row>
    <row r="4216" spans="1:2" x14ac:dyDescent="0.25">
      <c r="A4216" s="67"/>
      <c r="B4216" s="67"/>
    </row>
    <row r="4217" spans="1:2" x14ac:dyDescent="0.25">
      <c r="A4217" s="67"/>
      <c r="B4217" s="67"/>
    </row>
    <row r="4218" spans="1:2" x14ac:dyDescent="0.25">
      <c r="A4218" s="67"/>
      <c r="B4218" s="67"/>
    </row>
    <row r="4219" spans="1:2" x14ac:dyDescent="0.25">
      <c r="A4219" s="67"/>
      <c r="B4219" s="67"/>
    </row>
    <row r="4220" spans="1:2" x14ac:dyDescent="0.25">
      <c r="A4220" s="67"/>
      <c r="B4220" s="67"/>
    </row>
    <row r="4221" spans="1:2" x14ac:dyDescent="0.25">
      <c r="A4221" s="67"/>
      <c r="B4221" s="67"/>
    </row>
    <row r="4222" spans="1:2" x14ac:dyDescent="0.25">
      <c r="A4222" s="67"/>
      <c r="B4222" s="67"/>
    </row>
    <row r="4223" spans="1:2" x14ac:dyDescent="0.25">
      <c r="A4223" s="67"/>
      <c r="B4223" s="67"/>
    </row>
    <row r="4224" spans="1:2" x14ac:dyDescent="0.25">
      <c r="A4224" s="67"/>
      <c r="B4224" s="67"/>
    </row>
    <row r="4225" spans="1:2" x14ac:dyDescent="0.25">
      <c r="A4225" s="67"/>
      <c r="B4225" s="67"/>
    </row>
    <row r="4226" spans="1:2" x14ac:dyDescent="0.25">
      <c r="A4226" s="67"/>
      <c r="B4226" s="67"/>
    </row>
    <row r="4227" spans="1:2" x14ac:dyDescent="0.25">
      <c r="A4227" s="67"/>
      <c r="B4227" s="67"/>
    </row>
    <row r="4228" spans="1:2" x14ac:dyDescent="0.25">
      <c r="A4228" s="67"/>
      <c r="B4228" s="67"/>
    </row>
    <row r="4229" spans="1:2" x14ac:dyDescent="0.25">
      <c r="A4229" s="67"/>
      <c r="B4229" s="67"/>
    </row>
    <row r="4230" spans="1:2" x14ac:dyDescent="0.25">
      <c r="A4230" s="67"/>
      <c r="B4230" s="67"/>
    </row>
    <row r="4231" spans="1:2" x14ac:dyDescent="0.25">
      <c r="A4231" s="67"/>
      <c r="B4231" s="67"/>
    </row>
    <row r="4232" spans="1:2" x14ac:dyDescent="0.25">
      <c r="A4232" s="67"/>
      <c r="B4232" s="67"/>
    </row>
    <row r="4233" spans="1:2" x14ac:dyDescent="0.25">
      <c r="A4233" s="67"/>
      <c r="B4233" s="67"/>
    </row>
    <row r="4234" spans="1:2" x14ac:dyDescent="0.25">
      <c r="A4234" s="67"/>
      <c r="B4234" s="67"/>
    </row>
    <row r="4235" spans="1:2" x14ac:dyDescent="0.25">
      <c r="A4235" s="67"/>
      <c r="B4235" s="67"/>
    </row>
    <row r="4236" spans="1:2" x14ac:dyDescent="0.25">
      <c r="A4236" s="67"/>
      <c r="B4236" s="67"/>
    </row>
    <row r="4237" spans="1:2" x14ac:dyDescent="0.25">
      <c r="A4237" s="67"/>
      <c r="B4237" s="67"/>
    </row>
    <row r="4238" spans="1:2" x14ac:dyDescent="0.25">
      <c r="A4238" s="67"/>
      <c r="B4238" s="67"/>
    </row>
    <row r="4239" spans="1:2" x14ac:dyDescent="0.25">
      <c r="A4239" s="67"/>
      <c r="B4239" s="67"/>
    </row>
    <row r="4240" spans="1:2" x14ac:dyDescent="0.25">
      <c r="A4240" s="67"/>
      <c r="B4240" s="67"/>
    </row>
    <row r="4241" spans="1:2" x14ac:dyDescent="0.25">
      <c r="A4241" s="67"/>
      <c r="B4241" s="67"/>
    </row>
    <row r="4242" spans="1:2" x14ac:dyDescent="0.25">
      <c r="A4242" s="67"/>
      <c r="B4242" s="67"/>
    </row>
    <row r="4243" spans="1:2" x14ac:dyDescent="0.25">
      <c r="A4243" s="67"/>
      <c r="B4243" s="67"/>
    </row>
    <row r="4244" spans="1:2" x14ac:dyDescent="0.25">
      <c r="A4244" s="67"/>
      <c r="B4244" s="67"/>
    </row>
    <row r="4245" spans="1:2" x14ac:dyDescent="0.25">
      <c r="A4245" s="67"/>
      <c r="B4245" s="67"/>
    </row>
    <row r="4246" spans="1:2" x14ac:dyDescent="0.25">
      <c r="A4246" s="67"/>
      <c r="B4246" s="67"/>
    </row>
    <row r="4247" spans="1:2" x14ac:dyDescent="0.25">
      <c r="A4247" s="67"/>
      <c r="B4247" s="67"/>
    </row>
    <row r="4248" spans="1:2" x14ac:dyDescent="0.25">
      <c r="A4248" s="67"/>
      <c r="B4248" s="67"/>
    </row>
    <row r="4249" spans="1:2" x14ac:dyDescent="0.25">
      <c r="A4249" s="67"/>
      <c r="B4249" s="67"/>
    </row>
    <row r="4250" spans="1:2" x14ac:dyDescent="0.25">
      <c r="A4250" s="67"/>
      <c r="B4250" s="67"/>
    </row>
    <row r="4251" spans="1:2" x14ac:dyDescent="0.25">
      <c r="A4251" s="67"/>
      <c r="B4251" s="67"/>
    </row>
    <row r="4252" spans="1:2" x14ac:dyDescent="0.25">
      <c r="A4252" s="67"/>
      <c r="B4252" s="67"/>
    </row>
    <row r="4253" spans="1:2" x14ac:dyDescent="0.25">
      <c r="A4253" s="67"/>
      <c r="B4253" s="67"/>
    </row>
    <row r="4254" spans="1:2" x14ac:dyDescent="0.25">
      <c r="A4254" s="67"/>
      <c r="B4254" s="67"/>
    </row>
    <row r="4255" spans="1:2" x14ac:dyDescent="0.25">
      <c r="A4255" s="67"/>
      <c r="B4255" s="67"/>
    </row>
    <row r="4256" spans="1:2" x14ac:dyDescent="0.25">
      <c r="A4256" s="67"/>
      <c r="B4256" s="67"/>
    </row>
    <row r="4257" spans="1:2" x14ac:dyDescent="0.25">
      <c r="A4257" s="67"/>
      <c r="B4257" s="67"/>
    </row>
    <row r="4258" spans="1:2" x14ac:dyDescent="0.25">
      <c r="A4258" s="67"/>
      <c r="B4258" s="67"/>
    </row>
    <row r="4259" spans="1:2" x14ac:dyDescent="0.25">
      <c r="A4259" s="67"/>
      <c r="B4259" s="67"/>
    </row>
    <row r="4260" spans="1:2" x14ac:dyDescent="0.25">
      <c r="A4260" s="67"/>
      <c r="B4260" s="67"/>
    </row>
    <row r="4261" spans="1:2" x14ac:dyDescent="0.25">
      <c r="A4261" s="67"/>
      <c r="B4261" s="67"/>
    </row>
    <row r="4262" spans="1:2" x14ac:dyDescent="0.25">
      <c r="A4262" s="67"/>
      <c r="B4262" s="67"/>
    </row>
    <row r="4263" spans="1:2" x14ac:dyDescent="0.25">
      <c r="A4263" s="67"/>
      <c r="B4263" s="67"/>
    </row>
    <row r="4264" spans="1:2" x14ac:dyDescent="0.25">
      <c r="A4264" s="67"/>
      <c r="B4264" s="67"/>
    </row>
    <row r="4265" spans="1:2" x14ac:dyDescent="0.25">
      <c r="A4265" s="67"/>
      <c r="B4265" s="67"/>
    </row>
    <row r="4266" spans="1:2" x14ac:dyDescent="0.25">
      <c r="A4266" s="67"/>
      <c r="B4266" s="67"/>
    </row>
    <row r="4267" spans="1:2" x14ac:dyDescent="0.25">
      <c r="A4267" s="67"/>
      <c r="B4267" s="67"/>
    </row>
    <row r="4268" spans="1:2" x14ac:dyDescent="0.25">
      <c r="A4268" s="67"/>
      <c r="B4268" s="67"/>
    </row>
    <row r="4269" spans="1:2" x14ac:dyDescent="0.25">
      <c r="A4269" s="67"/>
      <c r="B4269" s="67"/>
    </row>
    <row r="4270" spans="1:2" x14ac:dyDescent="0.25">
      <c r="A4270" s="67"/>
      <c r="B4270" s="67"/>
    </row>
    <row r="4271" spans="1:2" x14ac:dyDescent="0.25">
      <c r="A4271" s="67"/>
      <c r="B4271" s="67"/>
    </row>
    <row r="4272" spans="1:2" x14ac:dyDescent="0.25">
      <c r="A4272" s="67"/>
      <c r="B4272" s="67"/>
    </row>
    <row r="4273" spans="1:2" x14ac:dyDescent="0.25">
      <c r="A4273" s="67"/>
      <c r="B4273" s="67"/>
    </row>
    <row r="4274" spans="1:2" x14ac:dyDescent="0.25">
      <c r="A4274" s="67"/>
      <c r="B4274" s="67"/>
    </row>
    <row r="4275" spans="1:2" x14ac:dyDescent="0.25">
      <c r="A4275" s="67"/>
      <c r="B4275" s="67"/>
    </row>
    <row r="4276" spans="1:2" x14ac:dyDescent="0.25">
      <c r="A4276" s="67"/>
      <c r="B4276" s="67"/>
    </row>
    <row r="4277" spans="1:2" x14ac:dyDescent="0.25">
      <c r="A4277" s="67"/>
      <c r="B4277" s="67"/>
    </row>
    <row r="4278" spans="1:2" x14ac:dyDescent="0.25">
      <c r="A4278" s="67"/>
      <c r="B4278" s="67"/>
    </row>
    <row r="4279" spans="1:2" x14ac:dyDescent="0.25">
      <c r="A4279" s="67"/>
      <c r="B4279" s="67"/>
    </row>
    <row r="4280" spans="1:2" x14ac:dyDescent="0.25">
      <c r="A4280" s="67"/>
      <c r="B4280" s="67"/>
    </row>
    <row r="4281" spans="1:2" x14ac:dyDescent="0.25">
      <c r="A4281" s="67"/>
      <c r="B4281" s="67"/>
    </row>
    <row r="4282" spans="1:2" x14ac:dyDescent="0.25">
      <c r="A4282" s="67"/>
      <c r="B4282" s="67"/>
    </row>
    <row r="4283" spans="1:2" x14ac:dyDescent="0.25">
      <c r="A4283" s="67"/>
      <c r="B4283" s="67"/>
    </row>
    <row r="4284" spans="1:2" x14ac:dyDescent="0.25">
      <c r="A4284" s="67"/>
      <c r="B4284" s="67"/>
    </row>
    <row r="4285" spans="1:2" x14ac:dyDescent="0.25">
      <c r="A4285" s="67"/>
      <c r="B4285" s="67"/>
    </row>
    <row r="4286" spans="1:2" x14ac:dyDescent="0.25">
      <c r="A4286" s="67"/>
      <c r="B4286" s="67"/>
    </row>
    <row r="4287" spans="1:2" x14ac:dyDescent="0.25">
      <c r="A4287" s="67"/>
      <c r="B4287" s="67"/>
    </row>
    <row r="4288" spans="1:2" x14ac:dyDescent="0.25">
      <c r="A4288" s="67"/>
      <c r="B4288" s="67"/>
    </row>
    <row r="4289" spans="1:2" x14ac:dyDescent="0.25">
      <c r="A4289" s="67"/>
      <c r="B4289" s="67"/>
    </row>
    <row r="4290" spans="1:2" x14ac:dyDescent="0.25">
      <c r="A4290" s="67"/>
      <c r="B4290" s="67"/>
    </row>
    <row r="4291" spans="1:2" x14ac:dyDescent="0.25">
      <c r="A4291" s="67"/>
      <c r="B4291" s="67"/>
    </row>
    <row r="4292" spans="1:2" x14ac:dyDescent="0.25">
      <c r="A4292" s="67"/>
      <c r="B4292" s="67"/>
    </row>
    <row r="4293" spans="1:2" x14ac:dyDescent="0.25">
      <c r="A4293" s="67"/>
      <c r="B4293" s="67"/>
    </row>
    <row r="4294" spans="1:2" x14ac:dyDescent="0.25">
      <c r="A4294" s="67"/>
      <c r="B4294" s="67"/>
    </row>
    <row r="4295" spans="1:2" x14ac:dyDescent="0.25">
      <c r="A4295" s="67"/>
      <c r="B4295" s="67"/>
    </row>
    <row r="4296" spans="1:2" x14ac:dyDescent="0.25">
      <c r="A4296" s="67"/>
      <c r="B4296" s="67"/>
    </row>
    <row r="4297" spans="1:2" x14ac:dyDescent="0.25">
      <c r="A4297" s="67"/>
      <c r="B4297" s="67"/>
    </row>
    <row r="4298" spans="1:2" x14ac:dyDescent="0.25">
      <c r="A4298" s="67"/>
      <c r="B4298" s="67"/>
    </row>
    <row r="4299" spans="1:2" x14ac:dyDescent="0.25">
      <c r="A4299" s="67"/>
      <c r="B4299" s="67"/>
    </row>
    <row r="4300" spans="1:2" x14ac:dyDescent="0.25">
      <c r="A4300" s="67"/>
      <c r="B4300" s="67"/>
    </row>
    <row r="4301" spans="1:2" x14ac:dyDescent="0.25">
      <c r="A4301" s="67"/>
      <c r="B4301" s="67"/>
    </row>
    <row r="4302" spans="1:2" x14ac:dyDescent="0.25">
      <c r="A4302" s="67"/>
      <c r="B4302" s="67"/>
    </row>
    <row r="4303" spans="1:2" x14ac:dyDescent="0.25">
      <c r="A4303" s="67"/>
      <c r="B4303" s="67"/>
    </row>
    <row r="4304" spans="1:2" x14ac:dyDescent="0.25">
      <c r="A4304" s="67"/>
      <c r="B4304" s="67"/>
    </row>
    <row r="4305" spans="1:2" x14ac:dyDescent="0.25">
      <c r="A4305" s="67"/>
      <c r="B4305" s="67"/>
    </row>
    <row r="4306" spans="1:2" x14ac:dyDescent="0.25">
      <c r="A4306" s="67"/>
      <c r="B4306" s="67"/>
    </row>
    <row r="4307" spans="1:2" x14ac:dyDescent="0.25">
      <c r="A4307" s="67"/>
      <c r="B4307" s="67"/>
    </row>
    <row r="4308" spans="1:2" x14ac:dyDescent="0.25">
      <c r="A4308" s="67"/>
      <c r="B4308" s="67"/>
    </row>
    <row r="4309" spans="1:2" x14ac:dyDescent="0.25">
      <c r="A4309" s="67"/>
      <c r="B4309" s="67"/>
    </row>
    <row r="4310" spans="1:2" x14ac:dyDescent="0.25">
      <c r="A4310" s="67"/>
      <c r="B4310" s="67"/>
    </row>
    <row r="4311" spans="1:2" x14ac:dyDescent="0.25">
      <c r="A4311" s="67"/>
      <c r="B4311" s="67"/>
    </row>
    <row r="4312" spans="1:2" x14ac:dyDescent="0.25">
      <c r="A4312" s="67"/>
      <c r="B4312" s="67"/>
    </row>
    <row r="4313" spans="1:2" x14ac:dyDescent="0.25">
      <c r="A4313" s="67"/>
      <c r="B4313" s="67"/>
    </row>
    <row r="4314" spans="1:2" x14ac:dyDescent="0.25">
      <c r="A4314" s="67"/>
      <c r="B4314" s="67"/>
    </row>
    <row r="4315" spans="1:2" x14ac:dyDescent="0.25">
      <c r="A4315" s="67"/>
      <c r="B4315" s="67"/>
    </row>
    <row r="4316" spans="1:2" x14ac:dyDescent="0.25">
      <c r="A4316" s="67"/>
      <c r="B4316" s="67"/>
    </row>
    <row r="4317" spans="1:2" x14ac:dyDescent="0.25">
      <c r="A4317" s="67"/>
      <c r="B4317" s="67"/>
    </row>
    <row r="4318" spans="1:2" x14ac:dyDescent="0.25">
      <c r="A4318" s="67"/>
      <c r="B4318" s="67"/>
    </row>
    <row r="4319" spans="1:2" x14ac:dyDescent="0.25">
      <c r="A4319" s="67"/>
      <c r="B4319" s="67"/>
    </row>
    <row r="4320" spans="1:2" x14ac:dyDescent="0.25">
      <c r="A4320" s="67"/>
      <c r="B4320" s="67"/>
    </row>
    <row r="4321" spans="1:2" x14ac:dyDescent="0.25">
      <c r="A4321" s="67"/>
      <c r="B4321" s="67"/>
    </row>
    <row r="4322" spans="1:2" x14ac:dyDescent="0.25">
      <c r="A4322" s="67"/>
      <c r="B4322" s="67"/>
    </row>
    <row r="4323" spans="1:2" x14ac:dyDescent="0.25">
      <c r="A4323" s="67"/>
      <c r="B4323" s="67"/>
    </row>
    <row r="4324" spans="1:2" x14ac:dyDescent="0.25">
      <c r="A4324" s="67"/>
      <c r="B4324" s="67"/>
    </row>
    <row r="4325" spans="1:2" x14ac:dyDescent="0.25">
      <c r="A4325" s="67"/>
      <c r="B4325" s="67"/>
    </row>
    <row r="4326" spans="1:2" x14ac:dyDescent="0.25">
      <c r="A4326" s="67"/>
      <c r="B4326" s="67"/>
    </row>
    <row r="4327" spans="1:2" x14ac:dyDescent="0.25">
      <c r="A4327" s="67"/>
      <c r="B4327" s="67"/>
    </row>
    <row r="4328" spans="1:2" x14ac:dyDescent="0.25">
      <c r="A4328" s="67"/>
      <c r="B4328" s="67"/>
    </row>
    <row r="4329" spans="1:2" x14ac:dyDescent="0.25">
      <c r="A4329" s="67"/>
      <c r="B4329" s="67"/>
    </row>
    <row r="4330" spans="1:2" x14ac:dyDescent="0.25">
      <c r="A4330" s="67"/>
      <c r="B4330" s="67"/>
    </row>
    <row r="4331" spans="1:2" x14ac:dyDescent="0.25">
      <c r="A4331" s="67"/>
      <c r="B4331" s="67"/>
    </row>
    <row r="4332" spans="1:2" x14ac:dyDescent="0.25">
      <c r="A4332" s="67"/>
      <c r="B4332" s="67"/>
    </row>
    <row r="4333" spans="1:2" x14ac:dyDescent="0.25">
      <c r="A4333" s="67"/>
      <c r="B4333" s="67"/>
    </row>
    <row r="4334" spans="1:2" x14ac:dyDescent="0.25">
      <c r="A4334" s="67"/>
      <c r="B4334" s="67"/>
    </row>
    <row r="4335" spans="1:2" x14ac:dyDescent="0.25">
      <c r="A4335" s="67"/>
      <c r="B4335" s="67"/>
    </row>
    <row r="4336" spans="1:2" x14ac:dyDescent="0.25">
      <c r="A4336" s="67"/>
      <c r="B4336" s="67"/>
    </row>
    <row r="4337" spans="1:2" x14ac:dyDescent="0.25">
      <c r="A4337" s="67"/>
      <c r="B4337" s="67"/>
    </row>
    <row r="4338" spans="1:2" x14ac:dyDescent="0.25">
      <c r="A4338" s="67"/>
      <c r="B4338" s="67"/>
    </row>
    <row r="4339" spans="1:2" x14ac:dyDescent="0.25">
      <c r="A4339" s="67"/>
      <c r="B4339" s="67"/>
    </row>
    <row r="4340" spans="1:2" x14ac:dyDescent="0.25">
      <c r="A4340" s="67"/>
      <c r="B4340" s="67"/>
    </row>
    <row r="4341" spans="1:2" x14ac:dyDescent="0.25">
      <c r="A4341" s="67"/>
      <c r="B4341" s="67"/>
    </row>
    <row r="4342" spans="1:2" x14ac:dyDescent="0.25">
      <c r="A4342" s="67"/>
      <c r="B4342" s="67"/>
    </row>
    <row r="4343" spans="1:2" x14ac:dyDescent="0.25">
      <c r="A4343" s="67"/>
      <c r="B4343" s="67"/>
    </row>
    <row r="4344" spans="1:2" x14ac:dyDescent="0.25">
      <c r="A4344" s="67"/>
      <c r="B4344" s="67"/>
    </row>
    <row r="4345" spans="1:2" x14ac:dyDescent="0.25">
      <c r="A4345" s="67"/>
      <c r="B4345" s="67"/>
    </row>
    <row r="4346" spans="1:2" x14ac:dyDescent="0.25">
      <c r="A4346" s="67"/>
      <c r="B4346" s="67"/>
    </row>
    <row r="4347" spans="1:2" x14ac:dyDescent="0.25">
      <c r="A4347" s="67"/>
      <c r="B4347" s="67"/>
    </row>
    <row r="4348" spans="1:2" x14ac:dyDescent="0.25">
      <c r="A4348" s="67"/>
      <c r="B4348" s="67"/>
    </row>
    <row r="4349" spans="1:2" x14ac:dyDescent="0.25">
      <c r="A4349" s="67"/>
      <c r="B4349" s="67"/>
    </row>
    <row r="4350" spans="1:2" x14ac:dyDescent="0.25">
      <c r="A4350" s="67"/>
      <c r="B4350" s="67"/>
    </row>
    <row r="4351" spans="1:2" x14ac:dyDescent="0.25">
      <c r="A4351" s="67"/>
      <c r="B4351" s="67"/>
    </row>
    <row r="4352" spans="1:2" x14ac:dyDescent="0.25">
      <c r="A4352" s="67"/>
      <c r="B4352" s="67"/>
    </row>
    <row r="4353" spans="1:2" x14ac:dyDescent="0.25">
      <c r="A4353" s="67"/>
      <c r="B4353" s="67"/>
    </row>
    <row r="4354" spans="1:2" x14ac:dyDescent="0.25">
      <c r="A4354" s="67"/>
      <c r="B4354" s="67"/>
    </row>
    <row r="4355" spans="1:2" x14ac:dyDescent="0.25">
      <c r="A4355" s="67"/>
      <c r="B4355" s="67"/>
    </row>
    <row r="4356" spans="1:2" x14ac:dyDescent="0.25">
      <c r="A4356" s="67"/>
      <c r="B4356" s="67"/>
    </row>
    <row r="4357" spans="1:2" x14ac:dyDescent="0.25">
      <c r="A4357" s="67"/>
      <c r="B4357" s="67"/>
    </row>
    <row r="4358" spans="1:2" x14ac:dyDescent="0.25">
      <c r="A4358" s="67"/>
      <c r="B4358" s="67"/>
    </row>
    <row r="4359" spans="1:2" x14ac:dyDescent="0.25">
      <c r="A4359" s="67"/>
      <c r="B4359" s="67"/>
    </row>
    <row r="4360" spans="1:2" x14ac:dyDescent="0.25">
      <c r="A4360" s="67"/>
      <c r="B4360" s="67"/>
    </row>
    <row r="4361" spans="1:2" x14ac:dyDescent="0.25">
      <c r="A4361" s="67"/>
      <c r="B4361" s="67"/>
    </row>
    <row r="4362" spans="1:2" x14ac:dyDescent="0.25">
      <c r="A4362" s="67"/>
      <c r="B4362" s="67"/>
    </row>
    <row r="4363" spans="1:2" x14ac:dyDescent="0.25">
      <c r="A4363" s="67"/>
      <c r="B4363" s="67"/>
    </row>
    <row r="4364" spans="1:2" x14ac:dyDescent="0.25">
      <c r="A4364" s="67"/>
      <c r="B4364" s="67"/>
    </row>
    <row r="4365" spans="1:2" x14ac:dyDescent="0.25">
      <c r="A4365" s="67"/>
      <c r="B4365" s="67"/>
    </row>
    <row r="4366" spans="1:2" x14ac:dyDescent="0.25">
      <c r="A4366" s="67"/>
      <c r="B4366" s="67"/>
    </row>
    <row r="4367" spans="1:2" x14ac:dyDescent="0.25">
      <c r="A4367" s="67"/>
      <c r="B4367" s="67"/>
    </row>
    <row r="4368" spans="1:2" x14ac:dyDescent="0.25">
      <c r="A4368" s="67"/>
      <c r="B4368" s="67"/>
    </row>
    <row r="4369" spans="1:2" x14ac:dyDescent="0.25">
      <c r="A4369" s="67"/>
      <c r="B4369" s="67"/>
    </row>
    <row r="4370" spans="1:2" x14ac:dyDescent="0.25">
      <c r="A4370" s="67"/>
      <c r="B4370" s="67"/>
    </row>
    <row r="4371" spans="1:2" x14ac:dyDescent="0.25">
      <c r="A4371" s="67"/>
      <c r="B4371" s="67"/>
    </row>
    <row r="4372" spans="1:2" x14ac:dyDescent="0.25">
      <c r="A4372" s="67"/>
      <c r="B4372" s="67"/>
    </row>
    <row r="4373" spans="1:2" x14ac:dyDescent="0.25">
      <c r="A4373" s="67"/>
      <c r="B4373" s="67"/>
    </row>
    <row r="4374" spans="1:2" x14ac:dyDescent="0.25">
      <c r="A4374" s="67"/>
      <c r="B4374" s="67"/>
    </row>
    <row r="4375" spans="1:2" x14ac:dyDescent="0.25">
      <c r="A4375" s="67"/>
      <c r="B4375" s="67"/>
    </row>
    <row r="4376" spans="1:2" x14ac:dyDescent="0.25">
      <c r="A4376" s="67"/>
      <c r="B4376" s="67"/>
    </row>
    <row r="4377" spans="1:2" x14ac:dyDescent="0.25">
      <c r="A4377" s="67"/>
      <c r="B4377" s="67"/>
    </row>
    <row r="4378" spans="1:2" x14ac:dyDescent="0.25">
      <c r="A4378" s="67"/>
      <c r="B4378" s="67"/>
    </row>
    <row r="4379" spans="1:2" x14ac:dyDescent="0.25">
      <c r="A4379" s="67"/>
      <c r="B4379" s="67"/>
    </row>
    <row r="4380" spans="1:2" x14ac:dyDescent="0.25">
      <c r="A4380" s="67"/>
      <c r="B4380" s="67"/>
    </row>
    <row r="4381" spans="1:2" x14ac:dyDescent="0.25">
      <c r="A4381" s="67"/>
      <c r="B4381" s="67"/>
    </row>
    <row r="4382" spans="1:2" x14ac:dyDescent="0.25">
      <c r="A4382" s="67"/>
      <c r="B4382" s="67"/>
    </row>
    <row r="4383" spans="1:2" x14ac:dyDescent="0.25">
      <c r="A4383" s="67"/>
      <c r="B4383" s="67"/>
    </row>
    <row r="4384" spans="1:2" x14ac:dyDescent="0.25">
      <c r="A4384" s="67"/>
      <c r="B4384" s="67"/>
    </row>
    <row r="4385" spans="1:2" x14ac:dyDescent="0.25">
      <c r="A4385" s="67"/>
      <c r="B4385" s="67"/>
    </row>
    <row r="4386" spans="1:2" x14ac:dyDescent="0.25">
      <c r="A4386" s="67"/>
      <c r="B4386" s="67"/>
    </row>
    <row r="4387" spans="1:2" x14ac:dyDescent="0.25">
      <c r="A4387" s="67"/>
      <c r="B4387" s="67"/>
    </row>
    <row r="4388" spans="1:2" x14ac:dyDescent="0.25">
      <c r="A4388" s="67"/>
      <c r="B4388" s="67"/>
    </row>
    <row r="4389" spans="1:2" x14ac:dyDescent="0.25">
      <c r="A4389" s="67"/>
      <c r="B4389" s="67"/>
    </row>
    <row r="4390" spans="1:2" x14ac:dyDescent="0.25">
      <c r="A4390" s="67"/>
      <c r="B4390" s="67"/>
    </row>
    <row r="4391" spans="1:2" x14ac:dyDescent="0.25">
      <c r="A4391" s="67"/>
      <c r="B4391" s="67"/>
    </row>
    <row r="4392" spans="1:2" x14ac:dyDescent="0.25">
      <c r="A4392" s="67"/>
      <c r="B4392" s="67"/>
    </row>
    <row r="4393" spans="1:2" x14ac:dyDescent="0.25">
      <c r="A4393" s="67"/>
      <c r="B4393" s="67"/>
    </row>
    <row r="4394" spans="1:2" x14ac:dyDescent="0.25">
      <c r="A4394" s="67"/>
      <c r="B4394" s="67"/>
    </row>
    <row r="4395" spans="1:2" x14ac:dyDescent="0.25">
      <c r="A4395" s="67"/>
      <c r="B4395" s="67"/>
    </row>
    <row r="4396" spans="1:2" x14ac:dyDescent="0.25">
      <c r="A4396" s="67"/>
      <c r="B4396" s="67"/>
    </row>
    <row r="4397" spans="1:2" x14ac:dyDescent="0.25">
      <c r="A4397" s="67"/>
      <c r="B4397" s="67"/>
    </row>
    <row r="4398" spans="1:2" x14ac:dyDescent="0.25">
      <c r="A4398" s="67"/>
      <c r="B4398" s="67"/>
    </row>
    <row r="4399" spans="1:2" x14ac:dyDescent="0.25">
      <c r="A4399" s="67"/>
      <c r="B4399" s="67"/>
    </row>
    <row r="4400" spans="1:2" x14ac:dyDescent="0.25">
      <c r="A4400" s="67"/>
      <c r="B4400" s="67"/>
    </row>
    <row r="4401" spans="1:2" x14ac:dyDescent="0.25">
      <c r="A4401" s="67"/>
      <c r="B4401" s="67"/>
    </row>
    <row r="4402" spans="1:2" x14ac:dyDescent="0.25">
      <c r="A4402" s="67"/>
      <c r="B4402" s="67"/>
    </row>
    <row r="4403" spans="1:2" x14ac:dyDescent="0.25">
      <c r="A4403" s="67"/>
      <c r="B4403" s="67"/>
    </row>
    <row r="4404" spans="1:2" x14ac:dyDescent="0.25">
      <c r="A4404" s="67"/>
      <c r="B4404" s="67"/>
    </row>
    <row r="4405" spans="1:2" x14ac:dyDescent="0.25">
      <c r="A4405" s="67"/>
      <c r="B4405" s="67"/>
    </row>
    <row r="4406" spans="1:2" x14ac:dyDescent="0.25">
      <c r="A4406" s="67"/>
      <c r="B4406" s="67"/>
    </row>
    <row r="4407" spans="1:2" x14ac:dyDescent="0.25">
      <c r="A4407" s="67"/>
      <c r="B4407" s="67"/>
    </row>
    <row r="4408" spans="1:2" x14ac:dyDescent="0.25">
      <c r="A4408" s="67"/>
      <c r="B4408" s="67"/>
    </row>
    <row r="4409" spans="1:2" x14ac:dyDescent="0.25">
      <c r="A4409" s="67"/>
      <c r="B4409" s="67"/>
    </row>
    <row r="4410" spans="1:2" x14ac:dyDescent="0.25">
      <c r="A4410" s="67"/>
      <c r="B4410" s="67"/>
    </row>
    <row r="4411" spans="1:2" x14ac:dyDescent="0.25">
      <c r="A4411" s="67"/>
      <c r="B4411" s="67"/>
    </row>
    <row r="4412" spans="1:2" x14ac:dyDescent="0.25">
      <c r="A4412" s="67"/>
      <c r="B4412" s="67"/>
    </row>
    <row r="4413" spans="1:2" x14ac:dyDescent="0.25">
      <c r="A4413" s="67"/>
      <c r="B4413" s="67"/>
    </row>
    <row r="4414" spans="1:2" x14ac:dyDescent="0.25">
      <c r="A4414" s="67"/>
      <c r="B4414" s="67"/>
    </row>
    <row r="4415" spans="1:2" x14ac:dyDescent="0.25">
      <c r="A4415" s="67"/>
      <c r="B4415" s="67"/>
    </row>
    <row r="4416" spans="1:2" x14ac:dyDescent="0.25">
      <c r="A4416" s="67"/>
      <c r="B4416" s="67"/>
    </row>
    <row r="4417" spans="1:2" x14ac:dyDescent="0.25">
      <c r="A4417" s="67"/>
      <c r="B4417" s="67"/>
    </row>
    <row r="4418" spans="1:2" x14ac:dyDescent="0.25">
      <c r="A4418" s="67"/>
      <c r="B4418" s="67"/>
    </row>
    <row r="4419" spans="1:2" x14ac:dyDescent="0.25">
      <c r="A4419" s="67"/>
      <c r="B4419" s="67"/>
    </row>
    <row r="4420" spans="1:2" x14ac:dyDescent="0.25">
      <c r="A4420" s="67"/>
      <c r="B4420" s="67"/>
    </row>
    <row r="4421" spans="1:2" x14ac:dyDescent="0.25">
      <c r="A4421" s="67"/>
      <c r="B4421" s="67"/>
    </row>
    <row r="4422" spans="1:2" x14ac:dyDescent="0.25">
      <c r="A4422" s="67"/>
      <c r="B4422" s="67"/>
    </row>
    <row r="4423" spans="1:2" x14ac:dyDescent="0.25">
      <c r="A4423" s="67"/>
      <c r="B4423" s="67"/>
    </row>
    <row r="4424" spans="1:2" x14ac:dyDescent="0.25">
      <c r="A4424" s="67"/>
      <c r="B4424" s="67"/>
    </row>
    <row r="4425" spans="1:2" x14ac:dyDescent="0.25">
      <c r="A4425" s="67"/>
      <c r="B4425" s="67"/>
    </row>
    <row r="4426" spans="1:2" x14ac:dyDescent="0.25">
      <c r="A4426" s="67"/>
      <c r="B4426" s="67"/>
    </row>
    <row r="4427" spans="1:2" x14ac:dyDescent="0.25">
      <c r="A4427" s="67"/>
      <c r="B4427" s="67"/>
    </row>
    <row r="4428" spans="1:2" x14ac:dyDescent="0.25">
      <c r="A4428" s="67"/>
      <c r="B4428" s="67"/>
    </row>
    <row r="4429" spans="1:2" x14ac:dyDescent="0.25">
      <c r="A4429" s="67"/>
      <c r="B4429" s="67"/>
    </row>
    <row r="4430" spans="1:2" x14ac:dyDescent="0.25">
      <c r="A4430" s="67"/>
      <c r="B4430" s="67"/>
    </row>
    <row r="4431" spans="1:2" x14ac:dyDescent="0.25">
      <c r="A4431" s="67"/>
      <c r="B4431" s="67"/>
    </row>
    <row r="4432" spans="1:2" x14ac:dyDescent="0.25">
      <c r="A4432" s="67"/>
      <c r="B4432" s="67"/>
    </row>
    <row r="4433" spans="1:2" x14ac:dyDescent="0.25">
      <c r="A4433" s="67"/>
      <c r="B4433" s="67"/>
    </row>
    <row r="4434" spans="1:2" x14ac:dyDescent="0.25">
      <c r="A4434" s="67"/>
      <c r="B4434" s="67"/>
    </row>
    <row r="4435" spans="1:2" x14ac:dyDescent="0.25">
      <c r="A4435" s="67"/>
      <c r="B4435" s="67"/>
    </row>
    <row r="4436" spans="1:2" x14ac:dyDescent="0.25">
      <c r="A4436" s="67"/>
      <c r="B4436" s="67"/>
    </row>
    <row r="4437" spans="1:2" x14ac:dyDescent="0.25">
      <c r="A4437" s="67"/>
      <c r="B4437" s="67"/>
    </row>
    <row r="4438" spans="1:2" x14ac:dyDescent="0.25">
      <c r="A4438" s="67"/>
      <c r="B4438" s="67"/>
    </row>
    <row r="4439" spans="1:2" x14ac:dyDescent="0.25">
      <c r="A4439" s="67"/>
      <c r="B4439" s="67"/>
    </row>
    <row r="4440" spans="1:2" x14ac:dyDescent="0.25">
      <c r="A4440" s="67"/>
      <c r="B4440" s="67"/>
    </row>
    <row r="4441" spans="1:2" x14ac:dyDescent="0.25">
      <c r="A4441" s="67"/>
      <c r="B4441" s="67"/>
    </row>
    <row r="4442" spans="1:2" x14ac:dyDescent="0.25">
      <c r="A4442" s="67"/>
      <c r="B4442" s="67"/>
    </row>
    <row r="4443" spans="1:2" x14ac:dyDescent="0.25">
      <c r="A4443" s="67"/>
      <c r="B4443" s="67"/>
    </row>
    <row r="4444" spans="1:2" x14ac:dyDescent="0.25">
      <c r="A4444" s="67"/>
      <c r="B4444" s="67"/>
    </row>
    <row r="4445" spans="1:2" x14ac:dyDescent="0.25">
      <c r="A4445" s="67"/>
      <c r="B4445" s="67"/>
    </row>
    <row r="4446" spans="1:2" x14ac:dyDescent="0.25">
      <c r="A4446" s="67"/>
      <c r="B4446" s="67"/>
    </row>
    <row r="4447" spans="1:2" x14ac:dyDescent="0.25">
      <c r="A4447" s="67"/>
      <c r="B4447" s="67"/>
    </row>
    <row r="4448" spans="1:2" x14ac:dyDescent="0.25">
      <c r="A4448" s="67"/>
      <c r="B4448" s="67"/>
    </row>
    <row r="4449" spans="1:2" x14ac:dyDescent="0.25">
      <c r="A4449" s="67"/>
      <c r="B4449" s="67"/>
    </row>
    <row r="4450" spans="1:2" x14ac:dyDescent="0.25">
      <c r="A4450" s="67"/>
      <c r="B4450" s="67"/>
    </row>
    <row r="4451" spans="1:2" x14ac:dyDescent="0.25">
      <c r="A4451" s="67"/>
      <c r="B4451" s="67"/>
    </row>
    <row r="4452" spans="1:2" x14ac:dyDescent="0.25">
      <c r="A4452" s="67"/>
      <c r="B4452" s="67"/>
    </row>
    <row r="4453" spans="1:2" x14ac:dyDescent="0.25">
      <c r="A4453" s="67"/>
      <c r="B4453" s="67"/>
    </row>
    <row r="4454" spans="1:2" x14ac:dyDescent="0.25">
      <c r="A4454" s="67"/>
      <c r="B4454" s="67"/>
    </row>
    <row r="4455" spans="1:2" x14ac:dyDescent="0.25">
      <c r="A4455" s="67"/>
      <c r="B4455" s="67"/>
    </row>
    <row r="4456" spans="1:2" x14ac:dyDescent="0.25">
      <c r="A4456" s="67"/>
      <c r="B4456" s="67"/>
    </row>
    <row r="4457" spans="1:2" x14ac:dyDescent="0.25">
      <c r="A4457" s="67"/>
      <c r="B4457" s="67"/>
    </row>
    <row r="4458" spans="1:2" x14ac:dyDescent="0.25">
      <c r="A4458" s="67"/>
      <c r="B4458" s="67"/>
    </row>
    <row r="4459" spans="1:2" x14ac:dyDescent="0.25">
      <c r="A4459" s="67"/>
      <c r="B4459" s="67"/>
    </row>
    <row r="4460" spans="1:2" x14ac:dyDescent="0.25">
      <c r="A4460" s="67"/>
      <c r="B4460" s="67"/>
    </row>
    <row r="4461" spans="1:2" x14ac:dyDescent="0.25">
      <c r="A4461" s="67"/>
      <c r="B4461" s="67"/>
    </row>
    <row r="4462" spans="1:2" x14ac:dyDescent="0.25">
      <c r="A4462" s="67"/>
      <c r="B4462" s="67"/>
    </row>
    <row r="4463" spans="1:2" x14ac:dyDescent="0.25">
      <c r="A4463" s="67"/>
      <c r="B4463" s="67"/>
    </row>
    <row r="4464" spans="1:2" x14ac:dyDescent="0.25">
      <c r="A4464" s="67"/>
      <c r="B4464" s="67"/>
    </row>
    <row r="4465" spans="1:2" x14ac:dyDescent="0.25">
      <c r="A4465" s="67"/>
      <c r="B4465" s="67"/>
    </row>
    <row r="4466" spans="1:2" x14ac:dyDescent="0.25">
      <c r="A4466" s="67"/>
      <c r="B4466" s="67"/>
    </row>
    <row r="4467" spans="1:2" x14ac:dyDescent="0.25">
      <c r="A4467" s="67"/>
      <c r="B4467" s="67"/>
    </row>
    <row r="4468" spans="1:2" x14ac:dyDescent="0.25">
      <c r="A4468" s="67"/>
      <c r="B4468" s="67"/>
    </row>
    <row r="4469" spans="1:2" x14ac:dyDescent="0.25">
      <c r="A4469" s="67"/>
      <c r="B4469" s="67"/>
    </row>
    <row r="4470" spans="1:2" x14ac:dyDescent="0.25">
      <c r="A4470" s="67"/>
      <c r="B4470" s="67"/>
    </row>
    <row r="4471" spans="1:2" x14ac:dyDescent="0.25">
      <c r="A4471" s="67"/>
      <c r="B4471" s="67"/>
    </row>
    <row r="4472" spans="1:2" x14ac:dyDescent="0.25">
      <c r="A4472" s="67"/>
      <c r="B4472" s="67"/>
    </row>
    <row r="4473" spans="1:2" x14ac:dyDescent="0.25">
      <c r="A4473" s="67"/>
      <c r="B4473" s="67"/>
    </row>
    <row r="4474" spans="1:2" x14ac:dyDescent="0.25">
      <c r="A4474" s="67"/>
      <c r="B4474" s="67"/>
    </row>
    <row r="4475" spans="1:2" x14ac:dyDescent="0.25">
      <c r="A4475" s="67"/>
      <c r="B4475" s="67"/>
    </row>
    <row r="4476" spans="1:2" x14ac:dyDescent="0.25">
      <c r="A4476" s="67"/>
      <c r="B4476" s="67"/>
    </row>
    <row r="4477" spans="1:2" x14ac:dyDescent="0.25">
      <c r="A4477" s="67"/>
      <c r="B4477" s="67"/>
    </row>
    <row r="4478" spans="1:2" x14ac:dyDescent="0.25">
      <c r="A4478" s="67"/>
      <c r="B4478" s="67"/>
    </row>
    <row r="4479" spans="1:2" x14ac:dyDescent="0.25">
      <c r="A4479" s="67"/>
      <c r="B4479" s="67"/>
    </row>
    <row r="4480" spans="1:2" x14ac:dyDescent="0.25">
      <c r="A4480" s="67"/>
      <c r="B4480" s="67"/>
    </row>
    <row r="4481" spans="1:2" x14ac:dyDescent="0.25">
      <c r="A4481" s="67"/>
      <c r="B4481" s="67"/>
    </row>
    <row r="4482" spans="1:2" x14ac:dyDescent="0.25">
      <c r="A4482" s="67"/>
      <c r="B4482" s="67"/>
    </row>
    <row r="4483" spans="1:2" x14ac:dyDescent="0.25">
      <c r="A4483" s="67"/>
      <c r="B4483" s="67"/>
    </row>
    <row r="4484" spans="1:2" x14ac:dyDescent="0.25">
      <c r="A4484" s="67"/>
      <c r="B4484" s="67"/>
    </row>
    <row r="4485" spans="1:2" x14ac:dyDescent="0.25">
      <c r="A4485" s="67"/>
      <c r="B4485" s="67"/>
    </row>
    <row r="4486" spans="1:2" x14ac:dyDescent="0.25">
      <c r="A4486" s="67"/>
      <c r="B4486" s="67"/>
    </row>
    <row r="4487" spans="1:2" x14ac:dyDescent="0.25">
      <c r="A4487" s="67"/>
      <c r="B4487" s="67"/>
    </row>
    <row r="4488" spans="1:2" x14ac:dyDescent="0.25">
      <c r="A4488" s="67"/>
      <c r="B4488" s="67"/>
    </row>
    <row r="4489" spans="1:2" x14ac:dyDescent="0.25">
      <c r="A4489" s="67"/>
      <c r="B4489" s="67"/>
    </row>
    <row r="4490" spans="1:2" x14ac:dyDescent="0.25">
      <c r="A4490" s="67"/>
      <c r="B4490" s="67"/>
    </row>
    <row r="4491" spans="1:2" x14ac:dyDescent="0.25">
      <c r="A4491" s="67"/>
      <c r="B4491" s="67"/>
    </row>
    <row r="4492" spans="1:2" x14ac:dyDescent="0.25">
      <c r="A4492" s="67"/>
      <c r="B4492" s="67"/>
    </row>
    <row r="4493" spans="1:2" x14ac:dyDescent="0.25">
      <c r="A4493" s="67"/>
      <c r="B4493" s="67"/>
    </row>
    <row r="4494" spans="1:2" x14ac:dyDescent="0.25">
      <c r="A4494" s="67"/>
      <c r="B4494" s="67"/>
    </row>
    <row r="4495" spans="1:2" x14ac:dyDescent="0.25">
      <c r="A4495" s="67"/>
      <c r="B4495" s="67"/>
    </row>
    <row r="4496" spans="1:2" x14ac:dyDescent="0.25">
      <c r="A4496" s="67"/>
      <c r="B4496" s="67"/>
    </row>
    <row r="4497" spans="1:2" x14ac:dyDescent="0.25">
      <c r="A4497" s="67"/>
      <c r="B4497" s="67"/>
    </row>
    <row r="4498" spans="1:2" x14ac:dyDescent="0.25">
      <c r="A4498" s="67"/>
      <c r="B4498" s="67"/>
    </row>
    <row r="4499" spans="1:2" x14ac:dyDescent="0.25">
      <c r="A4499" s="67"/>
      <c r="B4499" s="67"/>
    </row>
    <row r="4500" spans="1:2" x14ac:dyDescent="0.25">
      <c r="A4500" s="67"/>
      <c r="B4500" s="67"/>
    </row>
    <row r="4501" spans="1:2" x14ac:dyDescent="0.25">
      <c r="A4501" s="67"/>
      <c r="B4501" s="67"/>
    </row>
    <row r="4502" spans="1:2" x14ac:dyDescent="0.25">
      <c r="A4502" s="67"/>
      <c r="B4502" s="67"/>
    </row>
    <row r="4503" spans="1:2" x14ac:dyDescent="0.25">
      <c r="A4503" s="67"/>
      <c r="B4503" s="67"/>
    </row>
    <row r="4504" spans="1:2" x14ac:dyDescent="0.25">
      <c r="A4504" s="67"/>
      <c r="B4504" s="67"/>
    </row>
    <row r="4505" spans="1:2" x14ac:dyDescent="0.25">
      <c r="A4505" s="67"/>
      <c r="B4505" s="67"/>
    </row>
    <row r="4506" spans="1:2" x14ac:dyDescent="0.25">
      <c r="A4506" s="67"/>
      <c r="B4506" s="67"/>
    </row>
    <row r="4507" spans="1:2" x14ac:dyDescent="0.25">
      <c r="A4507" s="67"/>
      <c r="B4507" s="67"/>
    </row>
    <row r="4508" spans="1:2" x14ac:dyDescent="0.25">
      <c r="A4508" s="67"/>
      <c r="B4508" s="67"/>
    </row>
    <row r="4509" spans="1:2" x14ac:dyDescent="0.25">
      <c r="A4509" s="67"/>
      <c r="B4509" s="67"/>
    </row>
    <row r="4510" spans="1:2" x14ac:dyDescent="0.25">
      <c r="A4510" s="67"/>
      <c r="B4510" s="67"/>
    </row>
    <row r="4511" spans="1:2" x14ac:dyDescent="0.25">
      <c r="A4511" s="67"/>
      <c r="B4511" s="67"/>
    </row>
    <row r="4512" spans="1:2" x14ac:dyDescent="0.25">
      <c r="A4512" s="67"/>
      <c r="B4512" s="67"/>
    </row>
    <row r="4513" spans="1:2" x14ac:dyDescent="0.25">
      <c r="A4513" s="67"/>
      <c r="B4513" s="67"/>
    </row>
    <row r="4514" spans="1:2" x14ac:dyDescent="0.25">
      <c r="A4514" s="67"/>
      <c r="B4514" s="67"/>
    </row>
    <row r="4515" spans="1:2" x14ac:dyDescent="0.25">
      <c r="A4515" s="67"/>
      <c r="B4515" s="67"/>
    </row>
    <row r="4516" spans="1:2" x14ac:dyDescent="0.25">
      <c r="A4516" s="67"/>
      <c r="B4516" s="67"/>
    </row>
    <row r="4517" spans="1:2" x14ac:dyDescent="0.25">
      <c r="A4517" s="67"/>
      <c r="B4517" s="67"/>
    </row>
    <row r="4518" spans="1:2" x14ac:dyDescent="0.25">
      <c r="A4518" s="67"/>
      <c r="B4518" s="67"/>
    </row>
    <row r="4519" spans="1:2" x14ac:dyDescent="0.25">
      <c r="A4519" s="67"/>
      <c r="B4519" s="67"/>
    </row>
    <row r="4520" spans="1:2" x14ac:dyDescent="0.25">
      <c r="A4520" s="67"/>
      <c r="B4520" s="67"/>
    </row>
    <row r="4521" spans="1:2" x14ac:dyDescent="0.25">
      <c r="A4521" s="67"/>
      <c r="B4521" s="67"/>
    </row>
    <row r="4522" spans="1:2" x14ac:dyDescent="0.25">
      <c r="A4522" s="67"/>
      <c r="B4522" s="67"/>
    </row>
    <row r="4523" spans="1:2" x14ac:dyDescent="0.25">
      <c r="A4523" s="67"/>
      <c r="B4523" s="67"/>
    </row>
    <row r="4524" spans="1:2" x14ac:dyDescent="0.25">
      <c r="A4524" s="67"/>
      <c r="B4524" s="67"/>
    </row>
    <row r="4525" spans="1:2" x14ac:dyDescent="0.25">
      <c r="A4525" s="67"/>
      <c r="B4525" s="67"/>
    </row>
    <row r="4526" spans="1:2" x14ac:dyDescent="0.25">
      <c r="A4526" s="67"/>
      <c r="B4526" s="67"/>
    </row>
    <row r="4527" spans="1:2" x14ac:dyDescent="0.25">
      <c r="A4527" s="67"/>
      <c r="B4527" s="67"/>
    </row>
    <row r="4528" spans="1:2" x14ac:dyDescent="0.25">
      <c r="A4528" s="67"/>
      <c r="B4528" s="67"/>
    </row>
    <row r="4529" spans="1:2" x14ac:dyDescent="0.25">
      <c r="A4529" s="67"/>
      <c r="B4529" s="67"/>
    </row>
    <row r="4530" spans="1:2" x14ac:dyDescent="0.25">
      <c r="A4530" s="67"/>
      <c r="B4530" s="67"/>
    </row>
    <row r="4531" spans="1:2" x14ac:dyDescent="0.25">
      <c r="A4531" s="67"/>
      <c r="B4531" s="67"/>
    </row>
    <row r="4532" spans="1:2" x14ac:dyDescent="0.25">
      <c r="A4532" s="67"/>
      <c r="B4532" s="67"/>
    </row>
    <row r="4533" spans="1:2" x14ac:dyDescent="0.25">
      <c r="A4533" s="67"/>
      <c r="B4533" s="67"/>
    </row>
    <row r="4534" spans="1:2" x14ac:dyDescent="0.25">
      <c r="A4534" s="67"/>
      <c r="B4534" s="67"/>
    </row>
    <row r="4535" spans="1:2" x14ac:dyDescent="0.25">
      <c r="A4535" s="67"/>
      <c r="B4535" s="67"/>
    </row>
    <row r="4536" spans="1:2" x14ac:dyDescent="0.25">
      <c r="A4536" s="67"/>
      <c r="B4536" s="67"/>
    </row>
    <row r="4537" spans="1:2" x14ac:dyDescent="0.25">
      <c r="A4537" s="67"/>
      <c r="B4537" s="67"/>
    </row>
    <row r="4538" spans="1:2" x14ac:dyDescent="0.25">
      <c r="A4538" s="67"/>
      <c r="B4538" s="67"/>
    </row>
    <row r="4539" spans="1:2" x14ac:dyDescent="0.25">
      <c r="A4539" s="67"/>
      <c r="B4539" s="67"/>
    </row>
    <row r="4540" spans="1:2" x14ac:dyDescent="0.25">
      <c r="A4540" s="67"/>
      <c r="B4540" s="67"/>
    </row>
    <row r="4541" spans="1:2" x14ac:dyDescent="0.25">
      <c r="A4541" s="67"/>
      <c r="B4541" s="67"/>
    </row>
    <row r="4542" spans="1:2" x14ac:dyDescent="0.25">
      <c r="A4542" s="67"/>
      <c r="B4542" s="67"/>
    </row>
    <row r="4543" spans="1:2" x14ac:dyDescent="0.25">
      <c r="A4543" s="67"/>
      <c r="B4543" s="67"/>
    </row>
    <row r="4544" spans="1:2" x14ac:dyDescent="0.25">
      <c r="A4544" s="67"/>
      <c r="B4544" s="67"/>
    </row>
    <row r="4545" spans="1:2" x14ac:dyDescent="0.25">
      <c r="A4545" s="67"/>
      <c r="B4545" s="67"/>
    </row>
    <row r="4546" spans="1:2" x14ac:dyDescent="0.25">
      <c r="A4546" s="67"/>
      <c r="B4546" s="67"/>
    </row>
    <row r="4547" spans="1:2" x14ac:dyDescent="0.25">
      <c r="A4547" s="67"/>
      <c r="B4547" s="67"/>
    </row>
    <row r="4548" spans="1:2" x14ac:dyDescent="0.25">
      <c r="A4548" s="67"/>
      <c r="B4548" s="67"/>
    </row>
    <row r="4549" spans="1:2" x14ac:dyDescent="0.25">
      <c r="A4549" s="67"/>
      <c r="B4549" s="67"/>
    </row>
    <row r="4550" spans="1:2" x14ac:dyDescent="0.25">
      <c r="A4550" s="67"/>
      <c r="B4550" s="67"/>
    </row>
    <row r="4551" spans="1:2" x14ac:dyDescent="0.25">
      <c r="A4551" s="67"/>
      <c r="B4551" s="67"/>
    </row>
    <row r="4552" spans="1:2" x14ac:dyDescent="0.25">
      <c r="A4552" s="67"/>
      <c r="B4552" s="67"/>
    </row>
    <row r="4553" spans="1:2" x14ac:dyDescent="0.25">
      <c r="A4553" s="67"/>
      <c r="B4553" s="67"/>
    </row>
    <row r="4554" spans="1:2" x14ac:dyDescent="0.25">
      <c r="A4554" s="67"/>
      <c r="B4554" s="67"/>
    </row>
    <row r="4555" spans="1:2" x14ac:dyDescent="0.25">
      <c r="A4555" s="67"/>
      <c r="B4555" s="67"/>
    </row>
    <row r="4556" spans="1:2" x14ac:dyDescent="0.25">
      <c r="A4556" s="67"/>
      <c r="B4556" s="67"/>
    </row>
    <row r="4557" spans="1:2" x14ac:dyDescent="0.25">
      <c r="A4557" s="67"/>
      <c r="B4557" s="67"/>
    </row>
    <row r="4558" spans="1:2" x14ac:dyDescent="0.25">
      <c r="A4558" s="67"/>
      <c r="B4558" s="67"/>
    </row>
    <row r="4559" spans="1:2" x14ac:dyDescent="0.25">
      <c r="A4559" s="67"/>
      <c r="B4559" s="67"/>
    </row>
    <row r="4560" spans="1:2" x14ac:dyDescent="0.25">
      <c r="A4560" s="67"/>
      <c r="B4560" s="67"/>
    </row>
    <row r="4561" spans="1:2" x14ac:dyDescent="0.25">
      <c r="A4561" s="67"/>
      <c r="B4561" s="67"/>
    </row>
    <row r="4562" spans="1:2" x14ac:dyDescent="0.25">
      <c r="A4562" s="67"/>
      <c r="B4562" s="67"/>
    </row>
    <row r="4563" spans="1:2" x14ac:dyDescent="0.25">
      <c r="A4563" s="67"/>
      <c r="B4563" s="67"/>
    </row>
    <row r="4564" spans="1:2" x14ac:dyDescent="0.25">
      <c r="A4564" s="67"/>
      <c r="B4564" s="67"/>
    </row>
    <row r="4565" spans="1:2" x14ac:dyDescent="0.25">
      <c r="A4565" s="67"/>
      <c r="B4565" s="67"/>
    </row>
    <row r="4566" spans="1:2" x14ac:dyDescent="0.25">
      <c r="A4566" s="67"/>
      <c r="B4566" s="67"/>
    </row>
    <row r="4567" spans="1:2" x14ac:dyDescent="0.25">
      <c r="A4567" s="67"/>
      <c r="B4567" s="67"/>
    </row>
    <row r="4568" spans="1:2" x14ac:dyDescent="0.25">
      <c r="A4568" s="67"/>
      <c r="B4568" s="67"/>
    </row>
    <row r="4569" spans="1:2" x14ac:dyDescent="0.25">
      <c r="A4569" s="67"/>
      <c r="B4569" s="67"/>
    </row>
    <row r="4570" spans="1:2" x14ac:dyDescent="0.25">
      <c r="A4570" s="67"/>
      <c r="B4570" s="67"/>
    </row>
    <row r="4571" spans="1:2" x14ac:dyDescent="0.25">
      <c r="A4571" s="67"/>
      <c r="B4571" s="67"/>
    </row>
    <row r="4572" spans="1:2" x14ac:dyDescent="0.25">
      <c r="A4572" s="67"/>
      <c r="B4572" s="67"/>
    </row>
    <row r="4573" spans="1:2" x14ac:dyDescent="0.25">
      <c r="A4573" s="67"/>
      <c r="B4573" s="67"/>
    </row>
    <row r="4574" spans="1:2" x14ac:dyDescent="0.25">
      <c r="A4574" s="67"/>
      <c r="B4574" s="67"/>
    </row>
    <row r="4575" spans="1:2" x14ac:dyDescent="0.25">
      <c r="A4575" s="67"/>
      <c r="B4575" s="67"/>
    </row>
    <row r="4576" spans="1:2" x14ac:dyDescent="0.25">
      <c r="A4576" s="67"/>
      <c r="B4576" s="67"/>
    </row>
    <row r="4577" spans="1:2" x14ac:dyDescent="0.25">
      <c r="A4577" s="67"/>
      <c r="B4577" s="67"/>
    </row>
    <row r="4578" spans="1:2" x14ac:dyDescent="0.25">
      <c r="A4578" s="67"/>
      <c r="B4578" s="67"/>
    </row>
    <row r="4579" spans="1:2" x14ac:dyDescent="0.25">
      <c r="A4579" s="67"/>
      <c r="B4579" s="67"/>
    </row>
    <row r="4580" spans="1:2" x14ac:dyDescent="0.25">
      <c r="A4580" s="67"/>
      <c r="B4580" s="67"/>
    </row>
    <row r="4581" spans="1:2" x14ac:dyDescent="0.25">
      <c r="A4581" s="67"/>
      <c r="B4581" s="67"/>
    </row>
    <row r="4582" spans="1:2" x14ac:dyDescent="0.25">
      <c r="A4582" s="67"/>
      <c r="B4582" s="67"/>
    </row>
    <row r="4583" spans="1:2" x14ac:dyDescent="0.25">
      <c r="A4583" s="67"/>
      <c r="B4583" s="67"/>
    </row>
    <row r="4584" spans="1:2" x14ac:dyDescent="0.25">
      <c r="A4584" s="67"/>
      <c r="B4584" s="67"/>
    </row>
    <row r="4585" spans="1:2" x14ac:dyDescent="0.25">
      <c r="A4585" s="67"/>
      <c r="B4585" s="67"/>
    </row>
    <row r="4586" spans="1:2" x14ac:dyDescent="0.25">
      <c r="A4586" s="67"/>
      <c r="B4586" s="67"/>
    </row>
    <row r="4587" spans="1:2" x14ac:dyDescent="0.25">
      <c r="A4587" s="67"/>
      <c r="B4587" s="67"/>
    </row>
    <row r="4588" spans="1:2" x14ac:dyDescent="0.25">
      <c r="A4588" s="67"/>
      <c r="B4588" s="67"/>
    </row>
    <row r="4589" spans="1:2" x14ac:dyDescent="0.25">
      <c r="A4589" s="67"/>
      <c r="B4589" s="67"/>
    </row>
    <row r="4590" spans="1:2" x14ac:dyDescent="0.25">
      <c r="A4590" s="67"/>
      <c r="B4590" s="67"/>
    </row>
    <row r="4591" spans="1:2" x14ac:dyDescent="0.25">
      <c r="A4591" s="67"/>
      <c r="B4591" s="67"/>
    </row>
    <row r="4592" spans="1:2" x14ac:dyDescent="0.25">
      <c r="A4592" s="67"/>
      <c r="B4592" s="67"/>
    </row>
    <row r="4593" spans="1:2" x14ac:dyDescent="0.25">
      <c r="A4593" s="67"/>
      <c r="B4593" s="67"/>
    </row>
    <row r="4594" spans="1:2" x14ac:dyDescent="0.25">
      <c r="A4594" s="67"/>
      <c r="B4594" s="67"/>
    </row>
    <row r="4595" spans="1:2" x14ac:dyDescent="0.25">
      <c r="A4595" s="67"/>
      <c r="B4595" s="67"/>
    </row>
    <row r="4596" spans="1:2" x14ac:dyDescent="0.25">
      <c r="A4596" s="67"/>
      <c r="B4596" s="67"/>
    </row>
    <row r="4597" spans="1:2" x14ac:dyDescent="0.25">
      <c r="A4597" s="67"/>
      <c r="B4597" s="67"/>
    </row>
    <row r="4598" spans="1:2" x14ac:dyDescent="0.25">
      <c r="A4598" s="67"/>
      <c r="B4598" s="67"/>
    </row>
    <row r="4599" spans="1:2" x14ac:dyDescent="0.25">
      <c r="A4599" s="67"/>
      <c r="B4599" s="67"/>
    </row>
    <row r="4600" spans="1:2" x14ac:dyDescent="0.25">
      <c r="A4600" s="67"/>
      <c r="B4600" s="67"/>
    </row>
    <row r="4601" spans="1:2" x14ac:dyDescent="0.25">
      <c r="A4601" s="67"/>
      <c r="B4601" s="67"/>
    </row>
    <row r="4602" spans="1:2" x14ac:dyDescent="0.25">
      <c r="A4602" s="67"/>
      <c r="B4602" s="67"/>
    </row>
    <row r="4603" spans="1:2" x14ac:dyDescent="0.25">
      <c r="A4603" s="67"/>
      <c r="B4603" s="67"/>
    </row>
    <row r="4604" spans="1:2" x14ac:dyDescent="0.25">
      <c r="A4604" s="67"/>
      <c r="B4604" s="67"/>
    </row>
    <row r="4605" spans="1:2" x14ac:dyDescent="0.25">
      <c r="A4605" s="67"/>
      <c r="B4605" s="67"/>
    </row>
    <row r="4606" spans="1:2" x14ac:dyDescent="0.25">
      <c r="A4606" s="67"/>
      <c r="B4606" s="67"/>
    </row>
    <row r="4607" spans="1:2" x14ac:dyDescent="0.25">
      <c r="A4607" s="67"/>
      <c r="B4607" s="67"/>
    </row>
    <row r="4608" spans="1:2" x14ac:dyDescent="0.25">
      <c r="A4608" s="67"/>
      <c r="B4608" s="67"/>
    </row>
    <row r="4609" spans="1:2" x14ac:dyDescent="0.25">
      <c r="A4609" s="67"/>
      <c r="B4609" s="67"/>
    </row>
    <row r="4610" spans="1:2" x14ac:dyDescent="0.25">
      <c r="A4610" s="67"/>
      <c r="B4610" s="67"/>
    </row>
    <row r="4611" spans="1:2" x14ac:dyDescent="0.25">
      <c r="A4611" s="67"/>
      <c r="B4611" s="67"/>
    </row>
    <row r="4612" spans="1:2" x14ac:dyDescent="0.25">
      <c r="A4612" s="67"/>
      <c r="B4612" s="67"/>
    </row>
    <row r="4613" spans="1:2" x14ac:dyDescent="0.25">
      <c r="A4613" s="67"/>
      <c r="B4613" s="67"/>
    </row>
    <row r="4614" spans="1:2" x14ac:dyDescent="0.25">
      <c r="A4614" s="67"/>
      <c r="B4614" s="67"/>
    </row>
    <row r="4615" spans="1:2" x14ac:dyDescent="0.25">
      <c r="A4615" s="67"/>
      <c r="B4615" s="67"/>
    </row>
    <row r="4616" spans="1:2" x14ac:dyDescent="0.25">
      <c r="A4616" s="67"/>
      <c r="B4616" s="67"/>
    </row>
    <row r="4617" spans="1:2" x14ac:dyDescent="0.25">
      <c r="A4617" s="67"/>
      <c r="B4617" s="67"/>
    </row>
    <row r="4618" spans="1:2" x14ac:dyDescent="0.25">
      <c r="A4618" s="67"/>
      <c r="B4618" s="67"/>
    </row>
    <row r="4619" spans="1:2" x14ac:dyDescent="0.25">
      <c r="A4619" s="67"/>
      <c r="B4619" s="67"/>
    </row>
    <row r="4620" spans="1:2" x14ac:dyDescent="0.25">
      <c r="A4620" s="67"/>
      <c r="B4620" s="67"/>
    </row>
    <row r="4621" spans="1:2" x14ac:dyDescent="0.25">
      <c r="A4621" s="67"/>
      <c r="B4621" s="67"/>
    </row>
    <row r="4622" spans="1:2" x14ac:dyDescent="0.25">
      <c r="A4622" s="67"/>
      <c r="B4622" s="67"/>
    </row>
    <row r="4623" spans="1:2" x14ac:dyDescent="0.25">
      <c r="A4623" s="67"/>
      <c r="B4623" s="67"/>
    </row>
    <row r="4624" spans="1:2" x14ac:dyDescent="0.25">
      <c r="A4624" s="67"/>
      <c r="B4624" s="67"/>
    </row>
    <row r="4625" spans="1:2" x14ac:dyDescent="0.25">
      <c r="A4625" s="67"/>
      <c r="B4625" s="67"/>
    </row>
    <row r="4626" spans="1:2" x14ac:dyDescent="0.25">
      <c r="A4626" s="67"/>
      <c r="B4626" s="67"/>
    </row>
    <row r="4627" spans="1:2" x14ac:dyDescent="0.25">
      <c r="A4627" s="67"/>
      <c r="B4627" s="67"/>
    </row>
    <row r="4628" spans="1:2" x14ac:dyDescent="0.25">
      <c r="A4628" s="67"/>
      <c r="B4628" s="67"/>
    </row>
    <row r="4629" spans="1:2" x14ac:dyDescent="0.25">
      <c r="A4629" s="67"/>
      <c r="B4629" s="67"/>
    </row>
    <row r="4630" spans="1:2" x14ac:dyDescent="0.25">
      <c r="A4630" s="67"/>
      <c r="B4630" s="67"/>
    </row>
    <row r="4631" spans="1:2" x14ac:dyDescent="0.25">
      <c r="A4631" s="67"/>
      <c r="B4631" s="67"/>
    </row>
    <row r="4632" spans="1:2" x14ac:dyDescent="0.25">
      <c r="A4632" s="67"/>
      <c r="B4632" s="67"/>
    </row>
    <row r="4633" spans="1:2" x14ac:dyDescent="0.25">
      <c r="A4633" s="67"/>
      <c r="B4633" s="67"/>
    </row>
    <row r="4634" spans="1:2" x14ac:dyDescent="0.25">
      <c r="A4634" s="67"/>
      <c r="B4634" s="67"/>
    </row>
    <row r="4635" spans="1:2" x14ac:dyDescent="0.25">
      <c r="A4635" s="67"/>
      <c r="B4635" s="67"/>
    </row>
    <row r="4636" spans="1:2" x14ac:dyDescent="0.25">
      <c r="A4636" s="67"/>
      <c r="B4636" s="67"/>
    </row>
    <row r="4637" spans="1:2" x14ac:dyDescent="0.25">
      <c r="A4637" s="67"/>
      <c r="B4637" s="67"/>
    </row>
    <row r="4638" spans="1:2" x14ac:dyDescent="0.25">
      <c r="A4638" s="67"/>
      <c r="B4638" s="67"/>
    </row>
    <row r="4639" spans="1:2" x14ac:dyDescent="0.25">
      <c r="A4639" s="67"/>
      <c r="B4639" s="67"/>
    </row>
    <row r="4640" spans="1:2" x14ac:dyDescent="0.25">
      <c r="A4640" s="67"/>
      <c r="B4640" s="67"/>
    </row>
    <row r="4641" spans="1:2" x14ac:dyDescent="0.25">
      <c r="A4641" s="67"/>
      <c r="B4641" s="67"/>
    </row>
    <row r="4642" spans="1:2" x14ac:dyDescent="0.25">
      <c r="A4642" s="67"/>
      <c r="B4642" s="67"/>
    </row>
    <row r="4643" spans="1:2" x14ac:dyDescent="0.25">
      <c r="A4643" s="67"/>
      <c r="B4643" s="67"/>
    </row>
    <row r="4644" spans="1:2" x14ac:dyDescent="0.25">
      <c r="A4644" s="67"/>
      <c r="B4644" s="67"/>
    </row>
    <row r="4645" spans="1:2" x14ac:dyDescent="0.25">
      <c r="A4645" s="67"/>
      <c r="B4645" s="67"/>
    </row>
    <row r="4646" spans="1:2" x14ac:dyDescent="0.25">
      <c r="A4646" s="67"/>
      <c r="B4646" s="67"/>
    </row>
    <row r="4647" spans="1:2" x14ac:dyDescent="0.25">
      <c r="A4647" s="67"/>
      <c r="B4647" s="67"/>
    </row>
    <row r="4648" spans="1:2" x14ac:dyDescent="0.25">
      <c r="A4648" s="67"/>
      <c r="B4648" s="67"/>
    </row>
    <row r="4649" spans="1:2" x14ac:dyDescent="0.25">
      <c r="A4649" s="67"/>
      <c r="B4649" s="67"/>
    </row>
    <row r="4650" spans="1:2" x14ac:dyDescent="0.25">
      <c r="A4650" s="67"/>
      <c r="B4650" s="67"/>
    </row>
    <row r="4651" spans="1:2" x14ac:dyDescent="0.25">
      <c r="A4651" s="67"/>
      <c r="B4651" s="67"/>
    </row>
    <row r="4652" spans="1:2" x14ac:dyDescent="0.25">
      <c r="A4652" s="67"/>
      <c r="B4652" s="67"/>
    </row>
    <row r="4653" spans="1:2" x14ac:dyDescent="0.25">
      <c r="A4653" s="67"/>
      <c r="B4653" s="67"/>
    </row>
    <row r="4654" spans="1:2" x14ac:dyDescent="0.25">
      <c r="A4654" s="67"/>
      <c r="B4654" s="67"/>
    </row>
    <row r="4655" spans="1:2" x14ac:dyDescent="0.25">
      <c r="A4655" s="67"/>
      <c r="B4655" s="67"/>
    </row>
    <row r="4656" spans="1:2" x14ac:dyDescent="0.25">
      <c r="A4656" s="67"/>
      <c r="B4656" s="67"/>
    </row>
    <row r="4657" spans="1:2" x14ac:dyDescent="0.25">
      <c r="A4657" s="67"/>
      <c r="B4657" s="67"/>
    </row>
    <row r="4658" spans="1:2" x14ac:dyDescent="0.25">
      <c r="A4658" s="67"/>
      <c r="B4658" s="67"/>
    </row>
    <row r="4659" spans="1:2" x14ac:dyDescent="0.25">
      <c r="A4659" s="67"/>
      <c r="B4659" s="67"/>
    </row>
    <row r="4660" spans="1:2" x14ac:dyDescent="0.25">
      <c r="A4660" s="67"/>
      <c r="B4660" s="67"/>
    </row>
    <row r="4661" spans="1:2" x14ac:dyDescent="0.25">
      <c r="A4661" s="67"/>
      <c r="B4661" s="67"/>
    </row>
    <row r="4662" spans="1:2" x14ac:dyDescent="0.25">
      <c r="A4662" s="67"/>
      <c r="B4662" s="67"/>
    </row>
    <row r="4663" spans="1:2" x14ac:dyDescent="0.25">
      <c r="A4663" s="67"/>
      <c r="B4663" s="67"/>
    </row>
    <row r="4664" spans="1:2" x14ac:dyDescent="0.25">
      <c r="A4664" s="67"/>
      <c r="B4664" s="67"/>
    </row>
    <row r="4665" spans="1:2" x14ac:dyDescent="0.25">
      <c r="A4665" s="67"/>
      <c r="B4665" s="67"/>
    </row>
    <row r="4666" spans="1:2" x14ac:dyDescent="0.25">
      <c r="A4666" s="67"/>
      <c r="B4666" s="67"/>
    </row>
    <row r="4667" spans="1:2" x14ac:dyDescent="0.25">
      <c r="A4667" s="67"/>
      <c r="B4667" s="67"/>
    </row>
    <row r="4668" spans="1:2" x14ac:dyDescent="0.25">
      <c r="A4668" s="67"/>
      <c r="B4668" s="67"/>
    </row>
    <row r="4669" spans="1:2" x14ac:dyDescent="0.25">
      <c r="A4669" s="67"/>
      <c r="B4669" s="67"/>
    </row>
    <row r="4670" spans="1:2" x14ac:dyDescent="0.25">
      <c r="A4670" s="67"/>
      <c r="B4670" s="67"/>
    </row>
    <row r="4671" spans="1:2" x14ac:dyDescent="0.25">
      <c r="A4671" s="67"/>
      <c r="B4671" s="67"/>
    </row>
    <row r="4672" spans="1:2" x14ac:dyDescent="0.25">
      <c r="A4672" s="67"/>
      <c r="B4672" s="67"/>
    </row>
    <row r="4673" spans="1:2" x14ac:dyDescent="0.25">
      <c r="A4673" s="67"/>
      <c r="B4673" s="67"/>
    </row>
    <row r="4674" spans="1:2" x14ac:dyDescent="0.25">
      <c r="A4674" s="67"/>
      <c r="B4674" s="67"/>
    </row>
    <row r="4675" spans="1:2" x14ac:dyDescent="0.25">
      <c r="A4675" s="67"/>
      <c r="B4675" s="67"/>
    </row>
    <row r="4676" spans="1:2" x14ac:dyDescent="0.25">
      <c r="A4676" s="67"/>
      <c r="B4676" s="67"/>
    </row>
    <row r="4677" spans="1:2" x14ac:dyDescent="0.25">
      <c r="A4677" s="67"/>
      <c r="B4677" s="67"/>
    </row>
    <row r="4678" spans="1:2" x14ac:dyDescent="0.25">
      <c r="A4678" s="67"/>
      <c r="B4678" s="67"/>
    </row>
    <row r="4679" spans="1:2" x14ac:dyDescent="0.25">
      <c r="A4679" s="67"/>
      <c r="B4679" s="67"/>
    </row>
    <row r="4680" spans="1:2" x14ac:dyDescent="0.25">
      <c r="A4680" s="67"/>
      <c r="B4680" s="67"/>
    </row>
    <row r="4681" spans="1:2" x14ac:dyDescent="0.25">
      <c r="A4681" s="67"/>
      <c r="B4681" s="67"/>
    </row>
    <row r="4682" spans="1:2" x14ac:dyDescent="0.25">
      <c r="A4682" s="67"/>
      <c r="B4682" s="67"/>
    </row>
    <row r="4683" spans="1:2" x14ac:dyDescent="0.25">
      <c r="A4683" s="67"/>
      <c r="B4683" s="67"/>
    </row>
    <row r="4684" spans="1:2" x14ac:dyDescent="0.25">
      <c r="A4684" s="67"/>
      <c r="B4684" s="67"/>
    </row>
    <row r="4685" spans="1:2" x14ac:dyDescent="0.25">
      <c r="A4685" s="67"/>
      <c r="B4685" s="67"/>
    </row>
    <row r="4686" spans="1:2" x14ac:dyDescent="0.25">
      <c r="A4686" s="67"/>
      <c r="B4686" s="67"/>
    </row>
    <row r="4687" spans="1:2" x14ac:dyDescent="0.25">
      <c r="A4687" s="67"/>
      <c r="B4687" s="67"/>
    </row>
    <row r="4688" spans="1:2" x14ac:dyDescent="0.25">
      <c r="A4688" s="67"/>
      <c r="B4688" s="67"/>
    </row>
    <row r="4689" spans="1:2" x14ac:dyDescent="0.25">
      <c r="A4689" s="67"/>
      <c r="B4689" s="67"/>
    </row>
    <row r="4690" spans="1:2" x14ac:dyDescent="0.25">
      <c r="A4690" s="67"/>
      <c r="B4690" s="67"/>
    </row>
    <row r="4691" spans="1:2" x14ac:dyDescent="0.25">
      <c r="A4691" s="67"/>
      <c r="B4691" s="67"/>
    </row>
    <row r="4692" spans="1:2" x14ac:dyDescent="0.25">
      <c r="A4692" s="67"/>
      <c r="B4692" s="67"/>
    </row>
    <row r="4693" spans="1:2" x14ac:dyDescent="0.25">
      <c r="A4693" s="67"/>
      <c r="B4693" s="67"/>
    </row>
    <row r="4694" spans="1:2" x14ac:dyDescent="0.25">
      <c r="A4694" s="67"/>
      <c r="B4694" s="67"/>
    </row>
    <row r="4695" spans="1:2" x14ac:dyDescent="0.25">
      <c r="A4695" s="67"/>
      <c r="B4695" s="67"/>
    </row>
    <row r="4696" spans="1:2" x14ac:dyDescent="0.25">
      <c r="A4696" s="67"/>
      <c r="B4696" s="67"/>
    </row>
    <row r="4697" spans="1:2" x14ac:dyDescent="0.25">
      <c r="A4697" s="67"/>
      <c r="B4697" s="67"/>
    </row>
    <row r="4698" spans="1:2" x14ac:dyDescent="0.25">
      <c r="A4698" s="67"/>
      <c r="B4698" s="67"/>
    </row>
    <row r="4699" spans="1:2" x14ac:dyDescent="0.25">
      <c r="A4699" s="67"/>
      <c r="B4699" s="67"/>
    </row>
    <row r="4700" spans="1:2" x14ac:dyDescent="0.25">
      <c r="A4700" s="67"/>
      <c r="B4700" s="67"/>
    </row>
    <row r="4701" spans="1:2" x14ac:dyDescent="0.25">
      <c r="A4701" s="67"/>
      <c r="B4701" s="67"/>
    </row>
    <row r="4702" spans="1:2" x14ac:dyDescent="0.25">
      <c r="A4702" s="67"/>
      <c r="B4702" s="67"/>
    </row>
    <row r="4703" spans="1:2" x14ac:dyDescent="0.25">
      <c r="A4703" s="67"/>
      <c r="B4703" s="67"/>
    </row>
    <row r="4704" spans="1:2" x14ac:dyDescent="0.25">
      <c r="A4704" s="67"/>
      <c r="B4704" s="67"/>
    </row>
    <row r="4705" spans="1:2" x14ac:dyDescent="0.25">
      <c r="A4705" s="67"/>
      <c r="B4705" s="67"/>
    </row>
    <row r="4706" spans="1:2" x14ac:dyDescent="0.25">
      <c r="A4706" s="67"/>
      <c r="B4706" s="67"/>
    </row>
    <row r="4707" spans="1:2" x14ac:dyDescent="0.25">
      <c r="A4707" s="67"/>
      <c r="B4707" s="67"/>
    </row>
    <row r="4708" spans="1:2" x14ac:dyDescent="0.25">
      <c r="A4708" s="67"/>
      <c r="B4708" s="67"/>
    </row>
    <row r="4709" spans="1:2" x14ac:dyDescent="0.25">
      <c r="A4709" s="67"/>
      <c r="B4709" s="67"/>
    </row>
    <row r="4710" spans="1:2" x14ac:dyDescent="0.25">
      <c r="A4710" s="67"/>
      <c r="B4710" s="67"/>
    </row>
    <row r="4711" spans="1:2" x14ac:dyDescent="0.25">
      <c r="A4711" s="67"/>
      <c r="B4711" s="67"/>
    </row>
    <row r="4712" spans="1:2" x14ac:dyDescent="0.25">
      <c r="A4712" s="67"/>
      <c r="B4712" s="67"/>
    </row>
    <row r="4713" spans="1:2" x14ac:dyDescent="0.25">
      <c r="A4713" s="67"/>
      <c r="B4713" s="67"/>
    </row>
    <row r="4714" spans="1:2" x14ac:dyDescent="0.25">
      <c r="A4714" s="67"/>
      <c r="B4714" s="67"/>
    </row>
    <row r="4715" spans="1:2" x14ac:dyDescent="0.25">
      <c r="A4715" s="67"/>
      <c r="B4715" s="67"/>
    </row>
    <row r="4716" spans="1:2" x14ac:dyDescent="0.25">
      <c r="A4716" s="67"/>
      <c r="B4716" s="67"/>
    </row>
    <row r="4717" spans="1:2" x14ac:dyDescent="0.25">
      <c r="A4717" s="67"/>
      <c r="B4717" s="67"/>
    </row>
    <row r="4718" spans="1:2" x14ac:dyDescent="0.25">
      <c r="A4718" s="67"/>
      <c r="B4718" s="67"/>
    </row>
    <row r="4719" spans="1:2" x14ac:dyDescent="0.25">
      <c r="A4719" s="67"/>
      <c r="B4719" s="67"/>
    </row>
    <row r="4720" spans="1:2" x14ac:dyDescent="0.25">
      <c r="A4720" s="67"/>
      <c r="B4720" s="67"/>
    </row>
    <row r="4721" spans="1:2" x14ac:dyDescent="0.25">
      <c r="A4721" s="67"/>
      <c r="B4721" s="67"/>
    </row>
    <row r="4722" spans="1:2" x14ac:dyDescent="0.25">
      <c r="A4722" s="67"/>
      <c r="B4722" s="67"/>
    </row>
    <row r="4723" spans="1:2" x14ac:dyDescent="0.25">
      <c r="A4723" s="67"/>
      <c r="B4723" s="67"/>
    </row>
    <row r="4724" spans="1:2" x14ac:dyDescent="0.25">
      <c r="A4724" s="67"/>
      <c r="B4724" s="67"/>
    </row>
    <row r="4725" spans="1:2" x14ac:dyDescent="0.25">
      <c r="A4725" s="67"/>
      <c r="B4725" s="67"/>
    </row>
    <row r="4726" spans="1:2" x14ac:dyDescent="0.25">
      <c r="A4726" s="67"/>
      <c r="B4726" s="67"/>
    </row>
    <row r="4727" spans="1:2" x14ac:dyDescent="0.25">
      <c r="A4727" s="67"/>
      <c r="B4727" s="67"/>
    </row>
    <row r="4728" spans="1:2" x14ac:dyDescent="0.25">
      <c r="A4728" s="67"/>
      <c r="B4728" s="67"/>
    </row>
    <row r="4729" spans="1:2" x14ac:dyDescent="0.25">
      <c r="A4729" s="67"/>
      <c r="B4729" s="67"/>
    </row>
    <row r="4730" spans="1:2" x14ac:dyDescent="0.25">
      <c r="A4730" s="67"/>
      <c r="B4730" s="67"/>
    </row>
    <row r="4731" spans="1:2" x14ac:dyDescent="0.25">
      <c r="A4731" s="67"/>
      <c r="B4731" s="67"/>
    </row>
    <row r="4732" spans="1:2" x14ac:dyDescent="0.25">
      <c r="A4732" s="67"/>
      <c r="B4732" s="67"/>
    </row>
    <row r="4733" spans="1:2" x14ac:dyDescent="0.25">
      <c r="A4733" s="67"/>
      <c r="B4733" s="67"/>
    </row>
    <row r="4734" spans="1:2" x14ac:dyDescent="0.25">
      <c r="A4734" s="67"/>
      <c r="B4734" s="67"/>
    </row>
    <row r="4735" spans="1:2" x14ac:dyDescent="0.25">
      <c r="A4735" s="67"/>
      <c r="B4735" s="67"/>
    </row>
    <row r="4736" spans="1:2" x14ac:dyDescent="0.25">
      <c r="A4736" s="67"/>
      <c r="B4736" s="67"/>
    </row>
    <row r="4737" spans="1:2" x14ac:dyDescent="0.25">
      <c r="A4737" s="67"/>
      <c r="B4737" s="67"/>
    </row>
    <row r="4738" spans="1:2" x14ac:dyDescent="0.25">
      <c r="A4738" s="67"/>
      <c r="B4738" s="67"/>
    </row>
    <row r="4739" spans="1:2" x14ac:dyDescent="0.25">
      <c r="A4739" s="67"/>
      <c r="B4739" s="67"/>
    </row>
    <row r="4740" spans="1:2" x14ac:dyDescent="0.25">
      <c r="A4740" s="67"/>
      <c r="B4740" s="67"/>
    </row>
    <row r="4741" spans="1:2" x14ac:dyDescent="0.25">
      <c r="A4741" s="67"/>
      <c r="B4741" s="67"/>
    </row>
    <row r="4742" spans="1:2" x14ac:dyDescent="0.25">
      <c r="A4742" s="67"/>
      <c r="B4742" s="67"/>
    </row>
    <row r="4743" spans="1:2" x14ac:dyDescent="0.25">
      <c r="A4743" s="67"/>
      <c r="B4743" s="67"/>
    </row>
    <row r="4744" spans="1:2" x14ac:dyDescent="0.25">
      <c r="A4744" s="67"/>
      <c r="B4744" s="67"/>
    </row>
    <row r="4745" spans="1:2" x14ac:dyDescent="0.25">
      <c r="A4745" s="67"/>
      <c r="B4745" s="67"/>
    </row>
    <row r="4746" spans="1:2" x14ac:dyDescent="0.25">
      <c r="A4746" s="67"/>
      <c r="B4746" s="67"/>
    </row>
    <row r="4747" spans="1:2" x14ac:dyDescent="0.25">
      <c r="A4747" s="67"/>
      <c r="B4747" s="67"/>
    </row>
    <row r="4748" spans="1:2" x14ac:dyDescent="0.25">
      <c r="A4748" s="67"/>
      <c r="B4748" s="67"/>
    </row>
    <row r="4749" spans="1:2" x14ac:dyDescent="0.25">
      <c r="A4749" s="67"/>
      <c r="B4749" s="67"/>
    </row>
    <row r="4750" spans="1:2" x14ac:dyDescent="0.25">
      <c r="A4750" s="67"/>
      <c r="B4750" s="67"/>
    </row>
    <row r="4751" spans="1:2" x14ac:dyDescent="0.25">
      <c r="A4751" s="67"/>
      <c r="B4751" s="67"/>
    </row>
    <row r="4752" spans="1:2" x14ac:dyDescent="0.25">
      <c r="A4752" s="67"/>
      <c r="B4752" s="67"/>
    </row>
    <row r="4753" spans="1:2" x14ac:dyDescent="0.25">
      <c r="A4753" s="67"/>
      <c r="B4753" s="67"/>
    </row>
    <row r="4754" spans="1:2" x14ac:dyDescent="0.25">
      <c r="A4754" s="67"/>
      <c r="B4754" s="67"/>
    </row>
    <row r="4755" spans="1:2" x14ac:dyDescent="0.25">
      <c r="A4755" s="67"/>
      <c r="B4755" s="67"/>
    </row>
    <row r="4756" spans="1:2" x14ac:dyDescent="0.25">
      <c r="A4756" s="67"/>
      <c r="B4756" s="67"/>
    </row>
    <row r="4757" spans="1:2" x14ac:dyDescent="0.25">
      <c r="A4757" s="67"/>
      <c r="B4757" s="67"/>
    </row>
    <row r="4758" spans="1:2" x14ac:dyDescent="0.25">
      <c r="A4758" s="67"/>
      <c r="B4758" s="67"/>
    </row>
    <row r="4759" spans="1:2" x14ac:dyDescent="0.25">
      <c r="A4759" s="67"/>
      <c r="B4759" s="67"/>
    </row>
    <row r="4760" spans="1:2" x14ac:dyDescent="0.25">
      <c r="A4760" s="67"/>
      <c r="B4760" s="67"/>
    </row>
    <row r="4761" spans="1:2" x14ac:dyDescent="0.25">
      <c r="A4761" s="67"/>
      <c r="B4761" s="67"/>
    </row>
    <row r="4762" spans="1:2" x14ac:dyDescent="0.25">
      <c r="A4762" s="67"/>
      <c r="B4762" s="67"/>
    </row>
    <row r="4763" spans="1:2" x14ac:dyDescent="0.25">
      <c r="A4763" s="67"/>
      <c r="B4763" s="67"/>
    </row>
    <row r="4764" spans="1:2" x14ac:dyDescent="0.25">
      <c r="A4764" s="67"/>
      <c r="B4764" s="67"/>
    </row>
    <row r="4765" spans="1:2" x14ac:dyDescent="0.25">
      <c r="A4765" s="67"/>
      <c r="B4765" s="67"/>
    </row>
    <row r="4766" spans="1:2" x14ac:dyDescent="0.25">
      <c r="A4766" s="67"/>
      <c r="B4766" s="67"/>
    </row>
    <row r="4767" spans="1:2" x14ac:dyDescent="0.25">
      <c r="A4767" s="67"/>
      <c r="B4767" s="67"/>
    </row>
    <row r="4768" spans="1:2" x14ac:dyDescent="0.25">
      <c r="A4768" s="67"/>
      <c r="B4768" s="67"/>
    </row>
    <row r="4769" spans="1:2" x14ac:dyDescent="0.25">
      <c r="A4769" s="67"/>
      <c r="B4769" s="67"/>
    </row>
    <row r="4770" spans="1:2" x14ac:dyDescent="0.25">
      <c r="A4770" s="67"/>
      <c r="B4770" s="67"/>
    </row>
    <row r="4771" spans="1:2" x14ac:dyDescent="0.25">
      <c r="A4771" s="67"/>
      <c r="B4771" s="67"/>
    </row>
    <row r="4772" spans="1:2" x14ac:dyDescent="0.25">
      <c r="A4772" s="67"/>
      <c r="B4772" s="67"/>
    </row>
    <row r="4773" spans="1:2" x14ac:dyDescent="0.25">
      <c r="A4773" s="67"/>
      <c r="B4773" s="67"/>
    </row>
    <row r="4774" spans="1:2" x14ac:dyDescent="0.25">
      <c r="A4774" s="67"/>
      <c r="B4774" s="67"/>
    </row>
    <row r="4775" spans="1:2" x14ac:dyDescent="0.25">
      <c r="A4775" s="67"/>
      <c r="B4775" s="67"/>
    </row>
    <row r="4776" spans="1:2" x14ac:dyDescent="0.25">
      <c r="A4776" s="67"/>
      <c r="B4776" s="67"/>
    </row>
    <row r="4777" spans="1:2" x14ac:dyDescent="0.25">
      <c r="A4777" s="67"/>
      <c r="B4777" s="67"/>
    </row>
    <row r="4778" spans="1:2" x14ac:dyDescent="0.25">
      <c r="A4778" s="67"/>
      <c r="B4778" s="67"/>
    </row>
    <row r="4779" spans="1:2" x14ac:dyDescent="0.25">
      <c r="A4779" s="67"/>
      <c r="B4779" s="67"/>
    </row>
    <row r="4780" spans="1:2" x14ac:dyDescent="0.25">
      <c r="A4780" s="67"/>
      <c r="B4780" s="67"/>
    </row>
    <row r="4781" spans="1:2" x14ac:dyDescent="0.25">
      <c r="A4781" s="67"/>
      <c r="B4781" s="67"/>
    </row>
    <row r="4782" spans="1:2" x14ac:dyDescent="0.25">
      <c r="A4782" s="67"/>
      <c r="B4782" s="67"/>
    </row>
    <row r="4783" spans="1:2" x14ac:dyDescent="0.25">
      <c r="A4783" s="67"/>
      <c r="B4783" s="67"/>
    </row>
    <row r="4784" spans="1:2" x14ac:dyDescent="0.25">
      <c r="A4784" s="67"/>
      <c r="B4784" s="67"/>
    </row>
    <row r="4785" spans="1:2" x14ac:dyDescent="0.25">
      <c r="A4785" s="67"/>
      <c r="B4785" s="67"/>
    </row>
    <row r="4786" spans="1:2" x14ac:dyDescent="0.25">
      <c r="A4786" s="67"/>
      <c r="B4786" s="67"/>
    </row>
    <row r="4787" spans="1:2" x14ac:dyDescent="0.25">
      <c r="A4787" s="67"/>
      <c r="B4787" s="67"/>
    </row>
    <row r="4788" spans="1:2" x14ac:dyDescent="0.25">
      <c r="A4788" s="67"/>
      <c r="B4788" s="67"/>
    </row>
    <row r="4789" spans="1:2" x14ac:dyDescent="0.25">
      <c r="A4789" s="67"/>
      <c r="B4789" s="67"/>
    </row>
    <row r="4790" spans="1:2" x14ac:dyDescent="0.25">
      <c r="A4790" s="67"/>
      <c r="B4790" s="67"/>
    </row>
    <row r="4791" spans="1:2" x14ac:dyDescent="0.25">
      <c r="A4791" s="67"/>
      <c r="B4791" s="67"/>
    </row>
    <row r="4792" spans="1:2" x14ac:dyDescent="0.25">
      <c r="A4792" s="67"/>
      <c r="B4792" s="67"/>
    </row>
    <row r="4793" spans="1:2" x14ac:dyDescent="0.25">
      <c r="A4793" s="67"/>
      <c r="B4793" s="67"/>
    </row>
    <row r="4794" spans="1:2" x14ac:dyDescent="0.25">
      <c r="A4794" s="67"/>
      <c r="B4794" s="67"/>
    </row>
    <row r="4795" spans="1:2" x14ac:dyDescent="0.25">
      <c r="A4795" s="67"/>
      <c r="B4795" s="67"/>
    </row>
    <row r="4796" spans="1:2" x14ac:dyDescent="0.25">
      <c r="A4796" s="67"/>
      <c r="B4796" s="67"/>
    </row>
    <row r="4797" spans="1:2" x14ac:dyDescent="0.25">
      <c r="A4797" s="67"/>
      <c r="B4797" s="67"/>
    </row>
    <row r="4798" spans="1:2" x14ac:dyDescent="0.25">
      <c r="A4798" s="67"/>
      <c r="B4798" s="67"/>
    </row>
    <row r="4799" spans="1:2" x14ac:dyDescent="0.25">
      <c r="A4799" s="67"/>
      <c r="B4799" s="67"/>
    </row>
    <row r="4800" spans="1:2" x14ac:dyDescent="0.25">
      <c r="A4800" s="67"/>
      <c r="B4800" s="67"/>
    </row>
    <row r="4801" spans="1:2" x14ac:dyDescent="0.25">
      <c r="A4801" s="67"/>
      <c r="B4801" s="67"/>
    </row>
    <row r="4802" spans="1:2" x14ac:dyDescent="0.25">
      <c r="A4802" s="67"/>
      <c r="B4802" s="67"/>
    </row>
    <row r="4803" spans="1:2" x14ac:dyDescent="0.25">
      <c r="A4803" s="67"/>
      <c r="B4803" s="67"/>
    </row>
    <row r="4804" spans="1:2" x14ac:dyDescent="0.25">
      <c r="A4804" s="67"/>
      <c r="B4804" s="67"/>
    </row>
    <row r="4805" spans="1:2" x14ac:dyDescent="0.25">
      <c r="A4805" s="67"/>
      <c r="B4805" s="67"/>
    </row>
    <row r="4806" spans="1:2" x14ac:dyDescent="0.25">
      <c r="A4806" s="67"/>
      <c r="B4806" s="67"/>
    </row>
    <row r="4807" spans="1:2" x14ac:dyDescent="0.25">
      <c r="A4807" s="67"/>
      <c r="B4807" s="67"/>
    </row>
    <row r="4808" spans="1:2" x14ac:dyDescent="0.25">
      <c r="A4808" s="67"/>
      <c r="B4808" s="67"/>
    </row>
    <row r="4809" spans="1:2" x14ac:dyDescent="0.25">
      <c r="A4809" s="67"/>
      <c r="B4809" s="67"/>
    </row>
    <row r="4810" spans="1:2" x14ac:dyDescent="0.25">
      <c r="A4810" s="67"/>
      <c r="B4810" s="67"/>
    </row>
    <row r="4811" spans="1:2" x14ac:dyDescent="0.25">
      <c r="A4811" s="67"/>
      <c r="B4811" s="67"/>
    </row>
    <row r="4812" spans="1:2" x14ac:dyDescent="0.25">
      <c r="A4812" s="67"/>
      <c r="B4812" s="67"/>
    </row>
    <row r="4813" spans="1:2" x14ac:dyDescent="0.25">
      <c r="A4813" s="67"/>
      <c r="B4813" s="67"/>
    </row>
    <row r="4814" spans="1:2" x14ac:dyDescent="0.25">
      <c r="A4814" s="67"/>
      <c r="B4814" s="67"/>
    </row>
    <row r="4815" spans="1:2" x14ac:dyDescent="0.25">
      <c r="A4815" s="67"/>
      <c r="B4815" s="67"/>
    </row>
    <row r="4816" spans="1:2" x14ac:dyDescent="0.25">
      <c r="A4816" s="67"/>
      <c r="B4816" s="67"/>
    </row>
    <row r="4817" spans="1:2" x14ac:dyDescent="0.25">
      <c r="A4817" s="67"/>
      <c r="B4817" s="67"/>
    </row>
    <row r="4818" spans="1:2" x14ac:dyDescent="0.25">
      <c r="A4818" s="67"/>
      <c r="B4818" s="67"/>
    </row>
    <row r="4819" spans="1:2" x14ac:dyDescent="0.25">
      <c r="A4819" s="67"/>
      <c r="B4819" s="67"/>
    </row>
    <row r="4820" spans="1:2" x14ac:dyDescent="0.25">
      <c r="A4820" s="67"/>
      <c r="B4820" s="67"/>
    </row>
    <row r="4821" spans="1:2" x14ac:dyDescent="0.25">
      <c r="A4821" s="67"/>
      <c r="B4821" s="67"/>
    </row>
    <row r="4822" spans="1:2" x14ac:dyDescent="0.25">
      <c r="A4822" s="67"/>
      <c r="B4822" s="67"/>
    </row>
    <row r="4823" spans="1:2" x14ac:dyDescent="0.25">
      <c r="A4823" s="67"/>
      <c r="B4823" s="67"/>
    </row>
    <row r="4824" spans="1:2" x14ac:dyDescent="0.25">
      <c r="A4824" s="67"/>
      <c r="B4824" s="67"/>
    </row>
    <row r="4825" spans="1:2" x14ac:dyDescent="0.25">
      <c r="A4825" s="67"/>
      <c r="B4825" s="67"/>
    </row>
    <row r="4826" spans="1:2" x14ac:dyDescent="0.25">
      <c r="A4826" s="67"/>
      <c r="B4826" s="67"/>
    </row>
    <row r="4827" spans="1:2" x14ac:dyDescent="0.25">
      <c r="A4827" s="67"/>
      <c r="B4827" s="67"/>
    </row>
    <row r="4828" spans="1:2" x14ac:dyDescent="0.25">
      <c r="A4828" s="67"/>
      <c r="B4828" s="67"/>
    </row>
    <row r="4829" spans="1:2" x14ac:dyDescent="0.25">
      <c r="A4829" s="67"/>
      <c r="B4829" s="67"/>
    </row>
    <row r="4830" spans="1:2" x14ac:dyDescent="0.25">
      <c r="A4830" s="67"/>
      <c r="B4830" s="67"/>
    </row>
    <row r="4831" spans="1:2" x14ac:dyDescent="0.25">
      <c r="A4831" s="67"/>
      <c r="B4831" s="67"/>
    </row>
    <row r="4832" spans="1:2" x14ac:dyDescent="0.25">
      <c r="A4832" s="67"/>
      <c r="B4832" s="67"/>
    </row>
    <row r="4833" spans="1:2" x14ac:dyDescent="0.25">
      <c r="A4833" s="67"/>
      <c r="B4833" s="67"/>
    </row>
    <row r="4834" spans="1:2" x14ac:dyDescent="0.25">
      <c r="A4834" s="67"/>
      <c r="B4834" s="67"/>
    </row>
    <row r="4835" spans="1:2" x14ac:dyDescent="0.25">
      <c r="A4835" s="67"/>
      <c r="B4835" s="67"/>
    </row>
    <row r="4836" spans="1:2" x14ac:dyDescent="0.25">
      <c r="A4836" s="67"/>
      <c r="B4836" s="67"/>
    </row>
    <row r="4837" spans="1:2" x14ac:dyDescent="0.25">
      <c r="A4837" s="67"/>
      <c r="B4837" s="67"/>
    </row>
    <row r="4838" spans="1:2" x14ac:dyDescent="0.25">
      <c r="A4838" s="67"/>
      <c r="B4838" s="67"/>
    </row>
    <row r="4839" spans="1:2" x14ac:dyDescent="0.25">
      <c r="A4839" s="67"/>
      <c r="B4839" s="67"/>
    </row>
    <row r="4840" spans="1:2" x14ac:dyDescent="0.25">
      <c r="A4840" s="67"/>
      <c r="B4840" s="67"/>
    </row>
    <row r="4841" spans="1:2" x14ac:dyDescent="0.25">
      <c r="A4841" s="67"/>
      <c r="B4841" s="67"/>
    </row>
    <row r="4842" spans="1:2" x14ac:dyDescent="0.25">
      <c r="A4842" s="67"/>
      <c r="B4842" s="67"/>
    </row>
    <row r="4843" spans="1:2" x14ac:dyDescent="0.25">
      <c r="A4843" s="67"/>
      <c r="B4843" s="67"/>
    </row>
    <row r="4844" spans="1:2" x14ac:dyDescent="0.25">
      <c r="A4844" s="67"/>
      <c r="B4844" s="67"/>
    </row>
    <row r="4845" spans="1:2" x14ac:dyDescent="0.25">
      <c r="A4845" s="67"/>
      <c r="B4845" s="67"/>
    </row>
    <row r="4846" spans="1:2" x14ac:dyDescent="0.25">
      <c r="A4846" s="67"/>
      <c r="B4846" s="67"/>
    </row>
    <row r="4847" spans="1:2" x14ac:dyDescent="0.25">
      <c r="A4847" s="67"/>
      <c r="B4847" s="67"/>
    </row>
    <row r="4848" spans="1:2" x14ac:dyDescent="0.25">
      <c r="A4848" s="67"/>
      <c r="B4848" s="67"/>
    </row>
    <row r="4849" spans="1:2" x14ac:dyDescent="0.25">
      <c r="A4849" s="67"/>
      <c r="B4849" s="67"/>
    </row>
    <row r="4850" spans="1:2" x14ac:dyDescent="0.25">
      <c r="A4850" s="67"/>
      <c r="B4850" s="67"/>
    </row>
    <row r="4851" spans="1:2" x14ac:dyDescent="0.25">
      <c r="A4851" s="67"/>
      <c r="B4851" s="67"/>
    </row>
    <row r="4852" spans="1:2" x14ac:dyDescent="0.25">
      <c r="A4852" s="67"/>
      <c r="B4852" s="67"/>
    </row>
    <row r="4853" spans="1:2" x14ac:dyDescent="0.25">
      <c r="A4853" s="67"/>
      <c r="B4853" s="67"/>
    </row>
    <row r="4854" spans="1:2" x14ac:dyDescent="0.25">
      <c r="A4854" s="67"/>
      <c r="B4854" s="67"/>
    </row>
    <row r="4855" spans="1:2" x14ac:dyDescent="0.25">
      <c r="A4855" s="67"/>
      <c r="B4855" s="67"/>
    </row>
    <row r="4856" spans="1:2" x14ac:dyDescent="0.25">
      <c r="A4856" s="67"/>
      <c r="B4856" s="67"/>
    </row>
    <row r="4857" spans="1:2" x14ac:dyDescent="0.25">
      <c r="A4857" s="67"/>
      <c r="B4857" s="67"/>
    </row>
    <row r="4858" spans="1:2" x14ac:dyDescent="0.25">
      <c r="A4858" s="67"/>
      <c r="B4858" s="67"/>
    </row>
    <row r="4859" spans="1:2" x14ac:dyDescent="0.25">
      <c r="A4859" s="67"/>
      <c r="B4859" s="67"/>
    </row>
    <row r="4860" spans="1:2" x14ac:dyDescent="0.25">
      <c r="A4860" s="67"/>
      <c r="B4860" s="67"/>
    </row>
    <row r="4861" spans="1:2" x14ac:dyDescent="0.25">
      <c r="A4861" s="67"/>
      <c r="B4861" s="67"/>
    </row>
    <row r="4862" spans="1:2" x14ac:dyDescent="0.25">
      <c r="A4862" s="67"/>
      <c r="B4862" s="67"/>
    </row>
    <row r="4863" spans="1:2" x14ac:dyDescent="0.25">
      <c r="A4863" s="67"/>
      <c r="B4863" s="67"/>
    </row>
    <row r="4864" spans="1:2" x14ac:dyDescent="0.25">
      <c r="A4864" s="67"/>
      <c r="B4864" s="67"/>
    </row>
    <row r="4865" spans="1:2" x14ac:dyDescent="0.25">
      <c r="A4865" s="67"/>
      <c r="B4865" s="67"/>
    </row>
    <row r="4866" spans="1:2" x14ac:dyDescent="0.25">
      <c r="A4866" s="67"/>
      <c r="B4866" s="67"/>
    </row>
    <row r="4867" spans="1:2" x14ac:dyDescent="0.25">
      <c r="A4867" s="67"/>
      <c r="B4867" s="67"/>
    </row>
    <row r="4868" spans="1:2" x14ac:dyDescent="0.25">
      <c r="A4868" s="67"/>
      <c r="B4868" s="67"/>
    </row>
    <row r="4869" spans="1:2" x14ac:dyDescent="0.25">
      <c r="A4869" s="67"/>
      <c r="B4869" s="67"/>
    </row>
    <row r="4870" spans="1:2" x14ac:dyDescent="0.25">
      <c r="A4870" s="67"/>
      <c r="B4870" s="67"/>
    </row>
    <row r="4871" spans="1:2" x14ac:dyDescent="0.25">
      <c r="A4871" s="67"/>
      <c r="B4871" s="67"/>
    </row>
    <row r="4872" spans="1:2" x14ac:dyDescent="0.25">
      <c r="A4872" s="67"/>
      <c r="B4872" s="67"/>
    </row>
    <row r="4873" spans="1:2" x14ac:dyDescent="0.25">
      <c r="A4873" s="67"/>
      <c r="B4873" s="67"/>
    </row>
    <row r="4874" spans="1:2" x14ac:dyDescent="0.25">
      <c r="A4874" s="67"/>
      <c r="B4874" s="67"/>
    </row>
    <row r="4875" spans="1:2" x14ac:dyDescent="0.25">
      <c r="A4875" s="67"/>
      <c r="B4875" s="67"/>
    </row>
    <row r="4876" spans="1:2" x14ac:dyDescent="0.25">
      <c r="A4876" s="67"/>
      <c r="B4876" s="67"/>
    </row>
    <row r="4877" spans="1:2" x14ac:dyDescent="0.25">
      <c r="A4877" s="67"/>
      <c r="B4877" s="67"/>
    </row>
    <row r="4878" spans="1:2" x14ac:dyDescent="0.25">
      <c r="A4878" s="67"/>
      <c r="B4878" s="67"/>
    </row>
    <row r="4879" spans="1:2" x14ac:dyDescent="0.25">
      <c r="A4879" s="67"/>
      <c r="B4879" s="67"/>
    </row>
    <row r="4880" spans="1:2" x14ac:dyDescent="0.25">
      <c r="A4880" s="67"/>
      <c r="B4880" s="67"/>
    </row>
    <row r="4881" spans="1:2" x14ac:dyDescent="0.25">
      <c r="A4881" s="67"/>
      <c r="B4881" s="67"/>
    </row>
    <row r="4882" spans="1:2" x14ac:dyDescent="0.25">
      <c r="A4882" s="67"/>
      <c r="B4882" s="67"/>
    </row>
    <row r="4883" spans="1:2" x14ac:dyDescent="0.25">
      <c r="A4883" s="67"/>
      <c r="B4883" s="67"/>
    </row>
    <row r="4884" spans="1:2" x14ac:dyDescent="0.25">
      <c r="A4884" s="67"/>
      <c r="B4884" s="67"/>
    </row>
    <row r="4885" spans="1:2" x14ac:dyDescent="0.25">
      <c r="A4885" s="67"/>
      <c r="B4885" s="67"/>
    </row>
    <row r="4886" spans="1:2" x14ac:dyDescent="0.25">
      <c r="A4886" s="67"/>
      <c r="B4886" s="67"/>
    </row>
    <row r="4887" spans="1:2" x14ac:dyDescent="0.25">
      <c r="A4887" s="67"/>
      <c r="B4887" s="67"/>
    </row>
    <row r="4888" spans="1:2" x14ac:dyDescent="0.25">
      <c r="A4888" s="67"/>
      <c r="B4888" s="67"/>
    </row>
    <row r="4889" spans="1:2" x14ac:dyDescent="0.25">
      <c r="A4889" s="67"/>
      <c r="B4889" s="67"/>
    </row>
    <row r="4890" spans="1:2" x14ac:dyDescent="0.25">
      <c r="A4890" s="67"/>
      <c r="B4890" s="67"/>
    </row>
    <row r="4891" spans="1:2" x14ac:dyDescent="0.25">
      <c r="A4891" s="67"/>
      <c r="B4891" s="67"/>
    </row>
    <row r="4892" spans="1:2" x14ac:dyDescent="0.25">
      <c r="A4892" s="67"/>
      <c r="B4892" s="67"/>
    </row>
    <row r="4893" spans="1:2" x14ac:dyDescent="0.25">
      <c r="A4893" s="67"/>
      <c r="B4893" s="67"/>
    </row>
    <row r="4894" spans="1:2" x14ac:dyDescent="0.25">
      <c r="A4894" s="67"/>
      <c r="B4894" s="67"/>
    </row>
    <row r="4895" spans="1:2" x14ac:dyDescent="0.25">
      <c r="A4895" s="67"/>
      <c r="B4895" s="67"/>
    </row>
    <row r="4896" spans="1:2" x14ac:dyDescent="0.25">
      <c r="A4896" s="67"/>
      <c r="B4896" s="67"/>
    </row>
    <row r="4897" spans="1:2" x14ac:dyDescent="0.25">
      <c r="A4897" s="67"/>
      <c r="B4897" s="67"/>
    </row>
    <row r="4898" spans="1:2" x14ac:dyDescent="0.25">
      <c r="A4898" s="67"/>
      <c r="B4898" s="67"/>
    </row>
    <row r="4899" spans="1:2" x14ac:dyDescent="0.25">
      <c r="A4899" s="67"/>
      <c r="B4899" s="67"/>
    </row>
    <row r="4900" spans="1:2" x14ac:dyDescent="0.25">
      <c r="A4900" s="67"/>
      <c r="B4900" s="67"/>
    </row>
    <row r="4901" spans="1:2" x14ac:dyDescent="0.25">
      <c r="A4901" s="67"/>
      <c r="B4901" s="67"/>
    </row>
    <row r="4902" spans="1:2" x14ac:dyDescent="0.25">
      <c r="A4902" s="67"/>
      <c r="B4902" s="67"/>
    </row>
    <row r="4903" spans="1:2" x14ac:dyDescent="0.25">
      <c r="A4903" s="67"/>
      <c r="B4903" s="67"/>
    </row>
    <row r="4904" spans="1:2" x14ac:dyDescent="0.25">
      <c r="A4904" s="67"/>
      <c r="B4904" s="67"/>
    </row>
    <row r="4905" spans="1:2" x14ac:dyDescent="0.25">
      <c r="A4905" s="67"/>
      <c r="B4905" s="67"/>
    </row>
    <row r="4906" spans="1:2" x14ac:dyDescent="0.25">
      <c r="A4906" s="67"/>
      <c r="B4906" s="67"/>
    </row>
    <row r="4907" spans="1:2" x14ac:dyDescent="0.25">
      <c r="A4907" s="67"/>
      <c r="B4907" s="67"/>
    </row>
    <row r="4908" spans="1:2" x14ac:dyDescent="0.25">
      <c r="A4908" s="67"/>
      <c r="B4908" s="67"/>
    </row>
    <row r="4909" spans="1:2" x14ac:dyDescent="0.25">
      <c r="A4909" s="67"/>
      <c r="B4909" s="67"/>
    </row>
    <row r="4910" spans="1:2" x14ac:dyDescent="0.25">
      <c r="A4910" s="67"/>
      <c r="B4910" s="67"/>
    </row>
    <row r="4911" spans="1:2" x14ac:dyDescent="0.25">
      <c r="A4911" s="67"/>
      <c r="B4911" s="67"/>
    </row>
    <row r="4912" spans="1:2" x14ac:dyDescent="0.25">
      <c r="A4912" s="67"/>
      <c r="B4912" s="67"/>
    </row>
    <row r="4913" spans="1:2" x14ac:dyDescent="0.25">
      <c r="A4913" s="67"/>
      <c r="B4913" s="67"/>
    </row>
    <row r="4914" spans="1:2" x14ac:dyDescent="0.25">
      <c r="A4914" s="67"/>
      <c r="B4914" s="67"/>
    </row>
    <row r="4915" spans="1:2" x14ac:dyDescent="0.25">
      <c r="A4915" s="67"/>
      <c r="B4915" s="67"/>
    </row>
    <row r="4916" spans="1:2" x14ac:dyDescent="0.25">
      <c r="A4916" s="67"/>
      <c r="B4916" s="67"/>
    </row>
    <row r="4917" spans="1:2" x14ac:dyDescent="0.25">
      <c r="A4917" s="67"/>
      <c r="B4917" s="67"/>
    </row>
    <row r="4918" spans="1:2" x14ac:dyDescent="0.25">
      <c r="A4918" s="67"/>
      <c r="B4918" s="67"/>
    </row>
    <row r="4919" spans="1:2" x14ac:dyDescent="0.25">
      <c r="A4919" s="67"/>
      <c r="B4919" s="67"/>
    </row>
    <row r="4920" spans="1:2" x14ac:dyDescent="0.25">
      <c r="A4920" s="67"/>
      <c r="B4920" s="67"/>
    </row>
    <row r="4921" spans="1:2" x14ac:dyDescent="0.25">
      <c r="A4921" s="67"/>
      <c r="B4921" s="67"/>
    </row>
    <row r="4922" spans="1:2" x14ac:dyDescent="0.25">
      <c r="A4922" s="67"/>
      <c r="B4922" s="67"/>
    </row>
    <row r="4923" spans="1:2" x14ac:dyDescent="0.25">
      <c r="A4923" s="67"/>
      <c r="B4923" s="67"/>
    </row>
    <row r="4924" spans="1:2" x14ac:dyDescent="0.25">
      <c r="A4924" s="67"/>
      <c r="B4924" s="67"/>
    </row>
    <row r="4925" spans="1:2" x14ac:dyDescent="0.25">
      <c r="A4925" s="67"/>
      <c r="B4925" s="67"/>
    </row>
    <row r="4926" spans="1:2" x14ac:dyDescent="0.25">
      <c r="A4926" s="67"/>
      <c r="B4926" s="67"/>
    </row>
    <row r="4927" spans="1:2" x14ac:dyDescent="0.25">
      <c r="A4927" s="67"/>
      <c r="B4927" s="67"/>
    </row>
    <row r="4928" spans="1:2" x14ac:dyDescent="0.25">
      <c r="A4928" s="67"/>
      <c r="B4928" s="67"/>
    </row>
    <row r="4929" spans="1:2" x14ac:dyDescent="0.25">
      <c r="A4929" s="67"/>
      <c r="B4929" s="67"/>
    </row>
    <row r="4930" spans="1:2" x14ac:dyDescent="0.25">
      <c r="A4930" s="67"/>
      <c r="B4930" s="67"/>
    </row>
    <row r="4931" spans="1:2" x14ac:dyDescent="0.25">
      <c r="A4931" s="67"/>
      <c r="B4931" s="67"/>
    </row>
    <row r="4932" spans="1:2" x14ac:dyDescent="0.25">
      <c r="A4932" s="67"/>
      <c r="B4932" s="67"/>
    </row>
    <row r="4933" spans="1:2" x14ac:dyDescent="0.25">
      <c r="A4933" s="67"/>
      <c r="B4933" s="67"/>
    </row>
    <row r="4934" spans="1:2" x14ac:dyDescent="0.25">
      <c r="A4934" s="67"/>
      <c r="B4934" s="67"/>
    </row>
    <row r="4935" spans="1:2" x14ac:dyDescent="0.25">
      <c r="A4935" s="67"/>
      <c r="B4935" s="67"/>
    </row>
    <row r="4936" spans="1:2" x14ac:dyDescent="0.25">
      <c r="A4936" s="67"/>
      <c r="B4936" s="67"/>
    </row>
    <row r="4937" spans="1:2" x14ac:dyDescent="0.25">
      <c r="A4937" s="67"/>
      <c r="B4937" s="67"/>
    </row>
    <row r="4938" spans="1:2" x14ac:dyDescent="0.25">
      <c r="A4938" s="67"/>
      <c r="B4938" s="67"/>
    </row>
    <row r="4939" spans="1:2" x14ac:dyDescent="0.25">
      <c r="A4939" s="67"/>
      <c r="B4939" s="67"/>
    </row>
    <row r="4940" spans="1:2" x14ac:dyDescent="0.25">
      <c r="A4940" s="67"/>
      <c r="B4940" s="67"/>
    </row>
    <row r="4941" spans="1:2" x14ac:dyDescent="0.25">
      <c r="A4941" s="67"/>
      <c r="B4941" s="67"/>
    </row>
    <row r="4942" spans="1:2" x14ac:dyDescent="0.25">
      <c r="A4942" s="67"/>
      <c r="B4942" s="67"/>
    </row>
    <row r="4943" spans="1:2" x14ac:dyDescent="0.25">
      <c r="A4943" s="67"/>
      <c r="B4943" s="67"/>
    </row>
    <row r="4944" spans="1:2" x14ac:dyDescent="0.25">
      <c r="A4944" s="67"/>
      <c r="B4944" s="67"/>
    </row>
    <row r="4945" spans="1:2" x14ac:dyDescent="0.25">
      <c r="A4945" s="67"/>
      <c r="B4945" s="67"/>
    </row>
    <row r="4946" spans="1:2" x14ac:dyDescent="0.25">
      <c r="A4946" s="67"/>
      <c r="B4946" s="67"/>
    </row>
    <row r="4947" spans="1:2" x14ac:dyDescent="0.25">
      <c r="A4947" s="67"/>
      <c r="B4947" s="67"/>
    </row>
    <row r="4948" spans="1:2" x14ac:dyDescent="0.25">
      <c r="A4948" s="67"/>
      <c r="B4948" s="67"/>
    </row>
    <row r="4949" spans="1:2" x14ac:dyDescent="0.25">
      <c r="A4949" s="67"/>
      <c r="B4949" s="67"/>
    </row>
    <row r="4950" spans="1:2" x14ac:dyDescent="0.25">
      <c r="A4950" s="67"/>
      <c r="B4950" s="67"/>
    </row>
    <row r="4951" spans="1:2" x14ac:dyDescent="0.25">
      <c r="A4951" s="67"/>
      <c r="B4951" s="67"/>
    </row>
    <row r="4952" spans="1:2" x14ac:dyDescent="0.25">
      <c r="A4952" s="67"/>
      <c r="B4952" s="67"/>
    </row>
    <row r="4953" spans="1:2" x14ac:dyDescent="0.25">
      <c r="A4953" s="67"/>
      <c r="B4953" s="67"/>
    </row>
  </sheetData>
  <mergeCells count="30">
    <mergeCell ref="AA1:AL1"/>
    <mergeCell ref="AA2:AL2"/>
    <mergeCell ref="AA3:AL3"/>
    <mergeCell ref="C1:N1"/>
    <mergeCell ref="C2:N2"/>
    <mergeCell ref="C3:N3"/>
    <mergeCell ref="O1:Z1"/>
    <mergeCell ref="O2:Z2"/>
    <mergeCell ref="O3:Z3"/>
    <mergeCell ref="W8:Z8"/>
    <mergeCell ref="AE6:AH6"/>
    <mergeCell ref="AI6:AL6"/>
    <mergeCell ref="AE8:AH8"/>
    <mergeCell ref="AI8:AL8"/>
    <mergeCell ref="AA5:AL5"/>
    <mergeCell ref="C8:F8"/>
    <mergeCell ref="O8:R8"/>
    <mergeCell ref="AA8:AD8"/>
    <mergeCell ref="C6:F6"/>
    <mergeCell ref="O6:R6"/>
    <mergeCell ref="AA6:AD6"/>
    <mergeCell ref="C5:N5"/>
    <mergeCell ref="G6:J6"/>
    <mergeCell ref="K6:N6"/>
    <mergeCell ref="G8:J8"/>
    <mergeCell ref="K8:N8"/>
    <mergeCell ref="S6:V6"/>
    <mergeCell ref="W6:Z6"/>
    <mergeCell ref="O5:Z5"/>
    <mergeCell ref="S8:V8"/>
  </mergeCells>
  <phoneticPr fontId="37" type="noConversion"/>
  <pageMargins left="0.39370078740157483" right="0.39370078740157483" top="0.78740157480314965" bottom="0.78740157480314965" header="0.62992125984251968" footer="0.39370078740157483"/>
  <pageSetup paperSize="9" scale="60" orientation="landscape" r:id="rId1"/>
  <headerFooter alignWithMargins="0">
    <oddHeader>&amp;C&amp;"Times New Roman CE,Félkövér"
&amp;R&amp;"Times New Roman CE,Félkövér"&amp;11 1. melléklet a 6/2019. (II.22.) önkormányzati rendelethez&amp;"Times New Roman CE,Dőlt"&amp;10
 1. melléklet
a 3/2018.(II.8.) önkormányzati rendelethez</oddHeader>
  </headerFooter>
  <rowBreaks count="1" manualBreakCount="1">
    <brk id="54" max="37" man="1"/>
  </rowBreaks>
  <colBreaks count="2" manualBreakCount="2">
    <brk id="14" max="65" man="1"/>
    <brk id="26" max="6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147"/>
  <sheetViews>
    <sheetView topLeftCell="A69" zoomScaleNormal="100" workbookViewId="0">
      <selection activeCell="AD41" sqref="AD41"/>
    </sheetView>
  </sheetViews>
  <sheetFormatPr defaultRowHeight="15.75" x14ac:dyDescent="0.25"/>
  <cols>
    <col min="1" max="1" width="68.875" style="566" customWidth="1"/>
    <col min="2" max="2" width="14.25" style="566" customWidth="1"/>
    <col min="3" max="3" width="14.375" style="566" customWidth="1"/>
    <col min="4" max="4" width="15" style="566" customWidth="1"/>
    <col min="5" max="251" width="9" style="566"/>
    <col min="252" max="252" width="56" style="566" bestFit="1" customWidth="1"/>
    <col min="253" max="253" width="25.5" style="566" customWidth="1"/>
    <col min="254" max="254" width="13.25" style="566" customWidth="1"/>
    <col min="255" max="255" width="49.75" style="566" customWidth="1"/>
    <col min="256" max="507" width="9" style="566"/>
    <col min="508" max="508" width="56" style="566" bestFit="1" customWidth="1"/>
    <col min="509" max="509" width="25.5" style="566" customWidth="1"/>
    <col min="510" max="510" width="13.25" style="566" customWidth="1"/>
    <col min="511" max="511" width="49.75" style="566" customWidth="1"/>
    <col min="512" max="763" width="9" style="566"/>
    <col min="764" max="764" width="56" style="566" bestFit="1" customWidth="1"/>
    <col min="765" max="765" width="25.5" style="566" customWidth="1"/>
    <col min="766" max="766" width="13.25" style="566" customWidth="1"/>
    <col min="767" max="767" width="49.75" style="566" customWidth="1"/>
    <col min="768" max="1019" width="9" style="566"/>
    <col min="1020" max="1020" width="56" style="566" bestFit="1" customWidth="1"/>
    <col min="1021" max="1021" width="25.5" style="566" customWidth="1"/>
    <col min="1022" max="1022" width="13.25" style="566" customWidth="1"/>
    <col min="1023" max="1023" width="49.75" style="566" customWidth="1"/>
    <col min="1024" max="1275" width="9" style="566"/>
    <col min="1276" max="1276" width="56" style="566" bestFit="1" customWidth="1"/>
    <col min="1277" max="1277" width="25.5" style="566" customWidth="1"/>
    <col min="1278" max="1278" width="13.25" style="566" customWidth="1"/>
    <col min="1279" max="1279" width="49.75" style="566" customWidth="1"/>
    <col min="1280" max="1531" width="9" style="566"/>
    <col min="1532" max="1532" width="56" style="566" bestFit="1" customWidth="1"/>
    <col min="1533" max="1533" width="25.5" style="566" customWidth="1"/>
    <col min="1534" max="1534" width="13.25" style="566" customWidth="1"/>
    <col min="1535" max="1535" width="49.75" style="566" customWidth="1"/>
    <col min="1536" max="1787" width="9" style="566"/>
    <col min="1788" max="1788" width="56" style="566" bestFit="1" customWidth="1"/>
    <col min="1789" max="1789" width="25.5" style="566" customWidth="1"/>
    <col min="1790" max="1790" width="13.25" style="566" customWidth="1"/>
    <col min="1791" max="1791" width="49.75" style="566" customWidth="1"/>
    <col min="1792" max="2043" width="9" style="566"/>
    <col min="2044" max="2044" width="56" style="566" bestFit="1" customWidth="1"/>
    <col min="2045" max="2045" width="25.5" style="566" customWidth="1"/>
    <col min="2046" max="2046" width="13.25" style="566" customWidth="1"/>
    <col min="2047" max="2047" width="49.75" style="566" customWidth="1"/>
    <col min="2048" max="2299" width="9" style="566"/>
    <col min="2300" max="2300" width="56" style="566" bestFit="1" customWidth="1"/>
    <col min="2301" max="2301" width="25.5" style="566" customWidth="1"/>
    <col min="2302" max="2302" width="13.25" style="566" customWidth="1"/>
    <col min="2303" max="2303" width="49.75" style="566" customWidth="1"/>
    <col min="2304" max="2555" width="9" style="566"/>
    <col min="2556" max="2556" width="56" style="566" bestFit="1" customWidth="1"/>
    <col min="2557" max="2557" width="25.5" style="566" customWidth="1"/>
    <col min="2558" max="2558" width="13.25" style="566" customWidth="1"/>
    <col min="2559" max="2559" width="49.75" style="566" customWidth="1"/>
    <col min="2560" max="2811" width="9" style="566"/>
    <col min="2812" max="2812" width="56" style="566" bestFit="1" customWidth="1"/>
    <col min="2813" max="2813" width="25.5" style="566" customWidth="1"/>
    <col min="2814" max="2814" width="13.25" style="566" customWidth="1"/>
    <col min="2815" max="2815" width="49.75" style="566" customWidth="1"/>
    <col min="2816" max="3067" width="9" style="566"/>
    <col min="3068" max="3068" width="56" style="566" bestFit="1" customWidth="1"/>
    <col min="3069" max="3069" width="25.5" style="566" customWidth="1"/>
    <col min="3070" max="3070" width="13.25" style="566" customWidth="1"/>
    <col min="3071" max="3071" width="49.75" style="566" customWidth="1"/>
    <col min="3072" max="3323" width="9" style="566"/>
    <col min="3324" max="3324" width="56" style="566" bestFit="1" customWidth="1"/>
    <col min="3325" max="3325" width="25.5" style="566" customWidth="1"/>
    <col min="3326" max="3326" width="13.25" style="566" customWidth="1"/>
    <col min="3327" max="3327" width="49.75" style="566" customWidth="1"/>
    <col min="3328" max="3579" width="9" style="566"/>
    <col min="3580" max="3580" width="56" style="566" bestFit="1" customWidth="1"/>
    <col min="3581" max="3581" width="25.5" style="566" customWidth="1"/>
    <col min="3582" max="3582" width="13.25" style="566" customWidth="1"/>
    <col min="3583" max="3583" width="49.75" style="566" customWidth="1"/>
    <col min="3584" max="3835" width="9" style="566"/>
    <col min="3836" max="3836" width="56" style="566" bestFit="1" customWidth="1"/>
    <col min="3837" max="3837" width="25.5" style="566" customWidth="1"/>
    <col min="3838" max="3838" width="13.25" style="566" customWidth="1"/>
    <col min="3839" max="3839" width="49.75" style="566" customWidth="1"/>
    <col min="3840" max="4091" width="9" style="566"/>
    <col min="4092" max="4092" width="56" style="566" bestFit="1" customWidth="1"/>
    <col min="4093" max="4093" width="25.5" style="566" customWidth="1"/>
    <col min="4094" max="4094" width="13.25" style="566" customWidth="1"/>
    <col min="4095" max="4095" width="49.75" style="566" customWidth="1"/>
    <col min="4096" max="4347" width="9" style="566"/>
    <col min="4348" max="4348" width="56" style="566" bestFit="1" customWidth="1"/>
    <col min="4349" max="4349" width="25.5" style="566" customWidth="1"/>
    <col min="4350" max="4350" width="13.25" style="566" customWidth="1"/>
    <col min="4351" max="4351" width="49.75" style="566" customWidth="1"/>
    <col min="4352" max="4603" width="9" style="566"/>
    <col min="4604" max="4604" width="56" style="566" bestFit="1" customWidth="1"/>
    <col min="4605" max="4605" width="25.5" style="566" customWidth="1"/>
    <col min="4606" max="4606" width="13.25" style="566" customWidth="1"/>
    <col min="4607" max="4607" width="49.75" style="566" customWidth="1"/>
    <col min="4608" max="4859" width="9" style="566"/>
    <col min="4860" max="4860" width="56" style="566" bestFit="1" customWidth="1"/>
    <col min="4861" max="4861" width="25.5" style="566" customWidth="1"/>
    <col min="4862" max="4862" width="13.25" style="566" customWidth="1"/>
    <col min="4863" max="4863" width="49.75" style="566" customWidth="1"/>
    <col min="4864" max="5115" width="9" style="566"/>
    <col min="5116" max="5116" width="56" style="566" bestFit="1" customWidth="1"/>
    <col min="5117" max="5117" width="25.5" style="566" customWidth="1"/>
    <col min="5118" max="5118" width="13.25" style="566" customWidth="1"/>
    <col min="5119" max="5119" width="49.75" style="566" customWidth="1"/>
    <col min="5120" max="5371" width="9" style="566"/>
    <col min="5372" max="5372" width="56" style="566" bestFit="1" customWidth="1"/>
    <col min="5373" max="5373" width="25.5" style="566" customWidth="1"/>
    <col min="5374" max="5374" width="13.25" style="566" customWidth="1"/>
    <col min="5375" max="5375" width="49.75" style="566" customWidth="1"/>
    <col min="5376" max="5627" width="9" style="566"/>
    <col min="5628" max="5628" width="56" style="566" bestFit="1" customWidth="1"/>
    <col min="5629" max="5629" width="25.5" style="566" customWidth="1"/>
    <col min="5630" max="5630" width="13.25" style="566" customWidth="1"/>
    <col min="5631" max="5631" width="49.75" style="566" customWidth="1"/>
    <col min="5632" max="5883" width="9" style="566"/>
    <col min="5884" max="5884" width="56" style="566" bestFit="1" customWidth="1"/>
    <col min="5885" max="5885" width="25.5" style="566" customWidth="1"/>
    <col min="5886" max="5886" width="13.25" style="566" customWidth="1"/>
    <col min="5887" max="5887" width="49.75" style="566" customWidth="1"/>
    <col min="5888" max="6139" width="9" style="566"/>
    <col min="6140" max="6140" width="56" style="566" bestFit="1" customWidth="1"/>
    <col min="6141" max="6141" width="25.5" style="566" customWidth="1"/>
    <col min="6142" max="6142" width="13.25" style="566" customWidth="1"/>
    <col min="6143" max="6143" width="49.75" style="566" customWidth="1"/>
    <col min="6144" max="6395" width="9" style="566"/>
    <col min="6396" max="6396" width="56" style="566" bestFit="1" customWidth="1"/>
    <col min="6397" max="6397" width="25.5" style="566" customWidth="1"/>
    <col min="6398" max="6398" width="13.25" style="566" customWidth="1"/>
    <col min="6399" max="6399" width="49.75" style="566" customWidth="1"/>
    <col min="6400" max="6651" width="9" style="566"/>
    <col min="6652" max="6652" width="56" style="566" bestFit="1" customWidth="1"/>
    <col min="6653" max="6653" width="25.5" style="566" customWidth="1"/>
    <col min="6654" max="6654" width="13.25" style="566" customWidth="1"/>
    <col min="6655" max="6655" width="49.75" style="566" customWidth="1"/>
    <col min="6656" max="6907" width="9" style="566"/>
    <col min="6908" max="6908" width="56" style="566" bestFit="1" customWidth="1"/>
    <col min="6909" max="6909" width="25.5" style="566" customWidth="1"/>
    <col min="6910" max="6910" width="13.25" style="566" customWidth="1"/>
    <col min="6911" max="6911" width="49.75" style="566" customWidth="1"/>
    <col min="6912" max="7163" width="9" style="566"/>
    <col min="7164" max="7164" width="56" style="566" bestFit="1" customWidth="1"/>
    <col min="7165" max="7165" width="25.5" style="566" customWidth="1"/>
    <col min="7166" max="7166" width="13.25" style="566" customWidth="1"/>
    <col min="7167" max="7167" width="49.75" style="566" customWidth="1"/>
    <col min="7168" max="7419" width="9" style="566"/>
    <col min="7420" max="7420" width="56" style="566" bestFit="1" customWidth="1"/>
    <col min="7421" max="7421" width="25.5" style="566" customWidth="1"/>
    <col min="7422" max="7422" width="13.25" style="566" customWidth="1"/>
    <col min="7423" max="7423" width="49.75" style="566" customWidth="1"/>
    <col min="7424" max="7675" width="9" style="566"/>
    <col min="7676" max="7676" width="56" style="566" bestFit="1" customWidth="1"/>
    <col min="7677" max="7677" width="25.5" style="566" customWidth="1"/>
    <col min="7678" max="7678" width="13.25" style="566" customWidth="1"/>
    <col min="7679" max="7679" width="49.75" style="566" customWidth="1"/>
    <col min="7680" max="7931" width="9" style="566"/>
    <col min="7932" max="7932" width="56" style="566" bestFit="1" customWidth="1"/>
    <col min="7933" max="7933" width="25.5" style="566" customWidth="1"/>
    <col min="7934" max="7934" width="13.25" style="566" customWidth="1"/>
    <col min="7935" max="7935" width="49.75" style="566" customWidth="1"/>
    <col min="7936" max="8187" width="9" style="566"/>
    <col min="8188" max="8188" width="56" style="566" bestFit="1" customWidth="1"/>
    <col min="8189" max="8189" width="25.5" style="566" customWidth="1"/>
    <col min="8190" max="8190" width="13.25" style="566" customWidth="1"/>
    <col min="8191" max="8191" width="49.75" style="566" customWidth="1"/>
    <col min="8192" max="8443" width="9" style="566"/>
    <col min="8444" max="8444" width="56" style="566" bestFit="1" customWidth="1"/>
    <col min="8445" max="8445" width="25.5" style="566" customWidth="1"/>
    <col min="8446" max="8446" width="13.25" style="566" customWidth="1"/>
    <col min="8447" max="8447" width="49.75" style="566" customWidth="1"/>
    <col min="8448" max="8699" width="9" style="566"/>
    <col min="8700" max="8700" width="56" style="566" bestFit="1" customWidth="1"/>
    <col min="8701" max="8701" width="25.5" style="566" customWidth="1"/>
    <col min="8702" max="8702" width="13.25" style="566" customWidth="1"/>
    <col min="8703" max="8703" width="49.75" style="566" customWidth="1"/>
    <col min="8704" max="8955" width="9" style="566"/>
    <col min="8956" max="8956" width="56" style="566" bestFit="1" customWidth="1"/>
    <col min="8957" max="8957" width="25.5" style="566" customWidth="1"/>
    <col min="8958" max="8958" width="13.25" style="566" customWidth="1"/>
    <col min="8959" max="8959" width="49.75" style="566" customWidth="1"/>
    <col min="8960" max="9211" width="9" style="566"/>
    <col min="9212" max="9212" width="56" style="566" bestFit="1" customWidth="1"/>
    <col min="9213" max="9213" width="25.5" style="566" customWidth="1"/>
    <col min="9214" max="9214" width="13.25" style="566" customWidth="1"/>
    <col min="9215" max="9215" width="49.75" style="566" customWidth="1"/>
    <col min="9216" max="9467" width="9" style="566"/>
    <col min="9468" max="9468" width="56" style="566" bestFit="1" customWidth="1"/>
    <col min="9469" max="9469" width="25.5" style="566" customWidth="1"/>
    <col min="9470" max="9470" width="13.25" style="566" customWidth="1"/>
    <col min="9471" max="9471" width="49.75" style="566" customWidth="1"/>
    <col min="9472" max="9723" width="9" style="566"/>
    <col min="9724" max="9724" width="56" style="566" bestFit="1" customWidth="1"/>
    <col min="9725" max="9725" width="25.5" style="566" customWidth="1"/>
    <col min="9726" max="9726" width="13.25" style="566" customWidth="1"/>
    <col min="9727" max="9727" width="49.75" style="566" customWidth="1"/>
    <col min="9728" max="9979" width="9" style="566"/>
    <col min="9980" max="9980" width="56" style="566" bestFit="1" customWidth="1"/>
    <col min="9981" max="9981" width="25.5" style="566" customWidth="1"/>
    <col min="9982" max="9982" width="13.25" style="566" customWidth="1"/>
    <col min="9983" max="9983" width="49.75" style="566" customWidth="1"/>
    <col min="9984" max="10235" width="9" style="566"/>
    <col min="10236" max="10236" width="56" style="566" bestFit="1" customWidth="1"/>
    <col min="10237" max="10237" width="25.5" style="566" customWidth="1"/>
    <col min="10238" max="10238" width="13.25" style="566" customWidth="1"/>
    <col min="10239" max="10239" width="49.75" style="566" customWidth="1"/>
    <col min="10240" max="10491" width="9" style="566"/>
    <col min="10492" max="10492" width="56" style="566" bestFit="1" customWidth="1"/>
    <col min="10493" max="10493" width="25.5" style="566" customWidth="1"/>
    <col min="10494" max="10494" width="13.25" style="566" customWidth="1"/>
    <col min="10495" max="10495" width="49.75" style="566" customWidth="1"/>
    <col min="10496" max="10747" width="9" style="566"/>
    <col min="10748" max="10748" width="56" style="566" bestFit="1" customWidth="1"/>
    <col min="10749" max="10749" width="25.5" style="566" customWidth="1"/>
    <col min="10750" max="10750" width="13.25" style="566" customWidth="1"/>
    <col min="10751" max="10751" width="49.75" style="566" customWidth="1"/>
    <col min="10752" max="11003" width="9" style="566"/>
    <col min="11004" max="11004" width="56" style="566" bestFit="1" customWidth="1"/>
    <col min="11005" max="11005" width="25.5" style="566" customWidth="1"/>
    <col min="11006" max="11006" width="13.25" style="566" customWidth="1"/>
    <col min="11007" max="11007" width="49.75" style="566" customWidth="1"/>
    <col min="11008" max="11259" width="9" style="566"/>
    <col min="11260" max="11260" width="56" style="566" bestFit="1" customWidth="1"/>
    <col min="11261" max="11261" width="25.5" style="566" customWidth="1"/>
    <col min="11262" max="11262" width="13.25" style="566" customWidth="1"/>
    <col min="11263" max="11263" width="49.75" style="566" customWidth="1"/>
    <col min="11264" max="11515" width="9" style="566"/>
    <col min="11516" max="11516" width="56" style="566" bestFit="1" customWidth="1"/>
    <col min="11517" max="11517" width="25.5" style="566" customWidth="1"/>
    <col min="11518" max="11518" width="13.25" style="566" customWidth="1"/>
    <col min="11519" max="11519" width="49.75" style="566" customWidth="1"/>
    <col min="11520" max="11771" width="9" style="566"/>
    <col min="11772" max="11772" width="56" style="566" bestFit="1" customWidth="1"/>
    <col min="11773" max="11773" width="25.5" style="566" customWidth="1"/>
    <col min="11774" max="11774" width="13.25" style="566" customWidth="1"/>
    <col min="11775" max="11775" width="49.75" style="566" customWidth="1"/>
    <col min="11776" max="12027" width="9" style="566"/>
    <col min="12028" max="12028" width="56" style="566" bestFit="1" customWidth="1"/>
    <col min="12029" max="12029" width="25.5" style="566" customWidth="1"/>
    <col min="12030" max="12030" width="13.25" style="566" customWidth="1"/>
    <col min="12031" max="12031" width="49.75" style="566" customWidth="1"/>
    <col min="12032" max="12283" width="9" style="566"/>
    <col min="12284" max="12284" width="56" style="566" bestFit="1" customWidth="1"/>
    <col min="12285" max="12285" width="25.5" style="566" customWidth="1"/>
    <col min="12286" max="12286" width="13.25" style="566" customWidth="1"/>
    <col min="12287" max="12287" width="49.75" style="566" customWidth="1"/>
    <col min="12288" max="12539" width="9" style="566"/>
    <col min="12540" max="12540" width="56" style="566" bestFit="1" customWidth="1"/>
    <col min="12541" max="12541" width="25.5" style="566" customWidth="1"/>
    <col min="12542" max="12542" width="13.25" style="566" customWidth="1"/>
    <col min="12543" max="12543" width="49.75" style="566" customWidth="1"/>
    <col min="12544" max="12795" width="9" style="566"/>
    <col min="12796" max="12796" width="56" style="566" bestFit="1" customWidth="1"/>
    <col min="12797" max="12797" width="25.5" style="566" customWidth="1"/>
    <col min="12798" max="12798" width="13.25" style="566" customWidth="1"/>
    <col min="12799" max="12799" width="49.75" style="566" customWidth="1"/>
    <col min="12800" max="13051" width="9" style="566"/>
    <col min="13052" max="13052" width="56" style="566" bestFit="1" customWidth="1"/>
    <col min="13053" max="13053" width="25.5" style="566" customWidth="1"/>
    <col min="13054" max="13054" width="13.25" style="566" customWidth="1"/>
    <col min="13055" max="13055" width="49.75" style="566" customWidth="1"/>
    <col min="13056" max="13307" width="9" style="566"/>
    <col min="13308" max="13308" width="56" style="566" bestFit="1" customWidth="1"/>
    <col min="13309" max="13309" width="25.5" style="566" customWidth="1"/>
    <col min="13310" max="13310" width="13.25" style="566" customWidth="1"/>
    <col min="13311" max="13311" width="49.75" style="566" customWidth="1"/>
    <col min="13312" max="13563" width="9" style="566"/>
    <col min="13564" max="13564" width="56" style="566" bestFit="1" customWidth="1"/>
    <col min="13565" max="13565" width="25.5" style="566" customWidth="1"/>
    <col min="13566" max="13566" width="13.25" style="566" customWidth="1"/>
    <col min="13567" max="13567" width="49.75" style="566" customWidth="1"/>
    <col min="13568" max="13819" width="9" style="566"/>
    <col min="13820" max="13820" width="56" style="566" bestFit="1" customWidth="1"/>
    <col min="13821" max="13821" width="25.5" style="566" customWidth="1"/>
    <col min="13822" max="13822" width="13.25" style="566" customWidth="1"/>
    <col min="13823" max="13823" width="49.75" style="566" customWidth="1"/>
    <col min="13824" max="14075" width="9" style="566"/>
    <col min="14076" max="14076" width="56" style="566" bestFit="1" customWidth="1"/>
    <col min="14077" max="14077" width="25.5" style="566" customWidth="1"/>
    <col min="14078" max="14078" width="13.25" style="566" customWidth="1"/>
    <col min="14079" max="14079" width="49.75" style="566" customWidth="1"/>
    <col min="14080" max="14331" width="9" style="566"/>
    <col min="14332" max="14332" width="56" style="566" bestFit="1" customWidth="1"/>
    <col min="14333" max="14333" width="25.5" style="566" customWidth="1"/>
    <col min="14334" max="14334" width="13.25" style="566" customWidth="1"/>
    <col min="14335" max="14335" width="49.75" style="566" customWidth="1"/>
    <col min="14336" max="14587" width="9" style="566"/>
    <col min="14588" max="14588" width="56" style="566" bestFit="1" customWidth="1"/>
    <col min="14589" max="14589" width="25.5" style="566" customWidth="1"/>
    <col min="14590" max="14590" width="13.25" style="566" customWidth="1"/>
    <col min="14591" max="14591" width="49.75" style="566" customWidth="1"/>
    <col min="14592" max="14843" width="9" style="566"/>
    <col min="14844" max="14844" width="56" style="566" bestFit="1" customWidth="1"/>
    <col min="14845" max="14845" width="25.5" style="566" customWidth="1"/>
    <col min="14846" max="14846" width="13.25" style="566" customWidth="1"/>
    <col min="14847" max="14847" width="49.75" style="566" customWidth="1"/>
    <col min="14848" max="15099" width="9" style="566"/>
    <col min="15100" max="15100" width="56" style="566" bestFit="1" customWidth="1"/>
    <col min="15101" max="15101" width="25.5" style="566" customWidth="1"/>
    <col min="15102" max="15102" width="13.25" style="566" customWidth="1"/>
    <col min="15103" max="15103" width="49.75" style="566" customWidth="1"/>
    <col min="15104" max="15355" width="9" style="566"/>
    <col min="15356" max="15356" width="56" style="566" bestFit="1" customWidth="1"/>
    <col min="15357" max="15357" width="25.5" style="566" customWidth="1"/>
    <col min="15358" max="15358" width="13.25" style="566" customWidth="1"/>
    <col min="15359" max="15359" width="49.75" style="566" customWidth="1"/>
    <col min="15360" max="15611" width="9" style="566"/>
    <col min="15612" max="15612" width="56" style="566" bestFit="1" customWidth="1"/>
    <col min="15613" max="15613" width="25.5" style="566" customWidth="1"/>
    <col min="15614" max="15614" width="13.25" style="566" customWidth="1"/>
    <col min="15615" max="15615" width="49.75" style="566" customWidth="1"/>
    <col min="15616" max="15867" width="9" style="566"/>
    <col min="15868" max="15868" width="56" style="566" bestFit="1" customWidth="1"/>
    <col min="15869" max="15869" width="25.5" style="566" customWidth="1"/>
    <col min="15870" max="15870" width="13.25" style="566" customWidth="1"/>
    <col min="15871" max="15871" width="49.75" style="566" customWidth="1"/>
    <col min="15872" max="16123" width="9" style="566"/>
    <col min="16124" max="16124" width="56" style="566" bestFit="1" customWidth="1"/>
    <col min="16125" max="16125" width="25.5" style="566" customWidth="1"/>
    <col min="16126" max="16126" width="13.25" style="566" customWidth="1"/>
    <col min="16127" max="16127" width="49.75" style="566" customWidth="1"/>
    <col min="16128" max="16384" width="9" style="566"/>
  </cols>
  <sheetData>
    <row r="1" spans="1:4" ht="31.5" customHeight="1" x14ac:dyDescent="0.25">
      <c r="A1" s="1011" t="s">
        <v>681</v>
      </c>
      <c r="B1" s="1011"/>
      <c r="C1" s="1011"/>
      <c r="D1" s="1011"/>
    </row>
    <row r="3" spans="1:4" ht="16.5" thickBot="1" x14ac:dyDescent="0.3"/>
    <row r="4" spans="1:4" s="569" customFormat="1" ht="72" customHeight="1" thickTop="1" thickBot="1" x14ac:dyDescent="0.3">
      <c r="A4" s="568" t="s">
        <v>346</v>
      </c>
      <c r="B4" s="568" t="s">
        <v>387</v>
      </c>
      <c r="C4" s="568" t="s">
        <v>388</v>
      </c>
      <c r="D4" s="568" t="s">
        <v>784</v>
      </c>
    </row>
    <row r="5" spans="1:4" s="571" customFormat="1" ht="16.5" thickTop="1" x14ac:dyDescent="0.25">
      <c r="A5" s="570"/>
      <c r="B5" s="335"/>
      <c r="C5" s="335"/>
      <c r="D5" s="335"/>
    </row>
    <row r="6" spans="1:4" s="571" customFormat="1" x14ac:dyDescent="0.25">
      <c r="A6" s="570" t="s">
        <v>183</v>
      </c>
      <c r="B6" s="335"/>
      <c r="C6" s="335"/>
      <c r="D6" s="335"/>
    </row>
    <row r="7" spans="1:4" x14ac:dyDescent="0.25">
      <c r="A7" s="572" t="s">
        <v>184</v>
      </c>
      <c r="B7" s="573">
        <v>3315</v>
      </c>
      <c r="C7" s="573"/>
      <c r="D7" s="573">
        <f>SUM(B7:C7)</f>
        <v>3315</v>
      </c>
    </row>
    <row r="8" spans="1:4" ht="31.5" x14ac:dyDescent="0.25">
      <c r="A8" s="572" t="s">
        <v>682</v>
      </c>
      <c r="B8" s="573">
        <v>4500</v>
      </c>
      <c r="C8" s="573"/>
      <c r="D8" s="573">
        <f>SUM(B8:C8)</f>
        <v>4500</v>
      </c>
    </row>
    <row r="9" spans="1:4" x14ac:dyDescent="0.25">
      <c r="A9" s="574" t="s">
        <v>347</v>
      </c>
      <c r="B9" s="575">
        <f t="shared" ref="B9:D9" si="0">SUM(B7:B8)</f>
        <v>7815</v>
      </c>
      <c r="C9" s="575">
        <f t="shared" si="0"/>
        <v>0</v>
      </c>
      <c r="D9" s="575">
        <f t="shared" si="0"/>
        <v>7815</v>
      </c>
    </row>
    <row r="10" spans="1:4" x14ac:dyDescent="0.25">
      <c r="A10" s="572"/>
      <c r="B10" s="573"/>
      <c r="C10" s="573"/>
      <c r="D10" s="573"/>
    </row>
    <row r="11" spans="1:4" x14ac:dyDescent="0.25">
      <c r="A11" s="576" t="s">
        <v>348</v>
      </c>
      <c r="B11" s="573"/>
      <c r="C11" s="573"/>
      <c r="D11" s="573"/>
    </row>
    <row r="12" spans="1:4" x14ac:dyDescent="0.25">
      <c r="A12" s="577" t="s">
        <v>683</v>
      </c>
      <c r="B12" s="578">
        <f>SUM(B13:B36)</f>
        <v>2369413</v>
      </c>
      <c r="C12" s="578">
        <f t="shared" ref="C12:D12" si="1">SUM(C13:C36)</f>
        <v>0</v>
      </c>
      <c r="D12" s="578">
        <f t="shared" si="1"/>
        <v>2369413</v>
      </c>
    </row>
    <row r="13" spans="1:4" x14ac:dyDescent="0.25">
      <c r="A13" s="579" t="s">
        <v>540</v>
      </c>
      <c r="B13" s="573">
        <v>5906</v>
      </c>
      <c r="C13" s="573"/>
      <c r="D13" s="573">
        <f>SUM(B13:C13)</f>
        <v>5906</v>
      </c>
    </row>
    <row r="14" spans="1:4" x14ac:dyDescent="0.25">
      <c r="A14" s="580" t="s">
        <v>349</v>
      </c>
      <c r="B14" s="573">
        <v>52774</v>
      </c>
      <c r="C14" s="573"/>
      <c r="D14" s="573">
        <f t="shared" ref="D14:D36" si="2">SUM(B14:C14)</f>
        <v>52774</v>
      </c>
    </row>
    <row r="15" spans="1:4" x14ac:dyDescent="0.25">
      <c r="A15" s="580" t="s">
        <v>541</v>
      </c>
      <c r="B15" s="573">
        <v>762</v>
      </c>
      <c r="C15" s="573"/>
      <c r="D15" s="573">
        <f t="shared" si="2"/>
        <v>762</v>
      </c>
    </row>
    <row r="16" spans="1:4" x14ac:dyDescent="0.25">
      <c r="A16" s="580" t="s">
        <v>350</v>
      </c>
      <c r="B16" s="573">
        <v>44209</v>
      </c>
      <c r="C16" s="573"/>
      <c r="D16" s="573">
        <f t="shared" si="2"/>
        <v>44209</v>
      </c>
    </row>
    <row r="17" spans="1:4" x14ac:dyDescent="0.25">
      <c r="A17" s="580" t="s">
        <v>684</v>
      </c>
      <c r="B17" s="573">
        <v>186797</v>
      </c>
      <c r="C17" s="573"/>
      <c r="D17" s="573">
        <f t="shared" si="2"/>
        <v>186797</v>
      </c>
    </row>
    <row r="18" spans="1:4" x14ac:dyDescent="0.25">
      <c r="A18" s="580" t="s">
        <v>351</v>
      </c>
      <c r="B18" s="573">
        <v>17248</v>
      </c>
      <c r="C18" s="573"/>
      <c r="D18" s="573">
        <f t="shared" si="2"/>
        <v>17248</v>
      </c>
    </row>
    <row r="19" spans="1:4" x14ac:dyDescent="0.25">
      <c r="A19" s="580" t="s">
        <v>685</v>
      </c>
      <c r="B19" s="573">
        <v>465353</v>
      </c>
      <c r="C19" s="573"/>
      <c r="D19" s="573">
        <f t="shared" si="2"/>
        <v>465353</v>
      </c>
    </row>
    <row r="20" spans="1:4" x14ac:dyDescent="0.25">
      <c r="A20" s="580" t="s">
        <v>686</v>
      </c>
      <c r="B20" s="573">
        <v>3161</v>
      </c>
      <c r="C20" s="573"/>
      <c r="D20" s="573">
        <f t="shared" si="2"/>
        <v>3161</v>
      </c>
    </row>
    <row r="21" spans="1:4" ht="31.5" x14ac:dyDescent="0.25">
      <c r="A21" s="580" t="s">
        <v>687</v>
      </c>
      <c r="B21" s="573">
        <v>635</v>
      </c>
      <c r="C21" s="573"/>
      <c r="D21" s="573">
        <f t="shared" si="2"/>
        <v>635</v>
      </c>
    </row>
    <row r="22" spans="1:4" x14ac:dyDescent="0.25">
      <c r="A22" s="580" t="s">
        <v>688</v>
      </c>
      <c r="B22" s="573">
        <v>31406</v>
      </c>
      <c r="C22" s="573"/>
      <c r="D22" s="573">
        <f t="shared" si="2"/>
        <v>31406</v>
      </c>
    </row>
    <row r="23" spans="1:4" x14ac:dyDescent="0.25">
      <c r="A23" s="580" t="s">
        <v>689</v>
      </c>
      <c r="B23" s="573">
        <v>2997</v>
      </c>
      <c r="C23" s="573"/>
      <c r="D23" s="573">
        <f t="shared" si="2"/>
        <v>2997</v>
      </c>
    </row>
    <row r="24" spans="1:4" x14ac:dyDescent="0.25">
      <c r="A24" s="580" t="s">
        <v>690</v>
      </c>
      <c r="B24" s="573">
        <v>10000</v>
      </c>
      <c r="C24" s="573"/>
      <c r="D24" s="573">
        <f t="shared" si="2"/>
        <v>10000</v>
      </c>
    </row>
    <row r="25" spans="1:4" x14ac:dyDescent="0.25">
      <c r="A25" s="580" t="s">
        <v>691</v>
      </c>
      <c r="B25" s="573">
        <v>183923</v>
      </c>
      <c r="C25" s="573"/>
      <c r="D25" s="573">
        <f t="shared" si="2"/>
        <v>183923</v>
      </c>
    </row>
    <row r="26" spans="1:4" x14ac:dyDescent="0.25">
      <c r="A26" s="580" t="s">
        <v>692</v>
      </c>
      <c r="B26" s="573">
        <v>572</v>
      </c>
      <c r="C26" s="573"/>
      <c r="D26" s="573">
        <f t="shared" si="2"/>
        <v>572</v>
      </c>
    </row>
    <row r="27" spans="1:4" x14ac:dyDescent="0.25">
      <c r="A27" s="580" t="s">
        <v>693</v>
      </c>
      <c r="B27" s="573">
        <v>2286</v>
      </c>
      <c r="C27" s="573"/>
      <c r="D27" s="573">
        <f t="shared" si="2"/>
        <v>2286</v>
      </c>
    </row>
    <row r="28" spans="1:4" ht="31.5" x14ac:dyDescent="0.25">
      <c r="A28" s="580" t="s">
        <v>694</v>
      </c>
      <c r="B28" s="573">
        <v>90000</v>
      </c>
      <c r="C28" s="573"/>
      <c r="D28" s="573">
        <f t="shared" si="2"/>
        <v>90000</v>
      </c>
    </row>
    <row r="29" spans="1:4" x14ac:dyDescent="0.25">
      <c r="A29" s="580" t="s">
        <v>695</v>
      </c>
      <c r="B29" s="573">
        <v>112004</v>
      </c>
      <c r="C29" s="573"/>
      <c r="D29" s="573">
        <f t="shared" si="2"/>
        <v>112004</v>
      </c>
    </row>
    <row r="30" spans="1:4" x14ac:dyDescent="0.25">
      <c r="A30" s="580" t="s">
        <v>696</v>
      </c>
      <c r="B30" s="573">
        <v>230971</v>
      </c>
      <c r="C30" s="573"/>
      <c r="D30" s="573">
        <f t="shared" si="2"/>
        <v>230971</v>
      </c>
    </row>
    <row r="31" spans="1:4" x14ac:dyDescent="0.25">
      <c r="A31" s="580" t="s">
        <v>697</v>
      </c>
      <c r="B31" s="573">
        <v>172163</v>
      </c>
      <c r="C31" s="573"/>
      <c r="D31" s="573">
        <f t="shared" si="2"/>
        <v>172163</v>
      </c>
    </row>
    <row r="32" spans="1:4" x14ac:dyDescent="0.25">
      <c r="A32" s="580" t="s">
        <v>698</v>
      </c>
      <c r="B32" s="573">
        <v>285000</v>
      </c>
      <c r="C32" s="573"/>
      <c r="D32" s="573">
        <f t="shared" si="2"/>
        <v>285000</v>
      </c>
    </row>
    <row r="33" spans="1:4" x14ac:dyDescent="0.25">
      <c r="A33" s="580" t="s">
        <v>699</v>
      </c>
      <c r="B33" s="573">
        <v>226246</v>
      </c>
      <c r="C33" s="573"/>
      <c r="D33" s="573">
        <f t="shared" si="2"/>
        <v>226246</v>
      </c>
    </row>
    <row r="34" spans="1:4" x14ac:dyDescent="0.25">
      <c r="A34" s="580" t="s">
        <v>700</v>
      </c>
      <c r="B34" s="573">
        <v>15000</v>
      </c>
      <c r="C34" s="573"/>
      <c r="D34" s="573">
        <f t="shared" si="2"/>
        <v>15000</v>
      </c>
    </row>
    <row r="35" spans="1:4" x14ac:dyDescent="0.25">
      <c r="A35" s="580" t="s">
        <v>701</v>
      </c>
      <c r="B35" s="573">
        <v>200000</v>
      </c>
      <c r="C35" s="573"/>
      <c r="D35" s="573">
        <f t="shared" si="2"/>
        <v>200000</v>
      </c>
    </row>
    <row r="36" spans="1:4" x14ac:dyDescent="0.25">
      <c r="A36" s="580" t="s">
        <v>702</v>
      </c>
      <c r="B36" s="573">
        <v>30000</v>
      </c>
      <c r="C36" s="573"/>
      <c r="D36" s="573">
        <f t="shared" si="2"/>
        <v>30000</v>
      </c>
    </row>
    <row r="37" spans="1:4" x14ac:dyDescent="0.25">
      <c r="A37" s="577" t="s">
        <v>352</v>
      </c>
      <c r="B37" s="573"/>
      <c r="C37" s="573"/>
      <c r="D37" s="573"/>
    </row>
    <row r="38" spans="1:4" x14ac:dyDescent="0.25">
      <c r="A38" s="581" t="s">
        <v>542</v>
      </c>
      <c r="B38" s="573"/>
      <c r="C38" s="573"/>
      <c r="D38" s="573"/>
    </row>
    <row r="39" spans="1:4" x14ac:dyDescent="0.25">
      <c r="A39" s="580" t="s">
        <v>543</v>
      </c>
      <c r="B39" s="573">
        <v>5178</v>
      </c>
      <c r="C39" s="573"/>
      <c r="D39" s="573">
        <f>SUM(B39:C39)</f>
        <v>5178</v>
      </c>
    </row>
    <row r="40" spans="1:4" x14ac:dyDescent="0.25">
      <c r="A40" s="580"/>
      <c r="B40" s="573"/>
      <c r="C40" s="573"/>
      <c r="D40" s="573"/>
    </row>
    <row r="41" spans="1:4" x14ac:dyDescent="0.25">
      <c r="A41" s="580" t="s">
        <v>353</v>
      </c>
      <c r="B41" s="573">
        <v>25000</v>
      </c>
      <c r="C41" s="573"/>
      <c r="D41" s="573">
        <f>SUM(B41:C41)</f>
        <v>25000</v>
      </c>
    </row>
    <row r="42" spans="1:4" x14ac:dyDescent="0.25">
      <c r="A42" s="580" t="s">
        <v>703</v>
      </c>
      <c r="B42" s="573">
        <v>256825</v>
      </c>
      <c r="C42" s="573"/>
      <c r="D42" s="573">
        <f>SUM(B42:C42)</f>
        <v>256825</v>
      </c>
    </row>
    <row r="43" spans="1:4" ht="31.5" x14ac:dyDescent="0.25">
      <c r="A43" s="572" t="s">
        <v>827</v>
      </c>
      <c r="B43" s="573">
        <v>26000</v>
      </c>
      <c r="C43" s="573"/>
      <c r="D43" s="573">
        <f>SUM(B43:C43)</f>
        <v>26000</v>
      </c>
    </row>
    <row r="44" spans="1:4" x14ac:dyDescent="0.25">
      <c r="A44" s="582" t="s">
        <v>354</v>
      </c>
      <c r="B44" s="583">
        <f>SUM(B42+B41+B39+B12+B43)</f>
        <v>2682416</v>
      </c>
      <c r="C44" s="583">
        <f t="shared" ref="C44:D44" si="3">SUM(C42+C41+C39+C12+C43)</f>
        <v>0</v>
      </c>
      <c r="D44" s="583">
        <f t="shared" si="3"/>
        <v>2682416</v>
      </c>
    </row>
    <row r="45" spans="1:4" x14ac:dyDescent="0.25">
      <c r="A45" s="582"/>
      <c r="B45" s="573"/>
      <c r="C45" s="573"/>
      <c r="D45" s="573"/>
    </row>
    <row r="46" spans="1:4" x14ac:dyDescent="0.25">
      <c r="A46" s="576" t="s">
        <v>355</v>
      </c>
      <c r="B46" s="573"/>
      <c r="C46" s="573"/>
      <c r="D46" s="573"/>
    </row>
    <row r="47" spans="1:4" x14ac:dyDescent="0.25">
      <c r="A47" s="580" t="s">
        <v>356</v>
      </c>
      <c r="B47" s="573">
        <v>63239</v>
      </c>
      <c r="C47" s="573"/>
      <c r="D47" s="573">
        <f>SUM(B47:C47)</f>
        <v>63239</v>
      </c>
    </row>
    <row r="48" spans="1:4" x14ac:dyDescent="0.25">
      <c r="A48" s="580" t="s">
        <v>357</v>
      </c>
      <c r="B48" s="573">
        <v>223</v>
      </c>
      <c r="C48" s="573"/>
      <c r="D48" s="573">
        <f t="shared" ref="D48:D57" si="4">SUM(B48:C48)</f>
        <v>223</v>
      </c>
    </row>
    <row r="49" spans="1:4" x14ac:dyDescent="0.25">
      <c r="A49" s="580" t="s">
        <v>544</v>
      </c>
      <c r="B49" s="573">
        <v>61761</v>
      </c>
      <c r="C49" s="573"/>
      <c r="D49" s="573">
        <f t="shared" si="4"/>
        <v>61761</v>
      </c>
    </row>
    <row r="50" spans="1:4" x14ac:dyDescent="0.25">
      <c r="A50" s="580" t="s">
        <v>545</v>
      </c>
      <c r="B50" s="573">
        <v>9017</v>
      </c>
      <c r="C50" s="573"/>
      <c r="D50" s="573">
        <f t="shared" si="4"/>
        <v>9017</v>
      </c>
    </row>
    <row r="51" spans="1:4" ht="31.5" x14ac:dyDescent="0.25">
      <c r="A51" s="580" t="s">
        <v>546</v>
      </c>
      <c r="B51" s="573">
        <v>12446</v>
      </c>
      <c r="C51" s="573"/>
      <c r="D51" s="573">
        <f t="shared" si="4"/>
        <v>12446</v>
      </c>
    </row>
    <row r="52" spans="1:4" x14ac:dyDescent="0.25">
      <c r="A52" s="580" t="s">
        <v>704</v>
      </c>
      <c r="B52" s="573">
        <v>6591</v>
      </c>
      <c r="C52" s="573"/>
      <c r="D52" s="573">
        <f t="shared" si="4"/>
        <v>6591</v>
      </c>
    </row>
    <row r="53" spans="1:4" x14ac:dyDescent="0.25">
      <c r="A53" s="580" t="s">
        <v>705</v>
      </c>
      <c r="B53" s="573">
        <v>6299</v>
      </c>
      <c r="C53" s="573"/>
      <c r="D53" s="573">
        <f t="shared" si="4"/>
        <v>6299</v>
      </c>
    </row>
    <row r="54" spans="1:4" x14ac:dyDescent="0.25">
      <c r="A54" s="580" t="s">
        <v>706</v>
      </c>
      <c r="B54" s="573">
        <v>95250</v>
      </c>
      <c r="C54" s="573"/>
      <c r="D54" s="573">
        <f t="shared" si="4"/>
        <v>95250</v>
      </c>
    </row>
    <row r="55" spans="1:4" x14ac:dyDescent="0.25">
      <c r="A55" s="580" t="s">
        <v>707</v>
      </c>
      <c r="B55" s="573">
        <v>186614</v>
      </c>
      <c r="C55" s="573"/>
      <c r="D55" s="573">
        <f t="shared" si="4"/>
        <v>186614</v>
      </c>
    </row>
    <row r="56" spans="1:4" x14ac:dyDescent="0.25">
      <c r="A56" s="580" t="s">
        <v>708</v>
      </c>
      <c r="B56" s="573">
        <v>57438</v>
      </c>
      <c r="C56" s="573"/>
      <c r="D56" s="573">
        <f t="shared" si="4"/>
        <v>57438</v>
      </c>
    </row>
    <row r="57" spans="1:4" x14ac:dyDescent="0.25">
      <c r="A57" s="580" t="s">
        <v>709</v>
      </c>
      <c r="B57" s="573">
        <v>159095</v>
      </c>
      <c r="C57" s="573"/>
      <c r="D57" s="573">
        <f t="shared" si="4"/>
        <v>159095</v>
      </c>
    </row>
    <row r="58" spans="1:4" x14ac:dyDescent="0.25">
      <c r="A58" s="577" t="s">
        <v>358</v>
      </c>
      <c r="B58" s="584">
        <f>SUM(B47:B57)</f>
        <v>657973</v>
      </c>
      <c r="C58" s="584">
        <f t="shared" ref="C58:D58" si="5">SUM(C47:C57)</f>
        <v>0</v>
      </c>
      <c r="D58" s="584">
        <f t="shared" si="5"/>
        <v>657973</v>
      </c>
    </row>
    <row r="59" spans="1:4" x14ac:dyDescent="0.25">
      <c r="A59" s="580"/>
      <c r="B59" s="573"/>
      <c r="C59" s="573"/>
      <c r="D59" s="573"/>
    </row>
    <row r="60" spans="1:4" x14ac:dyDescent="0.25">
      <c r="A60" s="577" t="s">
        <v>185</v>
      </c>
      <c r="B60" s="573"/>
      <c r="C60" s="573"/>
      <c r="D60" s="573"/>
    </row>
    <row r="61" spans="1:4" x14ac:dyDescent="0.25">
      <c r="A61" s="580" t="s">
        <v>186</v>
      </c>
      <c r="B61" s="573">
        <v>72501</v>
      </c>
      <c r="C61" s="573"/>
      <c r="D61" s="573">
        <f>SUM(B61:C61)</f>
        <v>72501</v>
      </c>
    </row>
    <row r="62" spans="1:4" x14ac:dyDescent="0.25">
      <c r="A62" s="580" t="s">
        <v>710</v>
      </c>
      <c r="B62" s="573">
        <v>38000</v>
      </c>
      <c r="C62" s="573"/>
      <c r="D62" s="573">
        <f t="shared" ref="D62:D113" si="6">SUM(B62:C62)</f>
        <v>38000</v>
      </c>
    </row>
    <row r="63" spans="1:4" x14ac:dyDescent="0.25">
      <c r="A63" s="580" t="s">
        <v>187</v>
      </c>
      <c r="B63" s="573">
        <v>24917</v>
      </c>
      <c r="C63" s="573"/>
      <c r="D63" s="573">
        <f t="shared" si="6"/>
        <v>24917</v>
      </c>
    </row>
    <row r="64" spans="1:4" x14ac:dyDescent="0.25">
      <c r="A64" s="580" t="s">
        <v>359</v>
      </c>
      <c r="B64" s="573">
        <v>30559</v>
      </c>
      <c r="C64" s="573"/>
      <c r="D64" s="573">
        <f t="shared" si="6"/>
        <v>30559</v>
      </c>
    </row>
    <row r="65" spans="1:4" x14ac:dyDescent="0.25">
      <c r="A65" s="580" t="s">
        <v>711</v>
      </c>
      <c r="B65" s="573">
        <v>22225</v>
      </c>
      <c r="C65" s="573"/>
      <c r="D65" s="573">
        <f t="shared" si="6"/>
        <v>22225</v>
      </c>
    </row>
    <row r="66" spans="1:4" x14ac:dyDescent="0.25">
      <c r="A66" s="580" t="s">
        <v>712</v>
      </c>
      <c r="B66" s="573">
        <v>68261</v>
      </c>
      <c r="C66" s="573"/>
      <c r="D66" s="573">
        <f t="shared" si="6"/>
        <v>68261</v>
      </c>
    </row>
    <row r="67" spans="1:4" x14ac:dyDescent="0.25">
      <c r="A67" s="580" t="s">
        <v>360</v>
      </c>
      <c r="B67" s="573">
        <v>50000</v>
      </c>
      <c r="C67" s="573"/>
      <c r="D67" s="573">
        <f t="shared" si="6"/>
        <v>50000</v>
      </c>
    </row>
    <row r="68" spans="1:4" x14ac:dyDescent="0.25">
      <c r="A68" s="580" t="s">
        <v>828</v>
      </c>
      <c r="B68" s="573">
        <v>0</v>
      </c>
      <c r="C68" s="573"/>
      <c r="D68" s="573">
        <f t="shared" si="6"/>
        <v>0</v>
      </c>
    </row>
    <row r="69" spans="1:4" ht="31.5" x14ac:dyDescent="0.25">
      <c r="A69" s="580" t="s">
        <v>713</v>
      </c>
      <c r="B69" s="573">
        <v>12391384</v>
      </c>
      <c r="C69" s="573">
        <f>-2104452-707396</f>
        <v>-2811848</v>
      </c>
      <c r="D69" s="573">
        <f t="shared" si="6"/>
        <v>9579536</v>
      </c>
    </row>
    <row r="70" spans="1:4" ht="47.25" x14ac:dyDescent="0.25">
      <c r="A70" s="580" t="s">
        <v>559</v>
      </c>
      <c r="B70" s="573">
        <v>2687423</v>
      </c>
      <c r="C70" s="573">
        <f>-1298170+579349</f>
        <v>-718821</v>
      </c>
      <c r="D70" s="573">
        <f t="shared" si="6"/>
        <v>1968602</v>
      </c>
    </row>
    <row r="71" spans="1:4" ht="30" customHeight="1" x14ac:dyDescent="0.25">
      <c r="A71" s="580" t="s">
        <v>714</v>
      </c>
      <c r="B71" s="573">
        <v>161322</v>
      </c>
      <c r="C71" s="573">
        <v>-29970</v>
      </c>
      <c r="D71" s="573">
        <f t="shared" si="6"/>
        <v>131352</v>
      </c>
    </row>
    <row r="72" spans="1:4" ht="30" customHeight="1" x14ac:dyDescent="0.25">
      <c r="A72" s="580" t="s">
        <v>769</v>
      </c>
      <c r="B72" s="573">
        <v>92393</v>
      </c>
      <c r="C72" s="573"/>
      <c r="D72" s="573">
        <f t="shared" si="6"/>
        <v>92393</v>
      </c>
    </row>
    <row r="73" spans="1:4" ht="31.5" x14ac:dyDescent="0.25">
      <c r="A73" s="580" t="s">
        <v>547</v>
      </c>
      <c r="B73" s="573">
        <v>70071</v>
      </c>
      <c r="C73" s="573"/>
      <c r="D73" s="573">
        <f t="shared" si="6"/>
        <v>70071</v>
      </c>
    </row>
    <row r="74" spans="1:4" x14ac:dyDescent="0.25">
      <c r="A74" s="620" t="s">
        <v>715</v>
      </c>
      <c r="B74" s="573">
        <v>425480</v>
      </c>
      <c r="C74" s="573"/>
      <c r="D74" s="573">
        <f t="shared" si="6"/>
        <v>425480</v>
      </c>
    </row>
    <row r="75" spans="1:4" ht="47.25" x14ac:dyDescent="0.25">
      <c r="A75" s="572" t="s">
        <v>790</v>
      </c>
      <c r="B75" s="573">
        <v>2468200</v>
      </c>
      <c r="C75" s="573">
        <v>-1550000</v>
      </c>
      <c r="D75" s="573">
        <f t="shared" si="6"/>
        <v>918200</v>
      </c>
    </row>
    <row r="76" spans="1:4" ht="68.25" customHeight="1" x14ac:dyDescent="0.25">
      <c r="A76" s="572" t="s">
        <v>716</v>
      </c>
      <c r="B76" s="573">
        <v>65000</v>
      </c>
      <c r="C76" s="573">
        <f>-65000+5029</f>
        <v>-59971</v>
      </c>
      <c r="D76" s="573">
        <f t="shared" si="6"/>
        <v>5029</v>
      </c>
    </row>
    <row r="77" spans="1:4" x14ac:dyDescent="0.25">
      <c r="A77" s="580" t="s">
        <v>548</v>
      </c>
      <c r="B77" s="573">
        <v>7233552</v>
      </c>
      <c r="C77" s="573"/>
      <c r="D77" s="573">
        <f t="shared" si="6"/>
        <v>7233552</v>
      </c>
    </row>
    <row r="78" spans="1:4" x14ac:dyDescent="0.25">
      <c r="A78" s="580" t="s">
        <v>188</v>
      </c>
      <c r="B78" s="573">
        <v>275059</v>
      </c>
      <c r="C78" s="573"/>
      <c r="D78" s="573">
        <f t="shared" si="6"/>
        <v>275059</v>
      </c>
    </row>
    <row r="79" spans="1:4" x14ac:dyDescent="0.25">
      <c r="A79" s="580" t="s">
        <v>237</v>
      </c>
      <c r="B79" s="573">
        <v>44233</v>
      </c>
      <c r="C79" s="573"/>
      <c r="D79" s="573">
        <f t="shared" si="6"/>
        <v>44233</v>
      </c>
    </row>
    <row r="80" spans="1:4" x14ac:dyDescent="0.25">
      <c r="A80" s="580" t="s">
        <v>717</v>
      </c>
      <c r="B80" s="573">
        <v>51281</v>
      </c>
      <c r="C80" s="573"/>
      <c r="D80" s="573">
        <f t="shared" si="6"/>
        <v>51281</v>
      </c>
    </row>
    <row r="81" spans="1:4" x14ac:dyDescent="0.25">
      <c r="A81" s="580" t="s">
        <v>365</v>
      </c>
      <c r="B81" s="573">
        <v>65</v>
      </c>
      <c r="C81" s="573"/>
      <c r="D81" s="573">
        <f t="shared" si="6"/>
        <v>65</v>
      </c>
    </row>
    <row r="82" spans="1:4" ht="30.75" customHeight="1" x14ac:dyDescent="0.25">
      <c r="A82" s="580" t="s">
        <v>361</v>
      </c>
      <c r="B82" s="573">
        <v>10000</v>
      </c>
      <c r="C82" s="573"/>
      <c r="D82" s="573">
        <f t="shared" si="6"/>
        <v>10000</v>
      </c>
    </row>
    <row r="83" spans="1:4" ht="31.5" x14ac:dyDescent="0.25">
      <c r="A83" s="580" t="s">
        <v>189</v>
      </c>
      <c r="B83" s="573">
        <v>17142</v>
      </c>
      <c r="C83" s="573"/>
      <c r="D83" s="573">
        <f t="shared" si="6"/>
        <v>17142</v>
      </c>
    </row>
    <row r="84" spans="1:4" x14ac:dyDescent="0.25">
      <c r="A84" s="580" t="s">
        <v>549</v>
      </c>
      <c r="B84" s="573">
        <v>11490</v>
      </c>
      <c r="C84" s="573"/>
      <c r="D84" s="573">
        <f t="shared" si="6"/>
        <v>11490</v>
      </c>
    </row>
    <row r="85" spans="1:4" x14ac:dyDescent="0.25">
      <c r="A85" s="580" t="s">
        <v>366</v>
      </c>
      <c r="B85" s="573">
        <v>20819</v>
      </c>
      <c r="C85" s="573"/>
      <c r="D85" s="573">
        <f t="shared" si="6"/>
        <v>20819</v>
      </c>
    </row>
    <row r="86" spans="1:4" x14ac:dyDescent="0.25">
      <c r="A86" s="572" t="s">
        <v>362</v>
      </c>
      <c r="B86" s="573">
        <v>10000</v>
      </c>
      <c r="C86" s="573"/>
      <c r="D86" s="573">
        <f t="shared" si="6"/>
        <v>10000</v>
      </c>
    </row>
    <row r="87" spans="1:4" x14ac:dyDescent="0.25">
      <c r="A87" s="572" t="s">
        <v>718</v>
      </c>
      <c r="B87" s="573">
        <v>55995</v>
      </c>
      <c r="C87" s="573"/>
      <c r="D87" s="573">
        <f t="shared" si="6"/>
        <v>55995</v>
      </c>
    </row>
    <row r="88" spans="1:4" x14ac:dyDescent="0.25">
      <c r="A88" s="620" t="s">
        <v>719</v>
      </c>
      <c r="B88" s="573">
        <v>25000</v>
      </c>
      <c r="C88" s="573"/>
      <c r="D88" s="573">
        <f t="shared" si="6"/>
        <v>25000</v>
      </c>
    </row>
    <row r="89" spans="1:4" ht="47.25" x14ac:dyDescent="0.25">
      <c r="A89" s="572" t="s">
        <v>550</v>
      </c>
      <c r="B89" s="573">
        <v>169673</v>
      </c>
      <c r="C89" s="573"/>
      <c r="D89" s="573">
        <f t="shared" si="6"/>
        <v>169673</v>
      </c>
    </row>
    <row r="90" spans="1:4" ht="31.5" x14ac:dyDescent="0.25">
      <c r="A90" s="572" t="s">
        <v>560</v>
      </c>
      <c r="B90" s="573">
        <v>95000</v>
      </c>
      <c r="C90" s="573"/>
      <c r="D90" s="573">
        <f t="shared" si="6"/>
        <v>95000</v>
      </c>
    </row>
    <row r="91" spans="1:4" ht="31.5" x14ac:dyDescent="0.25">
      <c r="A91" s="572" t="s">
        <v>561</v>
      </c>
      <c r="B91" s="573">
        <v>700000</v>
      </c>
      <c r="C91" s="573"/>
      <c r="D91" s="573">
        <f t="shared" si="6"/>
        <v>700000</v>
      </c>
    </row>
    <row r="92" spans="1:4" x14ac:dyDescent="0.25">
      <c r="A92" s="580" t="s">
        <v>562</v>
      </c>
      <c r="B92" s="573">
        <v>40000</v>
      </c>
      <c r="C92" s="573"/>
      <c r="D92" s="573">
        <f t="shared" si="6"/>
        <v>40000</v>
      </c>
    </row>
    <row r="93" spans="1:4" x14ac:dyDescent="0.25">
      <c r="A93" s="580" t="s">
        <v>563</v>
      </c>
      <c r="B93" s="573">
        <v>15492</v>
      </c>
      <c r="C93" s="573"/>
      <c r="D93" s="573">
        <f t="shared" si="6"/>
        <v>15492</v>
      </c>
    </row>
    <row r="94" spans="1:4" ht="31.5" x14ac:dyDescent="0.25">
      <c r="A94" s="572" t="s">
        <v>720</v>
      </c>
      <c r="B94" s="573">
        <v>25400</v>
      </c>
      <c r="C94" s="573"/>
      <c r="D94" s="573">
        <f t="shared" si="6"/>
        <v>25400</v>
      </c>
    </row>
    <row r="95" spans="1:4" x14ac:dyDescent="0.25">
      <c r="A95" s="621" t="s">
        <v>721</v>
      </c>
      <c r="B95" s="573">
        <v>6000</v>
      </c>
      <c r="C95" s="573"/>
      <c r="D95" s="573">
        <f t="shared" si="6"/>
        <v>6000</v>
      </c>
    </row>
    <row r="96" spans="1:4" x14ac:dyDescent="0.25">
      <c r="A96" s="622" t="s">
        <v>722</v>
      </c>
      <c r="B96" s="573">
        <v>330200</v>
      </c>
      <c r="C96" s="573"/>
      <c r="D96" s="573">
        <f t="shared" si="6"/>
        <v>330200</v>
      </c>
    </row>
    <row r="97" spans="1:4" x14ac:dyDescent="0.25">
      <c r="A97" s="620" t="s">
        <v>723</v>
      </c>
      <c r="B97" s="573">
        <v>16000</v>
      </c>
      <c r="C97" s="573"/>
      <c r="D97" s="573">
        <f t="shared" si="6"/>
        <v>16000</v>
      </c>
    </row>
    <row r="98" spans="1:4" ht="31.5" x14ac:dyDescent="0.25">
      <c r="A98" s="620" t="s">
        <v>834</v>
      </c>
      <c r="B98" s="573">
        <v>62174</v>
      </c>
      <c r="C98" s="573"/>
      <c r="D98" s="573">
        <f t="shared" si="6"/>
        <v>62174</v>
      </c>
    </row>
    <row r="99" spans="1:4" x14ac:dyDescent="0.25">
      <c r="A99" s="572" t="s">
        <v>724</v>
      </c>
      <c r="B99" s="573">
        <v>35000</v>
      </c>
      <c r="C99" s="573"/>
      <c r="D99" s="573">
        <f t="shared" si="6"/>
        <v>35000</v>
      </c>
    </row>
    <row r="100" spans="1:4" ht="31.5" x14ac:dyDescent="0.25">
      <c r="A100" s="572" t="s">
        <v>725</v>
      </c>
      <c r="B100" s="573">
        <v>88509</v>
      </c>
      <c r="C100" s="573">
        <v>-88509</v>
      </c>
      <c r="D100" s="573">
        <f t="shared" si="6"/>
        <v>0</v>
      </c>
    </row>
    <row r="101" spans="1:4" x14ac:dyDescent="0.25">
      <c r="A101" s="572" t="s">
        <v>726</v>
      </c>
      <c r="B101" s="573">
        <v>199500</v>
      </c>
      <c r="C101" s="573">
        <f>-164000-35500</f>
        <v>-199500</v>
      </c>
      <c r="D101" s="573">
        <f t="shared" si="6"/>
        <v>0</v>
      </c>
    </row>
    <row r="102" spans="1:4" x14ac:dyDescent="0.25">
      <c r="A102" s="572" t="s">
        <v>727</v>
      </c>
      <c r="B102" s="573">
        <v>27000</v>
      </c>
      <c r="C102" s="573">
        <v>-27000</v>
      </c>
      <c r="D102" s="573">
        <f t="shared" si="6"/>
        <v>0</v>
      </c>
    </row>
    <row r="103" spans="1:4" ht="31.5" x14ac:dyDescent="0.25">
      <c r="A103" s="572" t="s">
        <v>728</v>
      </c>
      <c r="B103" s="573">
        <v>222102</v>
      </c>
      <c r="C103" s="573">
        <v>-10507</v>
      </c>
      <c r="D103" s="573">
        <f t="shared" si="6"/>
        <v>211595</v>
      </c>
    </row>
    <row r="104" spans="1:4" x14ac:dyDescent="0.25">
      <c r="A104" s="572" t="s">
        <v>729</v>
      </c>
      <c r="B104" s="573">
        <v>300000</v>
      </c>
      <c r="C104" s="573"/>
      <c r="D104" s="573">
        <f t="shared" si="6"/>
        <v>300000</v>
      </c>
    </row>
    <row r="105" spans="1:4" x14ac:dyDescent="0.25">
      <c r="A105" s="572" t="s">
        <v>730</v>
      </c>
      <c r="B105" s="573">
        <v>400000</v>
      </c>
      <c r="C105" s="573"/>
      <c r="D105" s="573">
        <f t="shared" si="6"/>
        <v>400000</v>
      </c>
    </row>
    <row r="106" spans="1:4" ht="31.5" x14ac:dyDescent="0.25">
      <c r="A106" s="572" t="s">
        <v>770</v>
      </c>
      <c r="B106" s="573">
        <v>20000</v>
      </c>
      <c r="C106" s="573"/>
      <c r="D106" s="573">
        <f t="shared" si="6"/>
        <v>20000</v>
      </c>
    </row>
    <row r="107" spans="1:4" x14ac:dyDescent="0.25">
      <c r="A107" s="572" t="s">
        <v>829</v>
      </c>
      <c r="B107" s="573">
        <v>15000</v>
      </c>
      <c r="C107" s="573"/>
      <c r="D107" s="573">
        <f t="shared" si="6"/>
        <v>15000</v>
      </c>
    </row>
    <row r="108" spans="1:4" ht="31.5" x14ac:dyDescent="0.25">
      <c r="A108" s="572" t="s">
        <v>830</v>
      </c>
      <c r="B108" s="573">
        <v>105000</v>
      </c>
      <c r="C108" s="573"/>
      <c r="D108" s="573">
        <f t="shared" si="6"/>
        <v>105000</v>
      </c>
    </row>
    <row r="109" spans="1:4" x14ac:dyDescent="0.25">
      <c r="A109" s="572" t="s">
        <v>831</v>
      </c>
      <c r="B109" s="573">
        <v>5588</v>
      </c>
      <c r="C109" s="573"/>
      <c r="D109" s="573">
        <f t="shared" si="6"/>
        <v>5588</v>
      </c>
    </row>
    <row r="110" spans="1:4" x14ac:dyDescent="0.25">
      <c r="A110" s="572" t="s">
        <v>832</v>
      </c>
      <c r="B110" s="573">
        <v>12840</v>
      </c>
      <c r="C110" s="573"/>
      <c r="D110" s="573">
        <f t="shared" si="6"/>
        <v>12840</v>
      </c>
    </row>
    <row r="111" spans="1:4" ht="31.5" x14ac:dyDescent="0.25">
      <c r="A111" s="572" t="s">
        <v>841</v>
      </c>
      <c r="B111" s="573">
        <v>8453</v>
      </c>
      <c r="C111" s="573"/>
      <c r="D111" s="573">
        <f t="shared" si="6"/>
        <v>8453</v>
      </c>
    </row>
    <row r="112" spans="1:4" x14ac:dyDescent="0.25">
      <c r="A112" s="572" t="s">
        <v>1157</v>
      </c>
      <c r="B112" s="573"/>
      <c r="C112" s="573">
        <v>1968</v>
      </c>
      <c r="D112" s="573">
        <f t="shared" si="6"/>
        <v>1968</v>
      </c>
    </row>
    <row r="113" spans="1:4" x14ac:dyDescent="0.25">
      <c r="A113" s="572" t="s">
        <v>833</v>
      </c>
      <c r="B113" s="573">
        <v>23000</v>
      </c>
      <c r="C113" s="573"/>
      <c r="D113" s="573">
        <f t="shared" si="6"/>
        <v>23000</v>
      </c>
    </row>
    <row r="114" spans="1:4" x14ac:dyDescent="0.25">
      <c r="A114" s="574" t="s">
        <v>363</v>
      </c>
      <c r="B114" s="575">
        <f>SUM(B61:B113)</f>
        <v>29344303</v>
      </c>
      <c r="C114" s="575">
        <f>SUM(C61:C113)</f>
        <v>-5494158</v>
      </c>
      <c r="D114" s="575">
        <f>SUM(D61:D113)</f>
        <v>23850145</v>
      </c>
    </row>
    <row r="115" spans="1:4" x14ac:dyDescent="0.25">
      <c r="A115" s="572"/>
      <c r="B115" s="573"/>
      <c r="C115" s="573"/>
      <c r="D115" s="573"/>
    </row>
    <row r="116" spans="1:4" x14ac:dyDescent="0.25">
      <c r="A116" s="623"/>
      <c r="B116" s="573"/>
      <c r="C116" s="573"/>
      <c r="D116" s="573"/>
    </row>
    <row r="117" spans="1:4" x14ac:dyDescent="0.25">
      <c r="A117" s="577" t="s">
        <v>731</v>
      </c>
      <c r="B117" s="573"/>
      <c r="C117" s="573"/>
      <c r="D117" s="573"/>
    </row>
    <row r="118" spans="1:4" ht="31.5" x14ac:dyDescent="0.25">
      <c r="A118" s="572" t="s">
        <v>364</v>
      </c>
      <c r="B118" s="573">
        <v>359928</v>
      </c>
      <c r="C118" s="573">
        <f>-109719+113935</f>
        <v>4216</v>
      </c>
      <c r="D118" s="573">
        <f>SUM(B118:C118)</f>
        <v>364144</v>
      </c>
    </row>
    <row r="119" spans="1:4" x14ac:dyDescent="0.25">
      <c r="A119" s="572" t="s">
        <v>732</v>
      </c>
      <c r="B119" s="573">
        <v>510885</v>
      </c>
      <c r="C119" s="573">
        <f>-25900+2408</f>
        <v>-23492</v>
      </c>
      <c r="D119" s="573">
        <f t="shared" ref="D119:D136" si="7">SUM(B119:C119)</f>
        <v>487393</v>
      </c>
    </row>
    <row r="120" spans="1:4" ht="31.5" x14ac:dyDescent="0.25">
      <c r="A120" s="572" t="s">
        <v>558</v>
      </c>
      <c r="B120" s="573">
        <v>10315</v>
      </c>
      <c r="C120" s="573">
        <f>-111+17</f>
        <v>-94</v>
      </c>
      <c r="D120" s="573">
        <f t="shared" si="7"/>
        <v>10221</v>
      </c>
    </row>
    <row r="121" spans="1:4" x14ac:dyDescent="0.25">
      <c r="A121" s="572" t="s">
        <v>733</v>
      </c>
      <c r="B121" s="573">
        <v>527159</v>
      </c>
      <c r="C121" s="573">
        <f>-228083-160858</f>
        <v>-388941</v>
      </c>
      <c r="D121" s="573">
        <f t="shared" si="7"/>
        <v>138218</v>
      </c>
    </row>
    <row r="122" spans="1:4" ht="31.5" x14ac:dyDescent="0.25">
      <c r="A122" s="572" t="s">
        <v>553</v>
      </c>
      <c r="B122" s="573">
        <v>228719</v>
      </c>
      <c r="C122" s="573">
        <f>-205923+2</f>
        <v>-205921</v>
      </c>
      <c r="D122" s="573">
        <f t="shared" si="7"/>
        <v>22798</v>
      </c>
    </row>
    <row r="123" spans="1:4" ht="31.5" x14ac:dyDescent="0.25">
      <c r="A123" s="572" t="s">
        <v>734</v>
      </c>
      <c r="B123" s="573">
        <v>109152</v>
      </c>
      <c r="C123" s="573">
        <f>-17005-929</f>
        <v>-17934</v>
      </c>
      <c r="D123" s="573">
        <f t="shared" si="7"/>
        <v>91218</v>
      </c>
    </row>
    <row r="124" spans="1:4" x14ac:dyDescent="0.25">
      <c r="A124" s="572" t="s">
        <v>555</v>
      </c>
      <c r="B124" s="573">
        <v>50432</v>
      </c>
      <c r="C124" s="573"/>
      <c r="D124" s="573">
        <f t="shared" si="7"/>
        <v>50432</v>
      </c>
    </row>
    <row r="125" spans="1:4" x14ac:dyDescent="0.25">
      <c r="A125" s="572" t="s">
        <v>735</v>
      </c>
      <c r="B125" s="573">
        <v>66579</v>
      </c>
      <c r="C125" s="573">
        <f>-14727+637</f>
        <v>-14090</v>
      </c>
      <c r="D125" s="573">
        <f t="shared" si="7"/>
        <v>52489</v>
      </c>
    </row>
    <row r="126" spans="1:4" x14ac:dyDescent="0.25">
      <c r="A126" s="572" t="s">
        <v>551</v>
      </c>
      <c r="B126" s="573">
        <v>63528</v>
      </c>
      <c r="C126" s="573">
        <f>-12547+262</f>
        <v>-12285</v>
      </c>
      <c r="D126" s="573">
        <f t="shared" si="7"/>
        <v>51243</v>
      </c>
    </row>
    <row r="127" spans="1:4" x14ac:dyDescent="0.25">
      <c r="A127" s="572" t="s">
        <v>736</v>
      </c>
      <c r="B127" s="573">
        <v>136800</v>
      </c>
      <c r="C127" s="573">
        <f>-143302+7925</f>
        <v>-135377</v>
      </c>
      <c r="D127" s="573">
        <f t="shared" si="7"/>
        <v>1423</v>
      </c>
    </row>
    <row r="128" spans="1:4" x14ac:dyDescent="0.25">
      <c r="A128" s="572" t="s">
        <v>737</v>
      </c>
      <c r="B128" s="573">
        <v>116575</v>
      </c>
      <c r="C128" s="573">
        <f>-5715-3523</f>
        <v>-9238</v>
      </c>
      <c r="D128" s="573">
        <f t="shared" si="7"/>
        <v>107337</v>
      </c>
    </row>
    <row r="129" spans="1:4" x14ac:dyDescent="0.25">
      <c r="A129" s="572" t="s">
        <v>552</v>
      </c>
      <c r="B129" s="573">
        <v>127054</v>
      </c>
      <c r="C129" s="573">
        <f>5204-31092</f>
        <v>-25888</v>
      </c>
      <c r="D129" s="573">
        <f t="shared" si="7"/>
        <v>101166</v>
      </c>
    </row>
    <row r="130" spans="1:4" x14ac:dyDescent="0.25">
      <c r="A130" s="572" t="s">
        <v>554</v>
      </c>
      <c r="B130" s="573">
        <v>64848</v>
      </c>
      <c r="C130" s="573">
        <v>-19744</v>
      </c>
      <c r="D130" s="573">
        <f t="shared" si="7"/>
        <v>45104</v>
      </c>
    </row>
    <row r="131" spans="1:4" x14ac:dyDescent="0.25">
      <c r="A131" s="572" t="s">
        <v>738</v>
      </c>
      <c r="B131" s="573">
        <v>10657</v>
      </c>
      <c r="C131" s="573">
        <f>-10657+1106</f>
        <v>-9551</v>
      </c>
      <c r="D131" s="573">
        <f t="shared" si="7"/>
        <v>1106</v>
      </c>
    </row>
    <row r="132" spans="1:4" x14ac:dyDescent="0.25">
      <c r="A132" s="572" t="s">
        <v>739</v>
      </c>
      <c r="B132" s="573">
        <v>147197</v>
      </c>
      <c r="C132" s="573">
        <v>-29612</v>
      </c>
      <c r="D132" s="573">
        <f t="shared" si="7"/>
        <v>117585</v>
      </c>
    </row>
    <row r="133" spans="1:4" x14ac:dyDescent="0.25">
      <c r="A133" s="572" t="s">
        <v>740</v>
      </c>
      <c r="B133" s="573">
        <v>151721</v>
      </c>
      <c r="C133" s="573">
        <f>-151721+5798</f>
        <v>-145923</v>
      </c>
      <c r="D133" s="573">
        <f t="shared" si="7"/>
        <v>5798</v>
      </c>
    </row>
    <row r="134" spans="1:4" x14ac:dyDescent="0.25">
      <c r="A134" s="572" t="s">
        <v>741</v>
      </c>
      <c r="B134" s="573">
        <v>19685</v>
      </c>
      <c r="C134" s="573">
        <v>-19685</v>
      </c>
      <c r="D134" s="573">
        <f t="shared" si="7"/>
        <v>0</v>
      </c>
    </row>
    <row r="135" spans="1:4" x14ac:dyDescent="0.25">
      <c r="A135" s="572" t="s">
        <v>742</v>
      </c>
      <c r="B135" s="573">
        <v>394130</v>
      </c>
      <c r="C135" s="573">
        <v>-244130</v>
      </c>
      <c r="D135" s="573">
        <f t="shared" si="7"/>
        <v>150000</v>
      </c>
    </row>
    <row r="136" spans="1:4" x14ac:dyDescent="0.25">
      <c r="A136" s="572" t="s">
        <v>743</v>
      </c>
      <c r="B136" s="573">
        <v>23500</v>
      </c>
      <c r="C136" s="573">
        <f>-21194+1</f>
        <v>-21193</v>
      </c>
      <c r="D136" s="573">
        <f t="shared" si="7"/>
        <v>2307</v>
      </c>
    </row>
    <row r="137" spans="1:4" x14ac:dyDescent="0.25">
      <c r="A137" s="577" t="s">
        <v>731</v>
      </c>
      <c r="B137" s="575">
        <f>SUM(B118:B136)</f>
        <v>3118864</v>
      </c>
      <c r="C137" s="575">
        <f t="shared" ref="C137:D137" si="8">SUM(C118:C136)</f>
        <v>-1318882</v>
      </c>
      <c r="D137" s="575">
        <f t="shared" si="8"/>
        <v>1799982</v>
      </c>
    </row>
    <row r="138" spans="1:4" x14ac:dyDescent="0.25">
      <c r="A138" s="585"/>
      <c r="B138" s="573"/>
      <c r="C138" s="573"/>
      <c r="D138" s="573"/>
    </row>
    <row r="139" spans="1:4" ht="16.5" thickBot="1" x14ac:dyDescent="0.3">
      <c r="A139" s="586" t="s">
        <v>410</v>
      </c>
      <c r="B139" s="587">
        <f>SUM(B137+B114+B58+B44+B9)</f>
        <v>35811371</v>
      </c>
      <c r="C139" s="587">
        <f>SUM(C137+C114+C58+C44+C9)</f>
        <v>-6813040</v>
      </c>
      <c r="D139" s="587">
        <f>SUM(D137+D114+D58+D44+D9)</f>
        <v>28998331</v>
      </c>
    </row>
    <row r="140" spans="1:4" ht="16.5" thickTop="1" x14ac:dyDescent="0.25"/>
    <row r="143" spans="1:4" x14ac:dyDescent="0.25">
      <c r="B143" s="567"/>
      <c r="C143" s="567"/>
      <c r="D143" s="567"/>
    </row>
    <row r="144" spans="1:4" x14ac:dyDescent="0.25">
      <c r="B144" s="567"/>
      <c r="C144" s="567"/>
      <c r="D144" s="567"/>
    </row>
    <row r="145" spans="2:4" x14ac:dyDescent="0.25">
      <c r="B145" s="567"/>
      <c r="C145" s="567"/>
      <c r="D145" s="567"/>
    </row>
    <row r="146" spans="2:4" x14ac:dyDescent="0.25">
      <c r="B146" s="567"/>
      <c r="C146" s="567"/>
      <c r="D146" s="567"/>
    </row>
    <row r="147" spans="2:4" x14ac:dyDescent="0.25">
      <c r="B147" s="567"/>
      <c r="C147" s="567"/>
      <c r="D147" s="567"/>
    </row>
  </sheetData>
  <mergeCells count="1">
    <mergeCell ref="A1:D1"/>
  </mergeCells>
  <pageMargins left="0.51181102362204722" right="0.51181102362204722" top="0.74803149606299213" bottom="0.74803149606299213" header="0.31496062992125984" footer="0.31496062992125984"/>
  <pageSetup paperSize="9" scale="73" orientation="portrait" r:id="rId1"/>
  <headerFooter>
    <oddHeader xml:space="preserve">&amp;R&amp;"Times New Roman CE,Félkövér"10. melléklet a 6/2019. (II.22.) önkormányzati rendelethez&amp;"Times New Roman CE,Dőlt"&amp;11
 12. melléklet
a 3/2018.(II.8.) önkormányzati rendelethez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topLeftCell="A4" zoomScale="136" zoomScaleNormal="136" workbookViewId="0">
      <selection activeCell="AD41" sqref="AD41"/>
    </sheetView>
  </sheetViews>
  <sheetFormatPr defaultRowHeight="15.75" x14ac:dyDescent="0.25"/>
  <cols>
    <col min="1" max="1" width="54.25" style="901" customWidth="1"/>
    <col min="2" max="2" width="18.25" style="901" customWidth="1"/>
    <col min="3" max="16384" width="9" style="900"/>
  </cols>
  <sheetData>
    <row r="1" spans="1:3" ht="52.5" customHeight="1" x14ac:dyDescent="0.3">
      <c r="A1" s="1012" t="s">
        <v>1183</v>
      </c>
      <c r="B1" s="1012"/>
    </row>
    <row r="2" spans="1:3" ht="16.5" thickBot="1" x14ac:dyDescent="0.3">
      <c r="A2" s="918"/>
    </row>
    <row r="3" spans="1:3" ht="51" customHeight="1" thickBot="1" x14ac:dyDescent="0.3">
      <c r="A3" s="910" t="s">
        <v>1182</v>
      </c>
      <c r="B3" s="909" t="s">
        <v>1178</v>
      </c>
    </row>
    <row r="4" spans="1:3" s="902" customFormat="1" x14ac:dyDescent="0.25">
      <c r="A4" s="917" t="s">
        <v>1181</v>
      </c>
      <c r="B4" s="916">
        <v>88289</v>
      </c>
    </row>
    <row r="5" spans="1:3" ht="16.5" thickBot="1" x14ac:dyDescent="0.3">
      <c r="A5" s="908" t="s">
        <v>1180</v>
      </c>
      <c r="B5" s="915">
        <v>17206</v>
      </c>
    </row>
    <row r="6" spans="1:3" ht="16.5" thickBot="1" x14ac:dyDescent="0.3">
      <c r="A6" s="904" t="s">
        <v>410</v>
      </c>
      <c r="B6" s="903">
        <f>SUM(B4:B5)</f>
        <v>105495</v>
      </c>
    </row>
    <row r="7" spans="1:3" s="912" customFormat="1" ht="12.75" x14ac:dyDescent="0.2">
      <c r="A7" s="913"/>
      <c r="B7" s="913"/>
    </row>
    <row r="8" spans="1:3" s="912" customFormat="1" ht="12.75" x14ac:dyDescent="0.2">
      <c r="A8" s="914"/>
      <c r="B8" s="913"/>
    </row>
    <row r="9" spans="1:3" ht="16.5" thickBot="1" x14ac:dyDescent="0.3">
      <c r="C9" s="911"/>
    </row>
    <row r="10" spans="1:3" ht="53.25" customHeight="1" thickBot="1" x14ac:dyDescent="0.3">
      <c r="A10" s="910" t="s">
        <v>1179</v>
      </c>
      <c r="B10" s="909" t="s">
        <v>1178</v>
      </c>
    </row>
    <row r="11" spans="1:3" s="902" customFormat="1" x14ac:dyDescent="0.25">
      <c r="A11" s="908" t="s">
        <v>1177</v>
      </c>
      <c r="B11" s="907">
        <v>11332</v>
      </c>
    </row>
    <row r="12" spans="1:3" s="902" customFormat="1" ht="31.5" x14ac:dyDescent="0.25">
      <c r="A12" s="906" t="s">
        <v>189</v>
      </c>
      <c r="B12" s="905">
        <v>17142</v>
      </c>
    </row>
    <row r="13" spans="1:3" s="902" customFormat="1" ht="47.25" x14ac:dyDescent="0.25">
      <c r="A13" s="941" t="s">
        <v>1184</v>
      </c>
      <c r="B13" s="907">
        <v>44450</v>
      </c>
    </row>
    <row r="14" spans="1:3" s="902" customFormat="1" ht="16.5" thickBot="1" x14ac:dyDescent="0.3">
      <c r="A14" s="942" t="s">
        <v>922</v>
      </c>
      <c r="B14" s="943">
        <v>32571</v>
      </c>
    </row>
    <row r="15" spans="1:3" s="902" customFormat="1" ht="16.5" thickBot="1" x14ac:dyDescent="0.3">
      <c r="A15" s="904" t="s">
        <v>410</v>
      </c>
      <c r="B15" s="903">
        <f>SUM(B11:B14)</f>
        <v>105495</v>
      </c>
    </row>
  </sheetData>
  <mergeCells count="1">
    <mergeCell ref="A1:B1"/>
  </mergeCells>
  <printOptions horizontalCentered="1"/>
  <pageMargins left="0.51181102362204722" right="0.27559055118110237" top="0.74803149606299213" bottom="0.39370078740157483" header="0.43307086614173229" footer="0.19685039370078741"/>
  <pageSetup paperSize="9" orientation="portrait" r:id="rId1"/>
  <headerFooter alignWithMargins="0">
    <oddHeader xml:space="preserve">&amp;R&amp;"Times New Roman CE,Félkövér"11. melléklet a 6/2019. (II.22.) önkormányzati rendelethez
&amp;"Times New Roman CE,Dőlt" 13. melléklet
a 3/2018.(II.8.) önkormányzati rendelethez&amp;"Times New Roman CE,Félkövér"&amp;11
</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121"/>
  <sheetViews>
    <sheetView topLeftCell="A88" zoomScaleNormal="100" workbookViewId="0">
      <selection activeCell="AD41" sqref="AD41"/>
    </sheetView>
  </sheetViews>
  <sheetFormatPr defaultRowHeight="15.75" x14ac:dyDescent="0.25"/>
  <cols>
    <col min="1" max="1" width="36" style="776" customWidth="1"/>
    <col min="2" max="2" width="51.125" style="775" customWidth="1"/>
    <col min="3" max="3" width="12.875" style="777" customWidth="1"/>
    <col min="4" max="4" width="12.5" style="777" customWidth="1"/>
    <col min="5" max="5" width="12.75" style="777" customWidth="1"/>
    <col min="6" max="251" width="9" style="775"/>
    <col min="252" max="252" width="43.5" style="775" customWidth="1"/>
    <col min="253" max="253" width="19.5" style="775" customWidth="1"/>
    <col min="254" max="254" width="17.375" style="775" customWidth="1"/>
    <col min="255" max="255" width="50.375" style="775" customWidth="1"/>
    <col min="256" max="507" width="9" style="775"/>
    <col min="508" max="508" width="43.5" style="775" customWidth="1"/>
    <col min="509" max="509" width="19.5" style="775" customWidth="1"/>
    <col min="510" max="510" width="17.375" style="775" customWidth="1"/>
    <col min="511" max="511" width="50.375" style="775" customWidth="1"/>
    <col min="512" max="763" width="9" style="775"/>
    <col min="764" max="764" width="43.5" style="775" customWidth="1"/>
    <col min="765" max="765" width="19.5" style="775" customWidth="1"/>
    <col min="766" max="766" width="17.375" style="775" customWidth="1"/>
    <col min="767" max="767" width="50.375" style="775" customWidth="1"/>
    <col min="768" max="1019" width="9" style="775"/>
    <col min="1020" max="1020" width="43.5" style="775" customWidth="1"/>
    <col min="1021" max="1021" width="19.5" style="775" customWidth="1"/>
    <col min="1022" max="1022" width="17.375" style="775" customWidth="1"/>
    <col min="1023" max="1023" width="50.375" style="775" customWidth="1"/>
    <col min="1024" max="1275" width="9" style="775"/>
    <col min="1276" max="1276" width="43.5" style="775" customWidth="1"/>
    <col min="1277" max="1277" width="19.5" style="775" customWidth="1"/>
    <col min="1278" max="1278" width="17.375" style="775" customWidth="1"/>
    <col min="1279" max="1279" width="50.375" style="775" customWidth="1"/>
    <col min="1280" max="1531" width="9" style="775"/>
    <col min="1532" max="1532" width="43.5" style="775" customWidth="1"/>
    <col min="1533" max="1533" width="19.5" style="775" customWidth="1"/>
    <col min="1534" max="1534" width="17.375" style="775" customWidth="1"/>
    <col min="1535" max="1535" width="50.375" style="775" customWidth="1"/>
    <col min="1536" max="1787" width="9" style="775"/>
    <col min="1788" max="1788" width="43.5" style="775" customWidth="1"/>
    <col min="1789" max="1789" width="19.5" style="775" customWidth="1"/>
    <col min="1790" max="1790" width="17.375" style="775" customWidth="1"/>
    <col min="1791" max="1791" width="50.375" style="775" customWidth="1"/>
    <col min="1792" max="2043" width="9" style="775"/>
    <col min="2044" max="2044" width="43.5" style="775" customWidth="1"/>
    <col min="2045" max="2045" width="19.5" style="775" customWidth="1"/>
    <col min="2046" max="2046" width="17.375" style="775" customWidth="1"/>
    <col min="2047" max="2047" width="50.375" style="775" customWidth="1"/>
    <col min="2048" max="2299" width="9" style="775"/>
    <col min="2300" max="2300" width="43.5" style="775" customWidth="1"/>
    <col min="2301" max="2301" width="19.5" style="775" customWidth="1"/>
    <col min="2302" max="2302" width="17.375" style="775" customWidth="1"/>
    <col min="2303" max="2303" width="50.375" style="775" customWidth="1"/>
    <col min="2304" max="2555" width="9" style="775"/>
    <col min="2556" max="2556" width="43.5" style="775" customWidth="1"/>
    <col min="2557" max="2557" width="19.5" style="775" customWidth="1"/>
    <col min="2558" max="2558" width="17.375" style="775" customWidth="1"/>
    <col min="2559" max="2559" width="50.375" style="775" customWidth="1"/>
    <col min="2560" max="2811" width="9" style="775"/>
    <col min="2812" max="2812" width="43.5" style="775" customWidth="1"/>
    <col min="2813" max="2813" width="19.5" style="775" customWidth="1"/>
    <col min="2814" max="2814" width="17.375" style="775" customWidth="1"/>
    <col min="2815" max="2815" width="50.375" style="775" customWidth="1"/>
    <col min="2816" max="3067" width="9" style="775"/>
    <col min="3068" max="3068" width="43.5" style="775" customWidth="1"/>
    <col min="3069" max="3069" width="19.5" style="775" customWidth="1"/>
    <col min="3070" max="3070" width="17.375" style="775" customWidth="1"/>
    <col min="3071" max="3071" width="50.375" style="775" customWidth="1"/>
    <col min="3072" max="3323" width="9" style="775"/>
    <col min="3324" max="3324" width="43.5" style="775" customWidth="1"/>
    <col min="3325" max="3325" width="19.5" style="775" customWidth="1"/>
    <col min="3326" max="3326" width="17.375" style="775" customWidth="1"/>
    <col min="3327" max="3327" width="50.375" style="775" customWidth="1"/>
    <col min="3328" max="3579" width="9" style="775"/>
    <col min="3580" max="3580" width="43.5" style="775" customWidth="1"/>
    <col min="3581" max="3581" width="19.5" style="775" customWidth="1"/>
    <col min="3582" max="3582" width="17.375" style="775" customWidth="1"/>
    <col min="3583" max="3583" width="50.375" style="775" customWidth="1"/>
    <col min="3584" max="3835" width="9" style="775"/>
    <col min="3836" max="3836" width="43.5" style="775" customWidth="1"/>
    <col min="3837" max="3837" width="19.5" style="775" customWidth="1"/>
    <col min="3838" max="3838" width="17.375" style="775" customWidth="1"/>
    <col min="3839" max="3839" width="50.375" style="775" customWidth="1"/>
    <col min="3840" max="4091" width="9" style="775"/>
    <col min="4092" max="4092" width="43.5" style="775" customWidth="1"/>
    <col min="4093" max="4093" width="19.5" style="775" customWidth="1"/>
    <col min="4094" max="4094" width="17.375" style="775" customWidth="1"/>
    <col min="4095" max="4095" width="50.375" style="775" customWidth="1"/>
    <col min="4096" max="4347" width="9" style="775"/>
    <col min="4348" max="4348" width="43.5" style="775" customWidth="1"/>
    <col min="4349" max="4349" width="19.5" style="775" customWidth="1"/>
    <col min="4350" max="4350" width="17.375" style="775" customWidth="1"/>
    <col min="4351" max="4351" width="50.375" style="775" customWidth="1"/>
    <col min="4352" max="4603" width="9" style="775"/>
    <col min="4604" max="4604" width="43.5" style="775" customWidth="1"/>
    <col min="4605" max="4605" width="19.5" style="775" customWidth="1"/>
    <col min="4606" max="4606" width="17.375" style="775" customWidth="1"/>
    <col min="4607" max="4607" width="50.375" style="775" customWidth="1"/>
    <col min="4608" max="4859" width="9" style="775"/>
    <col min="4860" max="4860" width="43.5" style="775" customWidth="1"/>
    <col min="4861" max="4861" width="19.5" style="775" customWidth="1"/>
    <col min="4862" max="4862" width="17.375" style="775" customWidth="1"/>
    <col min="4863" max="4863" width="50.375" style="775" customWidth="1"/>
    <col min="4864" max="5115" width="9" style="775"/>
    <col min="5116" max="5116" width="43.5" style="775" customWidth="1"/>
    <col min="5117" max="5117" width="19.5" style="775" customWidth="1"/>
    <col min="5118" max="5118" width="17.375" style="775" customWidth="1"/>
    <col min="5119" max="5119" width="50.375" style="775" customWidth="1"/>
    <col min="5120" max="5371" width="9" style="775"/>
    <col min="5372" max="5372" width="43.5" style="775" customWidth="1"/>
    <col min="5373" max="5373" width="19.5" style="775" customWidth="1"/>
    <col min="5374" max="5374" width="17.375" style="775" customWidth="1"/>
    <col min="5375" max="5375" width="50.375" style="775" customWidth="1"/>
    <col min="5376" max="5627" width="9" style="775"/>
    <col min="5628" max="5628" width="43.5" style="775" customWidth="1"/>
    <col min="5629" max="5629" width="19.5" style="775" customWidth="1"/>
    <col min="5630" max="5630" width="17.375" style="775" customWidth="1"/>
    <col min="5631" max="5631" width="50.375" style="775" customWidth="1"/>
    <col min="5632" max="5883" width="9" style="775"/>
    <col min="5884" max="5884" width="43.5" style="775" customWidth="1"/>
    <col min="5885" max="5885" width="19.5" style="775" customWidth="1"/>
    <col min="5886" max="5886" width="17.375" style="775" customWidth="1"/>
    <col min="5887" max="5887" width="50.375" style="775" customWidth="1"/>
    <col min="5888" max="6139" width="9" style="775"/>
    <col min="6140" max="6140" width="43.5" style="775" customWidth="1"/>
    <col min="6141" max="6141" width="19.5" style="775" customWidth="1"/>
    <col min="6142" max="6142" width="17.375" style="775" customWidth="1"/>
    <col min="6143" max="6143" width="50.375" style="775" customWidth="1"/>
    <col min="6144" max="6395" width="9" style="775"/>
    <col min="6396" max="6396" width="43.5" style="775" customWidth="1"/>
    <col min="6397" max="6397" width="19.5" style="775" customWidth="1"/>
    <col min="6398" max="6398" width="17.375" style="775" customWidth="1"/>
    <col min="6399" max="6399" width="50.375" style="775" customWidth="1"/>
    <col min="6400" max="6651" width="9" style="775"/>
    <col min="6652" max="6652" width="43.5" style="775" customWidth="1"/>
    <col min="6653" max="6653" width="19.5" style="775" customWidth="1"/>
    <col min="6654" max="6654" width="17.375" style="775" customWidth="1"/>
    <col min="6655" max="6655" width="50.375" style="775" customWidth="1"/>
    <col min="6656" max="6907" width="9" style="775"/>
    <col min="6908" max="6908" width="43.5" style="775" customWidth="1"/>
    <col min="6909" max="6909" width="19.5" style="775" customWidth="1"/>
    <col min="6910" max="6910" width="17.375" style="775" customWidth="1"/>
    <col min="6911" max="6911" width="50.375" style="775" customWidth="1"/>
    <col min="6912" max="7163" width="9" style="775"/>
    <col min="7164" max="7164" width="43.5" style="775" customWidth="1"/>
    <col min="7165" max="7165" width="19.5" style="775" customWidth="1"/>
    <col min="7166" max="7166" width="17.375" style="775" customWidth="1"/>
    <col min="7167" max="7167" width="50.375" style="775" customWidth="1"/>
    <col min="7168" max="7419" width="9" style="775"/>
    <col min="7420" max="7420" width="43.5" style="775" customWidth="1"/>
    <col min="7421" max="7421" width="19.5" style="775" customWidth="1"/>
    <col min="7422" max="7422" width="17.375" style="775" customWidth="1"/>
    <col min="7423" max="7423" width="50.375" style="775" customWidth="1"/>
    <col min="7424" max="7675" width="9" style="775"/>
    <col min="7676" max="7676" width="43.5" style="775" customWidth="1"/>
    <col min="7677" max="7677" width="19.5" style="775" customWidth="1"/>
    <col min="7678" max="7678" width="17.375" style="775" customWidth="1"/>
    <col min="7679" max="7679" width="50.375" style="775" customWidth="1"/>
    <col min="7680" max="7931" width="9" style="775"/>
    <col min="7932" max="7932" width="43.5" style="775" customWidth="1"/>
    <col min="7933" max="7933" width="19.5" style="775" customWidth="1"/>
    <col min="7934" max="7934" width="17.375" style="775" customWidth="1"/>
    <col min="7935" max="7935" width="50.375" style="775" customWidth="1"/>
    <col min="7936" max="8187" width="9" style="775"/>
    <col min="8188" max="8188" width="43.5" style="775" customWidth="1"/>
    <col min="8189" max="8189" width="19.5" style="775" customWidth="1"/>
    <col min="8190" max="8190" width="17.375" style="775" customWidth="1"/>
    <col min="8191" max="8191" width="50.375" style="775" customWidth="1"/>
    <col min="8192" max="8443" width="9" style="775"/>
    <col min="8444" max="8444" width="43.5" style="775" customWidth="1"/>
    <col min="8445" max="8445" width="19.5" style="775" customWidth="1"/>
    <col min="8446" max="8446" width="17.375" style="775" customWidth="1"/>
    <col min="8447" max="8447" width="50.375" style="775" customWidth="1"/>
    <col min="8448" max="8699" width="9" style="775"/>
    <col min="8700" max="8700" width="43.5" style="775" customWidth="1"/>
    <col min="8701" max="8701" width="19.5" style="775" customWidth="1"/>
    <col min="8702" max="8702" width="17.375" style="775" customWidth="1"/>
    <col min="8703" max="8703" width="50.375" style="775" customWidth="1"/>
    <col min="8704" max="8955" width="9" style="775"/>
    <col min="8956" max="8956" width="43.5" style="775" customWidth="1"/>
    <col min="8957" max="8957" width="19.5" style="775" customWidth="1"/>
    <col min="8958" max="8958" width="17.375" style="775" customWidth="1"/>
    <col min="8959" max="8959" width="50.375" style="775" customWidth="1"/>
    <col min="8960" max="9211" width="9" style="775"/>
    <col min="9212" max="9212" width="43.5" style="775" customWidth="1"/>
    <col min="9213" max="9213" width="19.5" style="775" customWidth="1"/>
    <col min="9214" max="9214" width="17.375" style="775" customWidth="1"/>
    <col min="9215" max="9215" width="50.375" style="775" customWidth="1"/>
    <col min="9216" max="9467" width="9" style="775"/>
    <col min="9468" max="9468" width="43.5" style="775" customWidth="1"/>
    <col min="9469" max="9469" width="19.5" style="775" customWidth="1"/>
    <col min="9470" max="9470" width="17.375" style="775" customWidth="1"/>
    <col min="9471" max="9471" width="50.375" style="775" customWidth="1"/>
    <col min="9472" max="9723" width="9" style="775"/>
    <col min="9724" max="9724" width="43.5" style="775" customWidth="1"/>
    <col min="9725" max="9725" width="19.5" style="775" customWidth="1"/>
    <col min="9726" max="9726" width="17.375" style="775" customWidth="1"/>
    <col min="9727" max="9727" width="50.375" style="775" customWidth="1"/>
    <col min="9728" max="9979" width="9" style="775"/>
    <col min="9980" max="9980" width="43.5" style="775" customWidth="1"/>
    <col min="9981" max="9981" width="19.5" style="775" customWidth="1"/>
    <col min="9982" max="9982" width="17.375" style="775" customWidth="1"/>
    <col min="9983" max="9983" width="50.375" style="775" customWidth="1"/>
    <col min="9984" max="10235" width="9" style="775"/>
    <col min="10236" max="10236" width="43.5" style="775" customWidth="1"/>
    <col min="10237" max="10237" width="19.5" style="775" customWidth="1"/>
    <col min="10238" max="10238" width="17.375" style="775" customWidth="1"/>
    <col min="10239" max="10239" width="50.375" style="775" customWidth="1"/>
    <col min="10240" max="10491" width="9" style="775"/>
    <col min="10492" max="10492" width="43.5" style="775" customWidth="1"/>
    <col min="10493" max="10493" width="19.5" style="775" customWidth="1"/>
    <col min="10494" max="10494" width="17.375" style="775" customWidth="1"/>
    <col min="10495" max="10495" width="50.375" style="775" customWidth="1"/>
    <col min="10496" max="10747" width="9" style="775"/>
    <col min="10748" max="10748" width="43.5" style="775" customWidth="1"/>
    <col min="10749" max="10749" width="19.5" style="775" customWidth="1"/>
    <col min="10750" max="10750" width="17.375" style="775" customWidth="1"/>
    <col min="10751" max="10751" width="50.375" style="775" customWidth="1"/>
    <col min="10752" max="11003" width="9" style="775"/>
    <col min="11004" max="11004" width="43.5" style="775" customWidth="1"/>
    <col min="11005" max="11005" width="19.5" style="775" customWidth="1"/>
    <col min="11006" max="11006" width="17.375" style="775" customWidth="1"/>
    <col min="11007" max="11007" width="50.375" style="775" customWidth="1"/>
    <col min="11008" max="11259" width="9" style="775"/>
    <col min="11260" max="11260" width="43.5" style="775" customWidth="1"/>
    <col min="11261" max="11261" width="19.5" style="775" customWidth="1"/>
    <col min="11262" max="11262" width="17.375" style="775" customWidth="1"/>
    <col min="11263" max="11263" width="50.375" style="775" customWidth="1"/>
    <col min="11264" max="11515" width="9" style="775"/>
    <col min="11516" max="11516" width="43.5" style="775" customWidth="1"/>
    <col min="11517" max="11517" width="19.5" style="775" customWidth="1"/>
    <col min="11518" max="11518" width="17.375" style="775" customWidth="1"/>
    <col min="11519" max="11519" width="50.375" style="775" customWidth="1"/>
    <col min="11520" max="11771" width="9" style="775"/>
    <col min="11772" max="11772" width="43.5" style="775" customWidth="1"/>
    <col min="11773" max="11773" width="19.5" style="775" customWidth="1"/>
    <col min="11774" max="11774" width="17.375" style="775" customWidth="1"/>
    <col min="11775" max="11775" width="50.375" style="775" customWidth="1"/>
    <col min="11776" max="12027" width="9" style="775"/>
    <col min="12028" max="12028" width="43.5" style="775" customWidth="1"/>
    <col min="12029" max="12029" width="19.5" style="775" customWidth="1"/>
    <col min="12030" max="12030" width="17.375" style="775" customWidth="1"/>
    <col min="12031" max="12031" width="50.375" style="775" customWidth="1"/>
    <col min="12032" max="12283" width="9" style="775"/>
    <col min="12284" max="12284" width="43.5" style="775" customWidth="1"/>
    <col min="12285" max="12285" width="19.5" style="775" customWidth="1"/>
    <col min="12286" max="12286" width="17.375" style="775" customWidth="1"/>
    <col min="12287" max="12287" width="50.375" style="775" customWidth="1"/>
    <col min="12288" max="12539" width="9" style="775"/>
    <col min="12540" max="12540" width="43.5" style="775" customWidth="1"/>
    <col min="12541" max="12541" width="19.5" style="775" customWidth="1"/>
    <col min="12542" max="12542" width="17.375" style="775" customWidth="1"/>
    <col min="12543" max="12543" width="50.375" style="775" customWidth="1"/>
    <col min="12544" max="12795" width="9" style="775"/>
    <col min="12796" max="12796" width="43.5" style="775" customWidth="1"/>
    <col min="12797" max="12797" width="19.5" style="775" customWidth="1"/>
    <col min="12798" max="12798" width="17.375" style="775" customWidth="1"/>
    <col min="12799" max="12799" width="50.375" style="775" customWidth="1"/>
    <col min="12800" max="13051" width="9" style="775"/>
    <col min="13052" max="13052" width="43.5" style="775" customWidth="1"/>
    <col min="13053" max="13053" width="19.5" style="775" customWidth="1"/>
    <col min="13054" max="13054" width="17.375" style="775" customWidth="1"/>
    <col min="13055" max="13055" width="50.375" style="775" customWidth="1"/>
    <col min="13056" max="13307" width="9" style="775"/>
    <col min="13308" max="13308" width="43.5" style="775" customWidth="1"/>
    <col min="13309" max="13309" width="19.5" style="775" customWidth="1"/>
    <col min="13310" max="13310" width="17.375" style="775" customWidth="1"/>
    <col min="13311" max="13311" width="50.375" style="775" customWidth="1"/>
    <col min="13312" max="13563" width="9" style="775"/>
    <col min="13564" max="13564" width="43.5" style="775" customWidth="1"/>
    <col min="13565" max="13565" width="19.5" style="775" customWidth="1"/>
    <col min="13566" max="13566" width="17.375" style="775" customWidth="1"/>
    <col min="13567" max="13567" width="50.375" style="775" customWidth="1"/>
    <col min="13568" max="13819" width="9" style="775"/>
    <col min="13820" max="13820" width="43.5" style="775" customWidth="1"/>
    <col min="13821" max="13821" width="19.5" style="775" customWidth="1"/>
    <col min="13822" max="13822" width="17.375" style="775" customWidth="1"/>
    <col min="13823" max="13823" width="50.375" style="775" customWidth="1"/>
    <col min="13824" max="14075" width="9" style="775"/>
    <col min="14076" max="14076" width="43.5" style="775" customWidth="1"/>
    <col min="14077" max="14077" width="19.5" style="775" customWidth="1"/>
    <col min="14078" max="14078" width="17.375" style="775" customWidth="1"/>
    <col min="14079" max="14079" width="50.375" style="775" customWidth="1"/>
    <col min="14080" max="14331" width="9" style="775"/>
    <col min="14332" max="14332" width="43.5" style="775" customWidth="1"/>
    <col min="14333" max="14333" width="19.5" style="775" customWidth="1"/>
    <col min="14334" max="14334" width="17.375" style="775" customWidth="1"/>
    <col min="14335" max="14335" width="50.375" style="775" customWidth="1"/>
    <col min="14336" max="14587" width="9" style="775"/>
    <col min="14588" max="14588" width="43.5" style="775" customWidth="1"/>
    <col min="14589" max="14589" width="19.5" style="775" customWidth="1"/>
    <col min="14590" max="14590" width="17.375" style="775" customWidth="1"/>
    <col min="14591" max="14591" width="50.375" style="775" customWidth="1"/>
    <col min="14592" max="14843" width="9" style="775"/>
    <col min="14844" max="14844" width="43.5" style="775" customWidth="1"/>
    <col min="14845" max="14845" width="19.5" style="775" customWidth="1"/>
    <col min="14846" max="14846" width="17.375" style="775" customWidth="1"/>
    <col min="14847" max="14847" width="50.375" style="775" customWidth="1"/>
    <col min="14848" max="15099" width="9" style="775"/>
    <col min="15100" max="15100" width="43.5" style="775" customWidth="1"/>
    <col min="15101" max="15101" width="19.5" style="775" customWidth="1"/>
    <col min="15102" max="15102" width="17.375" style="775" customWidth="1"/>
    <col min="15103" max="15103" width="50.375" style="775" customWidth="1"/>
    <col min="15104" max="15355" width="9" style="775"/>
    <col min="15356" max="15356" width="43.5" style="775" customWidth="1"/>
    <col min="15357" max="15357" width="19.5" style="775" customWidth="1"/>
    <col min="15358" max="15358" width="17.375" style="775" customWidth="1"/>
    <col min="15359" max="15359" width="50.375" style="775" customWidth="1"/>
    <col min="15360" max="15611" width="9" style="775"/>
    <col min="15612" max="15612" width="43.5" style="775" customWidth="1"/>
    <col min="15613" max="15613" width="19.5" style="775" customWidth="1"/>
    <col min="15614" max="15614" width="17.375" style="775" customWidth="1"/>
    <col min="15615" max="15615" width="50.375" style="775" customWidth="1"/>
    <col min="15616" max="15867" width="9" style="775"/>
    <col min="15868" max="15868" width="43.5" style="775" customWidth="1"/>
    <col min="15869" max="15869" width="19.5" style="775" customWidth="1"/>
    <col min="15870" max="15870" width="17.375" style="775" customWidth="1"/>
    <col min="15871" max="15871" width="50.375" style="775" customWidth="1"/>
    <col min="15872" max="16123" width="9" style="775"/>
    <col min="16124" max="16124" width="43.5" style="775" customWidth="1"/>
    <col min="16125" max="16125" width="19.5" style="775" customWidth="1"/>
    <col min="16126" max="16126" width="17.375" style="775" customWidth="1"/>
    <col min="16127" max="16127" width="50.375" style="775" customWidth="1"/>
    <col min="16128" max="16384" width="9" style="775"/>
  </cols>
  <sheetData>
    <row r="1" spans="1:5" ht="31.5" customHeight="1" x14ac:dyDescent="0.25">
      <c r="A1" s="1013" t="s">
        <v>852</v>
      </c>
      <c r="B1" s="1013"/>
      <c r="C1" s="1013"/>
      <c r="D1" s="1013"/>
      <c r="E1" s="1013"/>
    </row>
    <row r="3" spans="1:5" ht="16.5" thickBot="1" x14ac:dyDescent="0.3"/>
    <row r="4" spans="1:5" s="781" customFormat="1" ht="62.25" customHeight="1" thickBot="1" x14ac:dyDescent="0.3">
      <c r="A4" s="778" t="s">
        <v>145</v>
      </c>
      <c r="B4" s="779" t="s">
        <v>853</v>
      </c>
      <c r="C4" s="780" t="s">
        <v>387</v>
      </c>
      <c r="D4" s="780" t="s">
        <v>388</v>
      </c>
      <c r="E4" s="780" t="s">
        <v>784</v>
      </c>
    </row>
    <row r="5" spans="1:5" s="571" customFormat="1" ht="21" customHeight="1" x14ac:dyDescent="0.25">
      <c r="A5" s="1014" t="s">
        <v>854</v>
      </c>
      <c r="B5" s="1015"/>
      <c r="C5" s="1015"/>
      <c r="D5" s="1015"/>
      <c r="E5" s="1016"/>
    </row>
    <row r="6" spans="1:5" s="566" customFormat="1" ht="31.5" x14ac:dyDescent="0.25">
      <c r="A6" s="782" t="s">
        <v>409</v>
      </c>
      <c r="B6" s="783" t="s">
        <v>855</v>
      </c>
      <c r="C6" s="784">
        <v>3000</v>
      </c>
      <c r="D6" s="784"/>
      <c r="E6" s="784">
        <f>SUM(C6:D6)</f>
        <v>3000</v>
      </c>
    </row>
    <row r="7" spans="1:5" s="566" customFormat="1" ht="31.5" x14ac:dyDescent="0.25">
      <c r="A7" s="783"/>
      <c r="B7" s="783" t="s">
        <v>856</v>
      </c>
      <c r="C7" s="784">
        <v>13000</v>
      </c>
      <c r="D7" s="784"/>
      <c r="E7" s="784">
        <f t="shared" ref="E7:E9" si="0">SUM(C7:D7)</f>
        <v>13000</v>
      </c>
    </row>
    <row r="8" spans="1:5" s="566" customFormat="1" ht="31.5" x14ac:dyDescent="0.25">
      <c r="A8" s="783"/>
      <c r="B8" s="783" t="s">
        <v>857</v>
      </c>
      <c r="C8" s="784">
        <v>3827</v>
      </c>
      <c r="D8" s="784"/>
      <c r="E8" s="784">
        <f t="shared" si="0"/>
        <v>3827</v>
      </c>
    </row>
    <row r="9" spans="1:5" s="566" customFormat="1" ht="63" x14ac:dyDescent="0.25">
      <c r="A9" s="783"/>
      <c r="B9" s="783" t="s">
        <v>858</v>
      </c>
      <c r="C9" s="784">
        <v>78000</v>
      </c>
      <c r="D9" s="784"/>
      <c r="E9" s="784">
        <f t="shared" si="0"/>
        <v>78000</v>
      </c>
    </row>
    <row r="10" spans="1:5" s="786" customFormat="1" x14ac:dyDescent="0.25">
      <c r="A10" s="782"/>
      <c r="B10" s="782" t="s">
        <v>410</v>
      </c>
      <c r="C10" s="785">
        <f t="shared" ref="C10:E10" si="1">SUM(C6:C9)</f>
        <v>97827</v>
      </c>
      <c r="D10" s="785">
        <f t="shared" si="1"/>
        <v>0</v>
      </c>
      <c r="E10" s="785">
        <f t="shared" si="1"/>
        <v>97827</v>
      </c>
    </row>
    <row r="11" spans="1:5" s="566" customFormat="1" x14ac:dyDescent="0.25">
      <c r="A11" s="783"/>
      <c r="B11" s="783"/>
      <c r="C11" s="784"/>
      <c r="D11" s="784"/>
      <c r="E11" s="784"/>
    </row>
    <row r="12" spans="1:5" s="566" customFormat="1" x14ac:dyDescent="0.25">
      <c r="A12" s="782" t="s">
        <v>859</v>
      </c>
      <c r="B12" s="783" t="s">
        <v>860</v>
      </c>
      <c r="C12" s="784">
        <v>21593</v>
      </c>
      <c r="D12" s="784"/>
      <c r="E12" s="784">
        <f>SUM(C12:D12)</f>
        <v>21593</v>
      </c>
    </row>
    <row r="13" spans="1:5" s="566" customFormat="1" x14ac:dyDescent="0.25">
      <c r="A13" s="783"/>
      <c r="B13" s="782" t="s">
        <v>410</v>
      </c>
      <c r="C13" s="785">
        <f t="shared" ref="C13:E13" si="2">SUM(C12)</f>
        <v>21593</v>
      </c>
      <c r="D13" s="785">
        <f t="shared" si="2"/>
        <v>0</v>
      </c>
      <c r="E13" s="785">
        <f t="shared" si="2"/>
        <v>21593</v>
      </c>
    </row>
    <row r="14" spans="1:5" s="566" customFormat="1" x14ac:dyDescent="0.25">
      <c r="A14" s="783"/>
      <c r="B14" s="782"/>
      <c r="C14" s="785"/>
      <c r="D14" s="785"/>
      <c r="E14" s="785"/>
    </row>
    <row r="15" spans="1:5" s="566" customFormat="1" x14ac:dyDescent="0.25">
      <c r="A15" s="782" t="s">
        <v>861</v>
      </c>
      <c r="B15" s="783" t="s">
        <v>862</v>
      </c>
      <c r="C15" s="784">
        <v>10000</v>
      </c>
      <c r="D15" s="784"/>
      <c r="E15" s="784">
        <f>SUM(C15:D15)</f>
        <v>10000</v>
      </c>
    </row>
    <row r="16" spans="1:5" s="566" customFormat="1" x14ac:dyDescent="0.25">
      <c r="A16" s="783"/>
      <c r="B16" s="782" t="s">
        <v>410</v>
      </c>
      <c r="C16" s="785">
        <f>SUM(C15)</f>
        <v>10000</v>
      </c>
      <c r="D16" s="785">
        <f t="shared" ref="D16:E16" si="3">SUM(D15)</f>
        <v>0</v>
      </c>
      <c r="E16" s="785">
        <f t="shared" si="3"/>
        <v>10000</v>
      </c>
    </row>
    <row r="17" spans="1:5" s="566" customFormat="1" x14ac:dyDescent="0.25">
      <c r="A17" s="783"/>
      <c r="B17" s="782"/>
      <c r="C17" s="785"/>
      <c r="D17" s="785"/>
      <c r="E17" s="785"/>
    </row>
    <row r="18" spans="1:5" s="566" customFormat="1" x14ac:dyDescent="0.25">
      <c r="A18" s="782" t="s">
        <v>863</v>
      </c>
      <c r="B18" s="783" t="s">
        <v>864</v>
      </c>
      <c r="C18" s="784">
        <v>26556</v>
      </c>
      <c r="D18" s="784"/>
      <c r="E18" s="784">
        <f>SUM(C18:D18)</f>
        <v>26556</v>
      </c>
    </row>
    <row r="19" spans="1:5" s="566" customFormat="1" x14ac:dyDescent="0.25">
      <c r="A19" s="782"/>
      <c r="B19" s="783" t="s">
        <v>865</v>
      </c>
      <c r="C19" s="784">
        <v>6500</v>
      </c>
      <c r="D19" s="784"/>
      <c r="E19" s="784">
        <f>SUM(C19:D19)</f>
        <v>6500</v>
      </c>
    </row>
    <row r="20" spans="1:5" s="566" customFormat="1" x14ac:dyDescent="0.25">
      <c r="A20" s="783"/>
      <c r="B20" s="782" t="s">
        <v>410</v>
      </c>
      <c r="C20" s="785">
        <f t="shared" ref="C20:E20" si="4">SUM(C18:C19)</f>
        <v>33056</v>
      </c>
      <c r="D20" s="785">
        <f t="shared" si="4"/>
        <v>0</v>
      </c>
      <c r="E20" s="785">
        <f t="shared" si="4"/>
        <v>33056</v>
      </c>
    </row>
    <row r="21" spans="1:5" s="566" customFormat="1" x14ac:dyDescent="0.25">
      <c r="A21" s="783"/>
      <c r="B21" s="782"/>
      <c r="C21" s="785"/>
      <c r="D21" s="785"/>
      <c r="E21" s="785"/>
    </row>
    <row r="22" spans="1:5" s="566" customFormat="1" x14ac:dyDescent="0.25">
      <c r="A22" s="782" t="s">
        <v>866</v>
      </c>
      <c r="B22" s="783" t="s">
        <v>867</v>
      </c>
      <c r="C22" s="784">
        <v>13015</v>
      </c>
      <c r="D22" s="784"/>
      <c r="E22" s="784">
        <f>SUM(C22:D22)</f>
        <v>13015</v>
      </c>
    </row>
    <row r="23" spans="1:5" s="566" customFormat="1" ht="31.5" x14ac:dyDescent="0.25">
      <c r="A23" s="782"/>
      <c r="B23" s="783" t="s">
        <v>868</v>
      </c>
      <c r="C23" s="784">
        <v>11115</v>
      </c>
      <c r="D23" s="784"/>
      <c r="E23" s="784">
        <f>SUM(C23:D23)</f>
        <v>11115</v>
      </c>
    </row>
    <row r="24" spans="1:5" s="566" customFormat="1" x14ac:dyDescent="0.25">
      <c r="A24" s="783"/>
      <c r="B24" s="782" t="s">
        <v>410</v>
      </c>
      <c r="C24" s="785">
        <f>SUM(C22:C23)</f>
        <v>24130</v>
      </c>
      <c r="D24" s="785">
        <f t="shared" ref="D24:E24" si="5">SUM(D22:D23)</f>
        <v>0</v>
      </c>
      <c r="E24" s="785">
        <f t="shared" si="5"/>
        <v>24130</v>
      </c>
    </row>
    <row r="25" spans="1:5" s="566" customFormat="1" x14ac:dyDescent="0.25">
      <c r="A25" s="783"/>
      <c r="B25" s="783"/>
      <c r="C25" s="784"/>
      <c r="D25" s="784"/>
      <c r="E25" s="784"/>
    </row>
    <row r="26" spans="1:5" s="566" customFormat="1" x14ac:dyDescent="0.25">
      <c r="A26" s="782" t="s">
        <v>435</v>
      </c>
      <c r="B26" s="783" t="s">
        <v>869</v>
      </c>
      <c r="C26" s="784">
        <v>55000</v>
      </c>
      <c r="D26" s="784"/>
      <c r="E26" s="784">
        <f>SUM(C26:D26)</f>
        <v>55000</v>
      </c>
    </row>
    <row r="27" spans="1:5" s="566" customFormat="1" x14ac:dyDescent="0.25">
      <c r="A27" s="783"/>
      <c r="B27" s="782" t="s">
        <v>410</v>
      </c>
      <c r="C27" s="785">
        <f t="shared" ref="C27:E27" si="6">SUM(C26)</f>
        <v>55000</v>
      </c>
      <c r="D27" s="785">
        <f t="shared" si="6"/>
        <v>0</v>
      </c>
      <c r="E27" s="785">
        <f t="shared" si="6"/>
        <v>55000</v>
      </c>
    </row>
    <row r="28" spans="1:5" s="566" customFormat="1" x14ac:dyDescent="0.25">
      <c r="A28" s="783"/>
      <c r="B28" s="783"/>
      <c r="C28" s="784"/>
      <c r="D28" s="784"/>
      <c r="E28" s="784"/>
    </row>
    <row r="29" spans="1:5" s="566" customFormat="1" ht="31.5" x14ac:dyDescent="0.25">
      <c r="A29" s="782" t="s">
        <v>870</v>
      </c>
      <c r="B29" s="783" t="s">
        <v>871</v>
      </c>
      <c r="C29" s="784">
        <v>24986</v>
      </c>
      <c r="D29" s="784"/>
      <c r="E29" s="784">
        <f>SUM(C29:D29)</f>
        <v>24986</v>
      </c>
    </row>
    <row r="30" spans="1:5" s="566" customFormat="1" x14ac:dyDescent="0.25">
      <c r="A30" s="782"/>
      <c r="B30" s="783" t="s">
        <v>872</v>
      </c>
      <c r="C30" s="784">
        <v>13000</v>
      </c>
      <c r="D30" s="784"/>
      <c r="E30" s="784">
        <f>SUM(C30:D30)</f>
        <v>13000</v>
      </c>
    </row>
    <row r="31" spans="1:5" s="566" customFormat="1" x14ac:dyDescent="0.25">
      <c r="A31" s="783"/>
      <c r="B31" s="782" t="s">
        <v>410</v>
      </c>
      <c r="C31" s="785">
        <f t="shared" ref="C31:E31" si="7">SUM(C29:C30)</f>
        <v>37986</v>
      </c>
      <c r="D31" s="785">
        <f t="shared" si="7"/>
        <v>0</v>
      </c>
      <c r="E31" s="785">
        <f t="shared" si="7"/>
        <v>37986</v>
      </c>
    </row>
    <row r="32" spans="1:5" s="566" customFormat="1" x14ac:dyDescent="0.25">
      <c r="A32" s="783"/>
      <c r="B32" s="783"/>
      <c r="C32" s="784"/>
      <c r="D32" s="784"/>
      <c r="E32" s="784"/>
    </row>
    <row r="33" spans="1:5" s="566" customFormat="1" x14ac:dyDescent="0.25">
      <c r="A33" s="782" t="s">
        <v>436</v>
      </c>
      <c r="B33" s="783" t="s">
        <v>867</v>
      </c>
      <c r="C33" s="784">
        <v>15732</v>
      </c>
      <c r="D33" s="784"/>
      <c r="E33" s="784">
        <f>SUM(C33:D33)</f>
        <v>15732</v>
      </c>
    </row>
    <row r="34" spans="1:5" s="566" customFormat="1" x14ac:dyDescent="0.25">
      <c r="A34" s="783"/>
      <c r="B34" s="782" t="s">
        <v>410</v>
      </c>
      <c r="C34" s="785">
        <f t="shared" ref="C34:E34" si="8">SUM(C33)</f>
        <v>15732</v>
      </c>
      <c r="D34" s="785">
        <f t="shared" si="8"/>
        <v>0</v>
      </c>
      <c r="E34" s="785">
        <f t="shared" si="8"/>
        <v>15732</v>
      </c>
    </row>
    <row r="35" spans="1:5" s="566" customFormat="1" x14ac:dyDescent="0.25">
      <c r="A35" s="783"/>
      <c r="B35" s="783"/>
      <c r="C35" s="784"/>
      <c r="D35" s="784"/>
      <c r="E35" s="784"/>
    </row>
    <row r="36" spans="1:5" s="566" customFormat="1" x14ac:dyDescent="0.25">
      <c r="A36" s="782" t="s">
        <v>441</v>
      </c>
      <c r="B36" s="783" t="s">
        <v>871</v>
      </c>
      <c r="C36" s="784">
        <v>50000</v>
      </c>
      <c r="D36" s="784"/>
      <c r="E36" s="784">
        <f>SUM(C36:D36)</f>
        <v>50000</v>
      </c>
    </row>
    <row r="37" spans="1:5" s="566" customFormat="1" x14ac:dyDescent="0.25">
      <c r="A37" s="782"/>
      <c r="B37" s="783" t="s">
        <v>867</v>
      </c>
      <c r="C37" s="784">
        <v>6144</v>
      </c>
      <c r="D37" s="784"/>
      <c r="E37" s="784">
        <f>SUM(C37:D37)</f>
        <v>6144</v>
      </c>
    </row>
    <row r="38" spans="1:5" s="566" customFormat="1" x14ac:dyDescent="0.25">
      <c r="A38" s="783"/>
      <c r="B38" s="782" t="s">
        <v>410</v>
      </c>
      <c r="C38" s="785">
        <f>SUM(C36:C37)</f>
        <v>56144</v>
      </c>
      <c r="D38" s="785">
        <f t="shared" ref="D38:E38" si="9">SUM(D36:D37)</f>
        <v>0</v>
      </c>
      <c r="E38" s="785">
        <f t="shared" si="9"/>
        <v>56144</v>
      </c>
    </row>
    <row r="39" spans="1:5" s="566" customFormat="1" x14ac:dyDescent="0.25">
      <c r="A39" s="783"/>
      <c r="B39" s="783"/>
      <c r="C39" s="784"/>
      <c r="D39" s="784"/>
      <c r="E39" s="784"/>
    </row>
    <row r="40" spans="1:5" s="566" customFormat="1" x14ac:dyDescent="0.25">
      <c r="A40" s="782" t="s">
        <v>873</v>
      </c>
      <c r="B40" s="783" t="s">
        <v>874</v>
      </c>
      <c r="C40" s="784">
        <v>7000</v>
      </c>
      <c r="D40" s="784"/>
      <c r="E40" s="784">
        <f>SUM(C40:D40)</f>
        <v>7000</v>
      </c>
    </row>
    <row r="41" spans="1:5" s="566" customFormat="1" x14ac:dyDescent="0.25">
      <c r="A41" s="782"/>
      <c r="B41" s="783" t="s">
        <v>875</v>
      </c>
      <c r="C41" s="784">
        <v>9144</v>
      </c>
      <c r="D41" s="784"/>
      <c r="E41" s="784">
        <f>SUM(C41:D41)</f>
        <v>9144</v>
      </c>
    </row>
    <row r="42" spans="1:5" s="566" customFormat="1" x14ac:dyDescent="0.25">
      <c r="A42" s="783"/>
      <c r="B42" s="782" t="s">
        <v>410</v>
      </c>
      <c r="C42" s="785">
        <f t="shared" ref="C42:E42" si="10">SUM(C40:C41)</f>
        <v>16144</v>
      </c>
      <c r="D42" s="785">
        <f t="shared" si="10"/>
        <v>0</v>
      </c>
      <c r="E42" s="785">
        <f t="shared" si="10"/>
        <v>16144</v>
      </c>
    </row>
    <row r="43" spans="1:5" s="566" customFormat="1" x14ac:dyDescent="0.25">
      <c r="A43" s="783"/>
      <c r="B43" s="783"/>
      <c r="C43" s="784"/>
      <c r="D43" s="784"/>
      <c r="E43" s="784"/>
    </row>
    <row r="44" spans="1:5" s="566" customFormat="1" x14ac:dyDescent="0.25">
      <c r="A44" s="782" t="s">
        <v>876</v>
      </c>
      <c r="B44" s="783" t="s">
        <v>877</v>
      </c>
      <c r="C44" s="784">
        <v>30124</v>
      </c>
      <c r="D44" s="784"/>
      <c r="E44" s="784">
        <f>SUM(C44:D44)</f>
        <v>30124</v>
      </c>
    </row>
    <row r="45" spans="1:5" s="566" customFormat="1" x14ac:dyDescent="0.25">
      <c r="A45" s="783"/>
      <c r="B45" s="782" t="s">
        <v>410</v>
      </c>
      <c r="C45" s="785">
        <f t="shared" ref="C45:E45" si="11">SUM(C44)</f>
        <v>30124</v>
      </c>
      <c r="D45" s="785">
        <f t="shared" si="11"/>
        <v>0</v>
      </c>
      <c r="E45" s="785">
        <f t="shared" si="11"/>
        <v>30124</v>
      </c>
    </row>
    <row r="46" spans="1:5" s="566" customFormat="1" x14ac:dyDescent="0.25">
      <c r="A46" s="783"/>
      <c r="B46" s="783"/>
      <c r="C46" s="784"/>
      <c r="D46" s="784"/>
      <c r="E46" s="784"/>
    </row>
    <row r="47" spans="1:5" s="566" customFormat="1" x14ac:dyDescent="0.25">
      <c r="A47" s="782" t="s">
        <v>878</v>
      </c>
      <c r="B47" s="783" t="s">
        <v>879</v>
      </c>
      <c r="C47" s="784">
        <v>30000</v>
      </c>
      <c r="D47" s="784"/>
      <c r="E47" s="784">
        <f>SUM(C47:D47)</f>
        <v>30000</v>
      </c>
    </row>
    <row r="48" spans="1:5" s="566" customFormat="1" x14ac:dyDescent="0.25">
      <c r="A48" s="782"/>
      <c r="B48" s="783" t="s">
        <v>880</v>
      </c>
      <c r="C48" s="784">
        <v>20000</v>
      </c>
      <c r="D48" s="784"/>
      <c r="E48" s="784">
        <f>SUM(C48:D48)</f>
        <v>20000</v>
      </c>
    </row>
    <row r="49" spans="1:5" s="566" customFormat="1" x14ac:dyDescent="0.25">
      <c r="A49" s="783"/>
      <c r="B49" s="782" t="s">
        <v>410</v>
      </c>
      <c r="C49" s="785">
        <f t="shared" ref="C49:E49" si="12">SUM(C47:C48)</f>
        <v>50000</v>
      </c>
      <c r="D49" s="785">
        <f t="shared" si="12"/>
        <v>0</v>
      </c>
      <c r="E49" s="785">
        <f t="shared" si="12"/>
        <v>50000</v>
      </c>
    </row>
    <row r="50" spans="1:5" s="566" customFormat="1" x14ac:dyDescent="0.25">
      <c r="A50" s="783"/>
      <c r="B50" s="783"/>
      <c r="C50" s="784"/>
      <c r="D50" s="784"/>
      <c r="E50" s="784"/>
    </row>
    <row r="51" spans="1:5" s="566" customFormat="1" x14ac:dyDescent="0.25">
      <c r="A51" s="782" t="s">
        <v>881</v>
      </c>
      <c r="B51" s="783" t="s">
        <v>882</v>
      </c>
      <c r="C51" s="784">
        <v>13824</v>
      </c>
      <c r="D51" s="784"/>
      <c r="E51" s="784">
        <f>SUM(C51:D51)</f>
        <v>13824</v>
      </c>
    </row>
    <row r="52" spans="1:5" s="566" customFormat="1" x14ac:dyDescent="0.25">
      <c r="A52" s="783"/>
      <c r="B52" s="782" t="s">
        <v>410</v>
      </c>
      <c r="C52" s="785">
        <f t="shared" ref="C52:E52" si="13">SUM(C51)</f>
        <v>13824</v>
      </c>
      <c r="D52" s="785">
        <f t="shared" si="13"/>
        <v>0</v>
      </c>
      <c r="E52" s="785">
        <f t="shared" si="13"/>
        <v>13824</v>
      </c>
    </row>
    <row r="53" spans="1:5" s="566" customFormat="1" x14ac:dyDescent="0.25">
      <c r="A53" s="783"/>
      <c r="B53" s="783"/>
      <c r="C53" s="784"/>
      <c r="D53" s="784"/>
      <c r="E53" s="784"/>
    </row>
    <row r="54" spans="1:5" s="566" customFormat="1" x14ac:dyDescent="0.25">
      <c r="A54" s="782" t="s">
        <v>434</v>
      </c>
      <c r="B54" s="783" t="s">
        <v>879</v>
      </c>
      <c r="C54" s="784">
        <v>40000</v>
      </c>
      <c r="D54" s="784"/>
      <c r="E54" s="784">
        <f>SUM(C54:D54)</f>
        <v>40000</v>
      </c>
    </row>
    <row r="55" spans="1:5" s="566" customFormat="1" x14ac:dyDescent="0.25">
      <c r="A55" s="782"/>
      <c r="B55" s="783" t="s">
        <v>877</v>
      </c>
      <c r="C55" s="784">
        <v>39876</v>
      </c>
      <c r="D55" s="784"/>
      <c r="E55" s="784">
        <f>SUM(C55:D55)</f>
        <v>39876</v>
      </c>
    </row>
    <row r="56" spans="1:5" s="566" customFormat="1" x14ac:dyDescent="0.25">
      <c r="A56" s="783"/>
      <c r="B56" s="782" t="s">
        <v>410</v>
      </c>
      <c r="C56" s="785">
        <f t="shared" ref="C56:E56" si="14">SUM(C54:C55)</f>
        <v>79876</v>
      </c>
      <c r="D56" s="785">
        <f t="shared" si="14"/>
        <v>0</v>
      </c>
      <c r="E56" s="785">
        <f t="shared" si="14"/>
        <v>79876</v>
      </c>
    </row>
    <row r="57" spans="1:5" s="566" customFormat="1" x14ac:dyDescent="0.25">
      <c r="A57" s="783"/>
      <c r="B57" s="783"/>
      <c r="C57" s="784"/>
      <c r="D57" s="784"/>
      <c r="E57" s="784"/>
    </row>
    <row r="58" spans="1:5" s="566" customFormat="1" ht="31.5" x14ac:dyDescent="0.25">
      <c r="A58" s="782" t="s">
        <v>883</v>
      </c>
      <c r="B58" s="783" t="s">
        <v>884</v>
      </c>
      <c r="C58" s="784">
        <v>201804</v>
      </c>
      <c r="D58" s="784"/>
      <c r="E58" s="784">
        <f>SUM(C58:D58)</f>
        <v>201804</v>
      </c>
    </row>
    <row r="59" spans="1:5" s="566" customFormat="1" x14ac:dyDescent="0.25">
      <c r="A59" s="783"/>
      <c r="B59" s="782" t="s">
        <v>410</v>
      </c>
      <c r="C59" s="785">
        <f t="shared" ref="C59:E59" si="15">SUM(C58)</f>
        <v>201804</v>
      </c>
      <c r="D59" s="785">
        <f t="shared" si="15"/>
        <v>0</v>
      </c>
      <c r="E59" s="785">
        <f t="shared" si="15"/>
        <v>201804</v>
      </c>
    </row>
    <row r="60" spans="1:5" s="566" customFormat="1" x14ac:dyDescent="0.25">
      <c r="A60" s="783"/>
      <c r="B60" s="783"/>
      <c r="C60" s="784"/>
      <c r="D60" s="784"/>
      <c r="E60" s="784"/>
    </row>
    <row r="61" spans="1:5" s="566" customFormat="1" ht="31.5" x14ac:dyDescent="0.25">
      <c r="A61" s="782" t="s">
        <v>885</v>
      </c>
      <c r="B61" s="783" t="s">
        <v>886</v>
      </c>
      <c r="C61" s="784">
        <v>3300</v>
      </c>
      <c r="D61" s="784"/>
      <c r="E61" s="784">
        <f>SUM(C61:D61)</f>
        <v>3300</v>
      </c>
    </row>
    <row r="62" spans="1:5" s="566" customFormat="1" x14ac:dyDescent="0.25">
      <c r="A62" s="783"/>
      <c r="B62" s="782" t="s">
        <v>410</v>
      </c>
      <c r="C62" s="785">
        <f t="shared" ref="C62:E62" si="16">SUM(C61)</f>
        <v>3300</v>
      </c>
      <c r="D62" s="785">
        <f t="shared" si="16"/>
        <v>0</v>
      </c>
      <c r="E62" s="785">
        <f t="shared" si="16"/>
        <v>3300</v>
      </c>
    </row>
    <row r="63" spans="1:5" s="566" customFormat="1" x14ac:dyDescent="0.25">
      <c r="A63" s="783"/>
      <c r="B63" s="783"/>
      <c r="C63" s="784"/>
      <c r="D63" s="784"/>
      <c r="E63" s="784"/>
    </row>
    <row r="64" spans="1:5" s="566" customFormat="1" x14ac:dyDescent="0.25">
      <c r="A64" s="782" t="s">
        <v>422</v>
      </c>
      <c r="B64" s="783" t="s">
        <v>887</v>
      </c>
      <c r="C64" s="784">
        <v>13244</v>
      </c>
      <c r="D64" s="784"/>
      <c r="E64" s="784">
        <f>SUM(C64:D64)</f>
        <v>13244</v>
      </c>
    </row>
    <row r="65" spans="1:5" s="786" customFormat="1" x14ac:dyDescent="0.25">
      <c r="A65" s="782"/>
      <c r="B65" s="782" t="s">
        <v>410</v>
      </c>
      <c r="C65" s="787">
        <f>SUM(C64)</f>
        <v>13244</v>
      </c>
      <c r="D65" s="787">
        <f t="shared" ref="D65:E65" si="17">SUM(D64)</f>
        <v>0</v>
      </c>
      <c r="E65" s="787">
        <f t="shared" si="17"/>
        <v>13244</v>
      </c>
    </row>
    <row r="66" spans="1:5" s="566" customFormat="1" x14ac:dyDescent="0.25">
      <c r="A66" s="783"/>
      <c r="B66" s="783"/>
      <c r="C66" s="784"/>
      <c r="D66" s="784"/>
      <c r="E66" s="784"/>
    </row>
    <row r="67" spans="1:5" s="566" customFormat="1" x14ac:dyDescent="0.25">
      <c r="A67" s="782" t="s">
        <v>428</v>
      </c>
      <c r="B67" s="783" t="s">
        <v>888</v>
      </c>
      <c r="C67" s="784">
        <v>35000</v>
      </c>
      <c r="D67" s="784"/>
      <c r="E67" s="784">
        <f>SUM(C67:D67)</f>
        <v>35000</v>
      </c>
    </row>
    <row r="68" spans="1:5" s="786" customFormat="1" x14ac:dyDescent="0.25">
      <c r="A68" s="782"/>
      <c r="B68" s="782" t="s">
        <v>410</v>
      </c>
      <c r="C68" s="787">
        <f>SUM(C67)</f>
        <v>35000</v>
      </c>
      <c r="D68" s="787">
        <f t="shared" ref="D68:E68" si="18">SUM(D67)</f>
        <v>0</v>
      </c>
      <c r="E68" s="787">
        <f t="shared" si="18"/>
        <v>35000</v>
      </c>
    </row>
    <row r="69" spans="1:5" s="566" customFormat="1" x14ac:dyDescent="0.25">
      <c r="A69" s="783"/>
      <c r="B69" s="783"/>
      <c r="C69" s="784"/>
      <c r="D69" s="784"/>
      <c r="E69" s="784"/>
    </row>
    <row r="70" spans="1:5" s="566" customFormat="1" ht="31.5" x14ac:dyDescent="0.25">
      <c r="A70" s="782" t="s">
        <v>889</v>
      </c>
      <c r="B70" s="783" t="s">
        <v>890</v>
      </c>
      <c r="C70" s="784">
        <v>37500</v>
      </c>
      <c r="D70" s="784"/>
      <c r="E70" s="784">
        <f>SUM(C70:D70)</f>
        <v>37500</v>
      </c>
    </row>
    <row r="71" spans="1:5" s="786" customFormat="1" x14ac:dyDescent="0.25">
      <c r="A71" s="782"/>
      <c r="B71" s="782" t="s">
        <v>410</v>
      </c>
      <c r="C71" s="787">
        <f>SUM(C70)</f>
        <v>37500</v>
      </c>
      <c r="D71" s="787">
        <f t="shared" ref="D71:E71" si="19">SUM(D70)</f>
        <v>0</v>
      </c>
      <c r="E71" s="787">
        <f t="shared" si="19"/>
        <v>37500</v>
      </c>
    </row>
    <row r="72" spans="1:5" s="566" customFormat="1" x14ac:dyDescent="0.25">
      <c r="A72" s="783"/>
      <c r="B72" s="783"/>
      <c r="C72" s="784"/>
      <c r="D72" s="784"/>
      <c r="E72" s="784"/>
    </row>
    <row r="73" spans="1:5" s="566" customFormat="1" x14ac:dyDescent="0.25">
      <c r="A73" s="782" t="s">
        <v>891</v>
      </c>
      <c r="B73" s="783" t="s">
        <v>892</v>
      </c>
      <c r="C73" s="784">
        <f>215000+150276</f>
        <v>365276</v>
      </c>
      <c r="D73" s="784"/>
      <c r="E73" s="784">
        <f>SUM(C73:D73)</f>
        <v>365276</v>
      </c>
    </row>
    <row r="74" spans="1:5" s="566" customFormat="1" x14ac:dyDescent="0.25">
      <c r="A74" s="783"/>
      <c r="B74" s="782" t="s">
        <v>410</v>
      </c>
      <c r="C74" s="785">
        <f t="shared" ref="C74:E74" si="20">SUM(C73)</f>
        <v>365276</v>
      </c>
      <c r="D74" s="785">
        <f t="shared" si="20"/>
        <v>0</v>
      </c>
      <c r="E74" s="785">
        <f t="shared" si="20"/>
        <v>365276</v>
      </c>
    </row>
    <row r="75" spans="1:5" s="566" customFormat="1" x14ac:dyDescent="0.25">
      <c r="A75" s="783"/>
      <c r="B75" s="782"/>
      <c r="C75" s="785"/>
      <c r="D75" s="785"/>
      <c r="E75" s="785"/>
    </row>
    <row r="76" spans="1:5" s="566" customFormat="1" ht="31.5" x14ac:dyDescent="0.25">
      <c r="A76" s="782" t="s">
        <v>893</v>
      </c>
      <c r="B76" s="783" t="s">
        <v>894</v>
      </c>
      <c r="C76" s="784">
        <v>23000</v>
      </c>
      <c r="D76" s="784">
        <v>1371</v>
      </c>
      <c r="E76" s="784">
        <f>SUM(C76:D76)</f>
        <v>24371</v>
      </c>
    </row>
    <row r="77" spans="1:5" s="566" customFormat="1" x14ac:dyDescent="0.25">
      <c r="A77" s="783"/>
      <c r="B77" s="782" t="s">
        <v>410</v>
      </c>
      <c r="C77" s="785">
        <f t="shared" ref="C77:E77" si="21">SUM(C76)</f>
        <v>23000</v>
      </c>
      <c r="D77" s="785">
        <f t="shared" si="21"/>
        <v>1371</v>
      </c>
      <c r="E77" s="785">
        <f t="shared" si="21"/>
        <v>24371</v>
      </c>
    </row>
    <row r="78" spans="1:5" s="566" customFormat="1" x14ac:dyDescent="0.25">
      <c r="A78" s="783"/>
      <c r="B78" s="782"/>
      <c r="C78" s="785"/>
      <c r="D78" s="785"/>
      <c r="E78" s="785"/>
    </row>
    <row r="79" spans="1:5" s="566" customFormat="1" x14ac:dyDescent="0.25">
      <c r="A79" s="782" t="s">
        <v>895</v>
      </c>
      <c r="B79" s="783"/>
      <c r="C79" s="787">
        <v>48042</v>
      </c>
      <c r="D79" s="787"/>
      <c r="E79" s="787">
        <f>SUM(C79:D79)</f>
        <v>48042</v>
      </c>
    </row>
    <row r="80" spans="1:5" s="566" customFormat="1" x14ac:dyDescent="0.25">
      <c r="A80" s="782"/>
      <c r="B80" s="783"/>
      <c r="C80" s="787"/>
      <c r="D80" s="787"/>
      <c r="E80" s="787"/>
    </row>
    <row r="81" spans="1:5" s="566" customFormat="1" ht="16.5" thickBot="1" x14ac:dyDescent="0.3">
      <c r="A81" s="782" t="s">
        <v>896</v>
      </c>
      <c r="B81" s="783"/>
      <c r="C81" s="788">
        <f>35000+709</f>
        <v>35709</v>
      </c>
      <c r="D81" s="789"/>
      <c r="E81" s="789">
        <f>SUM(C81:D81)</f>
        <v>35709</v>
      </c>
    </row>
    <row r="82" spans="1:5" s="566" customFormat="1" ht="15.75" customHeight="1" x14ac:dyDescent="0.25">
      <c r="A82" s="1014" t="s">
        <v>897</v>
      </c>
      <c r="B82" s="1015"/>
      <c r="C82" s="1015"/>
      <c r="D82" s="1015"/>
      <c r="E82" s="1016"/>
    </row>
    <row r="83" spans="1:5" s="566" customFormat="1" ht="31.5" x14ac:dyDescent="0.25">
      <c r="A83" s="782" t="s">
        <v>898</v>
      </c>
      <c r="B83" s="783" t="s">
        <v>899</v>
      </c>
      <c r="C83" s="788">
        <v>165251</v>
      </c>
      <c r="D83" s="788"/>
      <c r="E83" s="788">
        <f>SUM(C83:D83)</f>
        <v>165251</v>
      </c>
    </row>
    <row r="84" spans="1:5" s="566" customFormat="1" x14ac:dyDescent="0.25">
      <c r="A84" s="782"/>
      <c r="B84" s="783"/>
      <c r="C84" s="788"/>
      <c r="D84" s="788"/>
      <c r="E84" s="788"/>
    </row>
    <row r="85" spans="1:5" s="566" customFormat="1" ht="15.75" customHeight="1" x14ac:dyDescent="0.25">
      <c r="A85" s="1017" t="s">
        <v>900</v>
      </c>
      <c r="B85" s="1018"/>
      <c r="C85" s="1018"/>
      <c r="D85" s="1018"/>
      <c r="E85" s="1019"/>
    </row>
    <row r="86" spans="1:5" s="566" customFormat="1" ht="47.25" x14ac:dyDescent="0.25">
      <c r="A86" s="782" t="s">
        <v>901</v>
      </c>
      <c r="B86" s="783" t="s">
        <v>902</v>
      </c>
      <c r="C86" s="784">
        <v>709</v>
      </c>
      <c r="D86" s="784">
        <f>-327+300</f>
        <v>-27</v>
      </c>
      <c r="E86" s="784">
        <f>SUM(C86:D86)</f>
        <v>682</v>
      </c>
    </row>
    <row r="87" spans="1:5" s="786" customFormat="1" x14ac:dyDescent="0.25">
      <c r="A87" s="782"/>
      <c r="B87" s="782" t="s">
        <v>410</v>
      </c>
      <c r="C87" s="785">
        <f t="shared" ref="C87:E87" si="22">SUM(C86)</f>
        <v>709</v>
      </c>
      <c r="D87" s="785">
        <f t="shared" si="22"/>
        <v>-27</v>
      </c>
      <c r="E87" s="785">
        <f t="shared" si="22"/>
        <v>682</v>
      </c>
    </row>
    <row r="88" spans="1:5" s="566" customFormat="1" x14ac:dyDescent="0.25">
      <c r="A88" s="783"/>
      <c r="B88" s="783"/>
      <c r="C88" s="784"/>
      <c r="D88" s="784"/>
      <c r="E88" s="784"/>
    </row>
    <row r="89" spans="1:5" s="566" customFormat="1" ht="31.5" x14ac:dyDescent="0.25">
      <c r="A89" s="782" t="s">
        <v>903</v>
      </c>
      <c r="B89" s="783" t="s">
        <v>904</v>
      </c>
      <c r="C89" s="784">
        <v>227865</v>
      </c>
      <c r="D89" s="784">
        <f>-224300+16408</f>
        <v>-207892</v>
      </c>
      <c r="E89" s="784">
        <f>SUM(C89:D89)</f>
        <v>19973</v>
      </c>
    </row>
    <row r="90" spans="1:5" s="786" customFormat="1" x14ac:dyDescent="0.25">
      <c r="A90" s="782"/>
      <c r="B90" s="782" t="s">
        <v>410</v>
      </c>
      <c r="C90" s="785">
        <f t="shared" ref="C90:E90" si="23">SUM(C89)</f>
        <v>227865</v>
      </c>
      <c r="D90" s="785">
        <f t="shared" si="23"/>
        <v>-207892</v>
      </c>
      <c r="E90" s="785">
        <f t="shared" si="23"/>
        <v>19973</v>
      </c>
    </row>
    <row r="91" spans="1:5" s="566" customFormat="1" x14ac:dyDescent="0.25">
      <c r="A91" s="783"/>
      <c r="B91" s="783"/>
      <c r="C91" s="784"/>
      <c r="D91" s="784"/>
      <c r="E91" s="784"/>
    </row>
    <row r="92" spans="1:5" s="566" customFormat="1" ht="47.25" x14ac:dyDescent="0.25">
      <c r="A92" s="782" t="s">
        <v>905</v>
      </c>
      <c r="B92" s="783" t="s">
        <v>906</v>
      </c>
      <c r="C92" s="784">
        <v>386806</v>
      </c>
      <c r="D92" s="784">
        <f>-4355+4355</f>
        <v>0</v>
      </c>
      <c r="E92" s="784">
        <f>SUM(C92:D92)</f>
        <v>386806</v>
      </c>
    </row>
    <row r="93" spans="1:5" s="786" customFormat="1" x14ac:dyDescent="0.25">
      <c r="A93" s="782"/>
      <c r="B93" s="782" t="s">
        <v>410</v>
      </c>
      <c r="C93" s="785">
        <f t="shared" ref="C93:E93" si="24">SUM(C92)</f>
        <v>386806</v>
      </c>
      <c r="D93" s="785">
        <f t="shared" si="24"/>
        <v>0</v>
      </c>
      <c r="E93" s="785">
        <f t="shared" si="24"/>
        <v>386806</v>
      </c>
    </row>
    <row r="94" spans="1:5" s="566" customFormat="1" x14ac:dyDescent="0.25">
      <c r="A94" s="783"/>
      <c r="B94" s="783"/>
      <c r="C94" s="784"/>
      <c r="D94" s="784"/>
      <c r="E94" s="784"/>
    </row>
    <row r="95" spans="1:5" s="566" customFormat="1" x14ac:dyDescent="0.25">
      <c r="A95" s="782" t="s">
        <v>907</v>
      </c>
      <c r="B95" s="783" t="s">
        <v>908</v>
      </c>
      <c r="C95" s="784">
        <v>27921</v>
      </c>
      <c r="D95" s="784">
        <f>-61075+61075</f>
        <v>0</v>
      </c>
      <c r="E95" s="784">
        <f>SUM(C95:D95)</f>
        <v>27921</v>
      </c>
    </row>
    <row r="96" spans="1:5" s="786" customFormat="1" x14ac:dyDescent="0.25">
      <c r="A96" s="782"/>
      <c r="B96" s="782" t="s">
        <v>410</v>
      </c>
      <c r="C96" s="785">
        <f t="shared" ref="C96:E96" si="25">SUM(C95)</f>
        <v>27921</v>
      </c>
      <c r="D96" s="785">
        <f t="shared" si="25"/>
        <v>0</v>
      </c>
      <c r="E96" s="785">
        <f t="shared" si="25"/>
        <v>27921</v>
      </c>
    </row>
    <row r="97" spans="1:5" s="566" customFormat="1" x14ac:dyDescent="0.25">
      <c r="A97" s="783"/>
      <c r="B97" s="783"/>
      <c r="C97" s="784"/>
      <c r="D97" s="784"/>
      <c r="E97" s="784"/>
    </row>
    <row r="98" spans="1:5" s="566" customFormat="1" x14ac:dyDescent="0.25">
      <c r="A98" s="782" t="s">
        <v>909</v>
      </c>
      <c r="B98" s="783" t="s">
        <v>910</v>
      </c>
      <c r="C98" s="784">
        <v>90203</v>
      </c>
      <c r="D98" s="784">
        <f>-90238+5112</f>
        <v>-85126</v>
      </c>
      <c r="E98" s="784">
        <f>SUM(C98:D98)</f>
        <v>5077</v>
      </c>
    </row>
    <row r="99" spans="1:5" s="786" customFormat="1" x14ac:dyDescent="0.25">
      <c r="A99" s="782"/>
      <c r="B99" s="782" t="s">
        <v>410</v>
      </c>
      <c r="C99" s="785">
        <f t="shared" ref="C99:E99" si="26">SUM(C98)</f>
        <v>90203</v>
      </c>
      <c r="D99" s="785">
        <f t="shared" si="26"/>
        <v>-85126</v>
      </c>
      <c r="E99" s="785">
        <f t="shared" si="26"/>
        <v>5077</v>
      </c>
    </row>
    <row r="100" spans="1:5" s="566" customFormat="1" x14ac:dyDescent="0.25">
      <c r="A100" s="783"/>
      <c r="B100" s="783"/>
      <c r="C100" s="784"/>
      <c r="D100" s="784"/>
      <c r="E100" s="784"/>
    </row>
    <row r="101" spans="1:5" s="566" customFormat="1" ht="47.25" x14ac:dyDescent="0.25">
      <c r="A101" s="782" t="s">
        <v>911</v>
      </c>
      <c r="B101" s="783" t="s">
        <v>912</v>
      </c>
      <c r="C101" s="784">
        <v>73936</v>
      </c>
      <c r="D101" s="784">
        <f>-69000-1912</f>
        <v>-70912</v>
      </c>
      <c r="E101" s="784">
        <f>SUM(C101:D101)</f>
        <v>3024</v>
      </c>
    </row>
    <row r="102" spans="1:5" s="786" customFormat="1" x14ac:dyDescent="0.25">
      <c r="A102" s="782"/>
      <c r="B102" s="782" t="s">
        <v>410</v>
      </c>
      <c r="C102" s="785">
        <f t="shared" ref="C102:E102" si="27">SUM(C101)</f>
        <v>73936</v>
      </c>
      <c r="D102" s="785">
        <f t="shared" si="27"/>
        <v>-70912</v>
      </c>
      <c r="E102" s="785">
        <f t="shared" si="27"/>
        <v>3024</v>
      </c>
    </row>
    <row r="103" spans="1:5" s="566" customFormat="1" x14ac:dyDescent="0.25">
      <c r="A103" s="783"/>
      <c r="B103" s="783"/>
      <c r="C103" s="784"/>
      <c r="D103" s="784"/>
      <c r="E103" s="784"/>
    </row>
    <row r="104" spans="1:5" s="566" customFormat="1" ht="31.5" x14ac:dyDescent="0.25">
      <c r="A104" s="782" t="s">
        <v>913</v>
      </c>
      <c r="B104" s="783" t="s">
        <v>914</v>
      </c>
      <c r="C104" s="784">
        <v>357638</v>
      </c>
      <c r="D104" s="784">
        <f>-350716+8370</f>
        <v>-342346</v>
      </c>
      <c r="E104" s="784">
        <f>SUM(C104:D104)</f>
        <v>15292</v>
      </c>
    </row>
    <row r="105" spans="1:5" s="786" customFormat="1" x14ac:dyDescent="0.25">
      <c r="A105" s="782"/>
      <c r="B105" s="782" t="s">
        <v>410</v>
      </c>
      <c r="C105" s="785">
        <f t="shared" ref="C105:E105" si="28">SUM(C104)</f>
        <v>357638</v>
      </c>
      <c r="D105" s="785">
        <f t="shared" si="28"/>
        <v>-342346</v>
      </c>
      <c r="E105" s="785">
        <f t="shared" si="28"/>
        <v>15292</v>
      </c>
    </row>
    <row r="106" spans="1:5" s="566" customFormat="1" x14ac:dyDescent="0.25">
      <c r="A106" s="783"/>
      <c r="B106" s="783"/>
      <c r="C106" s="784"/>
      <c r="D106" s="784"/>
      <c r="E106" s="784"/>
    </row>
    <row r="107" spans="1:5" s="786" customFormat="1" ht="16.5" thickBot="1" x14ac:dyDescent="0.3">
      <c r="A107" s="790" t="s">
        <v>915</v>
      </c>
      <c r="B107" s="791"/>
      <c r="C107" s="792">
        <f>SUM(C93,C96,C90,C87,C102,C99,C105)</f>
        <v>1165078</v>
      </c>
      <c r="D107" s="792">
        <f t="shared" ref="D107:E107" si="29">SUM(D93,D96,D90,D87,D102,D99,D105)</f>
        <v>-706303</v>
      </c>
      <c r="E107" s="792">
        <f t="shared" si="29"/>
        <v>458775</v>
      </c>
    </row>
    <row r="108" spans="1:5" s="566" customFormat="1" ht="16.5" thickBot="1" x14ac:dyDescent="0.3">
      <c r="A108" s="1020" t="s">
        <v>411</v>
      </c>
      <c r="B108" s="1020"/>
      <c r="C108" s="793">
        <f>SUM(C10,C13,C20,C27,C31,C38,C42,C45,C49,C52,C56,C59,C62,C65,C68,C71,C74,C77,C79,C81,C83,C16,C107,C24,C34)</f>
        <v>2634640</v>
      </c>
      <c r="D108" s="793">
        <f t="shared" ref="D108:E108" si="30">SUM(D10,D13,D20,D27,D31,D38,D42,D45,D49,D52,D56,D59,D62,D65,D68,D71,D74,D77,D79,D81,D83,D16,D107,D24,D34)</f>
        <v>-704932</v>
      </c>
      <c r="E108" s="793">
        <f t="shared" si="30"/>
        <v>1929708</v>
      </c>
    </row>
    <row r="109" spans="1:5" s="566" customFormat="1" x14ac:dyDescent="0.25">
      <c r="A109" s="794"/>
      <c r="C109" s="567"/>
      <c r="D109" s="567"/>
      <c r="E109" s="567"/>
    </row>
    <row r="117" spans="1:5" x14ac:dyDescent="0.25">
      <c r="A117" s="775"/>
      <c r="C117" s="775"/>
      <c r="D117" s="795"/>
      <c r="E117" s="775"/>
    </row>
    <row r="118" spans="1:5" x14ac:dyDescent="0.25">
      <c r="A118" s="775"/>
      <c r="C118" s="775"/>
      <c r="D118" s="795"/>
      <c r="E118" s="775"/>
    </row>
    <row r="119" spans="1:5" x14ac:dyDescent="0.25">
      <c r="A119" s="775"/>
      <c r="C119" s="775"/>
      <c r="D119" s="795"/>
      <c r="E119" s="775"/>
    </row>
    <row r="120" spans="1:5" x14ac:dyDescent="0.25">
      <c r="A120" s="775"/>
      <c r="C120" s="775"/>
      <c r="D120" s="795"/>
      <c r="E120" s="775"/>
    </row>
    <row r="121" spans="1:5" x14ac:dyDescent="0.25">
      <c r="A121" s="775"/>
      <c r="C121" s="775"/>
      <c r="D121" s="795"/>
      <c r="E121" s="775"/>
    </row>
  </sheetData>
  <mergeCells count="5">
    <mergeCell ref="A1:E1"/>
    <mergeCell ref="A5:E5"/>
    <mergeCell ref="A82:E82"/>
    <mergeCell ref="A85:E85"/>
    <mergeCell ref="A108:B108"/>
  </mergeCells>
  <pageMargins left="0.31496062992125984" right="0.31496062992125984" top="0.74803149606299213" bottom="0.74803149606299213" header="0.31496062992125984" footer="0.31496062992125984"/>
  <pageSetup paperSize="9" scale="66" orientation="portrait" r:id="rId1"/>
  <headerFooter>
    <oddHeader xml:space="preserve">&amp;R&amp;"Times New Roman CE,Félkövér"12. melléklet a 6/2019. (II.22.) önkormányzati rendelethez&amp;"Times New Roman CE,Dőlt"&amp;11
 14. melléklet
a 3/2018.(II.8.) önkormányzati rendelethez
</oddHeader>
  </headerFooter>
  <rowBreaks count="1" manualBreakCount="1">
    <brk id="56"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53"/>
  <sheetViews>
    <sheetView zoomScale="110" zoomScaleNormal="110" workbookViewId="0">
      <selection activeCell="AD41" sqref="AD41"/>
    </sheetView>
  </sheetViews>
  <sheetFormatPr defaultColWidth="9" defaultRowHeight="15.75" x14ac:dyDescent="0.25"/>
  <cols>
    <col min="1" max="1" width="45.625" style="174" customWidth="1"/>
    <col min="2" max="2" width="16" style="175" customWidth="1"/>
    <col min="3" max="3" width="7.5" style="157" customWidth="1"/>
    <col min="4" max="4" width="43.75" style="157" customWidth="1"/>
    <col min="5" max="5" width="16" style="157" customWidth="1"/>
    <col min="6" max="6" width="24.625" style="157" customWidth="1"/>
    <col min="7" max="16384" width="9" style="157"/>
  </cols>
  <sheetData>
    <row r="1" spans="1:6" ht="31.5" customHeight="1" x14ac:dyDescent="0.25">
      <c r="A1" s="1023" t="s">
        <v>386</v>
      </c>
      <c r="B1" s="1023"/>
      <c r="C1" s="1023"/>
      <c r="D1" s="1023"/>
      <c r="E1" s="1023"/>
      <c r="F1" s="1023"/>
    </row>
    <row r="3" spans="1:6" ht="16.5" thickBot="1" x14ac:dyDescent="0.3"/>
    <row r="4" spans="1:6" ht="33" thickTop="1" thickBot="1" x14ac:dyDescent="0.3">
      <c r="A4" s="155" t="s">
        <v>52</v>
      </c>
      <c r="B4" s="156" t="s">
        <v>784</v>
      </c>
      <c r="D4" s="155" t="s">
        <v>52</v>
      </c>
      <c r="E4" s="156" t="s">
        <v>784</v>
      </c>
    </row>
    <row r="5" spans="1:6" s="159" customFormat="1" ht="16.5" thickTop="1" x14ac:dyDescent="0.25">
      <c r="A5" s="158" t="s">
        <v>294</v>
      </c>
      <c r="B5" s="613"/>
      <c r="D5" s="160" t="s">
        <v>295</v>
      </c>
      <c r="E5" s="161"/>
    </row>
    <row r="6" spans="1:6" s="164" customFormat="1" ht="31.5" x14ac:dyDescent="0.25">
      <c r="A6" s="162" t="s">
        <v>54</v>
      </c>
      <c r="B6" s="163">
        <v>8259509</v>
      </c>
      <c r="D6" s="162" t="s">
        <v>272</v>
      </c>
      <c r="E6" s="163">
        <v>6898949</v>
      </c>
    </row>
    <row r="7" spans="1:6" s="164" customFormat="1" ht="31.5" x14ac:dyDescent="0.25">
      <c r="A7" s="162" t="s">
        <v>31</v>
      </c>
      <c r="B7" s="163">
        <v>1762090</v>
      </c>
      <c r="D7" s="162" t="s">
        <v>55</v>
      </c>
      <c r="E7" s="163">
        <v>20610795</v>
      </c>
    </row>
    <row r="8" spans="1:6" s="164" customFormat="1" ht="16.5" thickBot="1" x14ac:dyDescent="0.3">
      <c r="A8" s="162" t="s">
        <v>56</v>
      </c>
      <c r="B8" s="163">
        <v>13311941</v>
      </c>
      <c r="D8" s="169" t="s">
        <v>53</v>
      </c>
      <c r="E8" s="170">
        <v>6290878</v>
      </c>
    </row>
    <row r="9" spans="1:6" s="164" customFormat="1" ht="16.5" thickTop="1" x14ac:dyDescent="0.25">
      <c r="A9" s="165" t="s">
        <v>477</v>
      </c>
      <c r="B9" s="163">
        <v>118521</v>
      </c>
      <c r="D9" s="169" t="s">
        <v>274</v>
      </c>
      <c r="E9" s="170">
        <v>187571</v>
      </c>
      <c r="F9" s="1024" t="s">
        <v>299</v>
      </c>
    </row>
    <row r="10" spans="1:6" s="164" customFormat="1" ht="15.75" customHeight="1" x14ac:dyDescent="0.25">
      <c r="A10" s="162" t="s">
        <v>279</v>
      </c>
      <c r="B10" s="614">
        <v>14583931</v>
      </c>
      <c r="D10" s="169"/>
      <c r="E10" s="170"/>
      <c r="F10" s="1025"/>
    </row>
    <row r="11" spans="1:6" s="164" customFormat="1" ht="16.5" customHeight="1" thickBot="1" x14ac:dyDescent="0.3">
      <c r="A11" s="165" t="s">
        <v>57</v>
      </c>
      <c r="B11" s="614">
        <v>4440156</v>
      </c>
      <c r="D11" s="166"/>
      <c r="E11" s="167"/>
      <c r="F11" s="1026"/>
    </row>
    <row r="12" spans="1:6" s="173" customFormat="1" ht="17.25" thickTop="1" thickBot="1" x14ac:dyDescent="0.3">
      <c r="A12" s="171" t="s">
        <v>292</v>
      </c>
      <c r="B12" s="172">
        <f>SUM(B5:B11)</f>
        <v>42476148</v>
      </c>
      <c r="D12" s="171" t="s">
        <v>293</v>
      </c>
      <c r="E12" s="172">
        <f>SUM(E6:E10)</f>
        <v>33988193</v>
      </c>
      <c r="F12" s="172">
        <f>+E12-B12</f>
        <v>-8487955</v>
      </c>
    </row>
    <row r="13" spans="1:6" s="173" customFormat="1" ht="17.25" thickTop="1" thickBot="1" x14ac:dyDescent="0.3">
      <c r="A13" s="267"/>
      <c r="B13" s="268"/>
      <c r="D13" s="267"/>
      <c r="E13" s="268"/>
      <c r="F13" s="268"/>
    </row>
    <row r="14" spans="1:6" s="159" customFormat="1" ht="17.25" thickTop="1" thickBot="1" x14ac:dyDescent="0.3">
      <c r="A14" s="160" t="s">
        <v>303</v>
      </c>
      <c r="B14" s="176"/>
      <c r="D14" s="160" t="s">
        <v>304</v>
      </c>
      <c r="E14" s="161"/>
    </row>
    <row r="15" spans="1:6" s="164" customFormat="1" ht="16.5" customHeight="1" thickTop="1" x14ac:dyDescent="0.25">
      <c r="A15" s="168" t="s">
        <v>321</v>
      </c>
      <c r="B15" s="163">
        <v>10910463</v>
      </c>
      <c r="D15" s="169" t="s">
        <v>322</v>
      </c>
      <c r="E15" s="885">
        <v>10910463</v>
      </c>
      <c r="F15" s="1027" t="s">
        <v>305</v>
      </c>
    </row>
    <row r="16" spans="1:6" s="164" customFormat="1" ht="31.5" x14ac:dyDescent="0.25">
      <c r="A16" s="168" t="s">
        <v>498</v>
      </c>
      <c r="B16" s="163">
        <f>32805492-10151412</f>
        <v>22654080</v>
      </c>
      <c r="D16" s="331" t="s">
        <v>377</v>
      </c>
      <c r="E16" s="885">
        <v>2582750</v>
      </c>
      <c r="F16" s="1028"/>
    </row>
    <row r="17" spans="1:6" s="164" customFormat="1" ht="31.5" x14ac:dyDescent="0.25">
      <c r="A17" s="563" t="s">
        <v>556</v>
      </c>
      <c r="B17" s="614">
        <v>459887</v>
      </c>
      <c r="D17" s="331" t="s">
        <v>497</v>
      </c>
      <c r="E17" s="885">
        <f>21800000+18350000-10151412</f>
        <v>29998588</v>
      </c>
      <c r="F17" s="1028"/>
    </row>
    <row r="18" spans="1:6" s="164" customFormat="1" ht="16.5" thickBot="1" x14ac:dyDescent="0.3">
      <c r="A18" s="270"/>
      <c r="B18" s="615"/>
      <c r="D18" s="330" t="s">
        <v>1158</v>
      </c>
      <c r="E18" s="588">
        <v>328960</v>
      </c>
      <c r="F18" s="1029"/>
    </row>
    <row r="19" spans="1:6" s="173" customFormat="1" ht="17.25" thickTop="1" thickBot="1" x14ac:dyDescent="0.3">
      <c r="A19" s="171" t="s">
        <v>306</v>
      </c>
      <c r="B19" s="172">
        <f>SUM(B15:B18)</f>
        <v>34024430</v>
      </c>
      <c r="D19" s="171" t="s">
        <v>307</v>
      </c>
      <c r="E19" s="172">
        <f>SUM(E15:E18)</f>
        <v>43820761</v>
      </c>
      <c r="F19" s="172">
        <f>+E19-B19</f>
        <v>9796331</v>
      </c>
    </row>
    <row r="20" spans="1:6" s="173" customFormat="1" ht="17.25" thickTop="1" thickBot="1" x14ac:dyDescent="0.3">
      <c r="A20" s="267"/>
      <c r="B20" s="268"/>
      <c r="D20" s="267"/>
      <c r="E20" s="268"/>
      <c r="F20" s="268"/>
    </row>
    <row r="21" spans="1:6" s="173" customFormat="1" ht="17.25" thickTop="1" thickBot="1" x14ac:dyDescent="0.3">
      <c r="A21" s="267"/>
      <c r="B21" s="267"/>
      <c r="C21" s="267"/>
      <c r="D21" s="1021" t="s">
        <v>308</v>
      </c>
      <c r="E21" s="1021"/>
      <c r="F21" s="272">
        <f>SUM(F12+F19)</f>
        <v>1308376</v>
      </c>
    </row>
    <row r="22" spans="1:6" s="173" customFormat="1" ht="16.5" thickTop="1" x14ac:dyDescent="0.25">
      <c r="A22" s="267"/>
      <c r="B22" s="268"/>
      <c r="D22" s="267"/>
      <c r="E22" s="268"/>
      <c r="F22" s="268"/>
    </row>
    <row r="23" spans="1:6" s="173" customFormat="1" ht="16.5" thickBot="1" x14ac:dyDescent="0.3">
      <c r="A23" s="267"/>
      <c r="B23" s="268"/>
      <c r="D23" s="267"/>
      <c r="E23" s="268"/>
      <c r="F23" s="268"/>
    </row>
    <row r="24" spans="1:6" ht="33" thickTop="1" thickBot="1" x14ac:dyDescent="0.3">
      <c r="A24" s="155" t="s">
        <v>52</v>
      </c>
      <c r="B24" s="156" t="s">
        <v>784</v>
      </c>
      <c r="D24" s="155" t="s">
        <v>52</v>
      </c>
      <c r="E24" s="156" t="s">
        <v>784</v>
      </c>
    </row>
    <row r="25" spans="1:6" ht="16.5" thickTop="1" x14ac:dyDescent="0.25">
      <c r="A25" s="160" t="s">
        <v>296</v>
      </c>
      <c r="B25" s="176"/>
      <c r="D25" s="160" t="s">
        <v>297</v>
      </c>
      <c r="E25" s="176"/>
    </row>
    <row r="26" spans="1:6" ht="32.25" customHeight="1" thickBot="1" x14ac:dyDescent="0.3">
      <c r="A26" s="162" t="s">
        <v>51</v>
      </c>
      <c r="B26" s="163">
        <v>25466977</v>
      </c>
      <c r="D26" s="162" t="s">
        <v>291</v>
      </c>
      <c r="E26" s="163">
        <v>8819600</v>
      </c>
      <c r="F26" s="334"/>
    </row>
    <row r="27" spans="1:6" ht="16.5" thickTop="1" x14ac:dyDescent="0.25">
      <c r="A27" s="162" t="s">
        <v>59</v>
      </c>
      <c r="B27" s="163">
        <v>1559728</v>
      </c>
      <c r="D27" s="162" t="s">
        <v>298</v>
      </c>
      <c r="E27" s="163">
        <v>321811</v>
      </c>
      <c r="F27" s="1027" t="s">
        <v>300</v>
      </c>
    </row>
    <row r="28" spans="1:6" x14ac:dyDescent="0.25">
      <c r="A28" s="162" t="s">
        <v>269</v>
      </c>
      <c r="B28" s="163">
        <v>1340855</v>
      </c>
      <c r="D28" s="162" t="s">
        <v>275</v>
      </c>
      <c r="E28" s="163">
        <v>103040</v>
      </c>
      <c r="F28" s="1028"/>
    </row>
    <row r="29" spans="1:6" ht="16.5" thickBot="1" x14ac:dyDescent="0.3">
      <c r="A29" s="168"/>
      <c r="B29" s="163"/>
      <c r="D29" s="332"/>
      <c r="E29" s="333"/>
      <c r="F29" s="1029"/>
    </row>
    <row r="30" spans="1:6" s="173" customFormat="1" ht="17.25" thickTop="1" thickBot="1" x14ac:dyDescent="0.3">
      <c r="A30" s="171" t="s">
        <v>301</v>
      </c>
      <c r="B30" s="172">
        <f>SUM(B26:B29)</f>
        <v>28367560</v>
      </c>
      <c r="D30" s="171" t="s">
        <v>302</v>
      </c>
      <c r="E30" s="172">
        <f>SUM(E26:E28)</f>
        <v>9244451</v>
      </c>
      <c r="F30" s="172">
        <f>+E30-B30</f>
        <v>-19123109</v>
      </c>
    </row>
    <row r="31" spans="1:6" s="173" customFormat="1" ht="17.25" thickTop="1" thickBot="1" x14ac:dyDescent="0.3">
      <c r="A31" s="267"/>
      <c r="B31" s="268"/>
      <c r="D31" s="267"/>
      <c r="E31" s="268"/>
      <c r="F31" s="268"/>
    </row>
    <row r="32" spans="1:6" s="159" customFormat="1" ht="17.25" thickTop="1" thickBot="1" x14ac:dyDescent="0.3">
      <c r="A32" s="160" t="s">
        <v>309</v>
      </c>
      <c r="B32" s="176"/>
      <c r="D32" s="160" t="s">
        <v>311</v>
      </c>
      <c r="E32" s="161"/>
    </row>
    <row r="33" spans="1:6" s="164" customFormat="1" ht="16.5" thickTop="1" x14ac:dyDescent="0.25">
      <c r="A33" s="168" t="s">
        <v>321</v>
      </c>
      <c r="B33" s="163">
        <v>435514</v>
      </c>
      <c r="D33" s="169" t="s">
        <v>322</v>
      </c>
      <c r="E33" s="885">
        <v>435514</v>
      </c>
      <c r="F33" s="1027" t="s">
        <v>318</v>
      </c>
    </row>
    <row r="34" spans="1:6" s="164" customFormat="1" ht="31.5" x14ac:dyDescent="0.25">
      <c r="A34" s="168" t="s">
        <v>498</v>
      </c>
      <c r="B34" s="163">
        <v>500000</v>
      </c>
      <c r="D34" s="169" t="s">
        <v>376</v>
      </c>
      <c r="E34" s="885">
        <v>10814733</v>
      </c>
      <c r="F34" s="1028"/>
    </row>
    <row r="35" spans="1:6" s="164" customFormat="1" ht="32.25" thickBot="1" x14ac:dyDescent="0.3">
      <c r="A35" s="270"/>
      <c r="B35" s="615"/>
      <c r="D35" s="168" t="s">
        <v>497</v>
      </c>
      <c r="E35" s="886">
        <f>7000000+500000</f>
        <v>7500000</v>
      </c>
      <c r="F35" s="1029"/>
    </row>
    <row r="36" spans="1:6" s="173" customFormat="1" ht="17.25" thickTop="1" thickBot="1" x14ac:dyDescent="0.3">
      <c r="A36" s="171" t="s">
        <v>310</v>
      </c>
      <c r="B36" s="172">
        <f>SUM(B33:B34)</f>
        <v>935514</v>
      </c>
      <c r="D36" s="171" t="s">
        <v>312</v>
      </c>
      <c r="E36" s="172">
        <f>SUM(E33:E35)</f>
        <v>18750247</v>
      </c>
      <c r="F36" s="172">
        <f>+E36-B36</f>
        <v>17814733</v>
      </c>
    </row>
    <row r="37" spans="1:6" s="173" customFormat="1" ht="17.25" thickTop="1" thickBot="1" x14ac:dyDescent="0.3">
      <c r="A37" s="267"/>
      <c r="B37" s="268"/>
      <c r="D37" s="267"/>
      <c r="E37" s="268"/>
      <c r="F37" s="268"/>
    </row>
    <row r="38" spans="1:6" s="173" customFormat="1" ht="17.25" thickTop="1" thickBot="1" x14ac:dyDescent="0.3">
      <c r="A38" s="267"/>
      <c r="B38" s="267"/>
      <c r="C38" s="267"/>
      <c r="D38" s="1021" t="s">
        <v>313</v>
      </c>
      <c r="E38" s="1021"/>
      <c r="F38" s="272">
        <f>SUM(F30+F36)</f>
        <v>-1308376</v>
      </c>
    </row>
    <row r="39" spans="1:6" s="173" customFormat="1" ht="17.25" thickTop="1" thickBot="1" x14ac:dyDescent="0.3">
      <c r="A39" s="267"/>
      <c r="B39" s="268"/>
      <c r="D39" s="267"/>
      <c r="E39" s="268"/>
      <c r="F39" s="268"/>
    </row>
    <row r="40" spans="1:6" s="173" customFormat="1" ht="33" thickTop="1" thickBot="1" x14ac:dyDescent="0.3">
      <c r="A40" s="267"/>
      <c r="B40" s="268"/>
      <c r="D40" s="267"/>
      <c r="E40" s="268"/>
      <c r="F40" s="178" t="s">
        <v>60</v>
      </c>
    </row>
    <row r="41" spans="1:6" s="173" customFormat="1" ht="17.25" thickTop="1" thickBot="1" x14ac:dyDescent="0.3">
      <c r="A41" s="179" t="s">
        <v>61</v>
      </c>
      <c r="B41" s="616">
        <f>SUM(B30+B12)</f>
        <v>70843708</v>
      </c>
      <c r="C41" s="157"/>
      <c r="D41" s="179" t="s">
        <v>62</v>
      </c>
      <c r="E41" s="180">
        <f>SUM(E30+E12)</f>
        <v>43232644</v>
      </c>
      <c r="F41" s="181">
        <f>SUM(E41-B41)</f>
        <v>-27611064</v>
      </c>
    </row>
    <row r="42" spans="1:6" s="173" customFormat="1" ht="17.25" thickTop="1" thickBot="1" x14ac:dyDescent="0.3">
      <c r="A42" s="269"/>
      <c r="B42" s="617"/>
      <c r="C42" s="157"/>
      <c r="D42" s="269"/>
      <c r="E42" s="271"/>
      <c r="F42" s="271"/>
    </row>
    <row r="43" spans="1:6" s="173" customFormat="1" ht="33" thickTop="1" thickBot="1" x14ac:dyDescent="0.3">
      <c r="A43" s="267"/>
      <c r="B43" s="268"/>
      <c r="D43" s="267"/>
      <c r="E43" s="268"/>
      <c r="F43" s="178" t="s">
        <v>317</v>
      </c>
    </row>
    <row r="44" spans="1:6" s="173" customFormat="1" ht="17.25" thickTop="1" thickBot="1" x14ac:dyDescent="0.3">
      <c r="A44" s="179" t="s">
        <v>314</v>
      </c>
      <c r="B44" s="616">
        <f>SUM(B36+B19)</f>
        <v>34959944</v>
      </c>
      <c r="C44" s="157"/>
      <c r="D44" s="179" t="s">
        <v>315</v>
      </c>
      <c r="E44" s="180">
        <f>SUM(E36+E19)</f>
        <v>62571008</v>
      </c>
      <c r="F44" s="181">
        <f>SUM(E44-B44)</f>
        <v>27611064</v>
      </c>
    </row>
    <row r="45" spans="1:6" s="173" customFormat="1" ht="17.25" thickTop="1" thickBot="1" x14ac:dyDescent="0.3">
      <c r="A45" s="267"/>
      <c r="B45" s="268"/>
      <c r="D45" s="267"/>
      <c r="E45" s="268"/>
      <c r="F45" s="268"/>
    </row>
    <row r="46" spans="1:6" s="173" customFormat="1" ht="17.25" thickTop="1" thickBot="1" x14ac:dyDescent="0.3">
      <c r="A46" s="267"/>
      <c r="B46" s="268"/>
      <c r="D46" s="1022" t="s">
        <v>316</v>
      </c>
      <c r="E46" s="1022"/>
      <c r="F46" s="273">
        <f>SUM(F41+F44)</f>
        <v>0</v>
      </c>
    </row>
    <row r="47" spans="1:6" s="173" customFormat="1" ht="16.5" thickTop="1" x14ac:dyDescent="0.25">
      <c r="A47" s="267"/>
      <c r="B47" s="268"/>
      <c r="D47" s="267"/>
      <c r="E47" s="268"/>
      <c r="F47" s="268"/>
    </row>
    <row r="48" spans="1:6" x14ac:dyDescent="0.25">
      <c r="A48" s="182"/>
      <c r="C48" s="177"/>
      <c r="E48" s="175"/>
      <c r="F48" s="177"/>
    </row>
    <row r="49" spans="1:6" x14ac:dyDescent="0.25">
      <c r="E49" s="175"/>
    </row>
    <row r="50" spans="1:6" x14ac:dyDescent="0.25">
      <c r="A50" s="182"/>
      <c r="B50" s="183"/>
      <c r="E50" s="183"/>
      <c r="F50" s="177"/>
    </row>
    <row r="51" spans="1:6" x14ac:dyDescent="0.25">
      <c r="A51" s="182"/>
      <c r="C51" s="177"/>
      <c r="E51" s="175"/>
    </row>
    <row r="52" spans="1:6" x14ac:dyDescent="0.25">
      <c r="C52" s="177"/>
      <c r="E52" s="175"/>
    </row>
    <row r="53" spans="1:6" x14ac:dyDescent="0.25">
      <c r="A53" s="182"/>
      <c r="D53" s="184"/>
      <c r="E53" s="175"/>
    </row>
  </sheetData>
  <mergeCells count="8">
    <mergeCell ref="D38:E38"/>
    <mergeCell ref="D46:E46"/>
    <mergeCell ref="A1:F1"/>
    <mergeCell ref="F9:F11"/>
    <mergeCell ref="F15:F18"/>
    <mergeCell ref="D21:E21"/>
    <mergeCell ref="F27:F29"/>
    <mergeCell ref="F33:F35"/>
  </mergeCells>
  <printOptions horizontalCentered="1"/>
  <pageMargins left="0.31496062992125984" right="0.23622047244094491" top="0.47244094488188981" bottom="0.23622047244094491" header="0.23622047244094491" footer="0.15748031496062992"/>
  <pageSetup paperSize="9" scale="58" orientation="landscape" r:id="rId1"/>
  <headerFooter alignWithMargins="0">
    <oddHeader>&amp;R&amp;"Times New Roman CE,Félkövér"13. melléklet a 6/2019. (II.22.) önkormányzati rendelethez&amp;"Times New Roman CE,Dőlt"&amp;10
16. melléklet
a 3/2018.(II.8.) önkormányzati rendelethez</oddHeader>
    <oddFooter xml:space="preserve">&amp;C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42"/>
  <sheetViews>
    <sheetView topLeftCell="A4" zoomScaleNormal="100" workbookViewId="0">
      <pane xSplit="1" ySplit="2" topLeftCell="B6" activePane="bottomRight" state="frozen"/>
      <selection activeCell="AD41" sqref="AD41"/>
      <selection pane="topRight" activeCell="AD41" sqref="AD41"/>
      <selection pane="bottomLeft" activeCell="AD41" sqref="AD41"/>
      <selection pane="bottomRight" activeCell="AD41" sqref="AD41"/>
    </sheetView>
  </sheetViews>
  <sheetFormatPr defaultColWidth="8" defaultRowHeight="15.75" x14ac:dyDescent="0.25"/>
  <cols>
    <col min="1" max="1" width="53.375" style="921" bestFit="1" customWidth="1"/>
    <col min="2" max="2" width="12.125" style="921" customWidth="1"/>
    <col min="3" max="3" width="12.375" style="921" customWidth="1"/>
    <col min="4" max="4" width="12.125" style="921" customWidth="1"/>
    <col min="5" max="5" width="11.75" style="921" customWidth="1"/>
    <col min="6" max="6" width="13.625" style="921" customWidth="1"/>
    <col min="7" max="7" width="13.25" style="921" customWidth="1"/>
    <col min="8" max="16384" width="8" style="921"/>
  </cols>
  <sheetData>
    <row r="1" spans="1:7" x14ac:dyDescent="0.25">
      <c r="A1" s="1030" t="s">
        <v>1203</v>
      </c>
      <c r="B1" s="1030"/>
      <c r="C1" s="1030"/>
      <c r="D1" s="1030"/>
      <c r="E1" s="1030"/>
      <c r="F1" s="1030"/>
      <c r="G1" s="1030"/>
    </row>
    <row r="2" spans="1:7" x14ac:dyDescent="0.25">
      <c r="A2" s="1030" t="s">
        <v>1204</v>
      </c>
      <c r="B2" s="1030"/>
      <c r="C2" s="1030"/>
      <c r="D2" s="1030"/>
      <c r="E2" s="1030"/>
      <c r="F2" s="1030"/>
      <c r="G2" s="1030"/>
    </row>
    <row r="3" spans="1:7" ht="16.5" thickBot="1" x14ac:dyDescent="0.3"/>
    <row r="4" spans="1:7" ht="33" thickTop="1" thickBot="1" x14ac:dyDescent="0.3">
      <c r="A4" s="919" t="s">
        <v>145</v>
      </c>
      <c r="B4" s="920" t="s">
        <v>1185</v>
      </c>
      <c r="C4" s="920" t="s">
        <v>1186</v>
      </c>
      <c r="D4" s="920" t="s">
        <v>1187</v>
      </c>
      <c r="E4" s="920" t="s">
        <v>1188</v>
      </c>
      <c r="F4" s="920" t="s">
        <v>1189</v>
      </c>
      <c r="G4" s="920" t="s">
        <v>1153</v>
      </c>
    </row>
    <row r="5" spans="1:7" ht="17.25" thickTop="1" thickBot="1" x14ac:dyDescent="0.3">
      <c r="A5" s="922" t="s">
        <v>146</v>
      </c>
      <c r="B5" s="923" t="s">
        <v>147</v>
      </c>
      <c r="C5" s="923" t="s">
        <v>148</v>
      </c>
      <c r="D5" s="923" t="s">
        <v>149</v>
      </c>
      <c r="E5" s="923" t="s">
        <v>150</v>
      </c>
      <c r="F5" s="923" t="s">
        <v>151</v>
      </c>
      <c r="G5" s="923" t="s">
        <v>1190</v>
      </c>
    </row>
    <row r="6" spans="1:7" ht="16.5" thickTop="1" x14ac:dyDescent="0.25">
      <c r="A6" s="924"/>
      <c r="B6" s="925"/>
      <c r="C6" s="925"/>
      <c r="D6" s="925"/>
      <c r="E6" s="925"/>
      <c r="F6" s="925"/>
      <c r="G6" s="925"/>
    </row>
    <row r="7" spans="1:7" ht="31.5" x14ac:dyDescent="0.25">
      <c r="A7" s="577" t="s">
        <v>1191</v>
      </c>
      <c r="B7" s="926"/>
      <c r="C7" s="926"/>
      <c r="D7" s="926"/>
      <c r="E7" s="926"/>
      <c r="F7" s="926"/>
      <c r="G7" s="927"/>
    </row>
    <row r="8" spans="1:7" x14ac:dyDescent="0.25">
      <c r="A8" s="572" t="s">
        <v>729</v>
      </c>
      <c r="B8" s="928">
        <v>300000</v>
      </c>
      <c r="C8" s="928">
        <v>500000</v>
      </c>
      <c r="D8" s="928"/>
      <c r="E8" s="928"/>
      <c r="F8" s="928"/>
      <c r="G8" s="927">
        <f t="shared" ref="G8" si="0">SUM(B8:F8)</f>
        <v>800000</v>
      </c>
    </row>
    <row r="9" spans="1:7" ht="47.25" x14ac:dyDescent="0.25">
      <c r="A9" s="580" t="s">
        <v>713</v>
      </c>
      <c r="B9" s="928">
        <v>9579536</v>
      </c>
      <c r="C9" s="928">
        <f>2830452-18603</f>
        <v>2811849</v>
      </c>
      <c r="D9" s="928"/>
      <c r="E9" s="928"/>
      <c r="F9" s="928"/>
      <c r="G9" s="927">
        <f t="shared" ref="G9:G13" si="1">SUM(B9:F9)</f>
        <v>12391385</v>
      </c>
    </row>
    <row r="10" spans="1:7" ht="47.25" x14ac:dyDescent="0.25">
      <c r="A10" s="580" t="s">
        <v>559</v>
      </c>
      <c r="B10" s="928">
        <v>1968602</v>
      </c>
      <c r="C10" s="928">
        <f>1580798-504923</f>
        <v>1075875</v>
      </c>
      <c r="D10" s="928">
        <v>42961</v>
      </c>
      <c r="E10" s="928"/>
      <c r="F10" s="928"/>
      <c r="G10" s="927">
        <f t="shared" si="1"/>
        <v>3087438</v>
      </c>
    </row>
    <row r="11" spans="1:7" x14ac:dyDescent="0.25">
      <c r="A11" s="580" t="s">
        <v>548</v>
      </c>
      <c r="B11" s="928">
        <v>7233552</v>
      </c>
      <c r="C11" s="928">
        <v>7740000</v>
      </c>
      <c r="D11" s="928">
        <v>635000</v>
      </c>
      <c r="E11" s="928"/>
      <c r="F11" s="928"/>
      <c r="G11" s="927">
        <f t="shared" si="1"/>
        <v>15608552</v>
      </c>
    </row>
    <row r="12" spans="1:7" ht="63" x14ac:dyDescent="0.25">
      <c r="A12" s="580" t="s">
        <v>790</v>
      </c>
      <c r="B12" s="928">
        <v>918200</v>
      </c>
      <c r="C12" s="928">
        <v>1544575</v>
      </c>
      <c r="D12" s="928"/>
      <c r="E12" s="928"/>
      <c r="F12" s="928"/>
      <c r="G12" s="927">
        <f t="shared" si="1"/>
        <v>2462775</v>
      </c>
    </row>
    <row r="13" spans="1:7" ht="63" x14ac:dyDescent="0.25">
      <c r="A13" s="580" t="s">
        <v>716</v>
      </c>
      <c r="B13" s="928">
        <v>5029</v>
      </c>
      <c r="C13" s="928">
        <f>65000-5029</f>
        <v>59971</v>
      </c>
      <c r="D13" s="928"/>
      <c r="E13" s="928"/>
      <c r="F13" s="928"/>
      <c r="G13" s="927">
        <f t="shared" si="1"/>
        <v>65000</v>
      </c>
    </row>
    <row r="14" spans="1:7" x14ac:dyDescent="0.25">
      <c r="A14" s="580" t="s">
        <v>732</v>
      </c>
      <c r="B14" s="928">
        <v>487393</v>
      </c>
      <c r="C14" s="928">
        <f>25900+89</f>
        <v>25989</v>
      </c>
      <c r="D14" s="928"/>
      <c r="E14" s="928"/>
      <c r="F14" s="928"/>
      <c r="G14" s="927">
        <f t="shared" ref="G14:G30" si="2">SUM(B14:F14)</f>
        <v>513382</v>
      </c>
    </row>
    <row r="15" spans="1:7" x14ac:dyDescent="0.25">
      <c r="A15" s="580" t="s">
        <v>733</v>
      </c>
      <c r="B15" s="928">
        <v>138218</v>
      </c>
      <c r="C15" s="928">
        <v>229083</v>
      </c>
      <c r="D15" s="928">
        <v>2988825</v>
      </c>
      <c r="E15" s="928"/>
      <c r="F15" s="928"/>
      <c r="G15" s="927">
        <f t="shared" si="2"/>
        <v>3356126</v>
      </c>
    </row>
    <row r="16" spans="1:7" ht="30" customHeight="1" x14ac:dyDescent="0.25">
      <c r="A16" s="580" t="s">
        <v>734</v>
      </c>
      <c r="B16" s="928">
        <v>91218</v>
      </c>
      <c r="C16" s="928">
        <f>1155+931</f>
        <v>2086</v>
      </c>
      <c r="D16" s="928"/>
      <c r="E16" s="928"/>
      <c r="F16" s="928"/>
      <c r="G16" s="927">
        <f t="shared" si="2"/>
        <v>93304</v>
      </c>
    </row>
    <row r="17" spans="1:7" x14ac:dyDescent="0.25">
      <c r="A17" s="580" t="s">
        <v>736</v>
      </c>
      <c r="B17" s="928">
        <v>1423</v>
      </c>
      <c r="C17" s="928">
        <f>136800-1518</f>
        <v>135282</v>
      </c>
      <c r="D17" s="928">
        <v>149803</v>
      </c>
      <c r="E17" s="928"/>
      <c r="F17" s="928"/>
      <c r="G17" s="927">
        <f t="shared" si="2"/>
        <v>286508</v>
      </c>
    </row>
    <row r="18" spans="1:7" x14ac:dyDescent="0.25">
      <c r="A18" s="580" t="s">
        <v>737</v>
      </c>
      <c r="B18" s="928">
        <v>107337</v>
      </c>
      <c r="C18" s="928">
        <f>5715+1242</f>
        <v>6957</v>
      </c>
      <c r="D18" s="928"/>
      <c r="E18" s="928"/>
      <c r="F18" s="928"/>
      <c r="G18" s="927">
        <f t="shared" si="2"/>
        <v>114294</v>
      </c>
    </row>
    <row r="19" spans="1:7" x14ac:dyDescent="0.25">
      <c r="A19" s="580" t="s">
        <v>552</v>
      </c>
      <c r="B19" s="928">
        <v>101166</v>
      </c>
      <c r="C19" s="928">
        <f>11263-3521</f>
        <v>7742</v>
      </c>
      <c r="D19" s="928"/>
      <c r="E19" s="928"/>
      <c r="F19" s="928"/>
      <c r="G19" s="927">
        <f t="shared" si="2"/>
        <v>108908</v>
      </c>
    </row>
    <row r="20" spans="1:7" x14ac:dyDescent="0.25">
      <c r="A20" s="580" t="s">
        <v>554</v>
      </c>
      <c r="B20" s="928">
        <v>45104</v>
      </c>
      <c r="C20" s="928">
        <f>399035+78500</f>
        <v>477535</v>
      </c>
      <c r="D20" s="928">
        <v>764021</v>
      </c>
      <c r="E20" s="928">
        <v>369234</v>
      </c>
      <c r="F20" s="928"/>
      <c r="G20" s="927">
        <f t="shared" si="2"/>
        <v>1655894</v>
      </c>
    </row>
    <row r="21" spans="1:7" ht="48.75" customHeight="1" x14ac:dyDescent="0.25">
      <c r="A21" s="580" t="s">
        <v>738</v>
      </c>
      <c r="B21" s="928">
        <v>1106</v>
      </c>
      <c r="C21" s="928">
        <f>10657-1105</f>
        <v>9552</v>
      </c>
      <c r="D21" s="928"/>
      <c r="E21" s="928"/>
      <c r="F21" s="928"/>
      <c r="G21" s="927">
        <f t="shared" si="2"/>
        <v>10658</v>
      </c>
    </row>
    <row r="22" spans="1:7" x14ac:dyDescent="0.25">
      <c r="A22" s="580" t="s">
        <v>739</v>
      </c>
      <c r="B22" s="928">
        <v>117585</v>
      </c>
      <c r="C22" s="928">
        <v>68083</v>
      </c>
      <c r="D22" s="928"/>
      <c r="E22" s="928"/>
      <c r="F22" s="928"/>
      <c r="G22" s="927">
        <f t="shared" si="2"/>
        <v>185668</v>
      </c>
    </row>
    <row r="23" spans="1:7" x14ac:dyDescent="0.25">
      <c r="A23" s="580" t="s">
        <v>740</v>
      </c>
      <c r="B23" s="928">
        <v>5798</v>
      </c>
      <c r="C23" s="928">
        <f>151721-5797</f>
        <v>145924</v>
      </c>
      <c r="D23" s="928"/>
      <c r="E23" s="928"/>
      <c r="F23" s="928"/>
      <c r="G23" s="927">
        <f t="shared" si="2"/>
        <v>151722</v>
      </c>
    </row>
    <row r="24" spans="1:7" ht="31.5" x14ac:dyDescent="0.25">
      <c r="A24" s="580" t="s">
        <v>742</v>
      </c>
      <c r="B24" s="928">
        <v>150000</v>
      </c>
      <c r="C24" s="928">
        <f>180600+1260</f>
        <v>181860</v>
      </c>
      <c r="D24" s="928">
        <v>399650</v>
      </c>
      <c r="E24" s="928"/>
      <c r="F24" s="928"/>
      <c r="G24" s="927">
        <f t="shared" si="2"/>
        <v>731510</v>
      </c>
    </row>
    <row r="25" spans="1:7" x14ac:dyDescent="0.25">
      <c r="A25" s="580" t="s">
        <v>743</v>
      </c>
      <c r="B25" s="928">
        <v>2307</v>
      </c>
      <c r="C25" s="928">
        <v>11987</v>
      </c>
      <c r="D25" s="928">
        <v>13472</v>
      </c>
      <c r="E25" s="928">
        <v>9567</v>
      </c>
      <c r="F25" s="928">
        <v>1265</v>
      </c>
      <c r="G25" s="927">
        <f t="shared" si="2"/>
        <v>38598</v>
      </c>
    </row>
    <row r="26" spans="1:7" ht="31.5" x14ac:dyDescent="0.25">
      <c r="A26" s="580" t="s">
        <v>1201</v>
      </c>
      <c r="B26" s="928">
        <v>19973</v>
      </c>
      <c r="C26" s="928">
        <f>187660-16406</f>
        <v>171254</v>
      </c>
      <c r="D26" s="928"/>
      <c r="E26" s="928"/>
      <c r="F26" s="928"/>
      <c r="G26" s="927">
        <f t="shared" si="2"/>
        <v>191227</v>
      </c>
    </row>
    <row r="27" spans="1:7" ht="47.25" x14ac:dyDescent="0.25">
      <c r="A27" s="580" t="s">
        <v>1202</v>
      </c>
      <c r="B27" s="928">
        <v>3024</v>
      </c>
      <c r="C27" s="928">
        <f>69000+1914</f>
        <v>70914</v>
      </c>
      <c r="D27" s="928"/>
      <c r="E27" s="928"/>
      <c r="F27" s="928"/>
      <c r="G27" s="927">
        <f t="shared" si="2"/>
        <v>73938</v>
      </c>
    </row>
    <row r="28" spans="1:7" ht="31.5" x14ac:dyDescent="0.25">
      <c r="A28" s="580" t="s">
        <v>1192</v>
      </c>
      <c r="B28" s="928">
        <v>15292</v>
      </c>
      <c r="C28" s="928">
        <f>105220-8369</f>
        <v>96851</v>
      </c>
      <c r="D28" s="928">
        <v>263321</v>
      </c>
      <c r="E28" s="928"/>
      <c r="F28" s="928"/>
      <c r="G28" s="927">
        <f t="shared" si="2"/>
        <v>375464</v>
      </c>
    </row>
    <row r="29" spans="1:7" ht="31.5" x14ac:dyDescent="0.25">
      <c r="A29" s="580" t="s">
        <v>1133</v>
      </c>
      <c r="B29" s="928">
        <v>5077</v>
      </c>
      <c r="C29" s="928">
        <f>90238+21457</f>
        <v>111695</v>
      </c>
      <c r="D29" s="928"/>
      <c r="E29" s="928"/>
      <c r="F29" s="928"/>
      <c r="G29" s="927">
        <f t="shared" si="2"/>
        <v>116772</v>
      </c>
    </row>
    <row r="30" spans="1:7" ht="16.5" thickBot="1" x14ac:dyDescent="0.3">
      <c r="A30" s="580" t="s">
        <v>1128</v>
      </c>
      <c r="B30" s="928">
        <v>3474</v>
      </c>
      <c r="C30" s="928">
        <f>4108-3248</f>
        <v>860</v>
      </c>
      <c r="D30" s="928">
        <v>1037</v>
      </c>
      <c r="E30" s="928"/>
      <c r="F30" s="928"/>
      <c r="G30" s="927">
        <f t="shared" si="2"/>
        <v>5371</v>
      </c>
    </row>
    <row r="31" spans="1:7" ht="33" thickTop="1" thickBot="1" x14ac:dyDescent="0.3">
      <c r="A31" s="929" t="s">
        <v>1193</v>
      </c>
      <c r="B31" s="930">
        <f>SUM(B8:B30)</f>
        <v>21300414</v>
      </c>
      <c r="C31" s="930">
        <f t="shared" ref="C31:G31" si="3">SUM(C8:C30)</f>
        <v>15485924</v>
      </c>
      <c r="D31" s="930">
        <f t="shared" si="3"/>
        <v>5258090</v>
      </c>
      <c r="E31" s="930">
        <f t="shared" si="3"/>
        <v>378801</v>
      </c>
      <c r="F31" s="930">
        <f t="shared" si="3"/>
        <v>1265</v>
      </c>
      <c r="G31" s="930">
        <f t="shared" si="3"/>
        <v>42424494</v>
      </c>
    </row>
    <row r="32" spans="1:7" ht="16.5" thickTop="1" x14ac:dyDescent="0.25">
      <c r="A32" s="931"/>
      <c r="B32" s="932"/>
      <c r="C32" s="932"/>
      <c r="D32" s="932"/>
      <c r="E32" s="932"/>
      <c r="F32" s="932"/>
      <c r="G32" s="932"/>
    </row>
    <row r="33" spans="1:7" x14ac:dyDescent="0.25">
      <c r="A33" s="924" t="s">
        <v>1194</v>
      </c>
      <c r="B33" s="925"/>
      <c r="C33" s="925"/>
      <c r="D33" s="925"/>
      <c r="E33" s="925"/>
      <c r="F33" s="925"/>
      <c r="G33" s="925"/>
    </row>
    <row r="34" spans="1:7" ht="31.5" x14ac:dyDescent="0.25">
      <c r="A34" s="933" t="s">
        <v>1195</v>
      </c>
      <c r="B34" s="926">
        <v>22225</v>
      </c>
      <c r="C34" s="926">
        <v>22225</v>
      </c>
      <c r="D34" s="926"/>
      <c r="E34" s="926"/>
      <c r="F34" s="926"/>
      <c r="G34" s="927">
        <f>SUM(B34:F34)</f>
        <v>44450</v>
      </c>
    </row>
    <row r="35" spans="1:7" ht="16.5" thickBot="1" x14ac:dyDescent="0.3">
      <c r="A35" s="934" t="s">
        <v>1196</v>
      </c>
      <c r="B35" s="926">
        <v>50000</v>
      </c>
      <c r="C35" s="926">
        <v>4611</v>
      </c>
      <c r="D35" s="926"/>
      <c r="E35" s="926"/>
      <c r="F35" s="926"/>
      <c r="G35" s="927">
        <f>SUM(B35:F35)</f>
        <v>54611</v>
      </c>
    </row>
    <row r="36" spans="1:7" ht="17.25" thickTop="1" thickBot="1" x14ac:dyDescent="0.3">
      <c r="A36" s="929" t="s">
        <v>1197</v>
      </c>
      <c r="B36" s="930">
        <f>SUM(B34:B35)</f>
        <v>72225</v>
      </c>
      <c r="C36" s="930">
        <f t="shared" ref="C36:G36" si="4">SUM(C34:C35)</f>
        <v>26836</v>
      </c>
      <c r="D36" s="930">
        <f t="shared" si="4"/>
        <v>0</v>
      </c>
      <c r="E36" s="930">
        <f t="shared" si="4"/>
        <v>0</v>
      </c>
      <c r="F36" s="930">
        <f t="shared" si="4"/>
        <v>0</v>
      </c>
      <c r="G36" s="930">
        <f t="shared" si="4"/>
        <v>99061</v>
      </c>
    </row>
    <row r="37" spans="1:7" ht="16.5" thickTop="1" x14ac:dyDescent="0.25">
      <c r="A37" s="931"/>
      <c r="B37" s="932"/>
      <c r="C37" s="932"/>
      <c r="D37" s="932"/>
      <c r="E37" s="932"/>
      <c r="F37" s="932"/>
      <c r="G37" s="932"/>
    </row>
    <row r="38" spans="1:7" x14ac:dyDescent="0.25">
      <c r="A38" s="935" t="s">
        <v>1198</v>
      </c>
      <c r="B38" s="926"/>
      <c r="C38" s="926"/>
      <c r="D38" s="926"/>
      <c r="E38" s="926"/>
      <c r="F38" s="926"/>
      <c r="G38" s="927"/>
    </row>
    <row r="39" spans="1:7" ht="32.25" thickBot="1" x14ac:dyDescent="0.3">
      <c r="A39" s="936" t="s">
        <v>1199</v>
      </c>
      <c r="B39" s="937">
        <v>63000</v>
      </c>
      <c r="C39" s="937">
        <v>63000</v>
      </c>
      <c r="D39" s="937">
        <v>63000</v>
      </c>
      <c r="E39" s="937">
        <v>63000</v>
      </c>
      <c r="F39" s="937">
        <v>63000</v>
      </c>
      <c r="G39" s="927">
        <f>SUM(B39:F39)</f>
        <v>315000</v>
      </c>
    </row>
    <row r="40" spans="1:7" ht="33" thickTop="1" thickBot="1" x14ac:dyDescent="0.3">
      <c r="A40" s="929" t="s">
        <v>1200</v>
      </c>
      <c r="B40" s="930">
        <f t="shared" ref="B40:G40" si="5">SUM(B39:B39)</f>
        <v>63000</v>
      </c>
      <c r="C40" s="930">
        <f t="shared" si="5"/>
        <v>63000</v>
      </c>
      <c r="D40" s="930">
        <f t="shared" si="5"/>
        <v>63000</v>
      </c>
      <c r="E40" s="930">
        <f t="shared" si="5"/>
        <v>63000</v>
      </c>
      <c r="F40" s="930">
        <f t="shared" si="5"/>
        <v>63000</v>
      </c>
      <c r="G40" s="930">
        <f t="shared" si="5"/>
        <v>315000</v>
      </c>
    </row>
    <row r="41" spans="1:7" ht="17.25" thickTop="1" thickBot="1" x14ac:dyDescent="0.3">
      <c r="A41" s="938" t="s">
        <v>1153</v>
      </c>
      <c r="B41" s="939">
        <f>SUM(B31,B36,B40)</f>
        <v>21435639</v>
      </c>
      <c r="C41" s="939">
        <f t="shared" ref="C41:G41" si="6">SUM(C31,C36,C40)</f>
        <v>15575760</v>
      </c>
      <c r="D41" s="939">
        <f t="shared" si="6"/>
        <v>5321090</v>
      </c>
      <c r="E41" s="939">
        <f t="shared" si="6"/>
        <v>441801</v>
      </c>
      <c r="F41" s="939">
        <f t="shared" si="6"/>
        <v>64265</v>
      </c>
      <c r="G41" s="939">
        <f t="shared" si="6"/>
        <v>42838555</v>
      </c>
    </row>
    <row r="42" spans="1:7" ht="16.5" thickTop="1" x14ac:dyDescent="0.25">
      <c r="G42" s="940"/>
    </row>
  </sheetData>
  <mergeCells count="2">
    <mergeCell ref="A2:G2"/>
    <mergeCell ref="A1:G1"/>
  </mergeCells>
  <pageMargins left="0.31496062992125984" right="0.31496062992125984" top="0.94488188976377963" bottom="0.74803149606299213" header="0.31496062992125984" footer="0.31496062992125984"/>
  <pageSetup paperSize="9" scale="69" orientation="portrait" r:id="rId1"/>
  <headerFooter>
    <oddHeader>&amp;C&amp;"Times New Roman CE,Félkövér"
&amp;R&amp;"Times New Roman CE,Félkövér"14. melléklet a 6/2019. (II.22.) önkormányzati rendelethez
&amp;"Times New Roman CE,Dőlt"18. melléklet
a 3/2018.(II.8.) önkormányzati rendelethez</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D71"/>
  <sheetViews>
    <sheetView zoomScale="130" zoomScaleNormal="130" zoomScaleSheetLayoutView="100" workbookViewId="0">
      <pane xSplit="4" ySplit="5" topLeftCell="E6" activePane="bottomRight" state="frozen"/>
      <selection activeCell="AD41" sqref="AD41"/>
      <selection pane="topRight" activeCell="AD41" sqref="AD41"/>
      <selection pane="bottomLeft" activeCell="AD41" sqref="AD41"/>
      <selection pane="bottomRight" activeCell="AD41" sqref="AD41"/>
    </sheetView>
  </sheetViews>
  <sheetFormatPr defaultRowHeight="12.75" x14ac:dyDescent="0.2"/>
  <cols>
    <col min="1" max="1" width="4.375" style="851" customWidth="1"/>
    <col min="2" max="2" width="26" style="852" customWidth="1"/>
    <col min="3" max="3" width="14.25" style="853" customWidth="1"/>
    <col min="4" max="4" width="18.625" style="851" customWidth="1"/>
    <col min="5" max="5" width="8.125" style="851" customWidth="1"/>
    <col min="6" max="6" width="8.625" style="851" customWidth="1"/>
    <col min="7" max="7" width="9" style="851" customWidth="1"/>
    <col min="8" max="8" width="9.875" style="851" customWidth="1"/>
    <col min="9" max="9" width="8.625" style="851" customWidth="1"/>
    <col min="10" max="10" width="9" style="851" customWidth="1"/>
    <col min="11" max="11" width="8.125" style="851" customWidth="1"/>
    <col min="12" max="12" width="8.625" style="851" customWidth="1"/>
    <col min="13" max="13" width="9" style="851" customWidth="1"/>
    <col min="14" max="14" width="8.125" style="851" customWidth="1"/>
    <col min="15" max="15" width="8.625" style="851" customWidth="1"/>
    <col min="16" max="16" width="9" style="851" customWidth="1"/>
    <col min="17" max="17" width="8.125" style="851" customWidth="1"/>
    <col min="18" max="18" width="8.625" style="851" customWidth="1"/>
    <col min="19" max="19" width="9" style="851" customWidth="1"/>
    <col min="20" max="20" width="8.125" style="851" customWidth="1"/>
    <col min="21" max="21" width="8.625" style="851" customWidth="1"/>
    <col min="22" max="22" width="9" style="851" customWidth="1"/>
    <col min="23" max="23" width="8.125" style="851" customWidth="1"/>
    <col min="24" max="24" width="8.625" style="851" customWidth="1"/>
    <col min="25" max="25" width="9" style="851" customWidth="1"/>
    <col min="26" max="26" width="8.125" style="851" customWidth="1"/>
    <col min="27" max="27" width="8.625" style="851" customWidth="1"/>
    <col min="28" max="28" width="9" style="851" customWidth="1"/>
    <col min="29" max="16384" width="9" style="851"/>
  </cols>
  <sheetData>
    <row r="1" spans="1:30" ht="12.75" customHeight="1" x14ac:dyDescent="0.25">
      <c r="E1" s="1032" t="s">
        <v>1155</v>
      </c>
      <c r="F1" s="1032"/>
      <c r="G1" s="1032"/>
      <c r="H1" s="1032"/>
      <c r="T1" s="1032" t="s">
        <v>1155</v>
      </c>
      <c r="U1" s="1032"/>
      <c r="V1" s="1032"/>
      <c r="W1" s="1032"/>
    </row>
    <row r="2" spans="1:30" ht="12.75" customHeight="1" x14ac:dyDescent="0.25">
      <c r="E2" s="1032" t="s">
        <v>1156</v>
      </c>
      <c r="F2" s="1032"/>
      <c r="G2" s="1032"/>
      <c r="H2" s="1032"/>
      <c r="T2" s="1032" t="s">
        <v>1156</v>
      </c>
      <c r="U2" s="1032"/>
      <c r="V2" s="1032"/>
      <c r="W2" s="1032"/>
    </row>
    <row r="3" spans="1:30" ht="12.75" customHeight="1" thickBot="1" x14ac:dyDescent="0.3">
      <c r="E3" s="884"/>
      <c r="F3" s="884"/>
      <c r="G3" s="884"/>
      <c r="H3" s="884"/>
      <c r="T3" s="884"/>
      <c r="U3" s="884"/>
      <c r="V3" s="884"/>
      <c r="W3" s="884"/>
    </row>
    <row r="4" spans="1:30" s="854" customFormat="1" ht="15.75" customHeight="1" thickBot="1" x14ac:dyDescent="0.25">
      <c r="A4" s="1036" t="s">
        <v>1103</v>
      </c>
      <c r="B4" s="1038" t="s">
        <v>1104</v>
      </c>
      <c r="C4" s="1040" t="s">
        <v>1105</v>
      </c>
      <c r="D4" s="1038" t="s">
        <v>1106</v>
      </c>
      <c r="E4" s="1033" t="s">
        <v>1107</v>
      </c>
      <c r="F4" s="1034"/>
      <c r="G4" s="1035"/>
      <c r="H4" s="1033" t="s">
        <v>1108</v>
      </c>
      <c r="I4" s="1034"/>
      <c r="J4" s="1035"/>
      <c r="K4" s="1033" t="s">
        <v>1109</v>
      </c>
      <c r="L4" s="1034"/>
      <c r="M4" s="1035"/>
      <c r="N4" s="1033" t="s">
        <v>1110</v>
      </c>
      <c r="O4" s="1034"/>
      <c r="P4" s="1035"/>
      <c r="Q4" s="1033" t="s">
        <v>1111</v>
      </c>
      <c r="R4" s="1034"/>
      <c r="S4" s="1035"/>
      <c r="T4" s="1033" t="s">
        <v>1112</v>
      </c>
      <c r="U4" s="1034"/>
      <c r="V4" s="1035"/>
      <c r="W4" s="1033" t="s">
        <v>1113</v>
      </c>
      <c r="X4" s="1034"/>
      <c r="Y4" s="1035"/>
      <c r="Z4" s="1033" t="s">
        <v>1114</v>
      </c>
      <c r="AA4" s="1034"/>
      <c r="AB4" s="1035"/>
    </row>
    <row r="5" spans="1:30" s="859" customFormat="1" ht="45.75" customHeight="1" thickBot="1" x14ac:dyDescent="0.25">
      <c r="A5" s="1037"/>
      <c r="B5" s="1039"/>
      <c r="C5" s="1041"/>
      <c r="D5" s="1042"/>
      <c r="E5" s="855" t="s">
        <v>1115</v>
      </c>
      <c r="F5" s="856" t="s">
        <v>1116</v>
      </c>
      <c r="G5" s="856" t="s">
        <v>152</v>
      </c>
      <c r="H5" s="857" t="s">
        <v>1115</v>
      </c>
      <c r="I5" s="858" t="s">
        <v>1116</v>
      </c>
      <c r="J5" s="858" t="s">
        <v>152</v>
      </c>
      <c r="K5" s="855" t="s">
        <v>1115</v>
      </c>
      <c r="L5" s="856" t="s">
        <v>1116</v>
      </c>
      <c r="M5" s="856" t="s">
        <v>152</v>
      </c>
      <c r="N5" s="855" t="s">
        <v>1115</v>
      </c>
      <c r="O5" s="856" t="s">
        <v>1116</v>
      </c>
      <c r="P5" s="856" t="s">
        <v>152</v>
      </c>
      <c r="Q5" s="855" t="s">
        <v>1115</v>
      </c>
      <c r="R5" s="856" t="s">
        <v>1116</v>
      </c>
      <c r="S5" s="856" t="s">
        <v>152</v>
      </c>
      <c r="T5" s="855" t="s">
        <v>1115</v>
      </c>
      <c r="U5" s="856" t="s">
        <v>1116</v>
      </c>
      <c r="V5" s="856" t="s">
        <v>152</v>
      </c>
      <c r="W5" s="855" t="s">
        <v>1115</v>
      </c>
      <c r="X5" s="856" t="s">
        <v>1116</v>
      </c>
      <c r="Y5" s="856" t="s">
        <v>152</v>
      </c>
      <c r="Z5" s="855" t="s">
        <v>1115</v>
      </c>
      <c r="AA5" s="856" t="s">
        <v>1116</v>
      </c>
      <c r="AB5" s="856" t="s">
        <v>152</v>
      </c>
    </row>
    <row r="6" spans="1:30" x14ac:dyDescent="0.2">
      <c r="A6" s="860" t="s">
        <v>153</v>
      </c>
      <c r="B6" s="861" t="s">
        <v>1117</v>
      </c>
      <c r="C6" s="862" t="s">
        <v>1118</v>
      </c>
      <c r="D6" s="863">
        <v>56689</v>
      </c>
      <c r="E6" s="863"/>
      <c r="F6" s="863"/>
      <c r="G6" s="864">
        <f t="shared" ref="G6:G46" si="0">SUM(E6:F6)</f>
        <v>0</v>
      </c>
      <c r="H6" s="863">
        <v>162</v>
      </c>
      <c r="I6" s="863"/>
      <c r="J6" s="864">
        <f t="shared" ref="J6:J46" si="1">SUM(H6:I6)</f>
        <v>162</v>
      </c>
      <c r="K6" s="863">
        <v>53702</v>
      </c>
      <c r="L6" s="863"/>
      <c r="M6" s="864">
        <f t="shared" ref="M6:M46" si="2">SUM(K6:L6)</f>
        <v>53702</v>
      </c>
      <c r="N6" s="863"/>
      <c r="O6" s="863"/>
      <c r="P6" s="864">
        <f t="shared" ref="P6:P46" si="3">SUM(N6:O6)</f>
        <v>0</v>
      </c>
      <c r="Q6" s="863">
        <v>536</v>
      </c>
      <c r="R6" s="863"/>
      <c r="S6" s="864">
        <f t="shared" ref="S6:S46" si="4">SUM(Q6:R6)</f>
        <v>536</v>
      </c>
      <c r="T6" s="863"/>
      <c r="U6" s="863"/>
      <c r="V6" s="864">
        <f t="shared" ref="V6:V46" si="5">SUM(T6:U6)</f>
        <v>0</v>
      </c>
      <c r="W6" s="863"/>
      <c r="X6" s="863"/>
      <c r="Y6" s="864">
        <f t="shared" ref="Y6:Y46" si="6">SUM(W6:X6)</f>
        <v>0</v>
      </c>
      <c r="Z6" s="863"/>
      <c r="AA6" s="863"/>
      <c r="AB6" s="864">
        <f t="shared" ref="AB6:AB27" si="7">SUM(Z6:AA6)</f>
        <v>0</v>
      </c>
      <c r="AC6" s="865"/>
      <c r="AD6" s="866"/>
    </row>
    <row r="7" spans="1:30" x14ac:dyDescent="0.2">
      <c r="A7" s="867" t="s">
        <v>154</v>
      </c>
      <c r="B7" s="868" t="s">
        <v>1119</v>
      </c>
      <c r="C7" s="862" t="s">
        <v>1118</v>
      </c>
      <c r="D7" s="869">
        <v>488650</v>
      </c>
      <c r="E7" s="870"/>
      <c r="F7" s="870"/>
      <c r="G7" s="864">
        <f t="shared" si="0"/>
        <v>0</v>
      </c>
      <c r="H7" s="870">
        <v>29716</v>
      </c>
      <c r="I7" s="870"/>
      <c r="J7" s="864">
        <f t="shared" si="1"/>
        <v>29716</v>
      </c>
      <c r="K7" s="870">
        <v>177611</v>
      </c>
      <c r="L7" s="870"/>
      <c r="M7" s="864">
        <f t="shared" si="2"/>
        <v>177611</v>
      </c>
      <c r="N7" s="870">
        <v>177894</v>
      </c>
      <c r="O7" s="870">
        <v>0</v>
      </c>
      <c r="P7" s="864">
        <f t="shared" si="3"/>
        <v>177894</v>
      </c>
      <c r="Q7" s="870">
        <v>102714</v>
      </c>
      <c r="R7" s="870"/>
      <c r="S7" s="864">
        <f t="shared" si="4"/>
        <v>102714</v>
      </c>
      <c r="T7" s="870"/>
      <c r="U7" s="870"/>
      <c r="V7" s="864">
        <f t="shared" si="5"/>
        <v>0</v>
      </c>
      <c r="W7" s="870"/>
      <c r="X7" s="870"/>
      <c r="Y7" s="864">
        <f t="shared" si="6"/>
        <v>0</v>
      </c>
      <c r="Z7" s="870"/>
      <c r="AA7" s="870"/>
      <c r="AB7" s="864">
        <f t="shared" si="7"/>
        <v>0</v>
      </c>
      <c r="AC7" s="865"/>
      <c r="AD7" s="865"/>
    </row>
    <row r="8" spans="1:30" x14ac:dyDescent="0.2">
      <c r="A8" s="860" t="s">
        <v>155</v>
      </c>
      <c r="B8" s="861" t="s">
        <v>735</v>
      </c>
      <c r="C8" s="862" t="s">
        <v>1118</v>
      </c>
      <c r="D8" s="863">
        <v>188332</v>
      </c>
      <c r="E8" s="863"/>
      <c r="F8" s="863"/>
      <c r="G8" s="864">
        <f t="shared" si="0"/>
        <v>0</v>
      </c>
      <c r="H8" s="863">
        <v>111331</v>
      </c>
      <c r="I8" s="863"/>
      <c r="J8" s="864">
        <f t="shared" si="1"/>
        <v>111331</v>
      </c>
      <c r="K8" s="863"/>
      <c r="L8" s="863"/>
      <c r="M8" s="864">
        <f t="shared" si="2"/>
        <v>0</v>
      </c>
      <c r="N8" s="863">
        <v>76216</v>
      </c>
      <c r="O8" s="863"/>
      <c r="P8" s="864">
        <f t="shared" si="3"/>
        <v>76216</v>
      </c>
      <c r="Q8" s="863">
        <v>785</v>
      </c>
      <c r="R8" s="863"/>
      <c r="S8" s="864">
        <f t="shared" si="4"/>
        <v>785</v>
      </c>
      <c r="T8" s="863"/>
      <c r="U8" s="863"/>
      <c r="V8" s="864">
        <f t="shared" si="5"/>
        <v>0</v>
      </c>
      <c r="W8" s="863"/>
      <c r="X8" s="863"/>
      <c r="Y8" s="864">
        <f t="shared" si="6"/>
        <v>0</v>
      </c>
      <c r="Z8" s="863"/>
      <c r="AA8" s="863"/>
      <c r="AB8" s="864">
        <f t="shared" si="7"/>
        <v>0</v>
      </c>
      <c r="AC8" s="865"/>
      <c r="AD8" s="865"/>
    </row>
    <row r="9" spans="1:30" ht="63.75" x14ac:dyDescent="0.2">
      <c r="A9" s="860" t="s">
        <v>156</v>
      </c>
      <c r="B9" s="861" t="s">
        <v>1120</v>
      </c>
      <c r="C9" s="871" t="s">
        <v>1118</v>
      </c>
      <c r="D9" s="863">
        <v>394000</v>
      </c>
      <c r="E9" s="863"/>
      <c r="F9" s="863"/>
      <c r="G9" s="864">
        <f t="shared" si="0"/>
        <v>0</v>
      </c>
      <c r="H9" s="863">
        <v>220246</v>
      </c>
      <c r="I9" s="863"/>
      <c r="J9" s="864">
        <f t="shared" si="1"/>
        <v>220246</v>
      </c>
      <c r="K9" s="863"/>
      <c r="L9" s="863"/>
      <c r="M9" s="864">
        <f t="shared" si="2"/>
        <v>0</v>
      </c>
      <c r="N9" s="863">
        <v>166661</v>
      </c>
      <c r="O9" s="863"/>
      <c r="P9" s="864">
        <f t="shared" si="3"/>
        <v>166661</v>
      </c>
      <c r="Q9" s="863">
        <v>4355</v>
      </c>
      <c r="R9" s="863"/>
      <c r="S9" s="864">
        <f t="shared" si="4"/>
        <v>4355</v>
      </c>
      <c r="T9" s="863"/>
      <c r="U9" s="863"/>
      <c r="V9" s="864">
        <f t="shared" si="5"/>
        <v>0</v>
      </c>
      <c r="W9" s="863"/>
      <c r="X9" s="863"/>
      <c r="Y9" s="864">
        <f t="shared" si="6"/>
        <v>0</v>
      </c>
      <c r="Z9" s="863"/>
      <c r="AA9" s="863"/>
      <c r="AB9" s="864">
        <f t="shared" si="7"/>
        <v>0</v>
      </c>
      <c r="AC9" s="865"/>
      <c r="AD9" s="865"/>
    </row>
    <row r="10" spans="1:30" ht="38.25" x14ac:dyDescent="0.2">
      <c r="A10" s="867" t="s">
        <v>157</v>
      </c>
      <c r="B10" s="861" t="s">
        <v>558</v>
      </c>
      <c r="C10" s="871" t="s">
        <v>1118</v>
      </c>
      <c r="D10" s="863">
        <v>291199</v>
      </c>
      <c r="E10" s="863"/>
      <c r="F10" s="863"/>
      <c r="G10" s="864">
        <f t="shared" si="0"/>
        <v>0</v>
      </c>
      <c r="H10" s="863">
        <v>186423</v>
      </c>
      <c r="I10" s="863"/>
      <c r="J10" s="864">
        <f t="shared" si="1"/>
        <v>186423</v>
      </c>
      <c r="K10" s="863">
        <v>101667</v>
      </c>
      <c r="L10" s="863"/>
      <c r="M10" s="864">
        <f t="shared" si="2"/>
        <v>101667</v>
      </c>
      <c r="N10" s="863">
        <v>3093</v>
      </c>
      <c r="O10" s="863"/>
      <c r="P10" s="864">
        <f t="shared" si="3"/>
        <v>3093</v>
      </c>
      <c r="Q10" s="863">
        <v>16</v>
      </c>
      <c r="R10" s="863"/>
      <c r="S10" s="864">
        <f t="shared" si="4"/>
        <v>16</v>
      </c>
      <c r="T10" s="863"/>
      <c r="U10" s="863"/>
      <c r="V10" s="864">
        <f t="shared" si="5"/>
        <v>0</v>
      </c>
      <c r="W10" s="863"/>
      <c r="X10" s="863"/>
      <c r="Y10" s="864">
        <f t="shared" si="6"/>
        <v>0</v>
      </c>
      <c r="Z10" s="863"/>
      <c r="AA10" s="863"/>
      <c r="AB10" s="864">
        <f t="shared" si="7"/>
        <v>0</v>
      </c>
      <c r="AC10" s="865"/>
      <c r="AD10" s="865"/>
    </row>
    <row r="11" spans="1:30" ht="25.5" x14ac:dyDescent="0.2">
      <c r="A11" s="860" t="s">
        <v>158</v>
      </c>
      <c r="B11" s="868" t="s">
        <v>1121</v>
      </c>
      <c r="C11" s="862" t="s">
        <v>1118</v>
      </c>
      <c r="D11" s="869">
        <v>285086</v>
      </c>
      <c r="E11" s="869"/>
      <c r="F11" s="869"/>
      <c r="G11" s="864">
        <f t="shared" si="0"/>
        <v>0</v>
      </c>
      <c r="H11" s="869">
        <v>171433</v>
      </c>
      <c r="I11" s="869"/>
      <c r="J11" s="864">
        <f t="shared" si="1"/>
        <v>171433</v>
      </c>
      <c r="K11" s="869">
        <v>84001</v>
      </c>
      <c r="L11" s="869"/>
      <c r="M11" s="864">
        <f t="shared" si="2"/>
        <v>84001</v>
      </c>
      <c r="N11" s="869">
        <v>28497</v>
      </c>
      <c r="O11" s="869"/>
      <c r="P11" s="864">
        <f t="shared" si="3"/>
        <v>28497</v>
      </c>
      <c r="Q11" s="869">
        <v>1155</v>
      </c>
      <c r="R11" s="869"/>
      <c r="S11" s="864">
        <f t="shared" si="4"/>
        <v>1155</v>
      </c>
      <c r="T11" s="869"/>
      <c r="U11" s="869"/>
      <c r="V11" s="864">
        <f t="shared" si="5"/>
        <v>0</v>
      </c>
      <c r="W11" s="869"/>
      <c r="X11" s="869"/>
      <c r="Y11" s="864">
        <f t="shared" si="6"/>
        <v>0</v>
      </c>
      <c r="Z11" s="869"/>
      <c r="AA11" s="869"/>
      <c r="AB11" s="864">
        <f t="shared" si="7"/>
        <v>0</v>
      </c>
      <c r="AC11" s="865"/>
      <c r="AD11" s="865"/>
    </row>
    <row r="12" spans="1:30" ht="38.25" x14ac:dyDescent="0.2">
      <c r="A12" s="860" t="s">
        <v>159</v>
      </c>
      <c r="B12" s="861" t="s">
        <v>1122</v>
      </c>
      <c r="C12" s="871" t="s">
        <v>1118</v>
      </c>
      <c r="D12" s="863">
        <v>57872</v>
      </c>
      <c r="E12" s="863"/>
      <c r="F12" s="863"/>
      <c r="G12" s="864">
        <f t="shared" si="0"/>
        <v>0</v>
      </c>
      <c r="H12" s="863">
        <v>27000</v>
      </c>
      <c r="I12" s="863"/>
      <c r="J12" s="864">
        <f t="shared" si="1"/>
        <v>27000</v>
      </c>
      <c r="K12" s="863"/>
      <c r="L12" s="863"/>
      <c r="M12" s="864">
        <f t="shared" si="2"/>
        <v>0</v>
      </c>
      <c r="N12" s="863">
        <v>14847</v>
      </c>
      <c r="O12" s="863"/>
      <c r="P12" s="864">
        <f t="shared" si="3"/>
        <v>14847</v>
      </c>
      <c r="Q12" s="863">
        <v>16025</v>
      </c>
      <c r="R12" s="863"/>
      <c r="S12" s="864">
        <f t="shared" si="4"/>
        <v>16025</v>
      </c>
      <c r="T12" s="863"/>
      <c r="U12" s="863"/>
      <c r="V12" s="864">
        <f t="shared" si="5"/>
        <v>0</v>
      </c>
      <c r="W12" s="863"/>
      <c r="X12" s="863"/>
      <c r="Y12" s="864">
        <f t="shared" si="6"/>
        <v>0</v>
      </c>
      <c r="Z12" s="863"/>
      <c r="AA12" s="863"/>
      <c r="AB12" s="864">
        <f t="shared" si="7"/>
        <v>0</v>
      </c>
      <c r="AC12" s="865"/>
      <c r="AD12" s="865"/>
    </row>
    <row r="13" spans="1:30" x14ac:dyDescent="0.2">
      <c r="A13" s="867" t="s">
        <v>160</v>
      </c>
      <c r="B13" s="861" t="s">
        <v>1123</v>
      </c>
      <c r="C13" s="871" t="s">
        <v>1118</v>
      </c>
      <c r="D13" s="863">
        <v>187813</v>
      </c>
      <c r="E13" s="863"/>
      <c r="F13" s="863"/>
      <c r="G13" s="864">
        <f t="shared" si="0"/>
        <v>0</v>
      </c>
      <c r="H13" s="863">
        <v>129649</v>
      </c>
      <c r="I13" s="863"/>
      <c r="J13" s="864">
        <f t="shared" si="1"/>
        <v>129649</v>
      </c>
      <c r="K13" s="863"/>
      <c r="L13" s="863"/>
      <c r="M13" s="864">
        <f t="shared" si="2"/>
        <v>0</v>
      </c>
      <c r="N13" s="863">
        <v>55429</v>
      </c>
      <c r="O13" s="863"/>
      <c r="P13" s="864">
        <f t="shared" si="3"/>
        <v>55429</v>
      </c>
      <c r="Q13" s="863">
        <v>785</v>
      </c>
      <c r="R13" s="863"/>
      <c r="S13" s="864">
        <f t="shared" si="4"/>
        <v>785</v>
      </c>
      <c r="T13" s="863"/>
      <c r="U13" s="863"/>
      <c r="V13" s="864">
        <f t="shared" si="5"/>
        <v>0</v>
      </c>
      <c r="W13" s="863"/>
      <c r="X13" s="863"/>
      <c r="Y13" s="864">
        <f t="shared" si="6"/>
        <v>0</v>
      </c>
      <c r="Z13" s="863"/>
      <c r="AA13" s="863"/>
      <c r="AB13" s="864">
        <f t="shared" si="7"/>
        <v>0</v>
      </c>
      <c r="AC13" s="865"/>
      <c r="AD13" s="865"/>
    </row>
    <row r="14" spans="1:30" ht="38.25" x14ac:dyDescent="0.2">
      <c r="A14" s="860" t="s">
        <v>161</v>
      </c>
      <c r="B14" s="868" t="s">
        <v>728</v>
      </c>
      <c r="C14" s="862" t="s">
        <v>1118</v>
      </c>
      <c r="D14" s="869">
        <v>233659</v>
      </c>
      <c r="E14" s="869"/>
      <c r="F14" s="869"/>
      <c r="G14" s="864">
        <f t="shared" si="0"/>
        <v>0</v>
      </c>
      <c r="H14" s="869"/>
      <c r="I14" s="869"/>
      <c r="J14" s="864">
        <f t="shared" si="1"/>
        <v>0</v>
      </c>
      <c r="K14" s="869"/>
      <c r="L14" s="869">
        <v>24211</v>
      </c>
      <c r="M14" s="864">
        <f t="shared" si="2"/>
        <v>24211</v>
      </c>
      <c r="N14" s="869"/>
      <c r="O14" s="869">
        <v>209448</v>
      </c>
      <c r="P14" s="864">
        <f t="shared" si="3"/>
        <v>209448</v>
      </c>
      <c r="Q14" s="869"/>
      <c r="R14" s="869"/>
      <c r="S14" s="864">
        <f t="shared" si="4"/>
        <v>0</v>
      </c>
      <c r="T14" s="869"/>
      <c r="U14" s="869"/>
      <c r="V14" s="864">
        <f t="shared" si="5"/>
        <v>0</v>
      </c>
      <c r="W14" s="869"/>
      <c r="X14" s="869"/>
      <c r="Y14" s="864">
        <f t="shared" si="6"/>
        <v>0</v>
      </c>
      <c r="Z14" s="869"/>
      <c r="AA14" s="869"/>
      <c r="AB14" s="864">
        <f t="shared" si="7"/>
        <v>0</v>
      </c>
      <c r="AC14" s="865"/>
      <c r="AD14" s="865"/>
    </row>
    <row r="15" spans="1:30" x14ac:dyDescent="0.2">
      <c r="A15" s="860" t="s">
        <v>0</v>
      </c>
      <c r="B15" s="868" t="s">
        <v>1124</v>
      </c>
      <c r="C15" s="871" t="s">
        <v>1118</v>
      </c>
      <c r="D15" s="869">
        <v>162897</v>
      </c>
      <c r="E15" s="869"/>
      <c r="F15" s="869"/>
      <c r="G15" s="864">
        <f t="shared" si="0"/>
        <v>0</v>
      </c>
      <c r="H15" s="869"/>
      <c r="I15" s="869"/>
      <c r="J15" s="864">
        <f t="shared" si="1"/>
        <v>0</v>
      </c>
      <c r="K15" s="869"/>
      <c r="L15" s="869"/>
      <c r="M15" s="864">
        <f t="shared" si="2"/>
        <v>0</v>
      </c>
      <c r="N15" s="869">
        <v>98909</v>
      </c>
      <c r="O15" s="869"/>
      <c r="P15" s="864">
        <f t="shared" si="3"/>
        <v>98909</v>
      </c>
      <c r="Q15" s="869">
        <v>61075</v>
      </c>
      <c r="R15" s="869"/>
      <c r="S15" s="864">
        <f t="shared" si="4"/>
        <v>61075</v>
      </c>
      <c r="T15" s="869"/>
      <c r="U15" s="869"/>
      <c r="V15" s="864">
        <f t="shared" si="5"/>
        <v>0</v>
      </c>
      <c r="W15" s="869"/>
      <c r="X15" s="869"/>
      <c r="Y15" s="864">
        <f t="shared" si="6"/>
        <v>0</v>
      </c>
      <c r="Z15" s="869"/>
      <c r="AA15" s="869"/>
      <c r="AB15" s="864">
        <f t="shared" si="7"/>
        <v>0</v>
      </c>
      <c r="AC15" s="865"/>
      <c r="AD15" s="865"/>
    </row>
    <row r="16" spans="1:30" ht="25.5" x14ac:dyDescent="0.2">
      <c r="A16" s="867" t="s">
        <v>1</v>
      </c>
      <c r="B16" s="868" t="s">
        <v>1125</v>
      </c>
      <c r="C16" s="862" t="s">
        <v>1126</v>
      </c>
      <c r="D16" s="869">
        <v>518089</v>
      </c>
      <c r="E16" s="870"/>
      <c r="F16" s="870"/>
      <c r="G16" s="864">
        <f t="shared" si="0"/>
        <v>0</v>
      </c>
      <c r="H16" s="870">
        <v>25900</v>
      </c>
      <c r="I16" s="870"/>
      <c r="J16" s="864">
        <f t="shared" si="1"/>
        <v>25900</v>
      </c>
      <c r="K16" s="870">
        <v>161758</v>
      </c>
      <c r="L16" s="870"/>
      <c r="M16" s="864">
        <f t="shared" si="2"/>
        <v>161758</v>
      </c>
      <c r="N16" s="870">
        <v>304442</v>
      </c>
      <c r="O16" s="870">
        <v>0</v>
      </c>
      <c r="P16" s="864">
        <f t="shared" si="3"/>
        <v>304442</v>
      </c>
      <c r="Q16" s="870">
        <v>25900</v>
      </c>
      <c r="R16" s="870"/>
      <c r="S16" s="864">
        <f t="shared" si="4"/>
        <v>25900</v>
      </c>
      <c r="T16" s="870"/>
      <c r="U16" s="870"/>
      <c r="V16" s="864">
        <f t="shared" si="5"/>
        <v>0</v>
      </c>
      <c r="W16" s="870"/>
      <c r="X16" s="870"/>
      <c r="Y16" s="864">
        <f t="shared" si="6"/>
        <v>0</v>
      </c>
      <c r="Z16" s="870"/>
      <c r="AA16" s="870"/>
      <c r="AB16" s="864">
        <f t="shared" si="7"/>
        <v>0</v>
      </c>
      <c r="AC16" s="865"/>
      <c r="AD16" s="865"/>
    </row>
    <row r="17" spans="1:30" ht="25.5" x14ac:dyDescent="0.2">
      <c r="A17" s="860" t="s">
        <v>2</v>
      </c>
      <c r="B17" s="861" t="s">
        <v>1127</v>
      </c>
      <c r="C17" s="871" t="s">
        <v>1126</v>
      </c>
      <c r="D17" s="872">
        <v>3399703</v>
      </c>
      <c r="E17" s="863"/>
      <c r="F17" s="863"/>
      <c r="G17" s="864">
        <f t="shared" si="0"/>
        <v>0</v>
      </c>
      <c r="H17" s="863"/>
      <c r="I17" s="863"/>
      <c r="J17" s="864">
        <f t="shared" si="1"/>
        <v>0</v>
      </c>
      <c r="K17" s="863">
        <v>225083</v>
      </c>
      <c r="L17" s="863"/>
      <c r="M17" s="864">
        <f t="shared" si="2"/>
        <v>225083</v>
      </c>
      <c r="N17" s="863"/>
      <c r="O17" s="863"/>
      <c r="P17" s="864">
        <f t="shared" si="3"/>
        <v>0</v>
      </c>
      <c r="Q17" s="863">
        <v>229083</v>
      </c>
      <c r="R17" s="863"/>
      <c r="S17" s="864">
        <f t="shared" si="4"/>
        <v>229083</v>
      </c>
      <c r="T17" s="863">
        <v>2828752</v>
      </c>
      <c r="U17" s="863"/>
      <c r="V17" s="864">
        <f t="shared" si="5"/>
        <v>2828752</v>
      </c>
      <c r="W17" s="863"/>
      <c r="X17" s="863"/>
      <c r="Y17" s="864">
        <f t="shared" si="6"/>
        <v>0</v>
      </c>
      <c r="Z17" s="863"/>
      <c r="AA17" s="863"/>
      <c r="AB17" s="864">
        <f t="shared" si="7"/>
        <v>0</v>
      </c>
      <c r="AC17" s="865"/>
      <c r="AD17" s="865"/>
    </row>
    <row r="18" spans="1:30" x14ac:dyDescent="0.2">
      <c r="A18" s="860" t="s">
        <v>3</v>
      </c>
      <c r="B18" s="861" t="s">
        <v>1128</v>
      </c>
      <c r="C18" s="871" t="s">
        <v>1126</v>
      </c>
      <c r="D18" s="863">
        <v>5370</v>
      </c>
      <c r="E18" s="863"/>
      <c r="F18" s="863"/>
      <c r="G18" s="864">
        <f t="shared" si="0"/>
        <v>0</v>
      </c>
      <c r="H18" s="863"/>
      <c r="I18" s="863"/>
      <c r="J18" s="864">
        <f t="shared" si="1"/>
        <v>0</v>
      </c>
      <c r="K18" s="863"/>
      <c r="L18" s="863"/>
      <c r="M18" s="864">
        <f t="shared" si="2"/>
        <v>0</v>
      </c>
      <c r="N18" s="863">
        <v>225</v>
      </c>
      <c r="O18" s="863"/>
      <c r="P18" s="864">
        <f t="shared" si="3"/>
        <v>225</v>
      </c>
      <c r="Q18" s="863">
        <v>4108</v>
      </c>
      <c r="R18" s="863"/>
      <c r="S18" s="864">
        <f t="shared" si="4"/>
        <v>4108</v>
      </c>
      <c r="T18" s="863">
        <v>1037</v>
      </c>
      <c r="U18" s="863"/>
      <c r="V18" s="864">
        <f t="shared" si="5"/>
        <v>1037</v>
      </c>
      <c r="W18" s="863"/>
      <c r="X18" s="863"/>
      <c r="Y18" s="864">
        <f t="shared" si="6"/>
        <v>0</v>
      </c>
      <c r="Z18" s="863"/>
      <c r="AA18" s="863"/>
      <c r="AB18" s="864">
        <f t="shared" si="7"/>
        <v>0</v>
      </c>
      <c r="AC18" s="865"/>
      <c r="AD18" s="865"/>
    </row>
    <row r="19" spans="1:30" ht="38.25" x14ac:dyDescent="0.2">
      <c r="A19" s="867" t="s">
        <v>4</v>
      </c>
      <c r="B19" s="861" t="s">
        <v>714</v>
      </c>
      <c r="C19" s="871" t="s">
        <v>1126</v>
      </c>
      <c r="D19" s="863">
        <v>509000</v>
      </c>
      <c r="E19" s="863"/>
      <c r="F19" s="863"/>
      <c r="G19" s="864">
        <f t="shared" si="0"/>
        <v>0</v>
      </c>
      <c r="H19" s="863"/>
      <c r="I19" s="863"/>
      <c r="J19" s="864">
        <f t="shared" si="1"/>
        <v>0</v>
      </c>
      <c r="K19" s="863"/>
      <c r="L19" s="863">
        <v>509000</v>
      </c>
      <c r="M19" s="864">
        <f t="shared" si="2"/>
        <v>509000</v>
      </c>
      <c r="N19" s="863"/>
      <c r="O19" s="863"/>
      <c r="P19" s="864">
        <f t="shared" si="3"/>
        <v>0</v>
      </c>
      <c r="Q19" s="863"/>
      <c r="R19" s="863"/>
      <c r="S19" s="864">
        <f t="shared" si="4"/>
        <v>0</v>
      </c>
      <c r="T19" s="863"/>
      <c r="U19" s="863"/>
      <c r="V19" s="864">
        <f t="shared" si="5"/>
        <v>0</v>
      </c>
      <c r="W19" s="863"/>
      <c r="X19" s="863"/>
      <c r="Y19" s="864">
        <f t="shared" si="6"/>
        <v>0</v>
      </c>
      <c r="Z19" s="863"/>
      <c r="AA19" s="863"/>
      <c r="AB19" s="864">
        <f t="shared" si="7"/>
        <v>0</v>
      </c>
      <c r="AC19" s="865"/>
      <c r="AD19" s="865"/>
    </row>
    <row r="20" spans="1:30" ht="76.5" x14ac:dyDescent="0.2">
      <c r="A20" s="860" t="s">
        <v>5</v>
      </c>
      <c r="B20" s="861" t="s">
        <v>1129</v>
      </c>
      <c r="C20" s="871" t="s">
        <v>1126</v>
      </c>
      <c r="D20" s="872">
        <v>15138183</v>
      </c>
      <c r="E20" s="863"/>
      <c r="F20" s="863">
        <v>417000</v>
      </c>
      <c r="G20" s="864">
        <f t="shared" si="0"/>
        <v>417000</v>
      </c>
      <c r="H20" s="863"/>
      <c r="I20" s="863">
        <v>753631</v>
      </c>
      <c r="J20" s="864">
        <f t="shared" si="1"/>
        <v>753631</v>
      </c>
      <c r="K20" s="863"/>
      <c r="L20" s="872">
        <v>6725417</v>
      </c>
      <c r="M20" s="864">
        <f t="shared" si="2"/>
        <v>6725417</v>
      </c>
      <c r="N20" s="863"/>
      <c r="O20" s="872">
        <v>5145000</v>
      </c>
      <c r="P20" s="864">
        <f t="shared" si="3"/>
        <v>5145000</v>
      </c>
      <c r="Q20" s="863"/>
      <c r="R20" s="863">
        <f>384065+813070+900000</f>
        <v>2097135</v>
      </c>
      <c r="S20" s="864">
        <f t="shared" si="4"/>
        <v>2097135</v>
      </c>
      <c r="T20" s="863"/>
      <c r="U20" s="863"/>
      <c r="V20" s="864">
        <f t="shared" si="5"/>
        <v>0</v>
      </c>
      <c r="W20" s="863"/>
      <c r="X20" s="863"/>
      <c r="Y20" s="864">
        <f t="shared" si="6"/>
        <v>0</v>
      </c>
      <c r="Z20" s="863"/>
      <c r="AA20" s="863"/>
      <c r="AB20" s="864">
        <f t="shared" si="7"/>
        <v>0</v>
      </c>
      <c r="AC20" s="865"/>
      <c r="AD20" s="865"/>
    </row>
    <row r="21" spans="1:30" ht="76.5" x14ac:dyDescent="0.2">
      <c r="A21" s="860" t="s">
        <v>6</v>
      </c>
      <c r="B21" s="868" t="s">
        <v>559</v>
      </c>
      <c r="C21" s="862" t="s">
        <v>1126</v>
      </c>
      <c r="D21" s="873">
        <v>4179217</v>
      </c>
      <c r="E21" s="869"/>
      <c r="F21" s="869"/>
      <c r="G21" s="864">
        <f t="shared" si="0"/>
        <v>0</v>
      </c>
      <c r="H21" s="869"/>
      <c r="I21" s="869"/>
      <c r="J21" s="864">
        <f t="shared" si="1"/>
        <v>0</v>
      </c>
      <c r="K21" s="869"/>
      <c r="L21" s="869">
        <v>2481047</v>
      </c>
      <c r="M21" s="864">
        <f t="shared" si="2"/>
        <v>2481047</v>
      </c>
      <c r="N21" s="869"/>
      <c r="O21" s="869"/>
      <c r="P21" s="864">
        <f t="shared" si="3"/>
        <v>0</v>
      </c>
      <c r="Q21" s="869"/>
      <c r="R21" s="869">
        <v>1580798</v>
      </c>
      <c r="S21" s="864">
        <f t="shared" si="4"/>
        <v>1580798</v>
      </c>
      <c r="T21" s="869"/>
      <c r="U21" s="869">
        <v>117372</v>
      </c>
      <c r="V21" s="864">
        <f t="shared" si="5"/>
        <v>117372</v>
      </c>
      <c r="W21" s="869"/>
      <c r="X21" s="869"/>
      <c r="Y21" s="864">
        <f t="shared" si="6"/>
        <v>0</v>
      </c>
      <c r="Z21" s="869"/>
      <c r="AA21" s="869"/>
      <c r="AB21" s="864">
        <f t="shared" si="7"/>
        <v>0</v>
      </c>
      <c r="AC21" s="865"/>
      <c r="AD21" s="865"/>
    </row>
    <row r="22" spans="1:30" x14ac:dyDescent="0.2">
      <c r="A22" s="867" t="s">
        <v>7</v>
      </c>
      <c r="B22" s="868" t="s">
        <v>548</v>
      </c>
      <c r="C22" s="862" t="s">
        <v>1126</v>
      </c>
      <c r="D22" s="869">
        <v>15875000</v>
      </c>
      <c r="E22" s="869"/>
      <c r="F22" s="869"/>
      <c r="G22" s="864">
        <f t="shared" si="0"/>
        <v>0</v>
      </c>
      <c r="H22" s="869"/>
      <c r="I22" s="869">
        <v>7500000</v>
      </c>
      <c r="J22" s="864">
        <f t="shared" si="1"/>
        <v>7500000</v>
      </c>
      <c r="K22" s="869"/>
      <c r="L22" s="869"/>
      <c r="M22" s="864">
        <f t="shared" si="2"/>
        <v>0</v>
      </c>
      <c r="N22" s="869"/>
      <c r="O22" s="869"/>
      <c r="P22" s="864">
        <f t="shared" si="3"/>
        <v>0</v>
      </c>
      <c r="Q22" s="869"/>
      <c r="R22" s="869">
        <v>7740000</v>
      </c>
      <c r="S22" s="864">
        <f t="shared" si="4"/>
        <v>7740000</v>
      </c>
      <c r="T22" s="869"/>
      <c r="U22" s="869">
        <v>635000</v>
      </c>
      <c r="V22" s="864">
        <f t="shared" si="5"/>
        <v>635000</v>
      </c>
      <c r="W22" s="869"/>
      <c r="X22" s="869"/>
      <c r="Y22" s="864">
        <f t="shared" si="6"/>
        <v>0</v>
      </c>
      <c r="Z22" s="869"/>
      <c r="AA22" s="869"/>
      <c r="AB22" s="864">
        <f t="shared" si="7"/>
        <v>0</v>
      </c>
      <c r="AC22" s="865"/>
      <c r="AD22" s="865"/>
    </row>
    <row r="23" spans="1:30" ht="25.5" x14ac:dyDescent="0.2">
      <c r="A23" s="860" t="s">
        <v>8</v>
      </c>
      <c r="B23" s="861" t="s">
        <v>1130</v>
      </c>
      <c r="C23" s="871" t="s">
        <v>1126</v>
      </c>
      <c r="D23" s="863">
        <v>1661104</v>
      </c>
      <c r="E23" s="863"/>
      <c r="F23" s="863"/>
      <c r="G23" s="864">
        <f t="shared" si="0"/>
        <v>0</v>
      </c>
      <c r="H23" s="863"/>
      <c r="I23" s="863"/>
      <c r="J23" s="864">
        <f t="shared" si="1"/>
        <v>0</v>
      </c>
      <c r="K23" s="863">
        <v>50314</v>
      </c>
      <c r="L23" s="863"/>
      <c r="M23" s="864">
        <f t="shared" si="2"/>
        <v>50314</v>
      </c>
      <c r="N23" s="863">
        <v>0</v>
      </c>
      <c r="O23" s="863"/>
      <c r="P23" s="864">
        <f t="shared" si="3"/>
        <v>0</v>
      </c>
      <c r="Q23" s="863">
        <v>399035</v>
      </c>
      <c r="R23" s="863"/>
      <c r="S23" s="864">
        <f t="shared" si="4"/>
        <v>399035</v>
      </c>
      <c r="T23" s="863">
        <v>764021</v>
      </c>
      <c r="U23" s="863"/>
      <c r="V23" s="864">
        <f t="shared" si="5"/>
        <v>764021</v>
      </c>
      <c r="W23" s="863">
        <v>369234</v>
      </c>
      <c r="X23" s="863"/>
      <c r="Y23" s="864">
        <f t="shared" si="6"/>
        <v>369234</v>
      </c>
      <c r="Z23" s="863"/>
      <c r="AA23" s="863"/>
      <c r="AB23" s="864">
        <f t="shared" si="7"/>
        <v>0</v>
      </c>
      <c r="AC23" s="865"/>
      <c r="AD23" s="865"/>
    </row>
    <row r="24" spans="1:30" ht="25.5" x14ac:dyDescent="0.2">
      <c r="A24" s="860" t="s">
        <v>9</v>
      </c>
      <c r="B24" s="868" t="s">
        <v>555</v>
      </c>
      <c r="C24" s="862" t="s">
        <v>1126</v>
      </c>
      <c r="D24" s="869">
        <v>1248410</v>
      </c>
      <c r="E24" s="869"/>
      <c r="F24" s="869"/>
      <c r="G24" s="864">
        <f t="shared" si="0"/>
        <v>0</v>
      </c>
      <c r="H24" s="869"/>
      <c r="I24" s="869"/>
      <c r="J24" s="864">
        <f t="shared" si="1"/>
        <v>0</v>
      </c>
      <c r="K24" s="869"/>
      <c r="L24" s="869"/>
      <c r="M24" s="864">
        <f t="shared" si="2"/>
        <v>0</v>
      </c>
      <c r="N24" s="869"/>
      <c r="O24" s="869"/>
      <c r="P24" s="864">
        <f t="shared" si="3"/>
        <v>0</v>
      </c>
      <c r="Q24" s="869">
        <v>313245</v>
      </c>
      <c r="R24" s="869"/>
      <c r="S24" s="864">
        <f t="shared" si="4"/>
        <v>313245</v>
      </c>
      <c r="T24" s="869">
        <v>935165</v>
      </c>
      <c r="U24" s="869"/>
      <c r="V24" s="864">
        <f t="shared" si="5"/>
        <v>935165</v>
      </c>
      <c r="W24" s="869"/>
      <c r="X24" s="869"/>
      <c r="Y24" s="864">
        <f t="shared" si="6"/>
        <v>0</v>
      </c>
      <c r="Z24" s="869"/>
      <c r="AA24" s="869"/>
      <c r="AB24" s="864">
        <f t="shared" si="7"/>
        <v>0</v>
      </c>
      <c r="AC24" s="865"/>
      <c r="AD24" s="865"/>
    </row>
    <row r="25" spans="1:30" x14ac:dyDescent="0.2">
      <c r="A25" s="867" t="s">
        <v>10</v>
      </c>
      <c r="B25" s="868" t="s">
        <v>1131</v>
      </c>
      <c r="C25" s="862" t="s">
        <v>1126</v>
      </c>
      <c r="D25" s="869">
        <v>115653</v>
      </c>
      <c r="E25" s="869"/>
      <c r="F25" s="869"/>
      <c r="G25" s="864">
        <f t="shared" si="0"/>
        <v>0</v>
      </c>
      <c r="H25" s="869"/>
      <c r="I25" s="869"/>
      <c r="J25" s="864">
        <f t="shared" si="1"/>
        <v>0</v>
      </c>
      <c r="K25" s="869"/>
      <c r="L25" s="869"/>
      <c r="M25" s="864">
        <f t="shared" si="2"/>
        <v>0</v>
      </c>
      <c r="N25" s="869">
        <v>108696</v>
      </c>
      <c r="O25" s="869"/>
      <c r="P25" s="864">
        <f t="shared" si="3"/>
        <v>108696</v>
      </c>
      <c r="Q25" s="869">
        <v>5715</v>
      </c>
      <c r="R25" s="869"/>
      <c r="S25" s="864">
        <f t="shared" si="4"/>
        <v>5715</v>
      </c>
      <c r="T25" s="869"/>
      <c r="U25" s="869"/>
      <c r="V25" s="864">
        <f t="shared" si="5"/>
        <v>0</v>
      </c>
      <c r="W25" s="869"/>
      <c r="X25" s="869"/>
      <c r="Y25" s="864">
        <f t="shared" si="6"/>
        <v>0</v>
      </c>
      <c r="Z25" s="869"/>
      <c r="AA25" s="869"/>
      <c r="AB25" s="864">
        <f t="shared" si="7"/>
        <v>0</v>
      </c>
      <c r="AC25" s="865"/>
      <c r="AD25" s="865"/>
    </row>
    <row r="26" spans="1:30" ht="25.5" x14ac:dyDescent="0.2">
      <c r="A26" s="860" t="s">
        <v>11</v>
      </c>
      <c r="B26" s="868" t="s">
        <v>552</v>
      </c>
      <c r="C26" s="862" t="s">
        <v>1126</v>
      </c>
      <c r="D26" s="869">
        <v>149839</v>
      </c>
      <c r="E26" s="869"/>
      <c r="F26" s="869"/>
      <c r="G26" s="864">
        <f t="shared" si="0"/>
        <v>0</v>
      </c>
      <c r="H26" s="869"/>
      <c r="I26" s="869"/>
      <c r="J26" s="864">
        <f t="shared" si="1"/>
        <v>0</v>
      </c>
      <c r="K26" s="869">
        <v>48701</v>
      </c>
      <c r="L26" s="869"/>
      <c r="M26" s="864">
        <f t="shared" si="2"/>
        <v>48701</v>
      </c>
      <c r="N26" s="869">
        <v>89875</v>
      </c>
      <c r="O26" s="869"/>
      <c r="P26" s="864">
        <f t="shared" si="3"/>
        <v>89875</v>
      </c>
      <c r="Q26" s="869">
        <v>11263</v>
      </c>
      <c r="R26" s="869"/>
      <c r="S26" s="864">
        <f t="shared" si="4"/>
        <v>11263</v>
      </c>
      <c r="T26" s="869"/>
      <c r="U26" s="869"/>
      <c r="V26" s="864">
        <f t="shared" si="5"/>
        <v>0</v>
      </c>
      <c r="W26" s="869"/>
      <c r="X26" s="869"/>
      <c r="Y26" s="864">
        <f t="shared" si="6"/>
        <v>0</v>
      </c>
      <c r="Z26" s="869"/>
      <c r="AA26" s="869"/>
      <c r="AB26" s="864">
        <f t="shared" si="7"/>
        <v>0</v>
      </c>
      <c r="AC26" s="865"/>
      <c r="AD26" s="865"/>
    </row>
    <row r="27" spans="1:30" ht="25.5" x14ac:dyDescent="0.2">
      <c r="A27" s="860" t="s">
        <v>12</v>
      </c>
      <c r="B27" s="868" t="s">
        <v>729</v>
      </c>
      <c r="C27" s="862" t="s">
        <v>1126</v>
      </c>
      <c r="D27" s="869">
        <v>800000</v>
      </c>
      <c r="E27" s="869"/>
      <c r="F27" s="869"/>
      <c r="G27" s="864">
        <f t="shared" si="0"/>
        <v>0</v>
      </c>
      <c r="H27" s="869"/>
      <c r="I27" s="869"/>
      <c r="J27" s="864">
        <f t="shared" si="1"/>
        <v>0</v>
      </c>
      <c r="K27" s="869"/>
      <c r="L27" s="869">
        <v>33000</v>
      </c>
      <c r="M27" s="864">
        <f t="shared" si="2"/>
        <v>33000</v>
      </c>
      <c r="N27" s="869"/>
      <c r="O27" s="869">
        <v>267000</v>
      </c>
      <c r="P27" s="864">
        <f t="shared" si="3"/>
        <v>267000</v>
      </c>
      <c r="Q27" s="869"/>
      <c r="R27" s="869">
        <v>500000</v>
      </c>
      <c r="S27" s="864">
        <f t="shared" si="4"/>
        <v>500000</v>
      </c>
      <c r="T27" s="869"/>
      <c r="U27" s="869"/>
      <c r="V27" s="864">
        <f t="shared" si="5"/>
        <v>0</v>
      </c>
      <c r="W27" s="869"/>
      <c r="X27" s="869"/>
      <c r="Y27" s="864">
        <f t="shared" si="6"/>
        <v>0</v>
      </c>
      <c r="Z27" s="869"/>
      <c r="AA27" s="869"/>
      <c r="AB27" s="864">
        <f t="shared" si="7"/>
        <v>0</v>
      </c>
      <c r="AC27" s="865"/>
      <c r="AD27" s="865"/>
    </row>
    <row r="28" spans="1:30" ht="38.25" x14ac:dyDescent="0.2">
      <c r="A28" s="867" t="s">
        <v>13</v>
      </c>
      <c r="B28" s="868" t="s">
        <v>742</v>
      </c>
      <c r="C28" s="862" t="s">
        <v>1126</v>
      </c>
      <c r="D28" s="869">
        <v>731510</v>
      </c>
      <c r="E28" s="869"/>
      <c r="F28" s="869"/>
      <c r="G28" s="864">
        <f>SUM(E28:F28)</f>
        <v>0</v>
      </c>
      <c r="H28" s="869"/>
      <c r="I28" s="869"/>
      <c r="J28" s="864">
        <f>SUM(H28:I28)</f>
        <v>0</v>
      </c>
      <c r="K28" s="869"/>
      <c r="L28" s="869"/>
      <c r="M28" s="864">
        <f>SUM(K28:L28)</f>
        <v>0</v>
      </c>
      <c r="N28" s="869"/>
      <c r="O28" s="869"/>
      <c r="P28" s="864">
        <f>SUM(N28:O28)</f>
        <v>0</v>
      </c>
      <c r="Q28" s="869">
        <v>180600</v>
      </c>
      <c r="R28" s="869"/>
      <c r="S28" s="864">
        <f>SUM(Q28:R28)</f>
        <v>180600</v>
      </c>
      <c r="T28" s="869">
        <v>399650</v>
      </c>
      <c r="U28" s="869"/>
      <c r="V28" s="864">
        <f>SUM(T28:U28)</f>
        <v>399650</v>
      </c>
      <c r="W28" s="869"/>
      <c r="X28" s="869"/>
      <c r="Y28" s="864">
        <f>SUM(W28:X28)</f>
        <v>0</v>
      </c>
      <c r="Z28" s="869"/>
      <c r="AA28" s="869"/>
      <c r="AB28" s="864">
        <f>SUM(Z28:AA28)</f>
        <v>0</v>
      </c>
      <c r="AC28" s="865"/>
      <c r="AD28" s="865"/>
    </row>
    <row r="29" spans="1:30" ht="25.5" x14ac:dyDescent="0.2">
      <c r="A29" s="860" t="s">
        <v>14</v>
      </c>
      <c r="B29" s="868" t="s">
        <v>738</v>
      </c>
      <c r="C29" s="871" t="s">
        <v>1126</v>
      </c>
      <c r="D29" s="869">
        <v>10657</v>
      </c>
      <c r="E29" s="869"/>
      <c r="F29" s="869"/>
      <c r="G29" s="864">
        <f t="shared" si="0"/>
        <v>0</v>
      </c>
      <c r="H29" s="869"/>
      <c r="I29" s="869"/>
      <c r="J29" s="864">
        <f t="shared" si="1"/>
        <v>0</v>
      </c>
      <c r="K29" s="869"/>
      <c r="L29" s="869"/>
      <c r="M29" s="864">
        <f t="shared" si="2"/>
        <v>0</v>
      </c>
      <c r="N29" s="869"/>
      <c r="O29" s="869"/>
      <c r="P29" s="864">
        <f t="shared" si="3"/>
        <v>0</v>
      </c>
      <c r="Q29" s="869">
        <v>10657</v>
      </c>
      <c r="R29" s="869"/>
      <c r="S29" s="864">
        <f t="shared" si="4"/>
        <v>10657</v>
      </c>
      <c r="T29" s="869"/>
      <c r="U29" s="869"/>
      <c r="V29" s="864">
        <f t="shared" si="5"/>
        <v>0</v>
      </c>
      <c r="W29" s="869"/>
      <c r="X29" s="869"/>
      <c r="Y29" s="864">
        <f t="shared" si="6"/>
        <v>0</v>
      </c>
      <c r="Z29" s="869"/>
      <c r="AA29" s="869"/>
      <c r="AB29" s="864">
        <f t="shared" ref="AB29:AB30" si="8">SUM(Z29:AA29)</f>
        <v>0</v>
      </c>
      <c r="AC29" s="865"/>
      <c r="AD29" s="865"/>
    </row>
    <row r="30" spans="1:30" ht="51" x14ac:dyDescent="0.2">
      <c r="A30" s="860" t="s">
        <v>15</v>
      </c>
      <c r="B30" s="868" t="s">
        <v>547</v>
      </c>
      <c r="C30" s="871" t="s">
        <v>1126</v>
      </c>
      <c r="D30" s="869">
        <v>200000</v>
      </c>
      <c r="E30" s="869"/>
      <c r="F30" s="869"/>
      <c r="G30" s="864">
        <f t="shared" si="0"/>
        <v>0</v>
      </c>
      <c r="H30" s="869"/>
      <c r="I30" s="869"/>
      <c r="J30" s="864">
        <f t="shared" si="1"/>
        <v>0</v>
      </c>
      <c r="K30" s="869"/>
      <c r="L30" s="869">
        <v>200000</v>
      </c>
      <c r="M30" s="864">
        <f t="shared" si="2"/>
        <v>200000</v>
      </c>
      <c r="N30" s="869"/>
      <c r="O30" s="869"/>
      <c r="P30" s="864">
        <f t="shared" si="3"/>
        <v>0</v>
      </c>
      <c r="Q30" s="869"/>
      <c r="R30" s="869"/>
      <c r="S30" s="864">
        <f t="shared" si="4"/>
        <v>0</v>
      </c>
      <c r="T30" s="869"/>
      <c r="U30" s="869"/>
      <c r="V30" s="864">
        <f t="shared" si="5"/>
        <v>0</v>
      </c>
      <c r="W30" s="869"/>
      <c r="X30" s="869"/>
      <c r="Y30" s="864">
        <f t="shared" si="6"/>
        <v>0</v>
      </c>
      <c r="Z30" s="869"/>
      <c r="AA30" s="869"/>
      <c r="AB30" s="864">
        <f t="shared" si="8"/>
        <v>0</v>
      </c>
      <c r="AC30" s="865"/>
      <c r="AD30" s="865"/>
    </row>
    <row r="31" spans="1:30" ht="38.25" x14ac:dyDescent="0.2">
      <c r="A31" s="867" t="s">
        <v>16</v>
      </c>
      <c r="B31" s="868" t="s">
        <v>730</v>
      </c>
      <c r="C31" s="862" t="s">
        <v>1126</v>
      </c>
      <c r="D31" s="869">
        <v>400000</v>
      </c>
      <c r="E31" s="869"/>
      <c r="F31" s="869"/>
      <c r="G31" s="864">
        <f>SUM(E31:F31)</f>
        <v>0</v>
      </c>
      <c r="H31" s="869"/>
      <c r="I31" s="869"/>
      <c r="J31" s="864">
        <f>SUM(H31:I31)</f>
        <v>0</v>
      </c>
      <c r="K31" s="869"/>
      <c r="L31" s="869"/>
      <c r="M31" s="864">
        <f>SUM(K31:L31)</f>
        <v>0</v>
      </c>
      <c r="N31" s="869"/>
      <c r="O31" s="869">
        <v>400000</v>
      </c>
      <c r="P31" s="864">
        <f>SUM(N31:O31)</f>
        <v>400000</v>
      </c>
      <c r="Q31" s="869"/>
      <c r="R31" s="869"/>
      <c r="S31" s="864">
        <f>SUM(Q31:R31)</f>
        <v>0</v>
      </c>
      <c r="T31" s="869"/>
      <c r="U31" s="869"/>
      <c r="V31" s="864">
        <f>SUM(T31:U31)</f>
        <v>0</v>
      </c>
      <c r="W31" s="869"/>
      <c r="X31" s="869"/>
      <c r="Y31" s="864">
        <f>SUM(W31:X31)</f>
        <v>0</v>
      </c>
      <c r="Z31" s="869"/>
      <c r="AA31" s="869"/>
      <c r="AB31" s="864">
        <f>SUM(Z31:AA31)</f>
        <v>0</v>
      </c>
      <c r="AC31" s="865"/>
      <c r="AD31" s="865"/>
    </row>
    <row r="32" spans="1:30" ht="51" x14ac:dyDescent="0.2">
      <c r="A32" s="860" t="s">
        <v>17</v>
      </c>
      <c r="B32" s="868" t="s">
        <v>1132</v>
      </c>
      <c r="C32" s="862" t="s">
        <v>1126</v>
      </c>
      <c r="D32" s="869">
        <v>74756</v>
      </c>
      <c r="E32" s="869"/>
      <c r="F32" s="869"/>
      <c r="G32" s="864">
        <f t="shared" si="0"/>
        <v>0</v>
      </c>
      <c r="H32" s="869"/>
      <c r="I32" s="869"/>
      <c r="J32" s="864">
        <f t="shared" si="1"/>
        <v>0</v>
      </c>
      <c r="K32" s="869"/>
      <c r="L32" s="869"/>
      <c r="M32" s="864">
        <f t="shared" si="2"/>
        <v>0</v>
      </c>
      <c r="N32" s="869"/>
      <c r="O32" s="869"/>
      <c r="P32" s="864">
        <f t="shared" si="3"/>
        <v>0</v>
      </c>
      <c r="Q32" s="869">
        <v>69000</v>
      </c>
      <c r="R32" s="869"/>
      <c r="S32" s="864">
        <f t="shared" si="4"/>
        <v>69000</v>
      </c>
      <c r="T32" s="869"/>
      <c r="U32" s="869"/>
      <c r="V32" s="864">
        <f t="shared" si="5"/>
        <v>0</v>
      </c>
      <c r="W32" s="869"/>
      <c r="X32" s="869"/>
      <c r="Y32" s="864">
        <f t="shared" si="6"/>
        <v>0</v>
      </c>
      <c r="Z32" s="869"/>
      <c r="AA32" s="869"/>
      <c r="AB32" s="864">
        <f t="shared" ref="AB32:AB46" si="9">SUM(Z32:AA32)</f>
        <v>0</v>
      </c>
      <c r="AC32" s="865"/>
      <c r="AD32" s="865"/>
    </row>
    <row r="33" spans="1:30" ht="25.5" x14ac:dyDescent="0.2">
      <c r="A33" s="860" t="s">
        <v>18</v>
      </c>
      <c r="B33" s="868" t="s">
        <v>1133</v>
      </c>
      <c r="C33" s="862" t="s">
        <v>1126</v>
      </c>
      <c r="D33" s="869">
        <v>116807</v>
      </c>
      <c r="E33" s="869"/>
      <c r="F33" s="869"/>
      <c r="G33" s="864">
        <f t="shared" si="0"/>
        <v>0</v>
      </c>
      <c r="H33" s="869"/>
      <c r="I33" s="869"/>
      <c r="J33" s="864">
        <f t="shared" si="1"/>
        <v>0</v>
      </c>
      <c r="K33" s="869"/>
      <c r="L33" s="869"/>
      <c r="M33" s="864">
        <f t="shared" si="2"/>
        <v>0</v>
      </c>
      <c r="N33" s="869"/>
      <c r="O33" s="869"/>
      <c r="P33" s="864">
        <f t="shared" si="3"/>
        <v>0</v>
      </c>
      <c r="Q33" s="869">
        <v>90238</v>
      </c>
      <c r="R33" s="869"/>
      <c r="S33" s="864">
        <f t="shared" si="4"/>
        <v>90238</v>
      </c>
      <c r="T33" s="869"/>
      <c r="U33" s="869"/>
      <c r="V33" s="864">
        <f t="shared" si="5"/>
        <v>0</v>
      </c>
      <c r="W33" s="869"/>
      <c r="X33" s="869"/>
      <c r="Y33" s="864">
        <f t="shared" si="6"/>
        <v>0</v>
      </c>
      <c r="Z33" s="869"/>
      <c r="AA33" s="869"/>
      <c r="AB33" s="864">
        <f t="shared" si="9"/>
        <v>0</v>
      </c>
      <c r="AC33" s="865"/>
      <c r="AD33" s="865"/>
    </row>
    <row r="34" spans="1:30" ht="38.25" x14ac:dyDescent="0.2">
      <c r="A34" s="867" t="s">
        <v>19</v>
      </c>
      <c r="B34" s="868" t="s">
        <v>1134</v>
      </c>
      <c r="C34" s="862" t="s">
        <v>1126</v>
      </c>
      <c r="D34" s="869">
        <v>375512</v>
      </c>
      <c r="E34" s="869"/>
      <c r="F34" s="869"/>
      <c r="G34" s="864">
        <f t="shared" si="0"/>
        <v>0</v>
      </c>
      <c r="H34" s="869"/>
      <c r="I34" s="869"/>
      <c r="J34" s="864">
        <f t="shared" si="1"/>
        <v>0</v>
      </c>
      <c r="K34" s="869"/>
      <c r="L34" s="869"/>
      <c r="M34" s="864">
        <f t="shared" si="2"/>
        <v>0</v>
      </c>
      <c r="N34" s="869">
        <v>6971</v>
      </c>
      <c r="O34" s="869"/>
      <c r="P34" s="864">
        <f t="shared" si="3"/>
        <v>6971</v>
      </c>
      <c r="Q34" s="869">
        <v>105220</v>
      </c>
      <c r="R34" s="869"/>
      <c r="S34" s="864">
        <f t="shared" si="4"/>
        <v>105220</v>
      </c>
      <c r="T34" s="869">
        <v>263321</v>
      </c>
      <c r="U34" s="869"/>
      <c r="V34" s="864">
        <f t="shared" si="5"/>
        <v>263321</v>
      </c>
      <c r="W34" s="869"/>
      <c r="X34" s="869"/>
      <c r="Y34" s="864">
        <f t="shared" si="6"/>
        <v>0</v>
      </c>
      <c r="Z34" s="869"/>
      <c r="AA34" s="869"/>
      <c r="AB34" s="864">
        <f t="shared" si="9"/>
        <v>0</v>
      </c>
      <c r="AC34" s="865"/>
      <c r="AD34" s="865"/>
    </row>
    <row r="35" spans="1:30" ht="25.5" x14ac:dyDescent="0.2">
      <c r="A35" s="860" t="s">
        <v>20</v>
      </c>
      <c r="B35" s="868" t="s">
        <v>1135</v>
      </c>
      <c r="C35" s="862" t="s">
        <v>1126</v>
      </c>
      <c r="D35" s="869">
        <v>192360</v>
      </c>
      <c r="E35" s="869"/>
      <c r="F35" s="869"/>
      <c r="G35" s="864">
        <f t="shared" si="0"/>
        <v>0</v>
      </c>
      <c r="H35" s="869"/>
      <c r="I35" s="869"/>
      <c r="J35" s="864">
        <f t="shared" si="1"/>
        <v>0</v>
      </c>
      <c r="K35" s="869"/>
      <c r="L35" s="869"/>
      <c r="M35" s="864">
        <f t="shared" si="2"/>
        <v>0</v>
      </c>
      <c r="N35" s="869">
        <v>4700</v>
      </c>
      <c r="O35" s="869"/>
      <c r="P35" s="864">
        <f t="shared" si="3"/>
        <v>4700</v>
      </c>
      <c r="Q35" s="869">
        <v>187660</v>
      </c>
      <c r="R35" s="869"/>
      <c r="S35" s="864">
        <f t="shared" si="4"/>
        <v>187660</v>
      </c>
      <c r="T35" s="869"/>
      <c r="U35" s="869"/>
      <c r="V35" s="864">
        <f t="shared" si="5"/>
        <v>0</v>
      </c>
      <c r="W35" s="869"/>
      <c r="X35" s="869"/>
      <c r="Y35" s="864">
        <f t="shared" si="6"/>
        <v>0</v>
      </c>
      <c r="Z35" s="869"/>
      <c r="AA35" s="869"/>
      <c r="AB35" s="864">
        <f t="shared" si="9"/>
        <v>0</v>
      </c>
      <c r="AC35" s="865"/>
      <c r="AD35" s="865"/>
    </row>
    <row r="36" spans="1:30" x14ac:dyDescent="0.2">
      <c r="A36" s="860" t="s">
        <v>21</v>
      </c>
      <c r="B36" s="868" t="s">
        <v>736</v>
      </c>
      <c r="C36" s="862" t="s">
        <v>1126</v>
      </c>
      <c r="D36" s="869">
        <v>288025</v>
      </c>
      <c r="E36" s="869"/>
      <c r="F36" s="869"/>
      <c r="G36" s="864">
        <f t="shared" si="0"/>
        <v>0</v>
      </c>
      <c r="H36" s="869"/>
      <c r="I36" s="869"/>
      <c r="J36" s="864">
        <f t="shared" si="1"/>
        <v>0</v>
      </c>
      <c r="K36" s="869"/>
      <c r="L36" s="869"/>
      <c r="M36" s="864">
        <f t="shared" si="2"/>
        <v>0</v>
      </c>
      <c r="N36" s="869"/>
      <c r="O36" s="869"/>
      <c r="P36" s="864">
        <f t="shared" si="3"/>
        <v>0</v>
      </c>
      <c r="Q36" s="869">
        <v>136800</v>
      </c>
      <c r="R36" s="869"/>
      <c r="S36" s="864">
        <f t="shared" si="4"/>
        <v>136800</v>
      </c>
      <c r="T36" s="869">
        <v>149803</v>
      </c>
      <c r="U36" s="869"/>
      <c r="V36" s="864">
        <f t="shared" si="5"/>
        <v>149803</v>
      </c>
      <c r="W36" s="869"/>
      <c r="X36" s="869"/>
      <c r="Y36" s="864">
        <f t="shared" si="6"/>
        <v>0</v>
      </c>
      <c r="Z36" s="869"/>
      <c r="AA36" s="869"/>
      <c r="AB36" s="864">
        <f t="shared" si="9"/>
        <v>0</v>
      </c>
      <c r="AC36" s="865"/>
      <c r="AD36" s="865"/>
    </row>
    <row r="37" spans="1:30" ht="38.25" x14ac:dyDescent="0.2">
      <c r="A37" s="867" t="s">
        <v>744</v>
      </c>
      <c r="B37" s="868" t="s">
        <v>1136</v>
      </c>
      <c r="C37" s="862" t="s">
        <v>1126</v>
      </c>
      <c r="D37" s="869">
        <v>425480</v>
      </c>
      <c r="E37" s="869"/>
      <c r="F37" s="869"/>
      <c r="G37" s="864">
        <f t="shared" si="0"/>
        <v>0</v>
      </c>
      <c r="H37" s="869"/>
      <c r="I37" s="869"/>
      <c r="J37" s="864">
        <f t="shared" si="1"/>
        <v>0</v>
      </c>
      <c r="K37" s="869"/>
      <c r="L37" s="869"/>
      <c r="M37" s="864">
        <f t="shared" si="2"/>
        <v>0</v>
      </c>
      <c r="N37" s="869"/>
      <c r="O37" s="869">
        <v>425480</v>
      </c>
      <c r="P37" s="864">
        <f t="shared" si="3"/>
        <v>425480</v>
      </c>
      <c r="Q37" s="869"/>
      <c r="R37" s="869"/>
      <c r="S37" s="864">
        <f t="shared" si="4"/>
        <v>0</v>
      </c>
      <c r="T37" s="869"/>
      <c r="U37" s="869"/>
      <c r="V37" s="864">
        <f t="shared" si="5"/>
        <v>0</v>
      </c>
      <c r="W37" s="869"/>
      <c r="X37" s="869"/>
      <c r="Y37" s="864">
        <f t="shared" si="6"/>
        <v>0</v>
      </c>
      <c r="Z37" s="869"/>
      <c r="AA37" s="869"/>
      <c r="AB37" s="864">
        <f t="shared" si="9"/>
        <v>0</v>
      </c>
      <c r="AC37" s="865"/>
      <c r="AD37" s="865"/>
    </row>
    <row r="38" spans="1:30" x14ac:dyDescent="0.2">
      <c r="A38" s="860" t="s">
        <v>745</v>
      </c>
      <c r="B38" s="868" t="s">
        <v>1137</v>
      </c>
      <c r="C38" s="862" t="s">
        <v>1126</v>
      </c>
      <c r="D38" s="869">
        <v>327668</v>
      </c>
      <c r="E38" s="869"/>
      <c r="F38" s="869"/>
      <c r="G38" s="864">
        <f t="shared" si="0"/>
        <v>0</v>
      </c>
      <c r="H38" s="869"/>
      <c r="I38" s="869"/>
      <c r="J38" s="864">
        <f t="shared" si="1"/>
        <v>0</v>
      </c>
      <c r="K38" s="869"/>
      <c r="L38" s="869"/>
      <c r="M38" s="864">
        <f t="shared" si="2"/>
        <v>0</v>
      </c>
      <c r="N38" s="869"/>
      <c r="O38" s="869"/>
      <c r="P38" s="864">
        <f t="shared" si="3"/>
        <v>0</v>
      </c>
      <c r="Q38" s="869">
        <v>130824</v>
      </c>
      <c r="R38" s="869"/>
      <c r="S38" s="864">
        <f t="shared" si="4"/>
        <v>130824</v>
      </c>
      <c r="T38" s="869">
        <v>130824</v>
      </c>
      <c r="U38" s="869"/>
      <c r="V38" s="864">
        <f t="shared" si="5"/>
        <v>130824</v>
      </c>
      <c r="W38" s="869"/>
      <c r="X38" s="869"/>
      <c r="Y38" s="864">
        <f t="shared" si="6"/>
        <v>0</v>
      </c>
      <c r="Z38" s="869"/>
      <c r="AA38" s="869"/>
      <c r="AB38" s="864">
        <f t="shared" si="9"/>
        <v>0</v>
      </c>
      <c r="AC38" s="865"/>
      <c r="AD38" s="865"/>
    </row>
    <row r="39" spans="1:30" ht="25.5" x14ac:dyDescent="0.2">
      <c r="A39" s="860" t="s">
        <v>1138</v>
      </c>
      <c r="B39" s="868" t="s">
        <v>740</v>
      </c>
      <c r="C39" s="862" t="s">
        <v>1126</v>
      </c>
      <c r="D39" s="869">
        <v>151721</v>
      </c>
      <c r="E39" s="869"/>
      <c r="F39" s="869"/>
      <c r="G39" s="864">
        <f t="shared" si="0"/>
        <v>0</v>
      </c>
      <c r="H39" s="869"/>
      <c r="I39" s="869"/>
      <c r="J39" s="864">
        <f t="shared" si="1"/>
        <v>0</v>
      </c>
      <c r="K39" s="869"/>
      <c r="L39" s="869"/>
      <c r="M39" s="864">
        <f t="shared" si="2"/>
        <v>0</v>
      </c>
      <c r="N39" s="869"/>
      <c r="O39" s="869"/>
      <c r="P39" s="864">
        <f t="shared" si="3"/>
        <v>0</v>
      </c>
      <c r="Q39" s="869">
        <v>151721</v>
      </c>
      <c r="R39" s="869"/>
      <c r="S39" s="864">
        <f t="shared" si="4"/>
        <v>151721</v>
      </c>
      <c r="T39" s="869"/>
      <c r="U39" s="869"/>
      <c r="V39" s="864">
        <f t="shared" si="5"/>
        <v>0</v>
      </c>
      <c r="W39" s="869"/>
      <c r="X39" s="869"/>
      <c r="Y39" s="864">
        <f t="shared" si="6"/>
        <v>0</v>
      </c>
      <c r="Z39" s="869"/>
      <c r="AA39" s="869"/>
      <c r="AB39" s="864">
        <f t="shared" si="9"/>
        <v>0</v>
      </c>
      <c r="AC39" s="865"/>
      <c r="AD39" s="865"/>
    </row>
    <row r="40" spans="1:30" ht="25.5" x14ac:dyDescent="0.2">
      <c r="A40" s="867" t="s">
        <v>1139</v>
      </c>
      <c r="B40" s="868" t="s">
        <v>1140</v>
      </c>
      <c r="C40" s="862" t="s">
        <v>1126</v>
      </c>
      <c r="D40" s="869">
        <v>372508</v>
      </c>
      <c r="E40" s="869"/>
      <c r="F40" s="869"/>
      <c r="G40" s="864">
        <f t="shared" ref="G40" si="10">SUM(E40:F40)</f>
        <v>0</v>
      </c>
      <c r="H40" s="869"/>
      <c r="I40" s="869"/>
      <c r="J40" s="864">
        <f t="shared" ref="J40" si="11">SUM(H40:I40)</f>
        <v>0</v>
      </c>
      <c r="K40" s="869"/>
      <c r="L40" s="869"/>
      <c r="M40" s="864">
        <f t="shared" ref="M40" si="12">SUM(K40:L40)</f>
        <v>0</v>
      </c>
      <c r="N40" s="869"/>
      <c r="O40" s="869"/>
      <c r="P40" s="864">
        <f t="shared" ref="P40" si="13">SUM(N40:O40)</f>
        <v>0</v>
      </c>
      <c r="Q40" s="869">
        <v>5882</v>
      </c>
      <c r="R40" s="869"/>
      <c r="S40" s="864">
        <f t="shared" ref="S40" si="14">SUM(Q40:R40)</f>
        <v>5882</v>
      </c>
      <c r="T40" s="869">
        <v>366626</v>
      </c>
      <c r="U40" s="869"/>
      <c r="V40" s="864">
        <f t="shared" ref="V40" si="15">SUM(T40:U40)</f>
        <v>366626</v>
      </c>
      <c r="W40" s="869"/>
      <c r="X40" s="869"/>
      <c r="Y40" s="864">
        <f t="shared" ref="Y40" si="16">SUM(W40:X40)</f>
        <v>0</v>
      </c>
      <c r="Z40" s="869"/>
      <c r="AA40" s="869"/>
      <c r="AB40" s="864">
        <f t="shared" si="9"/>
        <v>0</v>
      </c>
      <c r="AC40" s="865"/>
      <c r="AD40" s="865"/>
    </row>
    <row r="41" spans="1:30" ht="25.5" x14ac:dyDescent="0.2">
      <c r="A41" s="860" t="s">
        <v>1141</v>
      </c>
      <c r="B41" s="868" t="s">
        <v>741</v>
      </c>
      <c r="C41" s="862" t="s">
        <v>1126</v>
      </c>
      <c r="D41" s="869">
        <v>905772</v>
      </c>
      <c r="E41" s="869"/>
      <c r="F41" s="869"/>
      <c r="G41" s="864">
        <f t="shared" si="0"/>
        <v>0</v>
      </c>
      <c r="H41" s="869"/>
      <c r="I41" s="869"/>
      <c r="J41" s="864">
        <f t="shared" si="1"/>
        <v>0</v>
      </c>
      <c r="K41" s="869"/>
      <c r="L41" s="869"/>
      <c r="M41" s="864">
        <f t="shared" si="2"/>
        <v>0</v>
      </c>
      <c r="N41" s="869"/>
      <c r="O41" s="869"/>
      <c r="P41" s="864">
        <f t="shared" si="3"/>
        <v>0</v>
      </c>
      <c r="Q41" s="869">
        <v>19432</v>
      </c>
      <c r="R41" s="869"/>
      <c r="S41" s="864">
        <f t="shared" si="4"/>
        <v>19432</v>
      </c>
      <c r="T41" s="869">
        <v>886340</v>
      </c>
      <c r="U41" s="869"/>
      <c r="V41" s="864">
        <f t="shared" si="5"/>
        <v>886340</v>
      </c>
      <c r="W41" s="869"/>
      <c r="X41" s="869"/>
      <c r="Y41" s="864">
        <f t="shared" si="6"/>
        <v>0</v>
      </c>
      <c r="Z41" s="869"/>
      <c r="AA41" s="869"/>
      <c r="AB41" s="864">
        <f t="shared" si="9"/>
        <v>0</v>
      </c>
      <c r="AC41" s="865"/>
      <c r="AD41" s="865"/>
    </row>
    <row r="42" spans="1:30" x14ac:dyDescent="0.2">
      <c r="A42" s="860" t="s">
        <v>1142</v>
      </c>
      <c r="B42" s="868" t="s">
        <v>739</v>
      </c>
      <c r="C42" s="862" t="s">
        <v>1126</v>
      </c>
      <c r="D42" s="869">
        <v>185648</v>
      </c>
      <c r="E42" s="869"/>
      <c r="F42" s="869"/>
      <c r="G42" s="864">
        <f t="shared" si="0"/>
        <v>0</v>
      </c>
      <c r="H42" s="869"/>
      <c r="I42" s="869"/>
      <c r="J42" s="864">
        <f t="shared" si="1"/>
        <v>0</v>
      </c>
      <c r="K42" s="869"/>
      <c r="L42" s="869"/>
      <c r="M42" s="864">
        <f t="shared" si="2"/>
        <v>0</v>
      </c>
      <c r="N42" s="869">
        <v>117585</v>
      </c>
      <c r="O42" s="869"/>
      <c r="P42" s="864">
        <f t="shared" si="3"/>
        <v>117585</v>
      </c>
      <c r="Q42" s="869">
        <v>68063</v>
      </c>
      <c r="R42" s="869"/>
      <c r="S42" s="864">
        <f t="shared" si="4"/>
        <v>68063</v>
      </c>
      <c r="T42" s="869"/>
      <c r="U42" s="869"/>
      <c r="V42" s="864">
        <f t="shared" si="5"/>
        <v>0</v>
      </c>
      <c r="W42" s="869"/>
      <c r="X42" s="869"/>
      <c r="Y42" s="864">
        <f t="shared" si="6"/>
        <v>0</v>
      </c>
      <c r="Z42" s="869"/>
      <c r="AA42" s="869"/>
      <c r="AB42" s="864">
        <f t="shared" si="9"/>
        <v>0</v>
      </c>
      <c r="AC42" s="865"/>
      <c r="AD42" s="865"/>
    </row>
    <row r="43" spans="1:30" ht="63.75" x14ac:dyDescent="0.2">
      <c r="A43" s="867" t="s">
        <v>1143</v>
      </c>
      <c r="B43" s="868" t="s">
        <v>725</v>
      </c>
      <c r="C43" s="862" t="s">
        <v>1126</v>
      </c>
      <c r="D43" s="869">
        <v>88509</v>
      </c>
      <c r="E43" s="869"/>
      <c r="F43" s="869"/>
      <c r="G43" s="864">
        <f t="shared" si="0"/>
        <v>0</v>
      </c>
      <c r="H43" s="869"/>
      <c r="I43" s="869"/>
      <c r="J43" s="864">
        <f t="shared" si="1"/>
        <v>0</v>
      </c>
      <c r="K43" s="869"/>
      <c r="L43" s="869"/>
      <c r="M43" s="864">
        <f t="shared" si="2"/>
        <v>0</v>
      </c>
      <c r="N43" s="869"/>
      <c r="O43" s="869"/>
      <c r="P43" s="864">
        <f t="shared" si="3"/>
        <v>0</v>
      </c>
      <c r="Q43" s="869"/>
      <c r="R43" s="869">
        <v>88509</v>
      </c>
      <c r="S43" s="864">
        <f t="shared" si="4"/>
        <v>88509</v>
      </c>
      <c r="T43" s="869"/>
      <c r="U43" s="869"/>
      <c r="V43" s="864">
        <f t="shared" si="5"/>
        <v>0</v>
      </c>
      <c r="W43" s="869"/>
      <c r="X43" s="869"/>
      <c r="Y43" s="864">
        <f t="shared" si="6"/>
        <v>0</v>
      </c>
      <c r="Z43" s="869"/>
      <c r="AA43" s="869"/>
      <c r="AB43" s="864">
        <f t="shared" si="9"/>
        <v>0</v>
      </c>
      <c r="AC43" s="865"/>
      <c r="AD43" s="865"/>
    </row>
    <row r="44" spans="1:30" x14ac:dyDescent="0.2">
      <c r="A44" s="860" t="s">
        <v>1144</v>
      </c>
      <c r="B44" s="868" t="s">
        <v>1145</v>
      </c>
      <c r="C44" s="862" t="s">
        <v>1126</v>
      </c>
      <c r="D44" s="869">
        <v>38597</v>
      </c>
      <c r="E44" s="869"/>
      <c r="F44" s="869"/>
      <c r="G44" s="864">
        <f t="shared" ref="G44" si="17">SUM(E44:F44)</f>
        <v>0</v>
      </c>
      <c r="H44" s="869"/>
      <c r="I44" s="869"/>
      <c r="J44" s="864">
        <f t="shared" ref="J44" si="18">SUM(H44:I44)</f>
        <v>0</v>
      </c>
      <c r="K44" s="869"/>
      <c r="L44" s="869"/>
      <c r="M44" s="864">
        <f t="shared" ref="M44" si="19">SUM(K44:L44)</f>
        <v>0</v>
      </c>
      <c r="N44" s="869">
        <v>2306</v>
      </c>
      <c r="O44" s="869"/>
      <c r="P44" s="864">
        <f t="shared" ref="P44" si="20">SUM(N44:O44)</f>
        <v>2306</v>
      </c>
      <c r="Q44" s="869">
        <v>11987</v>
      </c>
      <c r="R44" s="869"/>
      <c r="S44" s="864">
        <f t="shared" ref="S44" si="21">SUM(Q44:R44)</f>
        <v>11987</v>
      </c>
      <c r="T44" s="869">
        <v>13472</v>
      </c>
      <c r="U44" s="869"/>
      <c r="V44" s="864">
        <f t="shared" ref="V44" si="22">SUM(T44:U44)</f>
        <v>13472</v>
      </c>
      <c r="W44" s="869">
        <v>9567</v>
      </c>
      <c r="X44" s="869"/>
      <c r="Y44" s="864">
        <f t="shared" ref="Y44" si="23">SUM(W44:X44)</f>
        <v>9567</v>
      </c>
      <c r="Z44" s="869">
        <v>1265</v>
      </c>
      <c r="AA44" s="869"/>
      <c r="AB44" s="864">
        <f t="shared" si="9"/>
        <v>1265</v>
      </c>
      <c r="AC44" s="865"/>
      <c r="AD44" s="865"/>
    </row>
    <row r="45" spans="1:30" x14ac:dyDescent="0.2">
      <c r="A45" s="860" t="s">
        <v>1146</v>
      </c>
      <c r="B45" s="868" t="s">
        <v>1147</v>
      </c>
      <c r="C45" s="862" t="s">
        <v>1126</v>
      </c>
      <c r="D45" s="869">
        <v>62164</v>
      </c>
      <c r="E45" s="869"/>
      <c r="F45" s="869"/>
      <c r="G45" s="864">
        <f t="shared" si="0"/>
        <v>0</v>
      </c>
      <c r="H45" s="869"/>
      <c r="I45" s="869"/>
      <c r="J45" s="864">
        <f t="shared" si="1"/>
        <v>0</v>
      </c>
      <c r="K45" s="869"/>
      <c r="L45" s="869"/>
      <c r="M45" s="864">
        <f t="shared" si="2"/>
        <v>0</v>
      </c>
      <c r="N45" s="869"/>
      <c r="O45" s="869">
        <v>50000</v>
      </c>
      <c r="P45" s="864">
        <f t="shared" si="3"/>
        <v>50000</v>
      </c>
      <c r="Q45" s="869"/>
      <c r="R45" s="869"/>
      <c r="S45" s="864">
        <f t="shared" si="4"/>
        <v>0</v>
      </c>
      <c r="T45" s="869"/>
      <c r="U45" s="869"/>
      <c r="V45" s="864">
        <f t="shared" si="5"/>
        <v>0</v>
      </c>
      <c r="W45" s="869"/>
      <c r="X45" s="869"/>
      <c r="Y45" s="864">
        <f t="shared" si="6"/>
        <v>0</v>
      </c>
      <c r="Z45" s="869"/>
      <c r="AA45" s="869"/>
      <c r="AB45" s="864">
        <f t="shared" si="9"/>
        <v>0</v>
      </c>
      <c r="AC45" s="865"/>
      <c r="AD45" s="865"/>
    </row>
    <row r="46" spans="1:30" ht="76.5" x14ac:dyDescent="0.2">
      <c r="A46" s="867" t="s">
        <v>1148</v>
      </c>
      <c r="B46" s="868" t="s">
        <v>1149</v>
      </c>
      <c r="C46" s="862" t="s">
        <v>1126</v>
      </c>
      <c r="D46" s="869">
        <v>2462775</v>
      </c>
      <c r="E46" s="869"/>
      <c r="F46" s="869"/>
      <c r="G46" s="864">
        <f t="shared" si="0"/>
        <v>0</v>
      </c>
      <c r="H46" s="869"/>
      <c r="I46" s="869"/>
      <c r="J46" s="864">
        <f t="shared" si="1"/>
        <v>0</v>
      </c>
      <c r="K46" s="869"/>
      <c r="L46" s="869"/>
      <c r="M46" s="864">
        <f t="shared" si="2"/>
        <v>0</v>
      </c>
      <c r="N46" s="869"/>
      <c r="O46" s="869">
        <v>918200</v>
      </c>
      <c r="P46" s="864">
        <f t="shared" si="3"/>
        <v>918200</v>
      </c>
      <c r="Q46" s="869"/>
      <c r="R46" s="869">
        <v>1544575</v>
      </c>
      <c r="S46" s="864">
        <f t="shared" si="4"/>
        <v>1544575</v>
      </c>
      <c r="T46" s="869"/>
      <c r="U46" s="869"/>
      <c r="V46" s="864">
        <f t="shared" si="5"/>
        <v>0</v>
      </c>
      <c r="W46" s="869"/>
      <c r="X46" s="869"/>
      <c r="Y46" s="864">
        <f t="shared" si="6"/>
        <v>0</v>
      </c>
      <c r="Z46" s="869"/>
      <c r="AA46" s="869"/>
      <c r="AB46" s="864">
        <f t="shared" si="9"/>
        <v>0</v>
      </c>
      <c r="AC46" s="865"/>
      <c r="AD46" s="865"/>
    </row>
    <row r="47" spans="1:30" ht="76.5" x14ac:dyDescent="0.2">
      <c r="A47" s="867" t="s">
        <v>1150</v>
      </c>
      <c r="B47" s="868" t="s">
        <v>716</v>
      </c>
      <c r="C47" s="862" t="s">
        <v>1126</v>
      </c>
      <c r="D47" s="869">
        <v>65000</v>
      </c>
      <c r="E47" s="869"/>
      <c r="F47" s="869"/>
      <c r="G47" s="864">
        <f>SUM(E47:F47)</f>
        <v>0</v>
      </c>
      <c r="H47" s="869"/>
      <c r="I47" s="869"/>
      <c r="J47" s="864">
        <f>SUM(H47:I47)</f>
        <v>0</v>
      </c>
      <c r="K47" s="869"/>
      <c r="L47" s="869"/>
      <c r="M47" s="864">
        <f>SUM(K47:L47)</f>
        <v>0</v>
      </c>
      <c r="N47" s="869"/>
      <c r="O47" s="869"/>
      <c r="P47" s="864">
        <f>SUM(N47:O47)</f>
        <v>0</v>
      </c>
      <c r="Q47" s="869"/>
      <c r="R47" s="869">
        <v>65000</v>
      </c>
      <c r="S47" s="864">
        <f>SUM(Q47:R47)</f>
        <v>65000</v>
      </c>
      <c r="T47" s="869"/>
      <c r="U47" s="869"/>
      <c r="V47" s="864">
        <f>SUM(T47:U47)</f>
        <v>0</v>
      </c>
      <c r="W47" s="869"/>
      <c r="X47" s="869"/>
      <c r="Y47" s="864">
        <f>SUM(W47:X47)</f>
        <v>0</v>
      </c>
      <c r="Z47" s="869"/>
      <c r="AA47" s="869"/>
      <c r="AB47" s="864">
        <f>SUM(Z47:AA47)</f>
        <v>0</v>
      </c>
      <c r="AC47" s="865"/>
      <c r="AD47" s="865"/>
    </row>
    <row r="48" spans="1:30" ht="13.5" thickBot="1" x14ac:dyDescent="0.25">
      <c r="A48" s="867" t="s">
        <v>1151</v>
      </c>
      <c r="B48" s="868" t="s">
        <v>727</v>
      </c>
      <c r="C48" s="862" t="s">
        <v>1152</v>
      </c>
      <c r="D48" s="869">
        <v>2000000</v>
      </c>
      <c r="E48" s="869"/>
      <c r="F48" s="869"/>
      <c r="G48" s="864">
        <f>SUM(E48:F48)</f>
        <v>0</v>
      </c>
      <c r="H48" s="869"/>
      <c r="I48" s="869"/>
      <c r="J48" s="864">
        <f>SUM(H48:I48)</f>
        <v>0</v>
      </c>
      <c r="K48" s="869"/>
      <c r="L48" s="869"/>
      <c r="M48" s="864">
        <f>SUM(K48:L48)</f>
        <v>0</v>
      </c>
      <c r="N48" s="869"/>
      <c r="O48" s="869"/>
      <c r="P48" s="864">
        <f>SUM(N48:O48)</f>
        <v>0</v>
      </c>
      <c r="Q48" s="869">
        <v>200000</v>
      </c>
      <c r="R48" s="869"/>
      <c r="S48" s="864">
        <f>SUM(Q48:R48)</f>
        <v>200000</v>
      </c>
      <c r="T48" s="869">
        <v>900000</v>
      </c>
      <c r="U48" s="869"/>
      <c r="V48" s="864">
        <f>SUM(T48:U48)</f>
        <v>900000</v>
      </c>
      <c r="W48" s="869">
        <v>900000</v>
      </c>
      <c r="X48" s="869"/>
      <c r="Y48" s="864">
        <f>SUM(W48:X48)</f>
        <v>900000</v>
      </c>
      <c r="Z48" s="869"/>
      <c r="AA48" s="869"/>
      <c r="AB48" s="864">
        <f>SUM(Z48:AA48)</f>
        <v>0</v>
      </c>
      <c r="AC48" s="865"/>
      <c r="AD48" s="865"/>
    </row>
    <row r="49" spans="1:30" s="854" customFormat="1" ht="13.5" thickBot="1" x14ac:dyDescent="0.25">
      <c r="A49" s="874"/>
      <c r="B49" s="875" t="s">
        <v>1153</v>
      </c>
      <c r="C49" s="876"/>
      <c r="D49" s="877">
        <f t="shared" ref="D49:AB49" si="24">SUM(D6:D48)</f>
        <v>55421234</v>
      </c>
      <c r="E49" s="877">
        <f t="shared" si="24"/>
        <v>0</v>
      </c>
      <c r="F49" s="877">
        <f t="shared" si="24"/>
        <v>417000</v>
      </c>
      <c r="G49" s="877">
        <f t="shared" si="24"/>
        <v>417000</v>
      </c>
      <c r="H49" s="877">
        <f t="shared" si="24"/>
        <v>901860</v>
      </c>
      <c r="I49" s="877">
        <f t="shared" si="24"/>
        <v>8253631</v>
      </c>
      <c r="J49" s="877">
        <f t="shared" si="24"/>
        <v>9155491</v>
      </c>
      <c r="K49" s="877">
        <f t="shared" si="24"/>
        <v>902837</v>
      </c>
      <c r="L49" s="877">
        <f t="shared" si="24"/>
        <v>9972675</v>
      </c>
      <c r="M49" s="877">
        <f t="shared" si="24"/>
        <v>10875512</v>
      </c>
      <c r="N49" s="877">
        <f t="shared" si="24"/>
        <v>1256346</v>
      </c>
      <c r="O49" s="877">
        <f t="shared" si="24"/>
        <v>7415128</v>
      </c>
      <c r="P49" s="877">
        <f t="shared" si="24"/>
        <v>8671474</v>
      </c>
      <c r="Q49" s="877">
        <f t="shared" si="24"/>
        <v>2543879</v>
      </c>
      <c r="R49" s="877">
        <f t="shared" si="24"/>
        <v>13616017</v>
      </c>
      <c r="S49" s="877">
        <f t="shared" si="24"/>
        <v>16159896</v>
      </c>
      <c r="T49" s="877">
        <f t="shared" si="24"/>
        <v>7639011</v>
      </c>
      <c r="U49" s="877">
        <f t="shared" si="24"/>
        <v>752372</v>
      </c>
      <c r="V49" s="877">
        <f t="shared" si="24"/>
        <v>8391383</v>
      </c>
      <c r="W49" s="877">
        <f t="shared" si="24"/>
        <v>1278801</v>
      </c>
      <c r="X49" s="877">
        <f t="shared" si="24"/>
        <v>0</v>
      </c>
      <c r="Y49" s="877">
        <f t="shared" si="24"/>
        <v>1278801</v>
      </c>
      <c r="Z49" s="877">
        <f t="shared" si="24"/>
        <v>1265</v>
      </c>
      <c r="AA49" s="877">
        <f t="shared" si="24"/>
        <v>0</v>
      </c>
      <c r="AB49" s="877">
        <f t="shared" si="24"/>
        <v>1265</v>
      </c>
      <c r="AC49" s="865"/>
      <c r="AD49" s="865"/>
    </row>
    <row r="50" spans="1:30" s="854" customFormat="1" x14ac:dyDescent="0.2">
      <c r="A50" s="878"/>
      <c r="B50" s="879"/>
      <c r="C50" s="880"/>
      <c r="D50" s="881"/>
      <c r="E50" s="881"/>
      <c r="F50" s="881"/>
      <c r="G50" s="881"/>
      <c r="H50" s="881"/>
      <c r="I50" s="881"/>
      <c r="J50" s="881"/>
      <c r="K50" s="881"/>
      <c r="L50" s="881"/>
      <c r="M50" s="881"/>
      <c r="N50" s="881"/>
      <c r="O50" s="881"/>
      <c r="P50" s="881"/>
      <c r="Q50" s="881"/>
      <c r="R50" s="881"/>
      <c r="S50" s="881"/>
      <c r="T50" s="881"/>
      <c r="U50" s="881"/>
      <c r="V50" s="881"/>
      <c r="W50" s="881"/>
      <c r="X50" s="881"/>
      <c r="Y50" s="881"/>
      <c r="Z50" s="881"/>
      <c r="AA50" s="881"/>
      <c r="AB50" s="881"/>
      <c r="AC50" s="865"/>
      <c r="AD50" s="865"/>
    </row>
    <row r="51" spans="1:30" ht="27" customHeight="1" x14ac:dyDescent="0.2">
      <c r="A51" s="1031" t="s">
        <v>1154</v>
      </c>
      <c r="B51" s="1031"/>
      <c r="C51" s="882"/>
      <c r="D51" s="852"/>
      <c r="E51" s="852"/>
      <c r="F51" s="852"/>
      <c r="G51" s="852"/>
      <c r="H51" s="852"/>
      <c r="I51" s="852"/>
      <c r="J51" s="852"/>
      <c r="K51" s="852"/>
      <c r="L51" s="852"/>
      <c r="M51" s="852"/>
      <c r="N51" s="852"/>
      <c r="O51" s="852"/>
      <c r="P51" s="852"/>
      <c r="Q51" s="852"/>
      <c r="R51" s="852"/>
      <c r="S51" s="852"/>
      <c r="T51" s="852"/>
      <c r="U51" s="852"/>
      <c r="V51" s="852"/>
      <c r="W51" s="852"/>
      <c r="X51" s="852"/>
      <c r="Y51" s="852"/>
      <c r="Z51" s="852"/>
      <c r="AA51" s="852"/>
      <c r="AB51" s="852"/>
    </row>
    <row r="52" spans="1:30" ht="13.15" customHeight="1" x14ac:dyDescent="0.2">
      <c r="B52" s="883"/>
      <c r="D52" s="852"/>
      <c r="E52" s="852"/>
      <c r="F52" s="852"/>
      <c r="G52" s="852"/>
      <c r="H52" s="852"/>
      <c r="I52" s="852"/>
      <c r="J52" s="852"/>
      <c r="K52" s="852"/>
      <c r="L52" s="852"/>
      <c r="M52" s="852"/>
      <c r="N52" s="852"/>
      <c r="O52" s="852"/>
      <c r="P52" s="852"/>
      <c r="Q52" s="852"/>
      <c r="R52" s="852"/>
      <c r="S52" s="852"/>
      <c r="T52" s="852"/>
      <c r="U52" s="852"/>
      <c r="V52" s="852"/>
      <c r="W52" s="852"/>
      <c r="X52" s="852"/>
      <c r="Y52" s="852"/>
      <c r="Z52" s="852"/>
      <c r="AA52" s="852"/>
      <c r="AB52" s="852"/>
    </row>
    <row r="70" spans="3:3" x14ac:dyDescent="0.2">
      <c r="C70" s="851"/>
    </row>
    <row r="71" spans="3:3" x14ac:dyDescent="0.2">
      <c r="C71" s="851"/>
    </row>
  </sheetData>
  <mergeCells count="17">
    <mergeCell ref="T1:W1"/>
    <mergeCell ref="T2:W2"/>
    <mergeCell ref="Q4:S4"/>
    <mergeCell ref="T4:V4"/>
    <mergeCell ref="W4:Y4"/>
    <mergeCell ref="Z4:AB4"/>
    <mergeCell ref="A4:A5"/>
    <mergeCell ref="B4:B5"/>
    <mergeCell ref="C4:C5"/>
    <mergeCell ref="D4:D5"/>
    <mergeCell ref="E4:G4"/>
    <mergeCell ref="H4:J4"/>
    <mergeCell ref="A51:B51"/>
    <mergeCell ref="E2:H2"/>
    <mergeCell ref="E1:H1"/>
    <mergeCell ref="K4:M4"/>
    <mergeCell ref="N4:P4"/>
  </mergeCells>
  <printOptions horizontalCentered="1"/>
  <pageMargins left="0.19685039370078741" right="0.15748031496062992" top="0.86614173228346458" bottom="0.43307086614173229" header="0.35433070866141736" footer="0.15748031496062992"/>
  <pageSetup paperSize="9" scale="70" orientation="landscape" r:id="rId1"/>
  <headerFooter alignWithMargins="0">
    <oddHeader>&amp;R&amp;"Times New Roman CE,Félkövér"15. melléklet a 6/2019. (II.22.) önkormányzati rendelethez
&amp;"Times New Roman CE,Dőlt"19. melléklet
a 3/2018.(II.8.) önkormányzati rendelethez</oddHeader>
  </headerFooter>
  <rowBreaks count="1" manualBreakCount="1">
    <brk id="25" max="27" man="1"/>
  </rowBreaks>
  <colBreaks count="1" manualBreakCount="1">
    <brk id="16"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108"/>
  <sheetViews>
    <sheetView zoomScaleNormal="100" workbookViewId="0">
      <selection activeCell="AD41" sqref="AD41"/>
    </sheetView>
  </sheetViews>
  <sheetFormatPr defaultRowHeight="15" x14ac:dyDescent="0.25"/>
  <cols>
    <col min="1" max="1" width="37.875" style="833" customWidth="1"/>
    <col min="2" max="2" width="11.625" style="833" customWidth="1"/>
    <col min="3" max="3" width="11.75" style="833" customWidth="1"/>
    <col min="4" max="4" width="11.5" style="833" customWidth="1"/>
    <col min="5" max="5" width="11.875" style="833" customWidth="1"/>
    <col min="6" max="16384" width="9" style="833"/>
  </cols>
  <sheetData>
    <row r="1" spans="1:5" ht="15.75" x14ac:dyDescent="0.25">
      <c r="A1" s="1043" t="s">
        <v>1088</v>
      </c>
      <c r="B1" s="1043"/>
      <c r="C1" s="1043"/>
      <c r="D1" s="1043"/>
      <c r="E1" s="1043"/>
    </row>
    <row r="2" spans="1:5" ht="15.75" x14ac:dyDescent="0.25">
      <c r="A2" s="1043" t="s">
        <v>1089</v>
      </c>
      <c r="B2" s="1043"/>
      <c r="C2" s="1043"/>
      <c r="D2" s="1043"/>
      <c r="E2" s="1043"/>
    </row>
    <row r="3" spans="1:5" ht="16.5" thickBot="1" x14ac:dyDescent="0.3">
      <c r="A3" s="834"/>
      <c r="B3" s="835"/>
      <c r="C3" s="835"/>
      <c r="D3" s="835"/>
      <c r="E3" s="835"/>
    </row>
    <row r="4" spans="1:5" ht="33" customHeight="1" thickTop="1" thickBot="1" x14ac:dyDescent="0.3">
      <c r="A4" s="836" t="s">
        <v>463</v>
      </c>
      <c r="B4" s="837" t="s">
        <v>1090</v>
      </c>
      <c r="C4" s="837" t="s">
        <v>1091</v>
      </c>
      <c r="D4" s="837" t="s">
        <v>1092</v>
      </c>
      <c r="E4" s="837" t="s">
        <v>1093</v>
      </c>
    </row>
    <row r="5" spans="1:5" ht="16.5" customHeight="1" thickTop="1" x14ac:dyDescent="0.25">
      <c r="A5" s="838" t="s">
        <v>449</v>
      </c>
      <c r="B5" s="839">
        <v>10233</v>
      </c>
      <c r="C5" s="839">
        <v>1489</v>
      </c>
      <c r="D5" s="839"/>
      <c r="E5" s="839"/>
    </row>
    <row r="6" spans="1:5" ht="16.5" customHeight="1" thickBot="1" x14ac:dyDescent="0.3">
      <c r="A6" s="840" t="s">
        <v>448</v>
      </c>
      <c r="B6" s="839">
        <v>3147</v>
      </c>
      <c r="C6" s="839">
        <v>439</v>
      </c>
      <c r="D6" s="839">
        <v>10132</v>
      </c>
      <c r="E6" s="839">
        <f>D6*0.27</f>
        <v>2735.6400000000003</v>
      </c>
    </row>
    <row r="7" spans="1:5" ht="17.25" customHeight="1" thickTop="1" thickBot="1" x14ac:dyDescent="0.3">
      <c r="A7" s="844" t="s">
        <v>1094</v>
      </c>
      <c r="B7" s="841">
        <f>SUM(B5:B6)</f>
        <v>13380</v>
      </c>
      <c r="C7" s="841">
        <f t="shared" ref="C7:E7" si="0">SUM(C5:C6)</f>
        <v>1928</v>
      </c>
      <c r="D7" s="841">
        <f t="shared" si="0"/>
        <v>10132</v>
      </c>
      <c r="E7" s="841">
        <f t="shared" si="0"/>
        <v>2735.6400000000003</v>
      </c>
    </row>
    <row r="8" spans="1:5" ht="16.5" customHeight="1" thickTop="1" x14ac:dyDescent="0.25">
      <c r="A8" s="843" t="s">
        <v>446</v>
      </c>
      <c r="B8" s="842">
        <v>4733</v>
      </c>
      <c r="C8" s="839">
        <v>462</v>
      </c>
      <c r="D8" s="839">
        <v>3693</v>
      </c>
      <c r="E8" s="839">
        <v>674</v>
      </c>
    </row>
    <row r="9" spans="1:5" ht="16.5" customHeight="1" x14ac:dyDescent="0.25">
      <c r="A9" s="843" t="s">
        <v>901</v>
      </c>
      <c r="B9" s="842">
        <v>3208</v>
      </c>
      <c r="C9" s="839">
        <v>438</v>
      </c>
      <c r="D9" s="839">
        <v>3242</v>
      </c>
      <c r="E9" s="839">
        <v>707</v>
      </c>
    </row>
    <row r="10" spans="1:5" ht="16.5" customHeight="1" x14ac:dyDescent="0.25">
      <c r="A10" s="843" t="s">
        <v>445</v>
      </c>
      <c r="B10" s="842">
        <v>1853</v>
      </c>
      <c r="C10" s="839">
        <v>500</v>
      </c>
      <c r="D10" s="839">
        <v>3471</v>
      </c>
      <c r="E10" s="839">
        <v>760</v>
      </c>
    </row>
    <row r="11" spans="1:5" ht="16.5" customHeight="1" x14ac:dyDescent="0.25">
      <c r="A11" s="843" t="s">
        <v>1095</v>
      </c>
      <c r="B11" s="842">
        <v>925</v>
      </c>
      <c r="C11" s="839">
        <v>249</v>
      </c>
      <c r="D11" s="839">
        <v>2079</v>
      </c>
      <c r="E11" s="839">
        <v>521</v>
      </c>
    </row>
    <row r="12" spans="1:5" ht="16.5" customHeight="1" x14ac:dyDescent="0.25">
      <c r="A12" s="843" t="s">
        <v>863</v>
      </c>
      <c r="B12" s="842">
        <v>5566</v>
      </c>
      <c r="C12" s="839">
        <v>539</v>
      </c>
      <c r="D12" s="839">
        <v>3851</v>
      </c>
      <c r="E12" s="839">
        <v>801</v>
      </c>
    </row>
    <row r="13" spans="1:5" ht="16.5" customHeight="1" thickBot="1" x14ac:dyDescent="0.3">
      <c r="A13" s="843" t="s">
        <v>1096</v>
      </c>
      <c r="B13" s="842">
        <v>3885</v>
      </c>
      <c r="C13" s="839">
        <v>418</v>
      </c>
      <c r="D13" s="839">
        <v>3836</v>
      </c>
      <c r="E13" s="839">
        <v>836</v>
      </c>
    </row>
    <row r="14" spans="1:5" ht="17.25" customHeight="1" thickTop="1" thickBot="1" x14ac:dyDescent="0.3">
      <c r="A14" s="844" t="s">
        <v>443</v>
      </c>
      <c r="B14" s="841">
        <f>SUM(B8:B13)</f>
        <v>20170</v>
      </c>
      <c r="C14" s="841">
        <f t="shared" ref="C14:E14" si="1">SUM(C8:C13)</f>
        <v>2606</v>
      </c>
      <c r="D14" s="841">
        <f t="shared" si="1"/>
        <v>20172</v>
      </c>
      <c r="E14" s="841">
        <f t="shared" si="1"/>
        <v>4299</v>
      </c>
    </row>
    <row r="15" spans="1:5" ht="16.5" customHeight="1" thickTop="1" x14ac:dyDescent="0.25">
      <c r="A15" s="843" t="s">
        <v>442</v>
      </c>
      <c r="B15" s="839">
        <v>7417</v>
      </c>
      <c r="C15" s="839">
        <v>1259</v>
      </c>
      <c r="D15" s="839">
        <v>38726</v>
      </c>
      <c r="E15" s="839">
        <f>D15*0.27</f>
        <v>10456.02</v>
      </c>
    </row>
    <row r="16" spans="1:5" ht="16.5" customHeight="1" x14ac:dyDescent="0.25">
      <c r="A16" s="843" t="s">
        <v>1097</v>
      </c>
      <c r="B16" s="839">
        <v>8042</v>
      </c>
      <c r="C16" s="839">
        <v>989</v>
      </c>
      <c r="D16" s="839">
        <v>30342</v>
      </c>
      <c r="E16" s="839">
        <f t="shared" ref="E16:E26" si="2">D16*0.27</f>
        <v>8192.34</v>
      </c>
    </row>
    <row r="17" spans="1:5" ht="16.5" customHeight="1" x14ac:dyDescent="0.25">
      <c r="A17" s="843" t="s">
        <v>1098</v>
      </c>
      <c r="B17" s="839">
        <v>7843</v>
      </c>
      <c r="C17" s="839">
        <v>2118</v>
      </c>
      <c r="D17" s="839">
        <v>54894</v>
      </c>
      <c r="E17" s="839">
        <f t="shared" si="2"/>
        <v>14821.380000000001</v>
      </c>
    </row>
    <row r="18" spans="1:5" ht="16.5" customHeight="1" x14ac:dyDescent="0.25">
      <c r="A18" s="843" t="s">
        <v>441</v>
      </c>
      <c r="B18" s="839">
        <v>4725</v>
      </c>
      <c r="C18" s="839">
        <v>804</v>
      </c>
      <c r="D18" s="839">
        <v>35046</v>
      </c>
      <c r="E18" s="839">
        <f t="shared" si="2"/>
        <v>9462.42</v>
      </c>
    </row>
    <row r="19" spans="1:5" ht="16.5" customHeight="1" x14ac:dyDescent="0.25">
      <c r="A19" s="843" t="s">
        <v>440</v>
      </c>
      <c r="B19" s="839">
        <v>10359</v>
      </c>
      <c r="C19" s="839">
        <v>1109</v>
      </c>
      <c r="D19" s="839">
        <v>32185</v>
      </c>
      <c r="E19" s="839">
        <f t="shared" si="2"/>
        <v>8689.9500000000007</v>
      </c>
    </row>
    <row r="20" spans="1:5" ht="16.5" customHeight="1" x14ac:dyDescent="0.25">
      <c r="A20" s="843" t="s">
        <v>439</v>
      </c>
      <c r="B20" s="839">
        <v>4669</v>
      </c>
      <c r="C20" s="839">
        <v>1261</v>
      </c>
      <c r="D20" s="839">
        <v>33415</v>
      </c>
      <c r="E20" s="839">
        <f t="shared" si="2"/>
        <v>9022.0500000000011</v>
      </c>
    </row>
    <row r="21" spans="1:5" ht="16.5" customHeight="1" x14ac:dyDescent="0.25">
      <c r="A21" s="843" t="s">
        <v>438</v>
      </c>
      <c r="B21" s="839">
        <v>7435</v>
      </c>
      <c r="C21" s="839">
        <v>1244</v>
      </c>
      <c r="D21" s="839">
        <v>38679</v>
      </c>
      <c r="E21" s="839">
        <f t="shared" si="2"/>
        <v>10443.33</v>
      </c>
    </row>
    <row r="22" spans="1:5" ht="16.5" customHeight="1" x14ac:dyDescent="0.25">
      <c r="A22" s="843" t="s">
        <v>483</v>
      </c>
      <c r="B22" s="839">
        <v>5473</v>
      </c>
      <c r="C22" s="839">
        <v>694</v>
      </c>
      <c r="D22" s="839">
        <v>24998</v>
      </c>
      <c r="E22" s="839">
        <f t="shared" si="2"/>
        <v>6749.46</v>
      </c>
    </row>
    <row r="23" spans="1:5" ht="16.5" customHeight="1" x14ac:dyDescent="0.25">
      <c r="A23" s="843" t="s">
        <v>437</v>
      </c>
      <c r="B23" s="839">
        <v>1003</v>
      </c>
      <c r="C23" s="839">
        <v>271</v>
      </c>
      <c r="D23" s="839">
        <v>10192</v>
      </c>
      <c r="E23" s="839">
        <f t="shared" si="2"/>
        <v>2751.84</v>
      </c>
    </row>
    <row r="24" spans="1:5" ht="16.5" customHeight="1" x14ac:dyDescent="0.25">
      <c r="A24" s="843" t="s">
        <v>484</v>
      </c>
      <c r="B24" s="839">
        <v>10458</v>
      </c>
      <c r="C24" s="839">
        <v>1150</v>
      </c>
      <c r="D24" s="839">
        <v>41043</v>
      </c>
      <c r="E24" s="839">
        <f t="shared" si="2"/>
        <v>11081.61</v>
      </c>
    </row>
    <row r="25" spans="1:5" ht="16.5" customHeight="1" x14ac:dyDescent="0.25">
      <c r="A25" s="843" t="s">
        <v>435</v>
      </c>
      <c r="B25" s="839">
        <v>7240</v>
      </c>
      <c r="C25" s="839">
        <v>1027</v>
      </c>
      <c r="D25" s="839">
        <v>34811</v>
      </c>
      <c r="E25" s="839">
        <f t="shared" si="2"/>
        <v>9398.9700000000012</v>
      </c>
    </row>
    <row r="26" spans="1:5" ht="16.5" customHeight="1" thickBot="1" x14ac:dyDescent="0.3">
      <c r="A26" s="843" t="s">
        <v>434</v>
      </c>
      <c r="B26" s="839">
        <v>7585</v>
      </c>
      <c r="C26" s="839">
        <v>723</v>
      </c>
      <c r="D26" s="839">
        <v>33350</v>
      </c>
      <c r="E26" s="839">
        <f t="shared" si="2"/>
        <v>9004.5</v>
      </c>
    </row>
    <row r="27" spans="1:5" ht="17.25" customHeight="1" thickTop="1" thickBot="1" x14ac:dyDescent="0.3">
      <c r="A27" s="844" t="s">
        <v>433</v>
      </c>
      <c r="B27" s="841">
        <f>SUM(B15:B26)</f>
        <v>82249</v>
      </c>
      <c r="C27" s="841">
        <f t="shared" ref="C27:E27" si="3">SUM(C15:C26)</f>
        <v>12649</v>
      </c>
      <c r="D27" s="841">
        <f t="shared" si="3"/>
        <v>407681</v>
      </c>
      <c r="E27" s="841">
        <f t="shared" si="3"/>
        <v>110073.87000000001</v>
      </c>
    </row>
    <row r="28" spans="1:5" ht="17.25" thickTop="1" thickBot="1" x14ac:dyDescent="0.3">
      <c r="A28" s="844" t="s">
        <v>1099</v>
      </c>
      <c r="B28" s="841">
        <f>B27+B14+B7</f>
        <v>115799</v>
      </c>
      <c r="C28" s="841">
        <f t="shared" ref="C28:E28" si="4">C27+C14+C7</f>
        <v>17183</v>
      </c>
      <c r="D28" s="841">
        <f t="shared" si="4"/>
        <v>437985</v>
      </c>
      <c r="E28" s="841">
        <f t="shared" si="4"/>
        <v>117108.51000000001</v>
      </c>
    </row>
    <row r="29" spans="1:5" ht="16.5" customHeight="1" thickTop="1" x14ac:dyDescent="0.25">
      <c r="A29" s="843" t="s">
        <v>409</v>
      </c>
      <c r="B29" s="839">
        <v>33765</v>
      </c>
      <c r="C29" s="839">
        <v>8261</v>
      </c>
      <c r="D29" s="845">
        <v>144481</v>
      </c>
      <c r="E29" s="845">
        <v>36190</v>
      </c>
    </row>
    <row r="30" spans="1:5" ht="34.5" customHeight="1" x14ac:dyDescent="0.25">
      <c r="A30" s="843" t="s">
        <v>485</v>
      </c>
      <c r="B30" s="839">
        <v>2059</v>
      </c>
      <c r="C30" s="839">
        <v>317</v>
      </c>
      <c r="D30" s="839"/>
      <c r="E30" s="839"/>
    </row>
    <row r="31" spans="1:5" ht="16.5" customHeight="1" thickBot="1" x14ac:dyDescent="0.3">
      <c r="A31" s="843" t="s">
        <v>413</v>
      </c>
      <c r="B31" s="839">
        <v>15493</v>
      </c>
      <c r="C31" s="839">
        <v>4024</v>
      </c>
      <c r="D31" s="839">
        <v>11518</v>
      </c>
      <c r="E31" s="839">
        <v>2879</v>
      </c>
    </row>
    <row r="32" spans="1:5" ht="17.25" customHeight="1" thickTop="1" thickBot="1" x14ac:dyDescent="0.3">
      <c r="A32" s="844" t="s">
        <v>431</v>
      </c>
      <c r="B32" s="841">
        <f>SUM(B29:B31)</f>
        <v>51317</v>
      </c>
      <c r="C32" s="841">
        <f t="shared" ref="C32:E32" si="5">SUM(C29:C31)</f>
        <v>12602</v>
      </c>
      <c r="D32" s="841">
        <f t="shared" si="5"/>
        <v>155999</v>
      </c>
      <c r="E32" s="841">
        <f t="shared" si="5"/>
        <v>39069</v>
      </c>
    </row>
    <row r="33" spans="1:6" ht="17.25" thickTop="1" thickBot="1" x14ac:dyDescent="0.3">
      <c r="A33" s="844" t="s">
        <v>1100</v>
      </c>
      <c r="B33" s="841">
        <v>48978</v>
      </c>
      <c r="C33" s="846">
        <v>0</v>
      </c>
      <c r="D33" s="846">
        <v>783992</v>
      </c>
      <c r="E33" s="841">
        <f t="shared" ref="E33" si="6">D33*0.27</f>
        <v>211677.84000000003</v>
      </c>
      <c r="F33" s="847"/>
    </row>
    <row r="34" spans="1:6" ht="16.5" customHeight="1" thickTop="1" x14ac:dyDescent="0.25">
      <c r="A34" s="838" t="s">
        <v>429</v>
      </c>
      <c r="B34" s="839">
        <v>2518</v>
      </c>
      <c r="C34" s="845">
        <v>225</v>
      </c>
      <c r="D34" s="845"/>
      <c r="E34" s="845"/>
      <c r="F34" s="847"/>
    </row>
    <row r="35" spans="1:6" ht="16.5" customHeight="1" x14ac:dyDescent="0.25">
      <c r="A35" s="838" t="s">
        <v>428</v>
      </c>
      <c r="B35" s="839">
        <v>14139</v>
      </c>
      <c r="C35" s="845">
        <v>1532</v>
      </c>
      <c r="D35" s="845"/>
      <c r="E35" s="845"/>
      <c r="F35" s="847"/>
    </row>
    <row r="36" spans="1:6" ht="16.5" customHeight="1" x14ac:dyDescent="0.25">
      <c r="A36" s="838" t="s">
        <v>427</v>
      </c>
      <c r="B36" s="839">
        <v>33145</v>
      </c>
      <c r="C36" s="845">
        <v>5557</v>
      </c>
      <c r="D36" s="845"/>
      <c r="E36" s="845"/>
      <c r="F36" s="847"/>
    </row>
    <row r="37" spans="1:6" ht="16.5" customHeight="1" x14ac:dyDescent="0.25">
      <c r="A37" s="838" t="s">
        <v>813</v>
      </c>
      <c r="B37" s="839">
        <v>0</v>
      </c>
      <c r="C37" s="845">
        <v>0</v>
      </c>
      <c r="D37" s="845"/>
      <c r="E37" s="845"/>
      <c r="F37" s="847"/>
    </row>
    <row r="38" spans="1:6" ht="16.5" customHeight="1" x14ac:dyDescent="0.25">
      <c r="A38" s="838" t="s">
        <v>426</v>
      </c>
      <c r="B38" s="845">
        <v>4440</v>
      </c>
      <c r="C38" s="845">
        <v>1199</v>
      </c>
      <c r="D38" s="845"/>
      <c r="E38" s="845"/>
      <c r="F38" s="847"/>
    </row>
    <row r="39" spans="1:6" ht="16.5" customHeight="1" x14ac:dyDescent="0.25">
      <c r="A39" s="838" t="s">
        <v>425</v>
      </c>
      <c r="B39" s="839">
        <v>47536</v>
      </c>
      <c r="C39" s="845">
        <v>8329</v>
      </c>
      <c r="D39" s="845"/>
      <c r="E39" s="845"/>
      <c r="F39" s="847"/>
    </row>
    <row r="40" spans="1:6" ht="16.5" customHeight="1" x14ac:dyDescent="0.25">
      <c r="A40" s="838" t="s">
        <v>764</v>
      </c>
      <c r="B40" s="839">
        <v>13</v>
      </c>
      <c r="C40" s="845">
        <v>4</v>
      </c>
      <c r="D40" s="845"/>
      <c r="E40" s="845"/>
      <c r="F40" s="847"/>
    </row>
    <row r="41" spans="1:6" ht="16.5" customHeight="1" thickBot="1" x14ac:dyDescent="0.3">
      <c r="A41" s="838" t="s">
        <v>422</v>
      </c>
      <c r="B41" s="839">
        <v>13417</v>
      </c>
      <c r="C41" s="839">
        <v>1878</v>
      </c>
      <c r="D41" s="839"/>
      <c r="E41" s="839"/>
    </row>
    <row r="42" spans="1:6" ht="17.25" thickTop="1" thickBot="1" x14ac:dyDescent="0.3">
      <c r="A42" s="848" t="s">
        <v>1101</v>
      </c>
      <c r="B42" s="841">
        <f>SUM(B34:B41)</f>
        <v>115208</v>
      </c>
      <c r="C42" s="841">
        <f t="shared" ref="C42:E42" si="7">SUM(C34:C41)</f>
        <v>18724</v>
      </c>
      <c r="D42" s="841">
        <f t="shared" si="7"/>
        <v>0</v>
      </c>
      <c r="E42" s="841">
        <f t="shared" si="7"/>
        <v>0</v>
      </c>
    </row>
    <row r="43" spans="1:6" ht="17.25" thickTop="1" thickBot="1" x14ac:dyDescent="0.3">
      <c r="A43" s="849" t="s">
        <v>420</v>
      </c>
      <c r="B43" s="850">
        <f>B42+B33+B32+B28</f>
        <v>331302</v>
      </c>
      <c r="C43" s="850">
        <f t="shared" ref="C43:E43" si="8">C42+C33+C32+C28</f>
        <v>48509</v>
      </c>
      <c r="D43" s="850">
        <f t="shared" si="8"/>
        <v>1377976</v>
      </c>
      <c r="E43" s="850">
        <f t="shared" si="8"/>
        <v>367855.35000000003</v>
      </c>
    </row>
    <row r="44" spans="1:6" ht="17.25" thickTop="1" thickBot="1" x14ac:dyDescent="0.3">
      <c r="A44" s="887" t="s">
        <v>419</v>
      </c>
      <c r="B44" s="888">
        <v>31253</v>
      </c>
      <c r="C44" s="888">
        <v>3990</v>
      </c>
      <c r="D44" s="888"/>
      <c r="E44" s="888"/>
    </row>
    <row r="45" spans="1:6" ht="17.25" thickTop="1" thickBot="1" x14ac:dyDescent="0.3">
      <c r="A45" s="848" t="s">
        <v>1102</v>
      </c>
      <c r="B45" s="841">
        <f>B44+B43</f>
        <v>362555</v>
      </c>
      <c r="C45" s="841">
        <f t="shared" ref="C45:E45" si="9">C44+C43</f>
        <v>52499</v>
      </c>
      <c r="D45" s="841">
        <f t="shared" si="9"/>
        <v>1377976</v>
      </c>
      <c r="E45" s="841">
        <f t="shared" si="9"/>
        <v>367855.35000000003</v>
      </c>
    </row>
    <row r="46" spans="1:6" ht="16.5" thickTop="1" x14ac:dyDescent="0.25">
      <c r="A46" s="834"/>
      <c r="B46" s="835"/>
      <c r="C46" s="835"/>
      <c r="D46" s="835"/>
      <c r="E46" s="835"/>
    </row>
    <row r="47" spans="1:6" ht="15.75" x14ac:dyDescent="0.25">
      <c r="A47" s="834"/>
      <c r="B47" s="1044"/>
      <c r="C47" s="1044"/>
      <c r="D47" s="835"/>
      <c r="E47" s="835"/>
    </row>
    <row r="48" spans="1:6" ht="15.75" x14ac:dyDescent="0.25">
      <c r="A48" s="834"/>
      <c r="B48" s="835"/>
      <c r="C48" s="835"/>
      <c r="D48" s="835"/>
      <c r="E48" s="835"/>
    </row>
    <row r="49" spans="1:5" ht="15.75" x14ac:dyDescent="0.25">
      <c r="A49" s="834"/>
      <c r="B49" s="835"/>
      <c r="C49" s="835"/>
      <c r="D49" s="835"/>
      <c r="E49" s="835"/>
    </row>
    <row r="50" spans="1:5" ht="15.75" x14ac:dyDescent="0.25">
      <c r="A50" s="834"/>
      <c r="B50" s="835"/>
      <c r="C50" s="835"/>
      <c r="D50" s="835"/>
      <c r="E50" s="835"/>
    </row>
    <row r="51" spans="1:5" ht="15.75" x14ac:dyDescent="0.25">
      <c r="A51" s="834"/>
      <c r="B51" s="835"/>
      <c r="C51" s="835"/>
      <c r="D51" s="835"/>
      <c r="E51" s="835"/>
    </row>
    <row r="52" spans="1:5" ht="15.75" x14ac:dyDescent="0.25">
      <c r="A52" s="834"/>
      <c r="B52" s="835"/>
      <c r="C52" s="835"/>
      <c r="D52" s="835"/>
      <c r="E52" s="835"/>
    </row>
    <row r="53" spans="1:5" ht="15.75" x14ac:dyDescent="0.25">
      <c r="A53" s="834"/>
      <c r="B53" s="835"/>
      <c r="C53" s="835"/>
      <c r="D53" s="835"/>
      <c r="E53" s="835"/>
    </row>
    <row r="54" spans="1:5" ht="15.75" x14ac:dyDescent="0.25">
      <c r="A54" s="834"/>
      <c r="B54" s="835"/>
      <c r="C54" s="835"/>
      <c r="D54" s="835"/>
      <c r="E54" s="835"/>
    </row>
    <row r="55" spans="1:5" ht="15.75" x14ac:dyDescent="0.25">
      <c r="A55" s="834"/>
      <c r="B55" s="835"/>
      <c r="C55" s="835"/>
      <c r="D55" s="835"/>
      <c r="E55" s="835"/>
    </row>
    <row r="56" spans="1:5" ht="15.75" x14ac:dyDescent="0.25">
      <c r="A56" s="834"/>
      <c r="B56" s="835"/>
      <c r="C56" s="835"/>
      <c r="D56" s="835"/>
      <c r="E56" s="835"/>
    </row>
    <row r="57" spans="1:5" ht="15.75" x14ac:dyDescent="0.25">
      <c r="A57" s="834"/>
      <c r="B57" s="835"/>
      <c r="C57" s="835"/>
      <c r="D57" s="835"/>
      <c r="E57" s="835"/>
    </row>
    <row r="58" spans="1:5" ht="15.75" x14ac:dyDescent="0.25">
      <c r="A58" s="834"/>
      <c r="B58" s="835"/>
      <c r="C58" s="835"/>
      <c r="D58" s="835"/>
      <c r="E58" s="835"/>
    </row>
    <row r="59" spans="1:5" ht="15.75" x14ac:dyDescent="0.25">
      <c r="A59" s="834"/>
      <c r="B59" s="835"/>
      <c r="C59" s="835"/>
      <c r="D59" s="835"/>
      <c r="E59" s="835"/>
    </row>
    <row r="60" spans="1:5" ht="15.75" x14ac:dyDescent="0.25">
      <c r="A60" s="834"/>
      <c r="B60" s="835"/>
      <c r="C60" s="835"/>
      <c r="D60" s="835"/>
      <c r="E60" s="835"/>
    </row>
    <row r="61" spans="1:5" ht="15.75" x14ac:dyDescent="0.25">
      <c r="A61" s="834"/>
      <c r="B61" s="835"/>
      <c r="C61" s="835"/>
      <c r="D61" s="835"/>
      <c r="E61" s="835"/>
    </row>
    <row r="62" spans="1:5" ht="15.75" x14ac:dyDescent="0.25">
      <c r="A62" s="834"/>
      <c r="B62" s="835"/>
      <c r="C62" s="835"/>
      <c r="D62" s="835"/>
      <c r="E62" s="835"/>
    </row>
    <row r="63" spans="1:5" ht="15.75" x14ac:dyDescent="0.25">
      <c r="A63" s="834"/>
      <c r="B63" s="835"/>
      <c r="C63" s="835"/>
      <c r="D63" s="835"/>
      <c r="E63" s="835"/>
    </row>
    <row r="64" spans="1:5" ht="15.75" x14ac:dyDescent="0.25">
      <c r="A64" s="834"/>
      <c r="B64" s="835"/>
      <c r="C64" s="835"/>
      <c r="D64" s="835"/>
      <c r="E64" s="835"/>
    </row>
    <row r="65" spans="1:5" ht="15.75" x14ac:dyDescent="0.25">
      <c r="A65" s="834"/>
      <c r="B65" s="835"/>
      <c r="C65" s="835"/>
      <c r="D65" s="835"/>
      <c r="E65" s="835"/>
    </row>
    <row r="66" spans="1:5" ht="15.75" x14ac:dyDescent="0.25">
      <c r="A66" s="834"/>
      <c r="B66" s="835"/>
      <c r="C66" s="835"/>
      <c r="D66" s="835"/>
      <c r="E66" s="835"/>
    </row>
    <row r="67" spans="1:5" ht="15.75" x14ac:dyDescent="0.25">
      <c r="A67" s="834"/>
      <c r="B67" s="835"/>
      <c r="C67" s="835"/>
      <c r="D67" s="835"/>
      <c r="E67" s="835"/>
    </row>
    <row r="68" spans="1:5" ht="15.75" x14ac:dyDescent="0.25">
      <c r="A68" s="834"/>
      <c r="B68" s="835"/>
      <c r="C68" s="835"/>
      <c r="D68" s="835"/>
      <c r="E68" s="835"/>
    </row>
    <row r="69" spans="1:5" ht="15.75" x14ac:dyDescent="0.25">
      <c r="A69" s="834"/>
      <c r="B69" s="835"/>
      <c r="C69" s="835"/>
      <c r="D69" s="835"/>
      <c r="E69" s="835"/>
    </row>
    <row r="70" spans="1:5" ht="15.75" x14ac:dyDescent="0.25">
      <c r="A70" s="834"/>
      <c r="B70" s="835"/>
      <c r="C70" s="835"/>
      <c r="D70" s="835"/>
      <c r="E70" s="835"/>
    </row>
    <row r="71" spans="1:5" ht="15.75" x14ac:dyDescent="0.25">
      <c r="A71" s="834"/>
      <c r="B71" s="835"/>
      <c r="C71" s="835"/>
      <c r="D71" s="835"/>
      <c r="E71" s="835"/>
    </row>
    <row r="72" spans="1:5" ht="15.75" x14ac:dyDescent="0.25">
      <c r="A72" s="834"/>
      <c r="B72" s="835"/>
      <c r="C72" s="835"/>
      <c r="D72" s="835"/>
      <c r="E72" s="835"/>
    </row>
    <row r="73" spans="1:5" ht="15.75" x14ac:dyDescent="0.25">
      <c r="A73" s="834"/>
      <c r="B73" s="835"/>
      <c r="C73" s="835"/>
      <c r="D73" s="835"/>
      <c r="E73" s="835"/>
    </row>
    <row r="74" spans="1:5" ht="15.75" x14ac:dyDescent="0.25">
      <c r="A74" s="834"/>
      <c r="B74" s="835"/>
      <c r="C74" s="835"/>
      <c r="D74" s="835"/>
      <c r="E74" s="835"/>
    </row>
    <row r="75" spans="1:5" ht="15.75" x14ac:dyDescent="0.25">
      <c r="A75" s="834"/>
      <c r="B75" s="835"/>
      <c r="C75" s="835"/>
      <c r="D75" s="835"/>
      <c r="E75" s="835"/>
    </row>
    <row r="76" spans="1:5" ht="15.75" x14ac:dyDescent="0.25">
      <c r="A76" s="834"/>
      <c r="B76" s="835"/>
      <c r="C76" s="835"/>
      <c r="D76" s="835"/>
      <c r="E76" s="835"/>
    </row>
    <row r="77" spans="1:5" ht="15.75" x14ac:dyDescent="0.25">
      <c r="A77" s="834"/>
      <c r="B77" s="835"/>
      <c r="C77" s="835"/>
      <c r="D77" s="835"/>
      <c r="E77" s="835"/>
    </row>
    <row r="78" spans="1:5" ht="15.75" x14ac:dyDescent="0.25">
      <c r="A78" s="834"/>
      <c r="B78" s="835"/>
      <c r="C78" s="835"/>
      <c r="D78" s="835"/>
      <c r="E78" s="835"/>
    </row>
    <row r="79" spans="1:5" ht="15.75" x14ac:dyDescent="0.25">
      <c r="A79" s="834"/>
      <c r="B79" s="835"/>
      <c r="C79" s="835"/>
      <c r="D79" s="835"/>
      <c r="E79" s="835"/>
    </row>
    <row r="80" spans="1:5" ht="15.75" x14ac:dyDescent="0.25">
      <c r="A80" s="834"/>
      <c r="B80" s="835"/>
      <c r="C80" s="835"/>
      <c r="D80" s="835"/>
      <c r="E80" s="835"/>
    </row>
    <row r="81" spans="1:5" ht="15.75" x14ac:dyDescent="0.25">
      <c r="A81" s="834"/>
      <c r="B81" s="835"/>
      <c r="C81" s="835"/>
      <c r="D81" s="835"/>
      <c r="E81" s="835"/>
    </row>
    <row r="82" spans="1:5" ht="15.75" x14ac:dyDescent="0.25">
      <c r="A82" s="834"/>
      <c r="B82" s="835"/>
      <c r="C82" s="835"/>
      <c r="D82" s="835"/>
      <c r="E82" s="835"/>
    </row>
    <row r="83" spans="1:5" ht="15.75" x14ac:dyDescent="0.25">
      <c r="A83" s="834"/>
      <c r="B83" s="835"/>
      <c r="C83" s="835"/>
      <c r="D83" s="835"/>
      <c r="E83" s="835"/>
    </row>
    <row r="84" spans="1:5" ht="15.75" x14ac:dyDescent="0.25">
      <c r="A84" s="834"/>
      <c r="B84" s="835"/>
      <c r="C84" s="835"/>
      <c r="D84" s="835"/>
      <c r="E84" s="835"/>
    </row>
    <row r="85" spans="1:5" ht="15.75" x14ac:dyDescent="0.25">
      <c r="A85" s="834"/>
      <c r="B85" s="835"/>
      <c r="C85" s="835"/>
      <c r="D85" s="835"/>
      <c r="E85" s="835"/>
    </row>
    <row r="86" spans="1:5" ht="15.75" x14ac:dyDescent="0.25">
      <c r="A86" s="834"/>
      <c r="B86" s="835"/>
      <c r="C86" s="835"/>
      <c r="D86" s="835"/>
      <c r="E86" s="835"/>
    </row>
    <row r="87" spans="1:5" ht="15.75" x14ac:dyDescent="0.25">
      <c r="A87" s="834"/>
      <c r="B87" s="835"/>
      <c r="C87" s="835"/>
      <c r="D87" s="835"/>
      <c r="E87" s="835"/>
    </row>
    <row r="88" spans="1:5" ht="15.75" x14ac:dyDescent="0.25">
      <c r="A88" s="834"/>
      <c r="B88" s="835"/>
      <c r="C88" s="835"/>
      <c r="D88" s="835"/>
      <c r="E88" s="835"/>
    </row>
    <row r="89" spans="1:5" ht="15.75" x14ac:dyDescent="0.25">
      <c r="A89" s="834"/>
      <c r="B89" s="835"/>
      <c r="C89" s="835"/>
      <c r="D89" s="835"/>
      <c r="E89" s="835"/>
    </row>
    <row r="90" spans="1:5" ht="15.75" x14ac:dyDescent="0.25">
      <c r="A90" s="834"/>
      <c r="B90" s="835"/>
      <c r="C90" s="835"/>
      <c r="D90" s="835"/>
      <c r="E90" s="835"/>
    </row>
    <row r="91" spans="1:5" ht="15.75" x14ac:dyDescent="0.25">
      <c r="A91" s="834"/>
      <c r="B91" s="835"/>
      <c r="C91" s="835"/>
      <c r="D91" s="835"/>
      <c r="E91" s="835"/>
    </row>
    <row r="92" spans="1:5" ht="15.75" x14ac:dyDescent="0.25">
      <c r="A92" s="834"/>
      <c r="B92" s="835"/>
      <c r="C92" s="835"/>
      <c r="D92" s="835"/>
      <c r="E92" s="835"/>
    </row>
    <row r="93" spans="1:5" ht="15.75" x14ac:dyDescent="0.25">
      <c r="A93" s="834"/>
      <c r="B93" s="835"/>
      <c r="C93" s="835"/>
      <c r="D93" s="835"/>
      <c r="E93" s="835"/>
    </row>
    <row r="94" spans="1:5" ht="15.75" x14ac:dyDescent="0.25">
      <c r="A94" s="834"/>
      <c r="B94" s="835"/>
      <c r="C94" s="835"/>
      <c r="D94" s="835"/>
      <c r="E94" s="835"/>
    </row>
    <row r="95" spans="1:5" ht="15.75" x14ac:dyDescent="0.25">
      <c r="A95" s="834"/>
      <c r="B95" s="835"/>
      <c r="C95" s="835"/>
      <c r="D95" s="835"/>
      <c r="E95" s="835"/>
    </row>
    <row r="96" spans="1:5" ht="15.75" x14ac:dyDescent="0.25">
      <c r="A96" s="834"/>
      <c r="B96" s="835"/>
      <c r="C96" s="835"/>
      <c r="D96" s="835"/>
      <c r="E96" s="835"/>
    </row>
    <row r="97" spans="1:5" ht="15.75" x14ac:dyDescent="0.25">
      <c r="A97" s="834"/>
      <c r="B97" s="835"/>
      <c r="C97" s="835"/>
      <c r="D97" s="835"/>
      <c r="E97" s="835"/>
    </row>
    <row r="98" spans="1:5" ht="15.75" x14ac:dyDescent="0.25">
      <c r="A98" s="834"/>
      <c r="B98" s="835"/>
      <c r="C98" s="835"/>
      <c r="D98" s="835"/>
      <c r="E98" s="835"/>
    </row>
    <row r="99" spans="1:5" ht="15.75" x14ac:dyDescent="0.25">
      <c r="A99" s="834"/>
      <c r="B99" s="835"/>
      <c r="C99" s="835"/>
      <c r="D99" s="835"/>
      <c r="E99" s="835"/>
    </row>
    <row r="100" spans="1:5" ht="15.75" x14ac:dyDescent="0.25">
      <c r="A100" s="834"/>
      <c r="B100" s="835"/>
      <c r="C100" s="835"/>
      <c r="D100" s="835"/>
      <c r="E100" s="835"/>
    </row>
    <row r="101" spans="1:5" ht="15.75" x14ac:dyDescent="0.25">
      <c r="A101" s="834"/>
      <c r="B101" s="835"/>
      <c r="C101" s="835"/>
      <c r="D101" s="835"/>
      <c r="E101" s="835"/>
    </row>
    <row r="102" spans="1:5" ht="15.75" x14ac:dyDescent="0.25">
      <c r="A102" s="834"/>
      <c r="B102" s="835"/>
      <c r="C102" s="835"/>
      <c r="D102" s="835"/>
      <c r="E102" s="835"/>
    </row>
    <row r="103" spans="1:5" ht="15.75" x14ac:dyDescent="0.25">
      <c r="A103" s="834"/>
      <c r="B103" s="835"/>
      <c r="C103" s="835"/>
      <c r="D103" s="835"/>
      <c r="E103" s="835"/>
    </row>
    <row r="104" spans="1:5" ht="15.75" x14ac:dyDescent="0.25">
      <c r="A104" s="834"/>
      <c r="B104" s="835"/>
      <c r="C104" s="835"/>
      <c r="D104" s="835"/>
      <c r="E104" s="835"/>
    </row>
    <row r="105" spans="1:5" ht="15.75" x14ac:dyDescent="0.25">
      <c r="A105" s="834"/>
      <c r="B105" s="835"/>
      <c r="C105" s="835"/>
      <c r="D105" s="835"/>
      <c r="E105" s="835"/>
    </row>
    <row r="106" spans="1:5" ht="15.75" x14ac:dyDescent="0.25">
      <c r="A106" s="834"/>
      <c r="B106" s="835"/>
      <c r="C106" s="835"/>
      <c r="D106" s="835"/>
      <c r="E106" s="835"/>
    </row>
    <row r="107" spans="1:5" ht="15.75" x14ac:dyDescent="0.25">
      <c r="A107" s="834"/>
      <c r="B107" s="835"/>
      <c r="C107" s="835"/>
      <c r="D107" s="835"/>
      <c r="E107" s="835"/>
    </row>
    <row r="108" spans="1:5" ht="15.75" x14ac:dyDescent="0.25">
      <c r="A108" s="834"/>
      <c r="B108" s="835"/>
      <c r="C108" s="835"/>
      <c r="D108" s="835"/>
      <c r="E108" s="835"/>
    </row>
    <row r="109" spans="1:5" ht="15.75" x14ac:dyDescent="0.25">
      <c r="A109" s="834"/>
      <c r="B109" s="835"/>
      <c r="C109" s="835"/>
      <c r="D109" s="835"/>
      <c r="E109" s="835"/>
    </row>
    <row r="110" spans="1:5" ht="15.75" x14ac:dyDescent="0.25">
      <c r="A110" s="834"/>
      <c r="B110" s="835"/>
      <c r="C110" s="835"/>
      <c r="D110" s="835"/>
      <c r="E110" s="835"/>
    </row>
    <row r="111" spans="1:5" ht="15.75" x14ac:dyDescent="0.25">
      <c r="A111" s="834"/>
      <c r="B111" s="835"/>
      <c r="C111" s="835"/>
      <c r="D111" s="835"/>
      <c r="E111" s="835"/>
    </row>
    <row r="112" spans="1:5" ht="15.75" x14ac:dyDescent="0.25">
      <c r="A112" s="834"/>
      <c r="B112" s="835"/>
      <c r="C112" s="835"/>
      <c r="D112" s="835"/>
      <c r="E112" s="835"/>
    </row>
    <row r="113" spans="1:5" ht="15.75" x14ac:dyDescent="0.25">
      <c r="A113" s="834"/>
      <c r="B113" s="835"/>
      <c r="C113" s="835"/>
      <c r="D113" s="835"/>
      <c r="E113" s="835"/>
    </row>
    <row r="114" spans="1:5" ht="15.75" x14ac:dyDescent="0.25">
      <c r="A114" s="834"/>
      <c r="B114" s="835"/>
      <c r="C114" s="835"/>
      <c r="D114" s="835"/>
      <c r="E114" s="835"/>
    </row>
    <row r="115" spans="1:5" ht="15.75" x14ac:dyDescent="0.25">
      <c r="A115" s="834"/>
      <c r="B115" s="835"/>
      <c r="C115" s="835"/>
      <c r="D115" s="835"/>
      <c r="E115" s="835"/>
    </row>
    <row r="116" spans="1:5" ht="15.75" x14ac:dyDescent="0.25">
      <c r="A116" s="834"/>
      <c r="B116" s="835"/>
      <c r="C116" s="835"/>
      <c r="D116" s="835"/>
      <c r="E116" s="835"/>
    </row>
    <row r="117" spans="1:5" ht="15.75" x14ac:dyDescent="0.25">
      <c r="A117" s="834"/>
      <c r="B117" s="835"/>
      <c r="C117" s="835"/>
      <c r="D117" s="835"/>
      <c r="E117" s="835"/>
    </row>
    <row r="118" spans="1:5" ht="15.75" x14ac:dyDescent="0.25">
      <c r="A118" s="834"/>
      <c r="B118" s="835"/>
      <c r="C118" s="835"/>
      <c r="D118" s="835"/>
      <c r="E118" s="835"/>
    </row>
    <row r="119" spans="1:5" ht="15.75" x14ac:dyDescent="0.25">
      <c r="A119" s="834"/>
      <c r="B119" s="835"/>
      <c r="C119" s="835"/>
      <c r="D119" s="835"/>
      <c r="E119" s="835"/>
    </row>
    <row r="120" spans="1:5" ht="15.75" x14ac:dyDescent="0.25">
      <c r="A120" s="834"/>
      <c r="B120" s="835"/>
      <c r="C120" s="835"/>
      <c r="D120" s="835"/>
      <c r="E120" s="835"/>
    </row>
    <row r="121" spans="1:5" ht="15.75" x14ac:dyDescent="0.25">
      <c r="A121" s="834"/>
      <c r="B121" s="835"/>
      <c r="C121" s="835"/>
      <c r="D121" s="835"/>
      <c r="E121" s="835"/>
    </row>
    <row r="122" spans="1:5" ht="15.75" x14ac:dyDescent="0.25">
      <c r="A122" s="834"/>
      <c r="B122" s="835"/>
      <c r="C122" s="835"/>
      <c r="D122" s="835"/>
      <c r="E122" s="835"/>
    </row>
    <row r="123" spans="1:5" ht="15.75" x14ac:dyDescent="0.25">
      <c r="A123" s="834"/>
      <c r="B123" s="835"/>
      <c r="C123" s="835"/>
      <c r="D123" s="835"/>
      <c r="E123" s="835"/>
    </row>
    <row r="124" spans="1:5" ht="15.75" x14ac:dyDescent="0.25">
      <c r="A124" s="834"/>
      <c r="B124" s="835"/>
      <c r="C124" s="835"/>
      <c r="D124" s="835"/>
      <c r="E124" s="835"/>
    </row>
    <row r="125" spans="1:5" ht="15.75" x14ac:dyDescent="0.25">
      <c r="A125" s="834"/>
      <c r="B125" s="835"/>
      <c r="C125" s="835"/>
      <c r="D125" s="835"/>
      <c r="E125" s="835"/>
    </row>
    <row r="126" spans="1:5" ht="15.75" x14ac:dyDescent="0.25">
      <c r="A126" s="834"/>
      <c r="B126" s="835"/>
      <c r="C126" s="835"/>
      <c r="D126" s="835"/>
      <c r="E126" s="835"/>
    </row>
    <row r="127" spans="1:5" ht="15.75" x14ac:dyDescent="0.25">
      <c r="A127" s="834"/>
      <c r="B127" s="835"/>
      <c r="C127" s="835"/>
      <c r="D127" s="835"/>
      <c r="E127" s="835"/>
    </row>
    <row r="128" spans="1:5" ht="15.75" x14ac:dyDescent="0.25">
      <c r="A128" s="834"/>
      <c r="B128" s="835"/>
      <c r="C128" s="835"/>
      <c r="D128" s="835"/>
      <c r="E128" s="835"/>
    </row>
    <row r="129" spans="1:5" ht="15.75" x14ac:dyDescent="0.25">
      <c r="A129" s="834"/>
      <c r="B129" s="835"/>
      <c r="C129" s="835"/>
      <c r="D129" s="835"/>
      <c r="E129" s="835"/>
    </row>
    <row r="130" spans="1:5" ht="15.75" x14ac:dyDescent="0.25">
      <c r="A130" s="834"/>
      <c r="B130" s="835"/>
      <c r="C130" s="835"/>
      <c r="D130" s="835"/>
      <c r="E130" s="835"/>
    </row>
    <row r="131" spans="1:5" ht="15.75" x14ac:dyDescent="0.25">
      <c r="A131" s="834"/>
      <c r="B131" s="835"/>
      <c r="C131" s="835"/>
      <c r="D131" s="835"/>
      <c r="E131" s="835"/>
    </row>
    <row r="132" spans="1:5" ht="15.75" x14ac:dyDescent="0.25">
      <c r="A132" s="834"/>
      <c r="B132" s="835"/>
      <c r="C132" s="835"/>
      <c r="D132" s="835"/>
      <c r="E132" s="835"/>
    </row>
    <row r="133" spans="1:5" ht="15.75" x14ac:dyDescent="0.25">
      <c r="A133" s="834"/>
      <c r="B133" s="835"/>
      <c r="C133" s="835"/>
      <c r="D133" s="835"/>
      <c r="E133" s="835"/>
    </row>
    <row r="134" spans="1:5" ht="15.75" x14ac:dyDescent="0.25">
      <c r="A134" s="834"/>
      <c r="B134" s="835"/>
      <c r="C134" s="835"/>
      <c r="D134" s="835"/>
      <c r="E134" s="835"/>
    </row>
    <row r="135" spans="1:5" ht="15.75" x14ac:dyDescent="0.25">
      <c r="A135" s="834"/>
      <c r="B135" s="835"/>
      <c r="C135" s="835"/>
      <c r="D135" s="835"/>
      <c r="E135" s="835"/>
    </row>
    <row r="136" spans="1:5" ht="15.75" x14ac:dyDescent="0.25">
      <c r="A136" s="834"/>
      <c r="B136" s="835"/>
      <c r="C136" s="835"/>
      <c r="D136" s="835"/>
      <c r="E136" s="835"/>
    </row>
    <row r="137" spans="1:5" ht="15.75" x14ac:dyDescent="0.25">
      <c r="A137" s="834"/>
      <c r="B137" s="835"/>
      <c r="C137" s="835"/>
      <c r="D137" s="835"/>
      <c r="E137" s="835"/>
    </row>
    <row r="138" spans="1:5" ht="15.75" x14ac:dyDescent="0.25">
      <c r="A138" s="834"/>
      <c r="B138" s="835"/>
      <c r="C138" s="835"/>
      <c r="D138" s="835"/>
      <c r="E138" s="835"/>
    </row>
    <row r="139" spans="1:5" ht="15.75" x14ac:dyDescent="0.25">
      <c r="A139" s="834"/>
      <c r="B139" s="835"/>
      <c r="C139" s="835"/>
      <c r="D139" s="835"/>
      <c r="E139" s="835"/>
    </row>
    <row r="140" spans="1:5" ht="15.75" x14ac:dyDescent="0.25">
      <c r="A140" s="834"/>
      <c r="B140" s="835"/>
      <c r="C140" s="835"/>
      <c r="D140" s="835"/>
      <c r="E140" s="835"/>
    </row>
    <row r="141" spans="1:5" ht="15.75" x14ac:dyDescent="0.25">
      <c r="A141" s="834"/>
      <c r="B141" s="835"/>
      <c r="C141" s="835"/>
      <c r="D141" s="835"/>
      <c r="E141" s="835"/>
    </row>
    <row r="142" spans="1:5" ht="15.75" x14ac:dyDescent="0.25">
      <c r="A142" s="834"/>
      <c r="B142" s="835"/>
      <c r="C142" s="835"/>
      <c r="D142" s="835"/>
      <c r="E142" s="835"/>
    </row>
    <row r="143" spans="1:5" ht="15.75" x14ac:dyDescent="0.25">
      <c r="A143" s="834"/>
      <c r="B143" s="835"/>
      <c r="C143" s="835"/>
      <c r="D143" s="835"/>
      <c r="E143" s="835"/>
    </row>
    <row r="144" spans="1:5" ht="15.75" x14ac:dyDescent="0.25">
      <c r="A144" s="834"/>
      <c r="B144" s="835"/>
      <c r="C144" s="835"/>
      <c r="D144" s="835"/>
      <c r="E144" s="835"/>
    </row>
    <row r="145" spans="1:5" ht="15.75" x14ac:dyDescent="0.25">
      <c r="A145" s="834"/>
      <c r="B145" s="835"/>
      <c r="C145" s="835"/>
      <c r="D145" s="835"/>
      <c r="E145" s="835"/>
    </row>
    <row r="146" spans="1:5" ht="15.75" x14ac:dyDescent="0.25">
      <c r="A146" s="834"/>
      <c r="B146" s="835"/>
      <c r="C146" s="835"/>
      <c r="D146" s="835"/>
      <c r="E146" s="835"/>
    </row>
    <row r="147" spans="1:5" ht="15.75" x14ac:dyDescent="0.25">
      <c r="A147" s="834"/>
      <c r="B147" s="835"/>
      <c r="C147" s="835"/>
      <c r="D147" s="835"/>
      <c r="E147" s="835"/>
    </row>
    <row r="148" spans="1:5" ht="15.75" x14ac:dyDescent="0.25">
      <c r="A148" s="834"/>
      <c r="B148" s="835"/>
      <c r="C148" s="835"/>
      <c r="D148" s="835"/>
      <c r="E148" s="835"/>
    </row>
    <row r="149" spans="1:5" ht="15.75" x14ac:dyDescent="0.25">
      <c r="A149" s="834"/>
      <c r="B149" s="835"/>
      <c r="C149" s="835"/>
      <c r="D149" s="835"/>
      <c r="E149" s="835"/>
    </row>
    <row r="150" spans="1:5" ht="15.75" x14ac:dyDescent="0.25">
      <c r="A150" s="834"/>
      <c r="B150" s="835"/>
      <c r="C150" s="835"/>
      <c r="D150" s="835"/>
      <c r="E150" s="835"/>
    </row>
    <row r="151" spans="1:5" ht="15.75" x14ac:dyDescent="0.25">
      <c r="A151" s="834"/>
      <c r="B151" s="835"/>
      <c r="C151" s="835"/>
      <c r="D151" s="835"/>
      <c r="E151" s="835"/>
    </row>
    <row r="152" spans="1:5" ht="15.75" x14ac:dyDescent="0.25">
      <c r="A152" s="834"/>
      <c r="B152" s="835"/>
      <c r="C152" s="835"/>
      <c r="D152" s="835"/>
      <c r="E152" s="835"/>
    </row>
    <row r="153" spans="1:5" ht="15.75" x14ac:dyDescent="0.25">
      <c r="A153" s="834"/>
      <c r="B153" s="835"/>
      <c r="C153" s="835"/>
      <c r="D153" s="835"/>
      <c r="E153" s="835"/>
    </row>
    <row r="154" spans="1:5" ht="15.75" x14ac:dyDescent="0.25">
      <c r="A154" s="834"/>
      <c r="B154" s="835"/>
      <c r="C154" s="835"/>
      <c r="D154" s="835"/>
      <c r="E154" s="835"/>
    </row>
    <row r="155" spans="1:5" ht="15.75" x14ac:dyDescent="0.25">
      <c r="A155" s="834"/>
      <c r="B155" s="835"/>
      <c r="C155" s="835"/>
      <c r="D155" s="835"/>
      <c r="E155" s="835"/>
    </row>
    <row r="156" spans="1:5" ht="15.75" x14ac:dyDescent="0.25">
      <c r="A156" s="834"/>
      <c r="B156" s="835"/>
      <c r="C156" s="835"/>
      <c r="D156" s="835"/>
      <c r="E156" s="835"/>
    </row>
    <row r="157" spans="1:5" ht="15.75" x14ac:dyDescent="0.25">
      <c r="A157" s="834"/>
      <c r="B157" s="835"/>
      <c r="C157" s="835"/>
      <c r="D157" s="835"/>
      <c r="E157" s="835"/>
    </row>
    <row r="158" spans="1:5" ht="15.75" x14ac:dyDescent="0.25">
      <c r="A158" s="834"/>
      <c r="B158" s="835"/>
      <c r="C158" s="835"/>
      <c r="D158" s="835"/>
      <c r="E158" s="835"/>
    </row>
    <row r="159" spans="1:5" ht="15.75" x14ac:dyDescent="0.25">
      <c r="A159" s="834"/>
      <c r="B159" s="835"/>
      <c r="C159" s="835"/>
      <c r="D159" s="835"/>
      <c r="E159" s="835"/>
    </row>
    <row r="160" spans="1:5" ht="15.75" x14ac:dyDescent="0.25">
      <c r="A160" s="834"/>
      <c r="B160" s="835"/>
      <c r="C160" s="835"/>
      <c r="D160" s="835"/>
      <c r="E160" s="835"/>
    </row>
    <row r="161" spans="1:5" ht="15.75" x14ac:dyDescent="0.25">
      <c r="A161" s="834"/>
      <c r="B161" s="835"/>
      <c r="C161" s="835"/>
      <c r="D161" s="835"/>
      <c r="E161" s="835"/>
    </row>
    <row r="162" spans="1:5" ht="15.75" x14ac:dyDescent="0.25">
      <c r="A162" s="834"/>
      <c r="B162" s="835"/>
      <c r="C162" s="835"/>
      <c r="D162" s="835"/>
      <c r="E162" s="835"/>
    </row>
    <row r="163" spans="1:5" ht="15.75" x14ac:dyDescent="0.25">
      <c r="A163" s="834"/>
      <c r="B163" s="835"/>
      <c r="C163" s="835"/>
      <c r="D163" s="835"/>
      <c r="E163" s="835"/>
    </row>
    <row r="164" spans="1:5" ht="15.75" x14ac:dyDescent="0.25">
      <c r="A164" s="834"/>
      <c r="B164" s="835"/>
      <c r="C164" s="835"/>
      <c r="D164" s="835"/>
      <c r="E164" s="835"/>
    </row>
    <row r="165" spans="1:5" ht="15.75" x14ac:dyDescent="0.25">
      <c r="A165" s="834"/>
      <c r="B165" s="835"/>
      <c r="C165" s="835"/>
      <c r="D165" s="835"/>
      <c r="E165" s="835"/>
    </row>
    <row r="166" spans="1:5" ht="15.75" x14ac:dyDescent="0.25">
      <c r="A166" s="834"/>
      <c r="B166" s="835"/>
      <c r="C166" s="835"/>
      <c r="D166" s="835"/>
      <c r="E166" s="835"/>
    </row>
    <row r="167" spans="1:5" ht="15.75" x14ac:dyDescent="0.25">
      <c r="A167" s="834"/>
      <c r="B167" s="835"/>
      <c r="C167" s="835"/>
      <c r="D167" s="835"/>
      <c r="E167" s="835"/>
    </row>
    <row r="168" spans="1:5" ht="15.75" x14ac:dyDescent="0.25">
      <c r="A168" s="834"/>
      <c r="B168" s="835"/>
      <c r="C168" s="835"/>
      <c r="D168" s="835"/>
      <c r="E168" s="835"/>
    </row>
    <row r="169" spans="1:5" ht="15.75" x14ac:dyDescent="0.25">
      <c r="A169" s="834"/>
      <c r="B169" s="835"/>
      <c r="C169" s="835"/>
      <c r="D169" s="835"/>
      <c r="E169" s="835"/>
    </row>
    <row r="170" spans="1:5" ht="15.75" x14ac:dyDescent="0.25">
      <c r="A170" s="834"/>
      <c r="B170" s="835"/>
      <c r="C170" s="835"/>
      <c r="D170" s="835"/>
      <c r="E170" s="835"/>
    </row>
    <row r="171" spans="1:5" ht="15.75" x14ac:dyDescent="0.25">
      <c r="A171" s="834"/>
      <c r="B171" s="835"/>
      <c r="C171" s="835"/>
      <c r="D171" s="835"/>
      <c r="E171" s="835"/>
    </row>
    <row r="172" spans="1:5" ht="15.75" x14ac:dyDescent="0.25">
      <c r="A172" s="834"/>
      <c r="B172" s="835"/>
      <c r="C172" s="835"/>
      <c r="D172" s="835"/>
      <c r="E172" s="835"/>
    </row>
    <row r="173" spans="1:5" ht="15.75" x14ac:dyDescent="0.25">
      <c r="A173" s="834"/>
      <c r="B173" s="835"/>
      <c r="C173" s="835"/>
      <c r="D173" s="835"/>
      <c r="E173" s="835"/>
    </row>
    <row r="174" spans="1:5" ht="15.75" x14ac:dyDescent="0.25">
      <c r="A174" s="834"/>
      <c r="B174" s="835"/>
      <c r="C174" s="835"/>
      <c r="D174" s="835"/>
      <c r="E174" s="835"/>
    </row>
    <row r="175" spans="1:5" ht="15.75" x14ac:dyDescent="0.25">
      <c r="A175" s="834"/>
      <c r="B175" s="835"/>
      <c r="C175" s="835"/>
      <c r="D175" s="835"/>
      <c r="E175" s="835"/>
    </row>
    <row r="176" spans="1:5" ht="15.75" x14ac:dyDescent="0.25">
      <c r="A176" s="834"/>
      <c r="B176" s="835"/>
      <c r="C176" s="835"/>
      <c r="D176" s="835"/>
      <c r="E176" s="835"/>
    </row>
    <row r="177" spans="1:5" ht="15.75" x14ac:dyDescent="0.25">
      <c r="A177" s="834"/>
      <c r="B177" s="835"/>
      <c r="C177" s="835"/>
      <c r="D177" s="835"/>
      <c r="E177" s="835"/>
    </row>
    <row r="178" spans="1:5" ht="15.75" x14ac:dyDescent="0.25">
      <c r="A178" s="834"/>
      <c r="B178" s="835"/>
      <c r="C178" s="835"/>
      <c r="D178" s="835"/>
      <c r="E178" s="835"/>
    </row>
    <row r="179" spans="1:5" ht="15.75" x14ac:dyDescent="0.25">
      <c r="A179" s="834"/>
      <c r="B179" s="835"/>
      <c r="C179" s="835"/>
      <c r="D179" s="835"/>
      <c r="E179" s="835"/>
    </row>
    <row r="180" spans="1:5" ht="15.75" x14ac:dyDescent="0.25">
      <c r="A180" s="834"/>
      <c r="B180" s="835"/>
      <c r="C180" s="835"/>
      <c r="D180" s="835"/>
      <c r="E180" s="835"/>
    </row>
    <row r="181" spans="1:5" ht="15.75" x14ac:dyDescent="0.25">
      <c r="A181" s="834"/>
      <c r="B181" s="835"/>
      <c r="C181" s="835"/>
      <c r="D181" s="835"/>
      <c r="E181" s="835"/>
    </row>
    <row r="182" spans="1:5" ht="15.75" x14ac:dyDescent="0.25">
      <c r="A182" s="834"/>
      <c r="B182" s="835"/>
      <c r="C182" s="835"/>
      <c r="D182" s="835"/>
      <c r="E182" s="835"/>
    </row>
    <row r="183" spans="1:5" ht="15.75" x14ac:dyDescent="0.25">
      <c r="A183" s="834"/>
      <c r="B183" s="835"/>
      <c r="C183" s="835"/>
      <c r="D183" s="835"/>
      <c r="E183" s="835"/>
    </row>
    <row r="184" spans="1:5" ht="15.75" x14ac:dyDescent="0.25">
      <c r="A184" s="834"/>
      <c r="B184" s="835"/>
      <c r="C184" s="835"/>
      <c r="D184" s="835"/>
      <c r="E184" s="835"/>
    </row>
    <row r="185" spans="1:5" ht="15.75" x14ac:dyDescent="0.25">
      <c r="A185" s="834"/>
      <c r="B185" s="835"/>
      <c r="C185" s="835"/>
      <c r="D185" s="835"/>
      <c r="E185" s="835"/>
    </row>
    <row r="186" spans="1:5" ht="15.75" x14ac:dyDescent="0.25">
      <c r="A186" s="834"/>
      <c r="B186" s="835"/>
      <c r="C186" s="835"/>
      <c r="D186" s="835"/>
      <c r="E186" s="835"/>
    </row>
    <row r="187" spans="1:5" ht="15.75" x14ac:dyDescent="0.25">
      <c r="A187" s="834"/>
      <c r="B187" s="835"/>
      <c r="C187" s="835"/>
      <c r="D187" s="835"/>
      <c r="E187" s="835"/>
    </row>
    <row r="188" spans="1:5" ht="15.75" x14ac:dyDescent="0.25">
      <c r="A188" s="834"/>
      <c r="B188" s="835"/>
      <c r="C188" s="835"/>
      <c r="D188" s="835"/>
      <c r="E188" s="835"/>
    </row>
    <row r="189" spans="1:5" ht="15.75" x14ac:dyDescent="0.25">
      <c r="A189" s="834"/>
      <c r="B189" s="835"/>
      <c r="C189" s="835"/>
      <c r="D189" s="835"/>
      <c r="E189" s="835"/>
    </row>
    <row r="190" spans="1:5" ht="15.75" x14ac:dyDescent="0.25">
      <c r="A190" s="834"/>
      <c r="B190" s="835"/>
      <c r="C190" s="835"/>
      <c r="D190" s="835"/>
      <c r="E190" s="835"/>
    </row>
    <row r="191" spans="1:5" ht="15.75" x14ac:dyDescent="0.25">
      <c r="A191" s="834"/>
      <c r="B191" s="835"/>
      <c r="C191" s="835"/>
      <c r="D191" s="835"/>
      <c r="E191" s="835"/>
    </row>
    <row r="192" spans="1:5" ht="15.75" x14ac:dyDescent="0.25">
      <c r="A192" s="834"/>
      <c r="B192" s="835"/>
      <c r="C192" s="835"/>
      <c r="D192" s="835"/>
      <c r="E192" s="835"/>
    </row>
    <row r="193" spans="1:5" ht="15.75" x14ac:dyDescent="0.25">
      <c r="A193" s="834"/>
      <c r="B193" s="835"/>
      <c r="C193" s="835"/>
      <c r="D193" s="835"/>
      <c r="E193" s="835"/>
    </row>
    <row r="194" spans="1:5" ht="15.75" x14ac:dyDescent="0.25">
      <c r="A194" s="834"/>
      <c r="B194" s="835"/>
      <c r="C194" s="835"/>
      <c r="D194" s="835"/>
      <c r="E194" s="835"/>
    </row>
    <row r="195" spans="1:5" ht="15.75" x14ac:dyDescent="0.25">
      <c r="A195" s="834"/>
      <c r="B195" s="835"/>
      <c r="C195" s="835"/>
      <c r="D195" s="835"/>
      <c r="E195" s="835"/>
    </row>
    <row r="196" spans="1:5" ht="15.75" x14ac:dyDescent="0.25">
      <c r="A196" s="834"/>
      <c r="B196" s="835"/>
      <c r="C196" s="835"/>
      <c r="D196" s="835"/>
      <c r="E196" s="835"/>
    </row>
    <row r="197" spans="1:5" ht="15.75" x14ac:dyDescent="0.25">
      <c r="A197" s="834"/>
      <c r="B197" s="835"/>
      <c r="C197" s="835"/>
      <c r="D197" s="835"/>
      <c r="E197" s="835"/>
    </row>
    <row r="198" spans="1:5" ht="15.75" x14ac:dyDescent="0.25">
      <c r="A198" s="834"/>
      <c r="B198" s="835"/>
      <c r="C198" s="835"/>
      <c r="D198" s="835"/>
      <c r="E198" s="835"/>
    </row>
    <row r="199" spans="1:5" ht="15.75" x14ac:dyDescent="0.25">
      <c r="A199" s="834"/>
      <c r="B199" s="835"/>
      <c r="C199" s="835"/>
      <c r="D199" s="835"/>
      <c r="E199" s="835"/>
    </row>
    <row r="200" spans="1:5" ht="15.75" x14ac:dyDescent="0.25">
      <c r="A200" s="834"/>
      <c r="B200" s="835"/>
      <c r="C200" s="835"/>
      <c r="D200" s="835"/>
      <c r="E200" s="835"/>
    </row>
    <row r="201" spans="1:5" ht="15.75" x14ac:dyDescent="0.25">
      <c r="A201" s="834"/>
      <c r="B201" s="835"/>
      <c r="C201" s="835"/>
      <c r="D201" s="835"/>
      <c r="E201" s="835"/>
    </row>
    <row r="202" spans="1:5" ht="15.75" x14ac:dyDescent="0.25">
      <c r="A202" s="834"/>
      <c r="B202" s="835"/>
      <c r="C202" s="835"/>
      <c r="D202" s="835"/>
      <c r="E202" s="835"/>
    </row>
    <row r="203" spans="1:5" ht="15.75" x14ac:dyDescent="0.25">
      <c r="A203" s="834"/>
      <c r="B203" s="835"/>
      <c r="C203" s="835"/>
      <c r="D203" s="835"/>
      <c r="E203" s="835"/>
    </row>
    <row r="204" spans="1:5" ht="15.75" x14ac:dyDescent="0.25">
      <c r="A204" s="834"/>
      <c r="B204" s="835"/>
      <c r="C204" s="835"/>
      <c r="D204" s="835"/>
      <c r="E204" s="835"/>
    </row>
    <row r="205" spans="1:5" ht="15.75" x14ac:dyDescent="0.25">
      <c r="A205" s="834"/>
      <c r="B205" s="835"/>
      <c r="C205" s="835"/>
      <c r="D205" s="835"/>
      <c r="E205" s="835"/>
    </row>
    <row r="206" spans="1:5" ht="15.75" x14ac:dyDescent="0.25">
      <c r="A206" s="834"/>
      <c r="B206" s="835"/>
      <c r="C206" s="835"/>
      <c r="D206" s="835"/>
      <c r="E206" s="835"/>
    </row>
    <row r="207" spans="1:5" ht="15.75" x14ac:dyDescent="0.25">
      <c r="A207" s="834"/>
      <c r="B207" s="835"/>
      <c r="C207" s="835"/>
      <c r="D207" s="835"/>
      <c r="E207" s="835"/>
    </row>
    <row r="208" spans="1:5" ht="15.75" x14ac:dyDescent="0.25">
      <c r="A208" s="834"/>
      <c r="B208" s="835"/>
      <c r="C208" s="835"/>
      <c r="D208" s="835"/>
      <c r="E208" s="835"/>
    </row>
    <row r="209" spans="1:5" ht="15.75" x14ac:dyDescent="0.25">
      <c r="A209" s="834"/>
      <c r="B209" s="835"/>
      <c r="C209" s="835"/>
      <c r="D209" s="835"/>
      <c r="E209" s="835"/>
    </row>
    <row r="210" spans="1:5" ht="15.75" x14ac:dyDescent="0.25">
      <c r="A210" s="834"/>
      <c r="B210" s="835"/>
      <c r="C210" s="835"/>
      <c r="D210" s="835"/>
      <c r="E210" s="835"/>
    </row>
    <row r="211" spans="1:5" ht="15.75" x14ac:dyDescent="0.25">
      <c r="A211" s="834"/>
      <c r="B211" s="835"/>
      <c r="C211" s="835"/>
      <c r="D211" s="835"/>
      <c r="E211" s="835"/>
    </row>
    <row r="212" spans="1:5" ht="15.75" x14ac:dyDescent="0.25">
      <c r="A212" s="834"/>
      <c r="B212" s="835"/>
      <c r="C212" s="835"/>
      <c r="D212" s="835"/>
      <c r="E212" s="835"/>
    </row>
    <row r="213" spans="1:5" ht="15.75" x14ac:dyDescent="0.25">
      <c r="A213" s="834"/>
      <c r="B213" s="835"/>
      <c r="C213" s="835"/>
      <c r="D213" s="835"/>
      <c r="E213" s="835"/>
    </row>
    <row r="214" spans="1:5" ht="15.75" x14ac:dyDescent="0.25">
      <c r="A214" s="834"/>
      <c r="B214" s="835"/>
      <c r="C214" s="835"/>
      <c r="D214" s="835"/>
      <c r="E214" s="835"/>
    </row>
    <row r="215" spans="1:5" ht="15.75" x14ac:dyDescent="0.25">
      <c r="A215" s="834"/>
      <c r="B215" s="835"/>
      <c r="C215" s="835"/>
      <c r="D215" s="835"/>
      <c r="E215" s="835"/>
    </row>
    <row r="216" spans="1:5" ht="15.75" x14ac:dyDescent="0.25">
      <c r="A216" s="834"/>
      <c r="B216" s="835"/>
      <c r="C216" s="835"/>
      <c r="D216" s="835"/>
      <c r="E216" s="835"/>
    </row>
    <row r="217" spans="1:5" ht="15.75" x14ac:dyDescent="0.25">
      <c r="A217" s="834"/>
      <c r="B217" s="835"/>
      <c r="C217" s="835"/>
      <c r="D217" s="835"/>
      <c r="E217" s="835"/>
    </row>
    <row r="218" spans="1:5" ht="15.75" x14ac:dyDescent="0.25">
      <c r="A218" s="834"/>
      <c r="B218" s="835"/>
      <c r="C218" s="835"/>
      <c r="D218" s="835"/>
      <c r="E218" s="835"/>
    </row>
    <row r="219" spans="1:5" ht="15.75" x14ac:dyDescent="0.25">
      <c r="A219" s="834"/>
      <c r="B219" s="835"/>
      <c r="C219" s="835"/>
      <c r="D219" s="835"/>
      <c r="E219" s="835"/>
    </row>
    <row r="220" spans="1:5" ht="15.75" x14ac:dyDescent="0.25">
      <c r="A220" s="834"/>
      <c r="B220" s="835"/>
      <c r="C220" s="835"/>
      <c r="D220" s="835"/>
      <c r="E220" s="835"/>
    </row>
    <row r="221" spans="1:5" ht="15.75" x14ac:dyDescent="0.25">
      <c r="A221" s="834"/>
      <c r="B221" s="835"/>
      <c r="C221" s="835"/>
      <c r="D221" s="835"/>
      <c r="E221" s="835"/>
    </row>
    <row r="222" spans="1:5" ht="15.75" x14ac:dyDescent="0.25">
      <c r="A222" s="834"/>
      <c r="B222" s="835"/>
      <c r="C222" s="835"/>
      <c r="D222" s="835"/>
      <c r="E222" s="835"/>
    </row>
    <row r="223" spans="1:5" ht="15.75" x14ac:dyDescent="0.25">
      <c r="A223" s="834"/>
      <c r="B223" s="835"/>
      <c r="C223" s="835"/>
      <c r="D223" s="835"/>
      <c r="E223" s="835"/>
    </row>
    <row r="224" spans="1:5" ht="15.75" x14ac:dyDescent="0.25">
      <c r="A224" s="834"/>
      <c r="B224" s="835"/>
      <c r="C224" s="835"/>
      <c r="D224" s="835"/>
      <c r="E224" s="835"/>
    </row>
    <row r="225" spans="1:5" ht="15.75" x14ac:dyDescent="0.25">
      <c r="A225" s="834"/>
      <c r="B225" s="835"/>
      <c r="C225" s="835"/>
      <c r="D225" s="835"/>
      <c r="E225" s="835"/>
    </row>
    <row r="226" spans="1:5" ht="15.75" x14ac:dyDescent="0.25">
      <c r="A226" s="834"/>
      <c r="B226" s="835"/>
      <c r="C226" s="835"/>
      <c r="D226" s="835"/>
      <c r="E226" s="835"/>
    </row>
    <row r="227" spans="1:5" ht="15.75" x14ac:dyDescent="0.25">
      <c r="A227" s="834"/>
      <c r="B227" s="835"/>
      <c r="C227" s="835"/>
      <c r="D227" s="835"/>
      <c r="E227" s="835"/>
    </row>
    <row r="228" spans="1:5" ht="15.75" x14ac:dyDescent="0.25">
      <c r="A228" s="834"/>
      <c r="B228" s="835"/>
      <c r="C228" s="835"/>
      <c r="D228" s="835"/>
      <c r="E228" s="835"/>
    </row>
    <row r="229" spans="1:5" ht="15.75" x14ac:dyDescent="0.25">
      <c r="A229" s="834"/>
      <c r="B229" s="835"/>
      <c r="C229" s="835"/>
      <c r="D229" s="835"/>
      <c r="E229" s="835"/>
    </row>
    <row r="230" spans="1:5" ht="15.75" x14ac:dyDescent="0.25">
      <c r="A230" s="834"/>
      <c r="B230" s="835"/>
      <c r="C230" s="835"/>
      <c r="D230" s="835"/>
      <c r="E230" s="835"/>
    </row>
    <row r="231" spans="1:5" ht="15.75" x14ac:dyDescent="0.25">
      <c r="A231" s="834"/>
      <c r="B231" s="835"/>
      <c r="C231" s="835"/>
      <c r="D231" s="835"/>
      <c r="E231" s="835"/>
    </row>
    <row r="232" spans="1:5" ht="15.75" x14ac:dyDescent="0.25">
      <c r="A232" s="834"/>
      <c r="B232" s="835"/>
      <c r="C232" s="835"/>
      <c r="D232" s="835"/>
      <c r="E232" s="835"/>
    </row>
    <row r="233" spans="1:5" ht="15.75" x14ac:dyDescent="0.25">
      <c r="A233" s="834"/>
      <c r="B233" s="835"/>
      <c r="C233" s="835"/>
      <c r="D233" s="835"/>
      <c r="E233" s="835"/>
    </row>
    <row r="234" spans="1:5" ht="15.75" x14ac:dyDescent="0.25">
      <c r="A234" s="834"/>
      <c r="B234" s="835"/>
      <c r="C234" s="835"/>
      <c r="D234" s="835"/>
      <c r="E234" s="835"/>
    </row>
    <row r="235" spans="1:5" ht="15.75" x14ac:dyDescent="0.25">
      <c r="A235" s="834"/>
      <c r="B235" s="835"/>
      <c r="C235" s="835"/>
      <c r="D235" s="835"/>
      <c r="E235" s="835"/>
    </row>
    <row r="236" spans="1:5" ht="15.75" x14ac:dyDescent="0.25">
      <c r="A236" s="834"/>
      <c r="B236" s="835"/>
      <c r="C236" s="835"/>
      <c r="D236" s="835"/>
      <c r="E236" s="835"/>
    </row>
    <row r="237" spans="1:5" ht="15.75" x14ac:dyDescent="0.25">
      <c r="A237" s="834"/>
      <c r="B237" s="835"/>
      <c r="C237" s="835"/>
      <c r="D237" s="835"/>
      <c r="E237" s="835"/>
    </row>
    <row r="238" spans="1:5" ht="15.75" x14ac:dyDescent="0.25">
      <c r="A238" s="834"/>
      <c r="B238" s="835"/>
      <c r="C238" s="835"/>
      <c r="D238" s="835"/>
      <c r="E238" s="835"/>
    </row>
    <row r="239" spans="1:5" ht="15.75" x14ac:dyDescent="0.25">
      <c r="A239" s="834"/>
      <c r="B239" s="835"/>
      <c r="C239" s="835"/>
      <c r="D239" s="835"/>
      <c r="E239" s="835"/>
    </row>
    <row r="240" spans="1:5" ht="15.75" x14ac:dyDescent="0.25">
      <c r="A240" s="834"/>
      <c r="B240" s="835"/>
      <c r="C240" s="835"/>
      <c r="D240" s="835"/>
      <c r="E240" s="835"/>
    </row>
    <row r="241" spans="1:5" ht="15.75" x14ac:dyDescent="0.25">
      <c r="A241" s="834"/>
      <c r="B241" s="835"/>
      <c r="C241" s="835"/>
      <c r="D241" s="835"/>
      <c r="E241" s="835"/>
    </row>
    <row r="242" spans="1:5" ht="15.75" x14ac:dyDescent="0.25">
      <c r="A242" s="834"/>
      <c r="B242" s="835"/>
      <c r="C242" s="835"/>
      <c r="D242" s="835"/>
      <c r="E242" s="835"/>
    </row>
    <row r="243" spans="1:5" ht="15.75" x14ac:dyDescent="0.25">
      <c r="A243" s="834"/>
      <c r="B243" s="835"/>
      <c r="C243" s="835"/>
      <c r="D243" s="835"/>
      <c r="E243" s="835"/>
    </row>
    <row r="244" spans="1:5" ht="15.75" x14ac:dyDescent="0.25">
      <c r="A244" s="834"/>
      <c r="B244" s="835"/>
      <c r="C244" s="835"/>
      <c r="D244" s="835"/>
      <c r="E244" s="835"/>
    </row>
    <row r="245" spans="1:5" ht="15.75" x14ac:dyDescent="0.25">
      <c r="A245" s="834"/>
      <c r="B245" s="835"/>
      <c r="C245" s="835"/>
      <c r="D245" s="835"/>
      <c r="E245" s="835"/>
    </row>
    <row r="246" spans="1:5" ht="15.75" x14ac:dyDescent="0.25">
      <c r="A246" s="834"/>
      <c r="B246" s="835"/>
      <c r="C246" s="835"/>
      <c r="D246" s="835"/>
      <c r="E246" s="835"/>
    </row>
    <row r="247" spans="1:5" ht="15.75" x14ac:dyDescent="0.25">
      <c r="A247" s="834"/>
      <c r="B247" s="835"/>
      <c r="C247" s="835"/>
      <c r="D247" s="835"/>
      <c r="E247" s="835"/>
    </row>
    <row r="248" spans="1:5" ht="15.75" x14ac:dyDescent="0.25">
      <c r="A248" s="834"/>
      <c r="B248" s="835"/>
      <c r="C248" s="835"/>
      <c r="D248" s="835"/>
      <c r="E248" s="835"/>
    </row>
    <row r="249" spans="1:5" ht="15.75" x14ac:dyDescent="0.25">
      <c r="A249" s="834"/>
      <c r="B249" s="835"/>
      <c r="C249" s="835"/>
      <c r="D249" s="835"/>
      <c r="E249" s="835"/>
    </row>
    <row r="250" spans="1:5" ht="15.75" x14ac:dyDescent="0.25">
      <c r="A250" s="834"/>
      <c r="B250" s="835"/>
      <c r="C250" s="835"/>
      <c r="D250" s="835"/>
      <c r="E250" s="835"/>
    </row>
    <row r="251" spans="1:5" ht="15.75" x14ac:dyDescent="0.25">
      <c r="A251" s="834"/>
      <c r="B251" s="835"/>
      <c r="C251" s="835"/>
      <c r="D251" s="835"/>
      <c r="E251" s="835"/>
    </row>
    <row r="252" spans="1:5" ht="15.75" x14ac:dyDescent="0.25">
      <c r="A252" s="834"/>
      <c r="B252" s="835"/>
      <c r="C252" s="835"/>
      <c r="D252" s="835"/>
      <c r="E252" s="835"/>
    </row>
    <row r="253" spans="1:5" ht="15.75" x14ac:dyDescent="0.25">
      <c r="A253" s="834"/>
      <c r="B253" s="835"/>
      <c r="C253" s="835"/>
      <c r="D253" s="835"/>
      <c r="E253" s="835"/>
    </row>
    <row r="254" spans="1:5" ht="15.75" x14ac:dyDescent="0.25">
      <c r="A254" s="834"/>
      <c r="B254" s="835"/>
      <c r="C254" s="835"/>
      <c r="D254" s="835"/>
      <c r="E254" s="835"/>
    </row>
    <row r="255" spans="1:5" ht="15.75" x14ac:dyDescent="0.25">
      <c r="A255" s="834"/>
      <c r="B255" s="835"/>
      <c r="C255" s="835"/>
      <c r="D255" s="835"/>
      <c r="E255" s="835"/>
    </row>
    <row r="256" spans="1:5" ht="15.75" x14ac:dyDescent="0.25">
      <c r="A256" s="834"/>
      <c r="B256" s="835"/>
      <c r="C256" s="835"/>
      <c r="D256" s="835"/>
      <c r="E256" s="835"/>
    </row>
    <row r="257" spans="1:5" ht="15.75" x14ac:dyDescent="0.25">
      <c r="A257" s="834"/>
      <c r="B257" s="835"/>
      <c r="C257" s="835"/>
      <c r="D257" s="835"/>
      <c r="E257" s="835"/>
    </row>
    <row r="258" spans="1:5" ht="15.75" x14ac:dyDescent="0.25">
      <c r="A258" s="834"/>
      <c r="B258" s="835"/>
      <c r="C258" s="835"/>
      <c r="D258" s="835"/>
      <c r="E258" s="835"/>
    </row>
    <row r="259" spans="1:5" ht="15.75" x14ac:dyDescent="0.25">
      <c r="A259" s="834"/>
      <c r="B259" s="835"/>
      <c r="C259" s="835"/>
      <c r="D259" s="835"/>
      <c r="E259" s="835"/>
    </row>
    <row r="260" spans="1:5" ht="15.75" x14ac:dyDescent="0.25">
      <c r="A260" s="834"/>
      <c r="B260" s="835"/>
      <c r="C260" s="835"/>
      <c r="D260" s="835"/>
      <c r="E260" s="835"/>
    </row>
    <row r="261" spans="1:5" ht="15.75" x14ac:dyDescent="0.25">
      <c r="A261" s="834"/>
      <c r="B261" s="835"/>
      <c r="C261" s="835"/>
      <c r="D261" s="835"/>
      <c r="E261" s="835"/>
    </row>
    <row r="262" spans="1:5" ht="15.75" x14ac:dyDescent="0.25">
      <c r="A262" s="834"/>
      <c r="B262" s="835"/>
      <c r="C262" s="835"/>
      <c r="D262" s="835"/>
      <c r="E262" s="835"/>
    </row>
    <row r="263" spans="1:5" ht="15.75" x14ac:dyDescent="0.25">
      <c r="A263" s="834"/>
      <c r="B263" s="835"/>
      <c r="C263" s="835"/>
      <c r="D263" s="835"/>
      <c r="E263" s="835"/>
    </row>
    <row r="264" spans="1:5" ht="15.75" x14ac:dyDescent="0.25">
      <c r="A264" s="834"/>
      <c r="B264" s="835"/>
      <c r="C264" s="835"/>
      <c r="D264" s="835"/>
      <c r="E264" s="835"/>
    </row>
    <row r="265" spans="1:5" ht="15.75" x14ac:dyDescent="0.25">
      <c r="A265" s="834"/>
      <c r="B265" s="835"/>
      <c r="C265" s="835"/>
      <c r="D265" s="835"/>
      <c r="E265" s="835"/>
    </row>
    <row r="266" spans="1:5" ht="15.75" x14ac:dyDescent="0.25">
      <c r="A266" s="834"/>
      <c r="B266" s="835"/>
      <c r="C266" s="835"/>
      <c r="D266" s="835"/>
      <c r="E266" s="835"/>
    </row>
    <row r="267" spans="1:5" ht="15.75" x14ac:dyDescent="0.25">
      <c r="A267" s="834"/>
      <c r="B267" s="835"/>
      <c r="C267" s="835"/>
      <c r="D267" s="835"/>
      <c r="E267" s="835"/>
    </row>
    <row r="268" spans="1:5" ht="15.75" x14ac:dyDescent="0.25">
      <c r="A268" s="834"/>
      <c r="B268" s="835"/>
      <c r="C268" s="835"/>
      <c r="D268" s="835"/>
      <c r="E268" s="835"/>
    </row>
    <row r="269" spans="1:5" ht="15.75" x14ac:dyDescent="0.25">
      <c r="A269" s="834"/>
      <c r="B269" s="835"/>
      <c r="C269" s="835"/>
      <c r="D269" s="835"/>
      <c r="E269" s="835"/>
    </row>
    <row r="270" spans="1:5" ht="15.75" x14ac:dyDescent="0.25">
      <c r="A270" s="834"/>
      <c r="B270" s="835"/>
      <c r="C270" s="835"/>
      <c r="D270" s="835"/>
      <c r="E270" s="835"/>
    </row>
    <row r="271" spans="1:5" ht="15.75" x14ac:dyDescent="0.25">
      <c r="A271" s="834"/>
      <c r="B271" s="835"/>
      <c r="C271" s="835"/>
      <c r="D271" s="835"/>
      <c r="E271" s="835"/>
    </row>
    <row r="272" spans="1:5" ht="15.75" x14ac:dyDescent="0.25">
      <c r="A272" s="834"/>
      <c r="B272" s="835"/>
      <c r="C272" s="835"/>
      <c r="D272" s="835"/>
      <c r="E272" s="835"/>
    </row>
    <row r="273" spans="1:5" ht="15.75" x14ac:dyDescent="0.25">
      <c r="A273" s="834"/>
      <c r="B273" s="835"/>
      <c r="C273" s="835"/>
      <c r="D273" s="835"/>
      <c r="E273" s="835"/>
    </row>
    <row r="274" spans="1:5" ht="15.75" x14ac:dyDescent="0.25">
      <c r="A274" s="834"/>
      <c r="B274" s="835"/>
      <c r="C274" s="835"/>
      <c r="D274" s="835"/>
      <c r="E274" s="835"/>
    </row>
    <row r="275" spans="1:5" ht="15.75" x14ac:dyDescent="0.25">
      <c r="A275" s="834"/>
      <c r="B275" s="835"/>
      <c r="C275" s="835"/>
      <c r="D275" s="835"/>
      <c r="E275" s="835"/>
    </row>
    <row r="276" spans="1:5" ht="15.75" x14ac:dyDescent="0.25">
      <c r="A276" s="834"/>
      <c r="B276" s="835"/>
      <c r="C276" s="835"/>
      <c r="D276" s="835"/>
      <c r="E276" s="835"/>
    </row>
    <row r="277" spans="1:5" ht="15.75" x14ac:dyDescent="0.25">
      <c r="A277" s="834"/>
      <c r="B277" s="835"/>
      <c r="C277" s="835"/>
      <c r="D277" s="835"/>
      <c r="E277" s="835"/>
    </row>
    <row r="278" spans="1:5" ht="15.75" x14ac:dyDescent="0.25">
      <c r="A278" s="834"/>
      <c r="B278" s="835"/>
      <c r="C278" s="835"/>
      <c r="D278" s="835"/>
      <c r="E278" s="835"/>
    </row>
    <row r="279" spans="1:5" ht="15.75" x14ac:dyDescent="0.25">
      <c r="A279" s="834"/>
      <c r="B279" s="835"/>
      <c r="C279" s="835"/>
      <c r="D279" s="835"/>
      <c r="E279" s="835"/>
    </row>
    <row r="280" spans="1:5" ht="15.75" x14ac:dyDescent="0.25">
      <c r="A280" s="834"/>
      <c r="B280" s="835"/>
      <c r="C280" s="835"/>
      <c r="D280" s="835"/>
      <c r="E280" s="835"/>
    </row>
    <row r="281" spans="1:5" ht="15.75" x14ac:dyDescent="0.25">
      <c r="A281" s="834"/>
      <c r="B281" s="835"/>
      <c r="C281" s="835"/>
      <c r="D281" s="835"/>
      <c r="E281" s="835"/>
    </row>
    <row r="282" spans="1:5" ht="15.75" x14ac:dyDescent="0.25">
      <c r="A282" s="834"/>
      <c r="B282" s="835"/>
      <c r="C282" s="835"/>
      <c r="D282" s="835"/>
      <c r="E282" s="835"/>
    </row>
    <row r="283" spans="1:5" ht="15.75" x14ac:dyDescent="0.25">
      <c r="A283" s="834"/>
      <c r="B283" s="835"/>
      <c r="C283" s="835"/>
      <c r="D283" s="835"/>
      <c r="E283" s="835"/>
    </row>
    <row r="284" spans="1:5" ht="15.75" x14ac:dyDescent="0.25">
      <c r="A284" s="834"/>
      <c r="B284" s="835"/>
      <c r="C284" s="835"/>
      <c r="D284" s="835"/>
      <c r="E284" s="835"/>
    </row>
    <row r="285" spans="1:5" ht="15.75" x14ac:dyDescent="0.25">
      <c r="A285" s="834"/>
      <c r="B285" s="835"/>
      <c r="C285" s="835"/>
      <c r="D285" s="835"/>
      <c r="E285" s="835"/>
    </row>
    <row r="286" spans="1:5" ht="15.75" x14ac:dyDescent="0.25">
      <c r="A286" s="834"/>
      <c r="B286" s="835"/>
      <c r="C286" s="835"/>
      <c r="D286" s="835"/>
      <c r="E286" s="835"/>
    </row>
    <row r="287" spans="1:5" ht="15.75" x14ac:dyDescent="0.25">
      <c r="A287" s="834"/>
      <c r="B287" s="835"/>
      <c r="C287" s="835"/>
      <c r="D287" s="835"/>
      <c r="E287" s="835"/>
    </row>
    <row r="288" spans="1:5" ht="15.75" x14ac:dyDescent="0.25">
      <c r="A288" s="834"/>
      <c r="B288" s="835"/>
      <c r="C288" s="835"/>
      <c r="D288" s="835"/>
      <c r="E288" s="835"/>
    </row>
    <row r="289" spans="1:5" ht="15.75" x14ac:dyDescent="0.25">
      <c r="A289" s="834"/>
      <c r="B289" s="835"/>
      <c r="C289" s="835"/>
      <c r="D289" s="835"/>
      <c r="E289" s="835"/>
    </row>
    <row r="290" spans="1:5" ht="15.75" x14ac:dyDescent="0.25">
      <c r="A290" s="834"/>
      <c r="B290" s="835"/>
      <c r="C290" s="835"/>
      <c r="D290" s="835"/>
      <c r="E290" s="835"/>
    </row>
    <row r="291" spans="1:5" ht="15.75" x14ac:dyDescent="0.25">
      <c r="A291" s="834"/>
      <c r="B291" s="835"/>
      <c r="C291" s="835"/>
      <c r="D291" s="835"/>
      <c r="E291" s="835"/>
    </row>
    <row r="292" spans="1:5" ht="15.75" x14ac:dyDescent="0.25">
      <c r="A292" s="834"/>
      <c r="B292" s="835"/>
      <c r="C292" s="835"/>
      <c r="D292" s="835"/>
      <c r="E292" s="835"/>
    </row>
    <row r="293" spans="1:5" ht="15.75" x14ac:dyDescent="0.25">
      <c r="A293" s="834"/>
      <c r="B293" s="835"/>
      <c r="C293" s="835"/>
      <c r="D293" s="835"/>
      <c r="E293" s="835"/>
    </row>
    <row r="294" spans="1:5" ht="15.75" x14ac:dyDescent="0.25">
      <c r="A294" s="834"/>
      <c r="B294" s="835"/>
      <c r="C294" s="835"/>
      <c r="D294" s="835"/>
      <c r="E294" s="835"/>
    </row>
    <row r="295" spans="1:5" ht="15.75" x14ac:dyDescent="0.25">
      <c r="A295" s="834"/>
      <c r="B295" s="835"/>
      <c r="C295" s="835"/>
      <c r="D295" s="835"/>
      <c r="E295" s="835"/>
    </row>
    <row r="296" spans="1:5" ht="15.75" x14ac:dyDescent="0.25">
      <c r="A296" s="834"/>
      <c r="B296" s="835"/>
      <c r="C296" s="835"/>
      <c r="D296" s="835"/>
      <c r="E296" s="835"/>
    </row>
    <row r="297" spans="1:5" ht="15.75" x14ac:dyDescent="0.25">
      <c r="A297" s="834"/>
      <c r="B297" s="835"/>
      <c r="C297" s="835"/>
      <c r="D297" s="835"/>
      <c r="E297" s="835"/>
    </row>
    <row r="298" spans="1:5" ht="15.75" x14ac:dyDescent="0.25">
      <c r="A298" s="834"/>
      <c r="B298" s="835"/>
      <c r="C298" s="835"/>
      <c r="D298" s="835"/>
      <c r="E298" s="835"/>
    </row>
    <row r="299" spans="1:5" ht="15.75" x14ac:dyDescent="0.25">
      <c r="A299" s="834"/>
      <c r="B299" s="835"/>
      <c r="C299" s="835"/>
      <c r="D299" s="835"/>
      <c r="E299" s="835"/>
    </row>
    <row r="300" spans="1:5" ht="15.75" x14ac:dyDescent="0.25">
      <c r="A300" s="834"/>
      <c r="B300" s="835"/>
      <c r="C300" s="835"/>
      <c r="D300" s="835"/>
      <c r="E300" s="835"/>
    </row>
    <row r="301" spans="1:5" ht="15.75" x14ac:dyDescent="0.25">
      <c r="A301" s="834"/>
      <c r="B301" s="835"/>
      <c r="C301" s="835"/>
      <c r="D301" s="835"/>
      <c r="E301" s="835"/>
    </row>
    <row r="302" spans="1:5" ht="15.75" x14ac:dyDescent="0.25">
      <c r="A302" s="834"/>
      <c r="B302" s="835"/>
      <c r="C302" s="835"/>
      <c r="D302" s="835"/>
      <c r="E302" s="835"/>
    </row>
    <row r="303" spans="1:5" ht="15.75" x14ac:dyDescent="0.25">
      <c r="A303" s="834"/>
      <c r="B303" s="835"/>
      <c r="C303" s="835"/>
      <c r="D303" s="835"/>
      <c r="E303" s="835"/>
    </row>
    <row r="304" spans="1:5" ht="15.75" x14ac:dyDescent="0.25">
      <c r="A304" s="834"/>
      <c r="B304" s="835"/>
      <c r="C304" s="835"/>
      <c r="D304" s="835"/>
      <c r="E304" s="835"/>
    </row>
    <row r="305" spans="1:5" ht="15.75" x14ac:dyDescent="0.25">
      <c r="A305" s="834"/>
      <c r="B305" s="835"/>
      <c r="C305" s="835"/>
      <c r="D305" s="835"/>
      <c r="E305" s="835"/>
    </row>
    <row r="306" spans="1:5" ht="15.75" x14ac:dyDescent="0.25">
      <c r="A306" s="834"/>
      <c r="B306" s="835"/>
      <c r="C306" s="835"/>
      <c r="D306" s="835"/>
      <c r="E306" s="835"/>
    </row>
    <row r="307" spans="1:5" ht="15.75" x14ac:dyDescent="0.25">
      <c r="A307" s="834"/>
      <c r="B307" s="835"/>
      <c r="C307" s="835"/>
      <c r="D307" s="835"/>
      <c r="E307" s="835"/>
    </row>
    <row r="308" spans="1:5" ht="15.75" x14ac:dyDescent="0.25">
      <c r="A308" s="834"/>
      <c r="B308" s="835"/>
      <c r="C308" s="835"/>
      <c r="D308" s="835"/>
      <c r="E308" s="835"/>
    </row>
    <row r="309" spans="1:5" ht="15.75" x14ac:dyDescent="0.25">
      <c r="A309" s="834"/>
      <c r="B309" s="835"/>
      <c r="C309" s="835"/>
      <c r="D309" s="835"/>
      <c r="E309" s="835"/>
    </row>
    <row r="310" spans="1:5" ht="15.75" x14ac:dyDescent="0.25">
      <c r="A310" s="834"/>
      <c r="B310" s="835"/>
      <c r="C310" s="835"/>
      <c r="D310" s="835"/>
      <c r="E310" s="835"/>
    </row>
    <row r="311" spans="1:5" ht="15.75" x14ac:dyDescent="0.25">
      <c r="A311" s="834"/>
      <c r="B311" s="835"/>
      <c r="C311" s="835"/>
      <c r="D311" s="835"/>
      <c r="E311" s="835"/>
    </row>
    <row r="312" spans="1:5" ht="15.75" x14ac:dyDescent="0.25">
      <c r="A312" s="834"/>
      <c r="B312" s="835"/>
      <c r="C312" s="835"/>
      <c r="D312" s="835"/>
      <c r="E312" s="835"/>
    </row>
    <row r="313" spans="1:5" ht="15.75" x14ac:dyDescent="0.25">
      <c r="A313" s="834"/>
      <c r="B313" s="835"/>
      <c r="C313" s="835"/>
      <c r="D313" s="835"/>
      <c r="E313" s="835"/>
    </row>
    <row r="314" spans="1:5" ht="15.75" x14ac:dyDescent="0.25">
      <c r="A314" s="834"/>
      <c r="B314" s="835"/>
      <c r="C314" s="835"/>
      <c r="D314" s="835"/>
      <c r="E314" s="835"/>
    </row>
    <row r="315" spans="1:5" ht="15.75" x14ac:dyDescent="0.25">
      <c r="A315" s="834"/>
      <c r="B315" s="835"/>
      <c r="C315" s="835"/>
      <c r="D315" s="835"/>
      <c r="E315" s="835"/>
    </row>
    <row r="316" spans="1:5" ht="15.75" x14ac:dyDescent="0.25">
      <c r="A316" s="834"/>
      <c r="B316" s="835"/>
      <c r="C316" s="835"/>
      <c r="D316" s="835"/>
      <c r="E316" s="835"/>
    </row>
    <row r="317" spans="1:5" ht="15.75" x14ac:dyDescent="0.25">
      <c r="A317" s="834"/>
      <c r="B317" s="835"/>
      <c r="C317" s="835"/>
      <c r="D317" s="835"/>
      <c r="E317" s="835"/>
    </row>
    <row r="318" spans="1:5" ht="15.75" x14ac:dyDescent="0.25">
      <c r="A318" s="834"/>
      <c r="B318" s="835"/>
      <c r="C318" s="835"/>
      <c r="D318" s="835"/>
      <c r="E318" s="835"/>
    </row>
    <row r="319" spans="1:5" ht="15.75" x14ac:dyDescent="0.25">
      <c r="A319" s="834"/>
      <c r="B319" s="835"/>
      <c r="C319" s="835"/>
      <c r="D319" s="835"/>
      <c r="E319" s="835"/>
    </row>
    <row r="320" spans="1:5" ht="15.75" x14ac:dyDescent="0.25">
      <c r="A320" s="834"/>
      <c r="B320" s="835"/>
      <c r="C320" s="835"/>
      <c r="D320" s="835"/>
      <c r="E320" s="835"/>
    </row>
    <row r="321" spans="1:5" ht="15.75" x14ac:dyDescent="0.25">
      <c r="A321" s="834"/>
      <c r="B321" s="835"/>
      <c r="C321" s="835"/>
      <c r="D321" s="835"/>
      <c r="E321" s="835"/>
    </row>
    <row r="322" spans="1:5" ht="15.75" x14ac:dyDescent="0.25">
      <c r="A322" s="834"/>
      <c r="B322" s="835"/>
      <c r="C322" s="835"/>
      <c r="D322" s="835"/>
      <c r="E322" s="835"/>
    </row>
    <row r="323" spans="1:5" ht="15.75" x14ac:dyDescent="0.25">
      <c r="A323" s="834"/>
      <c r="B323" s="835"/>
      <c r="C323" s="835"/>
      <c r="D323" s="835"/>
      <c r="E323" s="835"/>
    </row>
    <row r="324" spans="1:5" ht="15.75" x14ac:dyDescent="0.25">
      <c r="A324" s="834"/>
      <c r="B324" s="835"/>
      <c r="C324" s="835"/>
      <c r="D324" s="835"/>
      <c r="E324" s="835"/>
    </row>
    <row r="325" spans="1:5" ht="15.75" x14ac:dyDescent="0.25">
      <c r="A325" s="834"/>
      <c r="B325" s="835"/>
      <c r="C325" s="835"/>
      <c r="D325" s="835"/>
      <c r="E325" s="835"/>
    </row>
    <row r="326" spans="1:5" ht="15.75" x14ac:dyDescent="0.25">
      <c r="A326" s="834"/>
      <c r="B326" s="835"/>
      <c r="C326" s="835"/>
      <c r="D326" s="835"/>
      <c r="E326" s="835"/>
    </row>
    <row r="327" spans="1:5" ht="15.75" x14ac:dyDescent="0.25">
      <c r="A327" s="834"/>
      <c r="B327" s="835"/>
      <c r="C327" s="835"/>
      <c r="D327" s="835"/>
      <c r="E327" s="835"/>
    </row>
    <row r="328" spans="1:5" ht="15.75" x14ac:dyDescent="0.25">
      <c r="A328" s="834"/>
      <c r="B328" s="835"/>
      <c r="C328" s="835"/>
      <c r="D328" s="835"/>
      <c r="E328" s="835"/>
    </row>
    <row r="329" spans="1:5" ht="15.75" x14ac:dyDescent="0.25">
      <c r="A329" s="834"/>
      <c r="B329" s="835"/>
      <c r="C329" s="835"/>
      <c r="D329" s="835"/>
      <c r="E329" s="835"/>
    </row>
    <row r="330" spans="1:5" ht="15.75" x14ac:dyDescent="0.25">
      <c r="A330" s="834"/>
      <c r="B330" s="835"/>
      <c r="C330" s="835"/>
      <c r="D330" s="835"/>
      <c r="E330" s="835"/>
    </row>
    <row r="331" spans="1:5" ht="15.75" x14ac:dyDescent="0.25">
      <c r="A331" s="834"/>
      <c r="B331" s="835"/>
      <c r="C331" s="835"/>
      <c r="D331" s="835"/>
      <c r="E331" s="835"/>
    </row>
    <row r="332" spans="1:5" ht="15.75" x14ac:dyDescent="0.25">
      <c r="A332" s="834"/>
      <c r="B332" s="835"/>
      <c r="C332" s="835"/>
      <c r="D332" s="835"/>
      <c r="E332" s="835"/>
    </row>
    <row r="333" spans="1:5" ht="15.75" x14ac:dyDescent="0.25">
      <c r="A333" s="834"/>
      <c r="B333" s="835"/>
      <c r="C333" s="835"/>
      <c r="D333" s="835"/>
      <c r="E333" s="835"/>
    </row>
    <row r="334" spans="1:5" ht="15.75" x14ac:dyDescent="0.25">
      <c r="A334" s="834"/>
      <c r="B334" s="835"/>
      <c r="C334" s="835"/>
      <c r="D334" s="835"/>
      <c r="E334" s="835"/>
    </row>
    <row r="335" spans="1:5" ht="15.75" x14ac:dyDescent="0.25">
      <c r="A335" s="834"/>
      <c r="B335" s="835"/>
      <c r="C335" s="835"/>
      <c r="D335" s="835"/>
      <c r="E335" s="835"/>
    </row>
    <row r="336" spans="1:5" ht="15.75" x14ac:dyDescent="0.25">
      <c r="A336" s="834"/>
      <c r="B336" s="835"/>
      <c r="C336" s="835"/>
      <c r="D336" s="835"/>
      <c r="E336" s="835"/>
    </row>
    <row r="337" spans="1:5" ht="15.75" x14ac:dyDescent="0.25">
      <c r="A337" s="834"/>
      <c r="B337" s="835"/>
      <c r="C337" s="835"/>
      <c r="D337" s="835"/>
      <c r="E337" s="835"/>
    </row>
    <row r="338" spans="1:5" ht="15.75" x14ac:dyDescent="0.25">
      <c r="A338" s="834"/>
      <c r="B338" s="835"/>
      <c r="C338" s="835"/>
      <c r="D338" s="835"/>
      <c r="E338" s="835"/>
    </row>
    <row r="339" spans="1:5" ht="15.75" x14ac:dyDescent="0.25">
      <c r="A339" s="834"/>
      <c r="B339" s="835"/>
      <c r="C339" s="835"/>
      <c r="D339" s="835"/>
      <c r="E339" s="835"/>
    </row>
    <row r="340" spans="1:5" ht="15.75" x14ac:dyDescent="0.25">
      <c r="A340" s="834"/>
      <c r="B340" s="835"/>
      <c r="C340" s="835"/>
      <c r="D340" s="835"/>
      <c r="E340" s="835"/>
    </row>
    <row r="341" spans="1:5" ht="15.75" x14ac:dyDescent="0.25">
      <c r="A341" s="834"/>
      <c r="B341" s="835"/>
      <c r="C341" s="835"/>
      <c r="D341" s="835"/>
      <c r="E341" s="835"/>
    </row>
    <row r="342" spans="1:5" ht="15.75" x14ac:dyDescent="0.25">
      <c r="A342" s="834"/>
      <c r="B342" s="835"/>
      <c r="C342" s="835"/>
      <c r="D342" s="835"/>
      <c r="E342" s="835"/>
    </row>
    <row r="343" spans="1:5" ht="15.75" x14ac:dyDescent="0.25">
      <c r="A343" s="834"/>
      <c r="B343" s="835"/>
      <c r="C343" s="835"/>
      <c r="D343" s="835"/>
      <c r="E343" s="835"/>
    </row>
    <row r="344" spans="1:5" ht="15.75" x14ac:dyDescent="0.25">
      <c r="A344" s="834"/>
      <c r="B344" s="835"/>
      <c r="C344" s="835"/>
      <c r="D344" s="835"/>
      <c r="E344" s="835"/>
    </row>
    <row r="345" spans="1:5" ht="15.75" x14ac:dyDescent="0.25">
      <c r="A345" s="834"/>
      <c r="B345" s="835"/>
      <c r="C345" s="835"/>
      <c r="D345" s="835"/>
      <c r="E345" s="835"/>
    </row>
    <row r="346" spans="1:5" ht="15.75" x14ac:dyDescent="0.25">
      <c r="A346" s="834"/>
      <c r="B346" s="835"/>
      <c r="C346" s="835"/>
      <c r="D346" s="835"/>
      <c r="E346" s="835"/>
    </row>
    <row r="347" spans="1:5" ht="15.75" x14ac:dyDescent="0.25">
      <c r="A347" s="834"/>
      <c r="B347" s="835"/>
      <c r="C347" s="835"/>
      <c r="D347" s="835"/>
      <c r="E347" s="835"/>
    </row>
    <row r="348" spans="1:5" ht="15.75" x14ac:dyDescent="0.25">
      <c r="A348" s="834"/>
      <c r="B348" s="835"/>
      <c r="C348" s="835"/>
      <c r="D348" s="835"/>
      <c r="E348" s="835"/>
    </row>
    <row r="349" spans="1:5" ht="15.75" x14ac:dyDescent="0.25">
      <c r="A349" s="834"/>
      <c r="B349" s="835"/>
      <c r="C349" s="835"/>
      <c r="D349" s="835"/>
      <c r="E349" s="835"/>
    </row>
    <row r="350" spans="1:5" ht="15.75" x14ac:dyDescent="0.25">
      <c r="A350" s="834"/>
      <c r="B350" s="835"/>
      <c r="C350" s="835"/>
      <c r="D350" s="835"/>
      <c r="E350" s="835"/>
    </row>
    <row r="351" spans="1:5" ht="15.75" x14ac:dyDescent="0.25">
      <c r="A351" s="834"/>
      <c r="B351" s="835"/>
      <c r="C351" s="835"/>
      <c r="D351" s="835"/>
      <c r="E351" s="835"/>
    </row>
    <row r="352" spans="1:5" ht="15.75" x14ac:dyDescent="0.25">
      <c r="A352" s="834"/>
      <c r="B352" s="835"/>
      <c r="C352" s="835"/>
      <c r="D352" s="835"/>
      <c r="E352" s="835"/>
    </row>
    <row r="353" spans="1:5" ht="15.75" x14ac:dyDescent="0.25">
      <c r="A353" s="834"/>
      <c r="B353" s="835"/>
      <c r="C353" s="835"/>
      <c r="D353" s="835"/>
      <c r="E353" s="835"/>
    </row>
    <row r="354" spans="1:5" ht="15.75" x14ac:dyDescent="0.25">
      <c r="A354" s="834"/>
      <c r="B354" s="835"/>
      <c r="C354" s="835"/>
      <c r="D354" s="835"/>
      <c r="E354" s="835"/>
    </row>
    <row r="355" spans="1:5" ht="15.75" x14ac:dyDescent="0.25">
      <c r="A355" s="834"/>
      <c r="B355" s="835"/>
      <c r="C355" s="835"/>
      <c r="D355" s="835"/>
      <c r="E355" s="835"/>
    </row>
    <row r="356" spans="1:5" ht="15.75" x14ac:dyDescent="0.25">
      <c r="A356" s="834"/>
      <c r="B356" s="835"/>
      <c r="C356" s="835"/>
      <c r="D356" s="835"/>
      <c r="E356" s="835"/>
    </row>
    <row r="357" spans="1:5" ht="15.75" x14ac:dyDescent="0.25">
      <c r="A357" s="834"/>
      <c r="B357" s="835"/>
      <c r="C357" s="835"/>
      <c r="D357" s="835"/>
      <c r="E357" s="835"/>
    </row>
    <row r="358" spans="1:5" ht="15.75" x14ac:dyDescent="0.25">
      <c r="A358" s="834"/>
      <c r="B358" s="835"/>
      <c r="C358" s="835"/>
      <c r="D358" s="835"/>
      <c r="E358" s="835"/>
    </row>
    <row r="359" spans="1:5" ht="15.75" x14ac:dyDescent="0.25">
      <c r="A359" s="834"/>
      <c r="B359" s="835"/>
      <c r="C359" s="835"/>
      <c r="D359" s="835"/>
      <c r="E359" s="835"/>
    </row>
    <row r="360" spans="1:5" ht="15.75" x14ac:dyDescent="0.25">
      <c r="A360" s="834"/>
      <c r="B360" s="835"/>
      <c r="C360" s="835"/>
      <c r="D360" s="835"/>
      <c r="E360" s="835"/>
    </row>
    <row r="361" spans="1:5" ht="15.75" x14ac:dyDescent="0.25">
      <c r="A361" s="834"/>
      <c r="B361" s="835"/>
      <c r="C361" s="835"/>
      <c r="D361" s="835"/>
      <c r="E361" s="835"/>
    </row>
    <row r="362" spans="1:5" ht="15.75" x14ac:dyDescent="0.25">
      <c r="A362" s="834"/>
      <c r="B362" s="835"/>
      <c r="C362" s="835"/>
      <c r="D362" s="835"/>
      <c r="E362" s="835"/>
    </row>
    <row r="363" spans="1:5" ht="15.75" x14ac:dyDescent="0.25">
      <c r="A363" s="834"/>
      <c r="B363" s="835"/>
      <c r="C363" s="835"/>
      <c r="D363" s="835"/>
      <c r="E363" s="835"/>
    </row>
    <row r="364" spans="1:5" ht="15.75" x14ac:dyDescent="0.25">
      <c r="A364" s="834"/>
      <c r="B364" s="835"/>
      <c r="C364" s="835"/>
      <c r="D364" s="835"/>
      <c r="E364" s="835"/>
    </row>
    <row r="365" spans="1:5" ht="15.75" x14ac:dyDescent="0.25">
      <c r="A365" s="834"/>
      <c r="B365" s="835"/>
      <c r="C365" s="835"/>
      <c r="D365" s="835"/>
      <c r="E365" s="835"/>
    </row>
    <row r="366" spans="1:5" ht="15.75" x14ac:dyDescent="0.25">
      <c r="A366" s="834"/>
      <c r="B366" s="835"/>
      <c r="C366" s="835"/>
      <c r="D366" s="835"/>
      <c r="E366" s="835"/>
    </row>
    <row r="367" spans="1:5" ht="15.75" x14ac:dyDescent="0.25">
      <c r="A367" s="834"/>
      <c r="B367" s="835"/>
      <c r="C367" s="835"/>
      <c r="D367" s="835"/>
      <c r="E367" s="835"/>
    </row>
    <row r="368" spans="1:5" ht="15.75" x14ac:dyDescent="0.25">
      <c r="A368" s="834"/>
      <c r="B368" s="835"/>
      <c r="C368" s="835"/>
      <c r="D368" s="835"/>
      <c r="E368" s="835"/>
    </row>
    <row r="369" spans="1:5" ht="15.75" x14ac:dyDescent="0.25">
      <c r="A369" s="834"/>
      <c r="B369" s="835"/>
      <c r="C369" s="835"/>
      <c r="D369" s="835"/>
      <c r="E369" s="835"/>
    </row>
    <row r="370" spans="1:5" ht="15.75" x14ac:dyDescent="0.25">
      <c r="A370" s="834"/>
      <c r="B370" s="835"/>
      <c r="C370" s="835"/>
      <c r="D370" s="835"/>
      <c r="E370" s="835"/>
    </row>
    <row r="371" spans="1:5" ht="15.75" x14ac:dyDescent="0.25">
      <c r="A371" s="834"/>
      <c r="B371" s="835"/>
      <c r="C371" s="835"/>
      <c r="D371" s="835"/>
      <c r="E371" s="835"/>
    </row>
    <row r="372" spans="1:5" ht="15.75" x14ac:dyDescent="0.25">
      <c r="A372" s="834"/>
      <c r="B372" s="835"/>
      <c r="C372" s="835"/>
      <c r="D372" s="835"/>
      <c r="E372" s="835"/>
    </row>
    <row r="373" spans="1:5" ht="15.75" x14ac:dyDescent="0.25">
      <c r="A373" s="834"/>
      <c r="B373" s="835"/>
      <c r="C373" s="835"/>
      <c r="D373" s="835"/>
      <c r="E373" s="835"/>
    </row>
    <row r="374" spans="1:5" ht="15.75" x14ac:dyDescent="0.25">
      <c r="A374" s="834"/>
      <c r="B374" s="835"/>
      <c r="C374" s="835"/>
      <c r="D374" s="835"/>
      <c r="E374" s="835"/>
    </row>
    <row r="375" spans="1:5" ht="15.75" x14ac:dyDescent="0.25">
      <c r="A375" s="834"/>
      <c r="B375" s="835"/>
      <c r="C375" s="835"/>
      <c r="D375" s="835"/>
      <c r="E375" s="835"/>
    </row>
    <row r="376" spans="1:5" ht="15.75" x14ac:dyDescent="0.25">
      <c r="A376" s="834"/>
      <c r="B376" s="835"/>
      <c r="C376" s="835"/>
      <c r="D376" s="835"/>
      <c r="E376" s="835"/>
    </row>
    <row r="377" spans="1:5" ht="15.75" x14ac:dyDescent="0.25">
      <c r="A377" s="834"/>
      <c r="B377" s="835"/>
      <c r="C377" s="835"/>
      <c r="D377" s="835"/>
      <c r="E377" s="835"/>
    </row>
    <row r="378" spans="1:5" ht="15.75" x14ac:dyDescent="0.25">
      <c r="A378" s="834"/>
      <c r="B378" s="835"/>
      <c r="C378" s="835"/>
      <c r="D378" s="835"/>
      <c r="E378" s="835"/>
    </row>
    <row r="379" spans="1:5" ht="15.75" x14ac:dyDescent="0.25">
      <c r="A379" s="834"/>
      <c r="B379" s="835"/>
      <c r="C379" s="835"/>
      <c r="D379" s="835"/>
      <c r="E379" s="835"/>
    </row>
    <row r="380" spans="1:5" ht="15.75" x14ac:dyDescent="0.25">
      <c r="A380" s="834"/>
      <c r="B380" s="835"/>
      <c r="C380" s="835"/>
      <c r="D380" s="835"/>
      <c r="E380" s="835"/>
    </row>
    <row r="381" spans="1:5" ht="15.75" x14ac:dyDescent="0.25">
      <c r="A381" s="834"/>
      <c r="B381" s="835"/>
      <c r="C381" s="835"/>
      <c r="D381" s="835"/>
      <c r="E381" s="835"/>
    </row>
    <row r="382" spans="1:5" ht="15.75" x14ac:dyDescent="0.25">
      <c r="A382" s="834"/>
      <c r="B382" s="835"/>
      <c r="C382" s="835"/>
      <c r="D382" s="835"/>
      <c r="E382" s="835"/>
    </row>
    <row r="383" spans="1:5" ht="15.75" x14ac:dyDescent="0.25">
      <c r="A383" s="834"/>
      <c r="B383" s="835"/>
      <c r="C383" s="835"/>
      <c r="D383" s="835"/>
      <c r="E383" s="835"/>
    </row>
    <row r="384" spans="1:5" ht="15.75" x14ac:dyDescent="0.25">
      <c r="A384" s="834"/>
      <c r="B384" s="835"/>
      <c r="C384" s="835"/>
      <c r="D384" s="835"/>
      <c r="E384" s="835"/>
    </row>
    <row r="385" spans="1:5" ht="15.75" x14ac:dyDescent="0.25">
      <c r="A385" s="834"/>
      <c r="B385" s="835"/>
      <c r="C385" s="835"/>
      <c r="D385" s="835"/>
      <c r="E385" s="835"/>
    </row>
    <row r="386" spans="1:5" ht="15.75" x14ac:dyDescent="0.25">
      <c r="A386" s="834"/>
      <c r="B386" s="835"/>
      <c r="C386" s="835"/>
      <c r="D386" s="835"/>
      <c r="E386" s="835"/>
    </row>
    <row r="387" spans="1:5" ht="15.75" x14ac:dyDescent="0.25">
      <c r="A387" s="834"/>
      <c r="B387" s="835"/>
      <c r="C387" s="835"/>
      <c r="D387" s="835"/>
      <c r="E387" s="835"/>
    </row>
    <row r="388" spans="1:5" ht="15.75" x14ac:dyDescent="0.25">
      <c r="A388" s="834"/>
      <c r="B388" s="835"/>
      <c r="C388" s="835"/>
      <c r="D388" s="835"/>
      <c r="E388" s="835"/>
    </row>
    <row r="389" spans="1:5" ht="15.75" x14ac:dyDescent="0.25">
      <c r="A389" s="834"/>
      <c r="B389" s="835"/>
      <c r="C389" s="835"/>
      <c r="D389" s="835"/>
      <c r="E389" s="835"/>
    </row>
    <row r="390" spans="1:5" ht="15.75" x14ac:dyDescent="0.25">
      <c r="A390" s="834"/>
      <c r="B390" s="835"/>
      <c r="C390" s="835"/>
      <c r="D390" s="835"/>
      <c r="E390" s="835"/>
    </row>
    <row r="391" spans="1:5" ht="15.75" x14ac:dyDescent="0.25">
      <c r="A391" s="834"/>
      <c r="B391" s="835"/>
      <c r="C391" s="835"/>
      <c r="D391" s="835"/>
      <c r="E391" s="835"/>
    </row>
    <row r="392" spans="1:5" ht="15.75" x14ac:dyDescent="0.25">
      <c r="A392" s="834"/>
      <c r="B392" s="835"/>
      <c r="C392" s="835"/>
      <c r="D392" s="835"/>
      <c r="E392" s="835"/>
    </row>
    <row r="393" spans="1:5" ht="15.75" x14ac:dyDescent="0.25">
      <c r="A393" s="834"/>
      <c r="B393" s="835"/>
      <c r="C393" s="835"/>
      <c r="D393" s="835"/>
      <c r="E393" s="835"/>
    </row>
    <row r="394" spans="1:5" ht="15.75" x14ac:dyDescent="0.25">
      <c r="A394" s="834"/>
      <c r="B394" s="835"/>
      <c r="C394" s="835"/>
      <c r="D394" s="835"/>
      <c r="E394" s="835"/>
    </row>
    <row r="395" spans="1:5" ht="15.75" x14ac:dyDescent="0.25">
      <c r="A395" s="834"/>
      <c r="B395" s="835"/>
      <c r="C395" s="835"/>
      <c r="D395" s="835"/>
      <c r="E395" s="835"/>
    </row>
    <row r="396" spans="1:5" ht="15.75" x14ac:dyDescent="0.25">
      <c r="A396" s="834"/>
      <c r="B396" s="835"/>
      <c r="C396" s="835"/>
      <c r="D396" s="835"/>
      <c r="E396" s="835"/>
    </row>
    <row r="397" spans="1:5" ht="15.75" x14ac:dyDescent="0.25">
      <c r="A397" s="834"/>
      <c r="B397" s="835"/>
      <c r="C397" s="835"/>
      <c r="D397" s="835"/>
      <c r="E397" s="835"/>
    </row>
    <row r="398" spans="1:5" ht="15.75" x14ac:dyDescent="0.25">
      <c r="A398" s="834"/>
      <c r="B398" s="835"/>
      <c r="C398" s="835"/>
      <c r="D398" s="835"/>
      <c r="E398" s="835"/>
    </row>
    <row r="399" spans="1:5" ht="15.75" x14ac:dyDescent="0.25">
      <c r="A399" s="834"/>
      <c r="B399" s="835"/>
      <c r="C399" s="835"/>
      <c r="D399" s="835"/>
      <c r="E399" s="835"/>
    </row>
    <row r="400" spans="1:5" ht="15.75" x14ac:dyDescent="0.25">
      <c r="A400" s="834"/>
      <c r="B400" s="835"/>
      <c r="C400" s="835"/>
      <c r="D400" s="835"/>
      <c r="E400" s="835"/>
    </row>
    <row r="401" spans="1:5" ht="15.75" x14ac:dyDescent="0.25">
      <c r="A401" s="834"/>
      <c r="B401" s="835"/>
      <c r="C401" s="835"/>
      <c r="D401" s="835"/>
      <c r="E401" s="835"/>
    </row>
    <row r="402" spans="1:5" ht="15.75" x14ac:dyDescent="0.25">
      <c r="A402" s="834"/>
      <c r="B402" s="835"/>
      <c r="C402" s="835"/>
      <c r="D402" s="835"/>
      <c r="E402" s="835"/>
    </row>
    <row r="403" spans="1:5" ht="15.75" x14ac:dyDescent="0.25">
      <c r="A403" s="834"/>
      <c r="B403" s="835"/>
      <c r="C403" s="835"/>
      <c r="D403" s="835"/>
      <c r="E403" s="835"/>
    </row>
    <row r="404" spans="1:5" ht="15.75" x14ac:dyDescent="0.25">
      <c r="A404" s="834"/>
      <c r="B404" s="835"/>
      <c r="C404" s="835"/>
      <c r="D404" s="835"/>
      <c r="E404" s="835"/>
    </row>
    <row r="405" spans="1:5" ht="15.75" x14ac:dyDescent="0.25">
      <c r="A405" s="834"/>
      <c r="B405" s="835"/>
      <c r="C405" s="835"/>
      <c r="D405" s="835"/>
      <c r="E405" s="835"/>
    </row>
    <row r="406" spans="1:5" ht="15.75" x14ac:dyDescent="0.25">
      <c r="A406" s="834"/>
      <c r="B406" s="835"/>
      <c r="C406" s="835"/>
      <c r="D406" s="835"/>
      <c r="E406" s="835"/>
    </row>
    <row r="407" spans="1:5" ht="15.75" x14ac:dyDescent="0.25">
      <c r="A407" s="834"/>
      <c r="B407" s="835"/>
      <c r="C407" s="835"/>
      <c r="D407" s="835"/>
      <c r="E407" s="835"/>
    </row>
    <row r="408" spans="1:5" ht="15.75" x14ac:dyDescent="0.25">
      <c r="A408" s="834"/>
      <c r="B408" s="835"/>
      <c r="C408" s="835"/>
      <c r="D408" s="835"/>
      <c r="E408" s="835"/>
    </row>
    <row r="409" spans="1:5" ht="15.75" x14ac:dyDescent="0.25">
      <c r="A409" s="834"/>
      <c r="B409" s="835"/>
      <c r="C409" s="835"/>
      <c r="D409" s="835"/>
      <c r="E409" s="835"/>
    </row>
    <row r="410" spans="1:5" ht="15.75" x14ac:dyDescent="0.25">
      <c r="A410" s="834"/>
      <c r="B410" s="835"/>
      <c r="C410" s="835"/>
      <c r="D410" s="835"/>
      <c r="E410" s="835"/>
    </row>
    <row r="411" spans="1:5" ht="15.75" x14ac:dyDescent="0.25">
      <c r="A411" s="834"/>
      <c r="B411" s="835"/>
      <c r="C411" s="835"/>
      <c r="D411" s="835"/>
      <c r="E411" s="835"/>
    </row>
    <row r="412" spans="1:5" ht="15.75" x14ac:dyDescent="0.25">
      <c r="A412" s="834"/>
      <c r="B412" s="835"/>
      <c r="C412" s="835"/>
      <c r="D412" s="835"/>
      <c r="E412" s="835"/>
    </row>
    <row r="413" spans="1:5" ht="15.75" x14ac:dyDescent="0.25">
      <c r="A413" s="834"/>
      <c r="B413" s="835"/>
      <c r="C413" s="835"/>
      <c r="D413" s="835"/>
      <c r="E413" s="835"/>
    </row>
    <row r="414" spans="1:5" ht="15.75" x14ac:dyDescent="0.25">
      <c r="A414" s="834"/>
      <c r="B414" s="835"/>
      <c r="C414" s="835"/>
      <c r="D414" s="835"/>
      <c r="E414" s="835"/>
    </row>
    <row r="415" spans="1:5" ht="15.75" x14ac:dyDescent="0.25">
      <c r="A415" s="834"/>
      <c r="B415" s="835"/>
      <c r="C415" s="835"/>
      <c r="D415" s="835"/>
      <c r="E415" s="835"/>
    </row>
    <row r="416" spans="1:5" ht="15.75" x14ac:dyDescent="0.25">
      <c r="A416" s="834"/>
      <c r="B416" s="835"/>
      <c r="C416" s="835"/>
      <c r="D416" s="835"/>
      <c r="E416" s="835"/>
    </row>
    <row r="417" spans="1:5" ht="15.75" x14ac:dyDescent="0.25">
      <c r="A417" s="834"/>
      <c r="B417" s="835"/>
      <c r="C417" s="835"/>
      <c r="D417" s="835"/>
      <c r="E417" s="835"/>
    </row>
    <row r="418" spans="1:5" ht="15.75" x14ac:dyDescent="0.25">
      <c r="A418" s="834"/>
      <c r="B418" s="835"/>
      <c r="C418" s="835"/>
      <c r="D418" s="835"/>
      <c r="E418" s="835"/>
    </row>
    <row r="419" spans="1:5" ht="15.75" x14ac:dyDescent="0.25">
      <c r="A419" s="834"/>
      <c r="B419" s="835"/>
      <c r="C419" s="835"/>
      <c r="D419" s="835"/>
      <c r="E419" s="835"/>
    </row>
    <row r="420" spans="1:5" ht="15.75" x14ac:dyDescent="0.25">
      <c r="A420" s="834"/>
      <c r="B420" s="835"/>
      <c r="C420" s="835"/>
      <c r="D420" s="835"/>
      <c r="E420" s="835"/>
    </row>
    <row r="421" spans="1:5" ht="15.75" x14ac:dyDescent="0.25">
      <c r="A421" s="834"/>
      <c r="B421" s="835"/>
      <c r="C421" s="835"/>
      <c r="D421" s="835"/>
      <c r="E421" s="835"/>
    </row>
    <row r="422" spans="1:5" ht="15.75" x14ac:dyDescent="0.25">
      <c r="A422" s="834"/>
      <c r="B422" s="835"/>
      <c r="C422" s="835"/>
      <c r="D422" s="835"/>
      <c r="E422" s="835"/>
    </row>
    <row r="423" spans="1:5" ht="15.75" x14ac:dyDescent="0.25">
      <c r="A423" s="834"/>
      <c r="B423" s="835"/>
      <c r="C423" s="835"/>
      <c r="D423" s="835"/>
      <c r="E423" s="835"/>
    </row>
    <row r="424" spans="1:5" ht="15.75" x14ac:dyDescent="0.25">
      <c r="A424" s="834"/>
      <c r="B424" s="835"/>
      <c r="C424" s="835"/>
      <c r="D424" s="835"/>
      <c r="E424" s="835"/>
    </row>
    <row r="425" spans="1:5" ht="15.75" x14ac:dyDescent="0.25">
      <c r="A425" s="834"/>
      <c r="B425" s="835"/>
      <c r="C425" s="835"/>
      <c r="D425" s="835"/>
      <c r="E425" s="835"/>
    </row>
    <row r="426" spans="1:5" ht="15.75" x14ac:dyDescent="0.25">
      <c r="A426" s="834"/>
      <c r="B426" s="835"/>
      <c r="C426" s="835"/>
      <c r="D426" s="835"/>
      <c r="E426" s="835"/>
    </row>
    <row r="427" spans="1:5" ht="15.75" x14ac:dyDescent="0.25">
      <c r="A427" s="834"/>
      <c r="B427" s="835"/>
      <c r="C427" s="835"/>
      <c r="D427" s="835"/>
      <c r="E427" s="835"/>
    </row>
    <row r="428" spans="1:5" ht="15.75" x14ac:dyDescent="0.25">
      <c r="A428" s="834"/>
      <c r="B428" s="835"/>
      <c r="C428" s="835"/>
      <c r="D428" s="835"/>
      <c r="E428" s="835"/>
    </row>
    <row r="429" spans="1:5" ht="15.75" x14ac:dyDescent="0.25">
      <c r="A429" s="834"/>
      <c r="B429" s="835"/>
      <c r="C429" s="835"/>
      <c r="D429" s="835"/>
      <c r="E429" s="835"/>
    </row>
    <row r="430" spans="1:5" ht="15.75" x14ac:dyDescent="0.25">
      <c r="A430" s="834"/>
      <c r="B430" s="835"/>
      <c r="C430" s="835"/>
      <c r="D430" s="835"/>
      <c r="E430" s="835"/>
    </row>
    <row r="431" spans="1:5" ht="15.75" x14ac:dyDescent="0.25">
      <c r="A431" s="834"/>
      <c r="B431" s="835"/>
      <c r="C431" s="835"/>
      <c r="D431" s="835"/>
      <c r="E431" s="835"/>
    </row>
    <row r="432" spans="1:5" ht="15.75" x14ac:dyDescent="0.25">
      <c r="A432" s="834"/>
      <c r="B432" s="835"/>
      <c r="C432" s="835"/>
      <c r="D432" s="835"/>
      <c r="E432" s="835"/>
    </row>
    <row r="433" spans="1:5" ht="15.75" x14ac:dyDescent="0.25">
      <c r="A433" s="834"/>
      <c r="B433" s="835"/>
      <c r="C433" s="835"/>
      <c r="D433" s="835"/>
      <c r="E433" s="835"/>
    </row>
    <row r="434" spans="1:5" ht="15.75" x14ac:dyDescent="0.25">
      <c r="A434" s="834"/>
      <c r="B434" s="835"/>
      <c r="C434" s="835"/>
      <c r="D434" s="835"/>
      <c r="E434" s="835"/>
    </row>
    <row r="435" spans="1:5" ht="15.75" x14ac:dyDescent="0.25">
      <c r="A435" s="834"/>
      <c r="B435" s="835"/>
      <c r="C435" s="835"/>
      <c r="D435" s="835"/>
      <c r="E435" s="835"/>
    </row>
    <row r="436" spans="1:5" ht="15.75" x14ac:dyDescent="0.25">
      <c r="A436" s="834"/>
      <c r="B436" s="835"/>
      <c r="C436" s="835"/>
      <c r="D436" s="835"/>
      <c r="E436" s="835"/>
    </row>
    <row r="437" spans="1:5" ht="15.75" x14ac:dyDescent="0.25">
      <c r="A437" s="834"/>
      <c r="B437" s="835"/>
      <c r="C437" s="835"/>
      <c r="D437" s="835"/>
      <c r="E437" s="835"/>
    </row>
    <row r="438" spans="1:5" ht="15.75" x14ac:dyDescent="0.25">
      <c r="A438" s="834"/>
      <c r="B438" s="835"/>
      <c r="C438" s="835"/>
      <c r="D438" s="835"/>
      <c r="E438" s="835"/>
    </row>
    <row r="439" spans="1:5" ht="15.75" x14ac:dyDescent="0.25">
      <c r="A439" s="834"/>
      <c r="B439" s="835"/>
      <c r="C439" s="835"/>
      <c r="D439" s="835"/>
      <c r="E439" s="835"/>
    </row>
    <row r="440" spans="1:5" ht="15.75" x14ac:dyDescent="0.25">
      <c r="A440" s="834"/>
      <c r="B440" s="835"/>
      <c r="C440" s="835"/>
      <c r="D440" s="835"/>
      <c r="E440" s="835"/>
    </row>
    <row r="441" spans="1:5" ht="15.75" x14ac:dyDescent="0.25">
      <c r="A441" s="834"/>
      <c r="B441" s="835"/>
      <c r="C441" s="835"/>
      <c r="D441" s="835"/>
      <c r="E441" s="835"/>
    </row>
    <row r="442" spans="1:5" ht="15.75" x14ac:dyDescent="0.25">
      <c r="A442" s="834"/>
      <c r="B442" s="835"/>
      <c r="C442" s="835"/>
      <c r="D442" s="835"/>
      <c r="E442" s="835"/>
    </row>
    <row r="443" spans="1:5" ht="15.75" x14ac:dyDescent="0.25">
      <c r="A443" s="834"/>
      <c r="B443" s="835"/>
      <c r="C443" s="835"/>
      <c r="D443" s="835"/>
      <c r="E443" s="835"/>
    </row>
    <row r="444" spans="1:5" ht="15.75" x14ac:dyDescent="0.25">
      <c r="A444" s="834"/>
      <c r="B444" s="835"/>
      <c r="C444" s="835"/>
      <c r="D444" s="835"/>
      <c r="E444" s="835"/>
    </row>
    <row r="445" spans="1:5" ht="15.75" x14ac:dyDescent="0.25">
      <c r="A445" s="834"/>
      <c r="B445" s="835"/>
      <c r="C445" s="835"/>
      <c r="D445" s="835"/>
      <c r="E445" s="835"/>
    </row>
    <row r="446" spans="1:5" ht="15.75" x14ac:dyDescent="0.25">
      <c r="A446" s="834"/>
      <c r="B446" s="835"/>
      <c r="C446" s="835"/>
      <c r="D446" s="835"/>
      <c r="E446" s="835"/>
    </row>
    <row r="447" spans="1:5" ht="15.75" x14ac:dyDescent="0.25">
      <c r="A447" s="834"/>
      <c r="B447" s="835"/>
      <c r="C447" s="835"/>
      <c r="D447" s="835"/>
      <c r="E447" s="835"/>
    </row>
    <row r="448" spans="1:5" ht="15.75" x14ac:dyDescent="0.25">
      <c r="A448" s="834"/>
      <c r="B448" s="835"/>
      <c r="C448" s="835"/>
      <c r="D448" s="835"/>
      <c r="E448" s="835"/>
    </row>
    <row r="449" spans="1:5" ht="15.75" x14ac:dyDescent="0.25">
      <c r="A449" s="834"/>
      <c r="B449" s="835"/>
      <c r="C449" s="835"/>
      <c r="D449" s="835"/>
      <c r="E449" s="835"/>
    </row>
    <row r="450" spans="1:5" ht="15.75" x14ac:dyDescent="0.25">
      <c r="A450" s="834"/>
      <c r="B450" s="835"/>
      <c r="C450" s="835"/>
      <c r="D450" s="835"/>
      <c r="E450" s="835"/>
    </row>
    <row r="451" spans="1:5" ht="15.75" x14ac:dyDescent="0.25">
      <c r="A451" s="834"/>
      <c r="B451" s="835"/>
      <c r="C451" s="835"/>
      <c r="D451" s="835"/>
      <c r="E451" s="835"/>
    </row>
    <row r="452" spans="1:5" ht="15.75" x14ac:dyDescent="0.25">
      <c r="A452" s="834"/>
      <c r="B452" s="835"/>
      <c r="C452" s="835"/>
      <c r="D452" s="835"/>
      <c r="E452" s="835"/>
    </row>
    <row r="453" spans="1:5" ht="15.75" x14ac:dyDescent="0.25">
      <c r="A453" s="834"/>
      <c r="B453" s="835"/>
      <c r="C453" s="835"/>
      <c r="D453" s="835"/>
      <c r="E453" s="835"/>
    </row>
    <row r="454" spans="1:5" ht="15.75" x14ac:dyDescent="0.25">
      <c r="A454" s="834"/>
      <c r="B454" s="835"/>
      <c r="C454" s="835"/>
      <c r="D454" s="835"/>
      <c r="E454" s="835"/>
    </row>
    <row r="455" spans="1:5" ht="15.75" x14ac:dyDescent="0.25">
      <c r="A455" s="834"/>
      <c r="B455" s="835"/>
      <c r="C455" s="835"/>
      <c r="D455" s="835"/>
      <c r="E455" s="835"/>
    </row>
    <row r="456" spans="1:5" ht="15.75" x14ac:dyDescent="0.25">
      <c r="A456" s="834"/>
      <c r="B456" s="835"/>
      <c r="C456" s="835"/>
      <c r="D456" s="835"/>
      <c r="E456" s="835"/>
    </row>
    <row r="457" spans="1:5" ht="15.75" x14ac:dyDescent="0.25">
      <c r="A457" s="834"/>
      <c r="B457" s="835"/>
      <c r="C457" s="835"/>
      <c r="D457" s="835"/>
      <c r="E457" s="835"/>
    </row>
    <row r="458" spans="1:5" ht="15.75" x14ac:dyDescent="0.25">
      <c r="A458" s="834"/>
      <c r="B458" s="835"/>
      <c r="C458" s="835"/>
      <c r="D458" s="835"/>
      <c r="E458" s="835"/>
    </row>
    <row r="459" spans="1:5" ht="15.75" x14ac:dyDescent="0.25">
      <c r="A459" s="834"/>
      <c r="B459" s="835"/>
      <c r="C459" s="835"/>
      <c r="D459" s="835"/>
      <c r="E459" s="835"/>
    </row>
    <row r="460" spans="1:5" ht="15.75" x14ac:dyDescent="0.25">
      <c r="A460" s="834"/>
      <c r="B460" s="835"/>
      <c r="C460" s="835"/>
      <c r="D460" s="835"/>
      <c r="E460" s="835"/>
    </row>
    <row r="461" spans="1:5" ht="15.75" x14ac:dyDescent="0.25">
      <c r="A461" s="834"/>
      <c r="B461" s="835"/>
      <c r="C461" s="835"/>
      <c r="D461" s="835"/>
      <c r="E461" s="835"/>
    </row>
    <row r="462" spans="1:5" ht="15.75" x14ac:dyDescent="0.25">
      <c r="A462" s="834"/>
      <c r="B462" s="835"/>
      <c r="C462" s="835"/>
      <c r="D462" s="835"/>
      <c r="E462" s="835"/>
    </row>
    <row r="463" spans="1:5" ht="15.75" x14ac:dyDescent="0.25">
      <c r="A463" s="834"/>
      <c r="B463" s="835"/>
      <c r="C463" s="835"/>
      <c r="D463" s="835"/>
      <c r="E463" s="835"/>
    </row>
    <row r="464" spans="1:5" ht="15.75" x14ac:dyDescent="0.25">
      <c r="A464" s="834"/>
      <c r="B464" s="835"/>
      <c r="C464" s="835"/>
      <c r="D464" s="835"/>
      <c r="E464" s="835"/>
    </row>
    <row r="465" spans="1:5" ht="15.75" x14ac:dyDescent="0.25">
      <c r="A465" s="834"/>
      <c r="B465" s="835"/>
      <c r="C465" s="835"/>
      <c r="D465" s="835"/>
      <c r="E465" s="835"/>
    </row>
    <row r="466" spans="1:5" ht="15.75" x14ac:dyDescent="0.25">
      <c r="A466" s="834"/>
      <c r="B466" s="835"/>
      <c r="C466" s="835"/>
      <c r="D466" s="835"/>
      <c r="E466" s="835"/>
    </row>
    <row r="467" spans="1:5" ht="15.75" x14ac:dyDescent="0.25">
      <c r="A467" s="834"/>
      <c r="B467" s="835"/>
      <c r="C467" s="835"/>
      <c r="D467" s="835"/>
      <c r="E467" s="835"/>
    </row>
    <row r="468" spans="1:5" ht="15.75" x14ac:dyDescent="0.25">
      <c r="A468" s="834"/>
      <c r="B468" s="835"/>
      <c r="C468" s="835"/>
      <c r="D468" s="835"/>
      <c r="E468" s="835"/>
    </row>
    <row r="469" spans="1:5" ht="15.75" x14ac:dyDescent="0.25">
      <c r="A469" s="834"/>
      <c r="B469" s="835"/>
      <c r="C469" s="835"/>
      <c r="D469" s="835"/>
      <c r="E469" s="835"/>
    </row>
    <row r="470" spans="1:5" ht="15.75" x14ac:dyDescent="0.25">
      <c r="A470" s="834"/>
      <c r="B470" s="835"/>
      <c r="C470" s="835"/>
      <c r="D470" s="835"/>
      <c r="E470" s="835"/>
    </row>
    <row r="471" spans="1:5" ht="15.75" x14ac:dyDescent="0.25">
      <c r="A471" s="834"/>
      <c r="B471" s="835"/>
      <c r="C471" s="835"/>
      <c r="D471" s="835"/>
      <c r="E471" s="835"/>
    </row>
    <row r="472" spans="1:5" ht="15.75" x14ac:dyDescent="0.25">
      <c r="A472" s="834"/>
      <c r="B472" s="835"/>
      <c r="C472" s="835"/>
      <c r="D472" s="835"/>
      <c r="E472" s="835"/>
    </row>
    <row r="473" spans="1:5" ht="15.75" x14ac:dyDescent="0.25">
      <c r="A473" s="834"/>
      <c r="B473" s="835"/>
      <c r="C473" s="835"/>
      <c r="D473" s="835"/>
      <c r="E473" s="835"/>
    </row>
    <row r="474" spans="1:5" ht="15.75" x14ac:dyDescent="0.25">
      <c r="A474" s="834"/>
      <c r="B474" s="835"/>
      <c r="C474" s="835"/>
      <c r="D474" s="835"/>
      <c r="E474" s="835"/>
    </row>
    <row r="475" spans="1:5" ht="15.75" x14ac:dyDescent="0.25">
      <c r="A475" s="834"/>
      <c r="B475" s="835"/>
      <c r="C475" s="835"/>
      <c r="D475" s="835"/>
      <c r="E475" s="835"/>
    </row>
    <row r="476" spans="1:5" ht="15.75" x14ac:dyDescent="0.25">
      <c r="A476" s="834"/>
      <c r="B476" s="835"/>
      <c r="C476" s="835"/>
      <c r="D476" s="835"/>
      <c r="E476" s="835"/>
    </row>
    <row r="477" spans="1:5" ht="15.75" x14ac:dyDescent="0.25">
      <c r="A477" s="834"/>
      <c r="B477" s="835"/>
      <c r="C477" s="835"/>
      <c r="D477" s="835"/>
      <c r="E477" s="835"/>
    </row>
    <row r="478" spans="1:5" ht="15.75" x14ac:dyDescent="0.25">
      <c r="A478" s="834"/>
      <c r="B478" s="835"/>
      <c r="C478" s="835"/>
      <c r="D478" s="835"/>
      <c r="E478" s="835"/>
    </row>
    <row r="479" spans="1:5" ht="15.75" x14ac:dyDescent="0.25">
      <c r="A479" s="834"/>
      <c r="B479" s="835"/>
      <c r="C479" s="835"/>
      <c r="D479" s="835"/>
      <c r="E479" s="835"/>
    </row>
    <row r="480" spans="1:5" ht="15.75" x14ac:dyDescent="0.25">
      <c r="A480" s="834"/>
      <c r="B480" s="835"/>
      <c r="C480" s="835"/>
      <c r="D480" s="835"/>
      <c r="E480" s="835"/>
    </row>
    <row r="481" spans="1:5" ht="15.75" x14ac:dyDescent="0.25">
      <c r="A481" s="834"/>
      <c r="B481" s="835"/>
      <c r="C481" s="835"/>
      <c r="D481" s="835"/>
      <c r="E481" s="835"/>
    </row>
    <row r="482" spans="1:5" ht="15.75" x14ac:dyDescent="0.25">
      <c r="A482" s="834"/>
      <c r="B482" s="835"/>
      <c r="C482" s="835"/>
      <c r="D482" s="835"/>
      <c r="E482" s="835"/>
    </row>
    <row r="483" spans="1:5" ht="15.75" x14ac:dyDescent="0.25">
      <c r="A483" s="834"/>
      <c r="B483" s="835"/>
      <c r="C483" s="835"/>
      <c r="D483" s="835"/>
      <c r="E483" s="835"/>
    </row>
    <row r="484" spans="1:5" ht="15.75" x14ac:dyDescent="0.25">
      <c r="A484" s="834"/>
      <c r="B484" s="835"/>
      <c r="C484" s="835"/>
      <c r="D484" s="835"/>
      <c r="E484" s="835"/>
    </row>
    <row r="485" spans="1:5" ht="15.75" x14ac:dyDescent="0.25">
      <c r="A485" s="834"/>
      <c r="B485" s="835"/>
      <c r="C485" s="835"/>
      <c r="D485" s="835"/>
      <c r="E485" s="835"/>
    </row>
    <row r="486" spans="1:5" ht="15.75" x14ac:dyDescent="0.25">
      <c r="A486" s="834"/>
      <c r="B486" s="835"/>
      <c r="C486" s="835"/>
      <c r="D486" s="835"/>
      <c r="E486" s="835"/>
    </row>
    <row r="487" spans="1:5" ht="15.75" x14ac:dyDescent="0.25">
      <c r="A487" s="834"/>
      <c r="B487" s="835"/>
      <c r="C487" s="835"/>
      <c r="D487" s="835"/>
      <c r="E487" s="835"/>
    </row>
    <row r="488" spans="1:5" ht="15.75" x14ac:dyDescent="0.25">
      <c r="A488" s="834"/>
      <c r="B488" s="835"/>
      <c r="C488" s="835"/>
      <c r="D488" s="835"/>
      <c r="E488" s="835"/>
    </row>
    <row r="489" spans="1:5" ht="15.75" x14ac:dyDescent="0.25">
      <c r="A489" s="834"/>
      <c r="B489" s="835"/>
      <c r="C489" s="835"/>
      <c r="D489" s="835"/>
      <c r="E489" s="835"/>
    </row>
    <row r="490" spans="1:5" ht="15.75" x14ac:dyDescent="0.25">
      <c r="A490" s="834"/>
      <c r="B490" s="835"/>
      <c r="C490" s="835"/>
      <c r="D490" s="835"/>
      <c r="E490" s="835"/>
    </row>
    <row r="491" spans="1:5" ht="15.75" x14ac:dyDescent="0.25">
      <c r="A491" s="834"/>
      <c r="B491" s="835"/>
      <c r="C491" s="835"/>
      <c r="D491" s="835"/>
      <c r="E491" s="835"/>
    </row>
    <row r="492" spans="1:5" ht="15.75" x14ac:dyDescent="0.25">
      <c r="A492" s="834"/>
      <c r="B492" s="835"/>
      <c r="C492" s="835"/>
      <c r="D492" s="835"/>
      <c r="E492" s="835"/>
    </row>
    <row r="493" spans="1:5" ht="15.75" x14ac:dyDescent="0.25">
      <c r="A493" s="834"/>
      <c r="B493" s="835"/>
      <c r="C493" s="835"/>
      <c r="D493" s="835"/>
      <c r="E493" s="835"/>
    </row>
    <row r="494" spans="1:5" ht="15.75" x14ac:dyDescent="0.25">
      <c r="A494" s="834"/>
      <c r="B494" s="835"/>
      <c r="C494" s="835"/>
      <c r="D494" s="835"/>
      <c r="E494" s="835"/>
    </row>
    <row r="495" spans="1:5" ht="15.75" x14ac:dyDescent="0.25">
      <c r="A495" s="834"/>
      <c r="B495" s="835"/>
      <c r="C495" s="835"/>
      <c r="D495" s="835"/>
      <c r="E495" s="835"/>
    </row>
    <row r="496" spans="1:5" ht="15.75" x14ac:dyDescent="0.25">
      <c r="A496" s="834"/>
      <c r="B496" s="835"/>
      <c r="C496" s="835"/>
      <c r="D496" s="835"/>
      <c r="E496" s="835"/>
    </row>
    <row r="497" spans="1:5" ht="15.75" x14ac:dyDescent="0.25">
      <c r="A497" s="834"/>
      <c r="B497" s="835"/>
      <c r="C497" s="835"/>
      <c r="D497" s="835"/>
      <c r="E497" s="835"/>
    </row>
    <row r="498" spans="1:5" ht="15.75" x14ac:dyDescent="0.25">
      <c r="A498" s="834"/>
      <c r="B498" s="835"/>
      <c r="C498" s="835"/>
      <c r="D498" s="835"/>
      <c r="E498" s="835"/>
    </row>
    <row r="499" spans="1:5" ht="15.75" x14ac:dyDescent="0.25">
      <c r="A499" s="834"/>
      <c r="B499" s="835"/>
      <c r="C499" s="835"/>
      <c r="D499" s="835"/>
      <c r="E499" s="835"/>
    </row>
    <row r="500" spans="1:5" ht="15.75" x14ac:dyDescent="0.25">
      <c r="A500" s="834"/>
      <c r="B500" s="835"/>
      <c r="C500" s="835"/>
      <c r="D500" s="835"/>
      <c r="E500" s="835"/>
    </row>
    <row r="501" spans="1:5" ht="15.75" x14ac:dyDescent="0.25">
      <c r="A501" s="834"/>
      <c r="B501" s="835"/>
      <c r="C501" s="835"/>
      <c r="D501" s="835"/>
      <c r="E501" s="835"/>
    </row>
    <row r="502" spans="1:5" ht="15.75" x14ac:dyDescent="0.25">
      <c r="A502" s="834"/>
      <c r="B502" s="835"/>
      <c r="C502" s="835"/>
      <c r="D502" s="835"/>
      <c r="E502" s="835"/>
    </row>
    <row r="503" spans="1:5" ht="15.75" x14ac:dyDescent="0.25">
      <c r="A503" s="834"/>
      <c r="B503" s="835"/>
      <c r="C503" s="835"/>
      <c r="D503" s="835"/>
      <c r="E503" s="835"/>
    </row>
    <row r="504" spans="1:5" ht="15.75" x14ac:dyDescent="0.25">
      <c r="A504" s="834"/>
      <c r="B504" s="835"/>
      <c r="C504" s="835"/>
      <c r="D504" s="835"/>
      <c r="E504" s="835"/>
    </row>
    <row r="505" spans="1:5" ht="15.75" x14ac:dyDescent="0.25">
      <c r="A505" s="834"/>
      <c r="B505" s="835"/>
      <c r="C505" s="835"/>
      <c r="D505" s="835"/>
      <c r="E505" s="835"/>
    </row>
    <row r="506" spans="1:5" ht="15.75" x14ac:dyDescent="0.25">
      <c r="A506" s="834"/>
      <c r="B506" s="835"/>
      <c r="C506" s="835"/>
      <c r="D506" s="835"/>
      <c r="E506" s="835"/>
    </row>
    <row r="507" spans="1:5" ht="15.75" x14ac:dyDescent="0.25">
      <c r="A507" s="834"/>
      <c r="B507" s="835"/>
      <c r="C507" s="835"/>
      <c r="D507" s="835"/>
      <c r="E507" s="835"/>
    </row>
    <row r="508" spans="1:5" ht="15.75" x14ac:dyDescent="0.25">
      <c r="A508" s="834"/>
      <c r="B508" s="835"/>
      <c r="C508" s="835"/>
      <c r="D508" s="835"/>
      <c r="E508" s="835"/>
    </row>
    <row r="509" spans="1:5" ht="15.75" x14ac:dyDescent="0.25">
      <c r="A509" s="834"/>
      <c r="B509" s="835"/>
      <c r="C509" s="835"/>
      <c r="D509" s="835"/>
      <c r="E509" s="835"/>
    </row>
    <row r="510" spans="1:5" ht="15.75" x14ac:dyDescent="0.25">
      <c r="A510" s="834"/>
      <c r="B510" s="835"/>
      <c r="C510" s="835"/>
      <c r="D510" s="835"/>
      <c r="E510" s="835"/>
    </row>
    <row r="511" spans="1:5" ht="15.75" x14ac:dyDescent="0.25">
      <c r="A511" s="834"/>
      <c r="B511" s="835"/>
      <c r="C511" s="835"/>
      <c r="D511" s="835"/>
      <c r="E511" s="835"/>
    </row>
    <row r="512" spans="1:5" ht="15.75" x14ac:dyDescent="0.25">
      <c r="A512" s="834"/>
      <c r="B512" s="835"/>
      <c r="C512" s="835"/>
      <c r="D512" s="835"/>
      <c r="E512" s="835"/>
    </row>
    <row r="513" spans="1:5" ht="15.75" x14ac:dyDescent="0.25">
      <c r="A513" s="834"/>
      <c r="B513" s="835"/>
      <c r="C513" s="835"/>
      <c r="D513" s="835"/>
      <c r="E513" s="835"/>
    </row>
    <row r="514" spans="1:5" ht="15.75" x14ac:dyDescent="0.25">
      <c r="A514" s="834"/>
      <c r="B514" s="835"/>
      <c r="C514" s="835"/>
      <c r="D514" s="835"/>
      <c r="E514" s="835"/>
    </row>
    <row r="515" spans="1:5" ht="15.75" x14ac:dyDescent="0.25">
      <c r="A515" s="834"/>
      <c r="B515" s="835"/>
      <c r="C515" s="835"/>
      <c r="D515" s="835"/>
      <c r="E515" s="835"/>
    </row>
    <row r="516" spans="1:5" ht="15.75" x14ac:dyDescent="0.25">
      <c r="A516" s="834"/>
      <c r="B516" s="835"/>
      <c r="C516" s="835"/>
      <c r="D516" s="835"/>
      <c r="E516" s="835"/>
    </row>
    <row r="517" spans="1:5" ht="15.75" x14ac:dyDescent="0.25">
      <c r="A517" s="834"/>
      <c r="B517" s="835"/>
      <c r="C517" s="835"/>
      <c r="D517" s="835"/>
      <c r="E517" s="835"/>
    </row>
    <row r="518" spans="1:5" ht="15.75" x14ac:dyDescent="0.25">
      <c r="A518" s="834"/>
      <c r="B518" s="835"/>
      <c r="C518" s="835"/>
      <c r="D518" s="835"/>
      <c r="E518" s="835"/>
    </row>
    <row r="519" spans="1:5" ht="15.75" x14ac:dyDescent="0.25">
      <c r="A519" s="834"/>
      <c r="B519" s="835"/>
      <c r="C519" s="835"/>
      <c r="D519" s="835"/>
      <c r="E519" s="835"/>
    </row>
    <row r="520" spans="1:5" ht="15.75" x14ac:dyDescent="0.25">
      <c r="A520" s="834"/>
      <c r="B520" s="835"/>
      <c r="C520" s="835"/>
      <c r="D520" s="835"/>
      <c r="E520" s="835"/>
    </row>
    <row r="521" spans="1:5" ht="15.75" x14ac:dyDescent="0.25">
      <c r="A521" s="834"/>
      <c r="B521" s="835"/>
      <c r="C521" s="835"/>
      <c r="D521" s="835"/>
      <c r="E521" s="835"/>
    </row>
    <row r="522" spans="1:5" ht="15.75" x14ac:dyDescent="0.25">
      <c r="A522" s="834"/>
      <c r="B522" s="835"/>
      <c r="C522" s="835"/>
      <c r="D522" s="835"/>
      <c r="E522" s="835"/>
    </row>
    <row r="523" spans="1:5" ht="15.75" x14ac:dyDescent="0.25">
      <c r="A523" s="834"/>
      <c r="B523" s="835"/>
      <c r="C523" s="835"/>
      <c r="D523" s="835"/>
      <c r="E523" s="835"/>
    </row>
    <row r="524" spans="1:5" ht="15.75" x14ac:dyDescent="0.25">
      <c r="A524" s="834"/>
      <c r="B524" s="835"/>
      <c r="C524" s="835"/>
      <c r="D524" s="835"/>
      <c r="E524" s="835"/>
    </row>
    <row r="525" spans="1:5" ht="15.75" x14ac:dyDescent="0.25">
      <c r="A525" s="834"/>
      <c r="B525" s="835"/>
      <c r="C525" s="835"/>
      <c r="D525" s="835"/>
      <c r="E525" s="835"/>
    </row>
    <row r="526" spans="1:5" ht="15.75" x14ac:dyDescent="0.25">
      <c r="A526" s="834"/>
      <c r="B526" s="835"/>
      <c r="C526" s="835"/>
      <c r="D526" s="835"/>
      <c r="E526" s="835"/>
    </row>
    <row r="527" spans="1:5" ht="15.75" x14ac:dyDescent="0.25">
      <c r="A527" s="834"/>
      <c r="B527" s="835"/>
      <c r="C527" s="835"/>
      <c r="D527" s="835"/>
      <c r="E527" s="835"/>
    </row>
    <row r="528" spans="1:5" ht="15.75" x14ac:dyDescent="0.25">
      <c r="A528" s="834"/>
      <c r="B528" s="835"/>
      <c r="C528" s="835"/>
      <c r="D528" s="835"/>
      <c r="E528" s="835"/>
    </row>
    <row r="529" spans="1:5" ht="15.75" x14ac:dyDescent="0.25">
      <c r="A529" s="834"/>
      <c r="B529" s="835"/>
      <c r="C529" s="835"/>
      <c r="D529" s="835"/>
      <c r="E529" s="835"/>
    </row>
    <row r="530" spans="1:5" ht="15.75" x14ac:dyDescent="0.25">
      <c r="A530" s="834"/>
      <c r="B530" s="835"/>
      <c r="C530" s="835"/>
      <c r="D530" s="835"/>
      <c r="E530" s="835"/>
    </row>
    <row r="531" spans="1:5" ht="15.75" x14ac:dyDescent="0.25">
      <c r="A531" s="834"/>
      <c r="B531" s="835"/>
      <c r="C531" s="835"/>
      <c r="D531" s="835"/>
      <c r="E531" s="835"/>
    </row>
    <row r="532" spans="1:5" ht="15.75" x14ac:dyDescent="0.25">
      <c r="A532" s="834"/>
      <c r="B532" s="835"/>
      <c r="C532" s="835"/>
      <c r="D532" s="835"/>
      <c r="E532" s="835"/>
    </row>
    <row r="533" spans="1:5" ht="15.75" x14ac:dyDescent="0.25">
      <c r="A533" s="834"/>
      <c r="B533" s="835"/>
      <c r="C533" s="835"/>
      <c r="D533" s="835"/>
      <c r="E533" s="835"/>
    </row>
    <row r="534" spans="1:5" ht="15.75" x14ac:dyDescent="0.25">
      <c r="A534" s="834"/>
      <c r="B534" s="835"/>
      <c r="C534" s="835"/>
      <c r="D534" s="835"/>
      <c r="E534" s="835"/>
    </row>
    <row r="535" spans="1:5" ht="15.75" x14ac:dyDescent="0.25">
      <c r="A535" s="834"/>
      <c r="B535" s="835"/>
      <c r="C535" s="835"/>
      <c r="D535" s="835"/>
      <c r="E535" s="835"/>
    </row>
    <row r="536" spans="1:5" ht="15.75" x14ac:dyDescent="0.25">
      <c r="A536" s="834"/>
      <c r="B536" s="835"/>
      <c r="C536" s="835"/>
      <c r="D536" s="835"/>
      <c r="E536" s="835"/>
    </row>
    <row r="537" spans="1:5" ht="15.75" x14ac:dyDescent="0.25">
      <c r="A537" s="834"/>
      <c r="B537" s="835"/>
      <c r="C537" s="835"/>
      <c r="D537" s="835"/>
      <c r="E537" s="835"/>
    </row>
    <row r="538" spans="1:5" ht="15.75" x14ac:dyDescent="0.25">
      <c r="A538" s="834"/>
      <c r="B538" s="835"/>
      <c r="C538" s="835"/>
      <c r="D538" s="835"/>
      <c r="E538" s="835"/>
    </row>
    <row r="539" spans="1:5" ht="15.75" x14ac:dyDescent="0.25">
      <c r="A539" s="834"/>
      <c r="B539" s="835"/>
      <c r="C539" s="835"/>
      <c r="D539" s="835"/>
      <c r="E539" s="835"/>
    </row>
    <row r="540" spans="1:5" ht="15.75" x14ac:dyDescent="0.25">
      <c r="A540" s="834"/>
      <c r="B540" s="835"/>
      <c r="C540" s="835"/>
      <c r="D540" s="835"/>
      <c r="E540" s="835"/>
    </row>
    <row r="541" spans="1:5" ht="15.75" x14ac:dyDescent="0.25">
      <c r="A541" s="834"/>
      <c r="B541" s="835"/>
      <c r="C541" s="835"/>
      <c r="D541" s="835"/>
      <c r="E541" s="835"/>
    </row>
    <row r="542" spans="1:5" ht="15.75" x14ac:dyDescent="0.25">
      <c r="A542" s="834"/>
      <c r="B542" s="835"/>
      <c r="C542" s="835"/>
      <c r="D542" s="835"/>
      <c r="E542" s="835"/>
    </row>
    <row r="543" spans="1:5" ht="15.75" x14ac:dyDescent="0.25">
      <c r="A543" s="834"/>
      <c r="B543" s="835"/>
      <c r="C543" s="835"/>
      <c r="D543" s="835"/>
      <c r="E543" s="835"/>
    </row>
    <row r="544" spans="1:5" ht="15.75" x14ac:dyDescent="0.25">
      <c r="A544" s="834"/>
      <c r="B544" s="835"/>
      <c r="C544" s="835"/>
      <c r="D544" s="835"/>
      <c r="E544" s="835"/>
    </row>
    <row r="545" spans="1:5" ht="15.75" x14ac:dyDescent="0.25">
      <c r="A545" s="834"/>
      <c r="B545" s="835"/>
      <c r="C545" s="835"/>
      <c r="D545" s="835"/>
      <c r="E545" s="835"/>
    </row>
    <row r="546" spans="1:5" ht="15.75" x14ac:dyDescent="0.25">
      <c r="A546" s="834"/>
      <c r="B546" s="835"/>
      <c r="C546" s="835"/>
      <c r="D546" s="835"/>
      <c r="E546" s="835"/>
    </row>
    <row r="547" spans="1:5" ht="15.75" x14ac:dyDescent="0.25">
      <c r="A547" s="834"/>
      <c r="B547" s="835"/>
      <c r="C547" s="835"/>
      <c r="D547" s="835"/>
      <c r="E547" s="835"/>
    </row>
    <row r="548" spans="1:5" ht="15.75" x14ac:dyDescent="0.25">
      <c r="A548" s="834"/>
      <c r="B548" s="835"/>
      <c r="C548" s="835"/>
      <c r="D548" s="835"/>
      <c r="E548" s="835"/>
    </row>
    <row r="549" spans="1:5" ht="15.75" x14ac:dyDescent="0.25">
      <c r="A549" s="834"/>
      <c r="B549" s="835"/>
      <c r="C549" s="835"/>
      <c r="D549" s="835"/>
      <c r="E549" s="835"/>
    </row>
    <row r="550" spans="1:5" ht="15.75" x14ac:dyDescent="0.25">
      <c r="A550" s="834"/>
      <c r="B550" s="835"/>
      <c r="C550" s="835"/>
      <c r="D550" s="835"/>
      <c r="E550" s="835"/>
    </row>
    <row r="551" spans="1:5" ht="15.75" x14ac:dyDescent="0.25">
      <c r="A551" s="834"/>
      <c r="B551" s="835"/>
      <c r="C551" s="835"/>
      <c r="D551" s="835"/>
      <c r="E551" s="835"/>
    </row>
    <row r="552" spans="1:5" ht="15.75" x14ac:dyDescent="0.25">
      <c r="A552" s="834"/>
      <c r="B552" s="835"/>
      <c r="C552" s="835"/>
      <c r="D552" s="835"/>
      <c r="E552" s="835"/>
    </row>
    <row r="553" spans="1:5" ht="15.75" x14ac:dyDescent="0.25">
      <c r="A553" s="834"/>
      <c r="B553" s="835"/>
      <c r="C553" s="835"/>
      <c r="D553" s="835"/>
      <c r="E553" s="835"/>
    </row>
    <row r="554" spans="1:5" ht="15.75" x14ac:dyDescent="0.25">
      <c r="A554" s="834"/>
      <c r="B554" s="835"/>
      <c r="C554" s="835"/>
      <c r="D554" s="835"/>
      <c r="E554" s="835"/>
    </row>
    <row r="555" spans="1:5" ht="15.75" x14ac:dyDescent="0.25">
      <c r="A555" s="834"/>
      <c r="B555" s="835"/>
      <c r="C555" s="835"/>
      <c r="D555" s="835"/>
      <c r="E555" s="835"/>
    </row>
    <row r="556" spans="1:5" ht="15.75" x14ac:dyDescent="0.25">
      <c r="A556" s="834"/>
      <c r="B556" s="835"/>
      <c r="C556" s="835"/>
      <c r="D556" s="835"/>
      <c r="E556" s="835"/>
    </row>
    <row r="557" spans="1:5" ht="15.75" x14ac:dyDescent="0.25">
      <c r="A557" s="834"/>
      <c r="B557" s="835"/>
      <c r="C557" s="835"/>
      <c r="D557" s="835"/>
      <c r="E557" s="835"/>
    </row>
    <row r="558" spans="1:5" ht="15.75" x14ac:dyDescent="0.25">
      <c r="A558" s="834"/>
      <c r="B558" s="835"/>
      <c r="C558" s="835"/>
      <c r="D558" s="835"/>
      <c r="E558" s="835"/>
    </row>
    <row r="559" spans="1:5" ht="15.75" x14ac:dyDescent="0.25">
      <c r="A559" s="834"/>
      <c r="B559" s="835"/>
      <c r="C559" s="835"/>
      <c r="D559" s="835"/>
      <c r="E559" s="835"/>
    </row>
    <row r="560" spans="1:5" ht="15.75" x14ac:dyDescent="0.25">
      <c r="A560" s="834"/>
      <c r="B560" s="835"/>
      <c r="C560" s="835"/>
      <c r="D560" s="835"/>
      <c r="E560" s="835"/>
    </row>
    <row r="561" spans="1:5" ht="15.75" x14ac:dyDescent="0.25">
      <c r="A561" s="834"/>
      <c r="B561" s="835"/>
      <c r="C561" s="835"/>
      <c r="D561" s="835"/>
      <c r="E561" s="835"/>
    </row>
    <row r="562" spans="1:5" ht="15.75" x14ac:dyDescent="0.25">
      <c r="A562" s="834"/>
      <c r="B562" s="835"/>
      <c r="C562" s="835"/>
      <c r="D562" s="835"/>
      <c r="E562" s="835"/>
    </row>
    <row r="563" spans="1:5" ht="15.75" x14ac:dyDescent="0.25">
      <c r="A563" s="834"/>
      <c r="B563" s="835"/>
      <c r="C563" s="835"/>
      <c r="D563" s="835"/>
      <c r="E563" s="835"/>
    </row>
    <row r="564" spans="1:5" ht="15.75" x14ac:dyDescent="0.25">
      <c r="A564" s="834"/>
      <c r="B564" s="835"/>
      <c r="C564" s="835"/>
      <c r="D564" s="835"/>
      <c r="E564" s="835"/>
    </row>
    <row r="565" spans="1:5" ht="15.75" x14ac:dyDescent="0.25">
      <c r="A565" s="834"/>
      <c r="B565" s="835"/>
      <c r="C565" s="835"/>
      <c r="D565" s="835"/>
      <c r="E565" s="835"/>
    </row>
    <row r="566" spans="1:5" ht="15.75" x14ac:dyDescent="0.25">
      <c r="A566" s="834"/>
      <c r="B566" s="835"/>
      <c r="C566" s="835"/>
      <c r="D566" s="835"/>
      <c r="E566" s="835"/>
    </row>
    <row r="567" spans="1:5" ht="15.75" x14ac:dyDescent="0.25">
      <c r="A567" s="834"/>
      <c r="B567" s="835"/>
      <c r="C567" s="835"/>
      <c r="D567" s="835"/>
      <c r="E567" s="835"/>
    </row>
    <row r="568" spans="1:5" ht="15.75" x14ac:dyDescent="0.25">
      <c r="A568" s="834"/>
      <c r="B568" s="835"/>
      <c r="C568" s="835"/>
      <c r="D568" s="835"/>
      <c r="E568" s="835"/>
    </row>
    <row r="569" spans="1:5" ht="15.75" x14ac:dyDescent="0.25">
      <c r="A569" s="834"/>
      <c r="B569" s="835"/>
      <c r="C569" s="835"/>
      <c r="D569" s="835"/>
      <c r="E569" s="835"/>
    </row>
    <row r="570" spans="1:5" ht="15.75" x14ac:dyDescent="0.25">
      <c r="A570" s="834"/>
      <c r="B570" s="835"/>
      <c r="C570" s="835"/>
      <c r="D570" s="835"/>
      <c r="E570" s="835"/>
    </row>
    <row r="571" spans="1:5" ht="15.75" x14ac:dyDescent="0.25">
      <c r="A571" s="834"/>
      <c r="B571" s="835"/>
      <c r="C571" s="835"/>
      <c r="D571" s="835"/>
      <c r="E571" s="835"/>
    </row>
    <row r="572" spans="1:5" ht="15.75" x14ac:dyDescent="0.25">
      <c r="A572" s="834"/>
      <c r="B572" s="835"/>
      <c r="C572" s="835"/>
      <c r="D572" s="835"/>
      <c r="E572" s="835"/>
    </row>
    <row r="573" spans="1:5" ht="15.75" x14ac:dyDescent="0.25">
      <c r="A573" s="834"/>
      <c r="B573" s="835"/>
      <c r="C573" s="835"/>
      <c r="D573" s="835"/>
      <c r="E573" s="835"/>
    </row>
    <row r="574" spans="1:5" ht="15.75" x14ac:dyDescent="0.25">
      <c r="A574" s="834"/>
      <c r="B574" s="835"/>
      <c r="C574" s="835"/>
      <c r="D574" s="835"/>
      <c r="E574" s="835"/>
    </row>
    <row r="575" spans="1:5" ht="15.75" x14ac:dyDescent="0.25">
      <c r="A575" s="834"/>
      <c r="B575" s="835"/>
      <c r="C575" s="835"/>
      <c r="D575" s="835"/>
      <c r="E575" s="835"/>
    </row>
    <row r="576" spans="1:5" ht="15.75" x14ac:dyDescent="0.25">
      <c r="A576" s="834"/>
      <c r="B576" s="835"/>
      <c r="C576" s="835"/>
      <c r="D576" s="835"/>
      <c r="E576" s="835"/>
    </row>
    <row r="577" spans="1:5" ht="15.75" x14ac:dyDescent="0.25">
      <c r="A577" s="834"/>
      <c r="B577" s="835"/>
      <c r="C577" s="835"/>
      <c r="D577" s="835"/>
      <c r="E577" s="835"/>
    </row>
    <row r="578" spans="1:5" ht="15.75" x14ac:dyDescent="0.25">
      <c r="A578" s="834"/>
      <c r="B578" s="835"/>
      <c r="C578" s="835"/>
      <c r="D578" s="835"/>
      <c r="E578" s="835"/>
    </row>
    <row r="579" spans="1:5" ht="15.75" x14ac:dyDescent="0.25">
      <c r="A579" s="834"/>
      <c r="B579" s="835"/>
      <c r="C579" s="835"/>
      <c r="D579" s="835"/>
      <c r="E579" s="835"/>
    </row>
    <row r="580" spans="1:5" ht="15.75" x14ac:dyDescent="0.25">
      <c r="A580" s="834"/>
      <c r="B580" s="835"/>
      <c r="C580" s="835"/>
      <c r="D580" s="835"/>
      <c r="E580" s="835"/>
    </row>
    <row r="581" spans="1:5" ht="15.75" x14ac:dyDescent="0.25">
      <c r="A581" s="834"/>
      <c r="B581" s="835"/>
      <c r="C581" s="835"/>
      <c r="D581" s="835"/>
      <c r="E581" s="835"/>
    </row>
    <row r="582" spans="1:5" ht="15.75" x14ac:dyDescent="0.25">
      <c r="A582" s="834"/>
      <c r="B582" s="835"/>
      <c r="C582" s="835"/>
      <c r="D582" s="835"/>
      <c r="E582" s="835"/>
    </row>
    <row r="583" spans="1:5" ht="15.75" x14ac:dyDescent="0.25">
      <c r="A583" s="834"/>
      <c r="B583" s="835"/>
      <c r="C583" s="835"/>
      <c r="D583" s="835"/>
      <c r="E583" s="835"/>
    </row>
    <row r="584" spans="1:5" ht="15.75" x14ac:dyDescent="0.25">
      <c r="A584" s="834"/>
      <c r="B584" s="835"/>
      <c r="C584" s="835"/>
      <c r="D584" s="835"/>
      <c r="E584" s="835"/>
    </row>
    <row r="585" spans="1:5" ht="15.75" x14ac:dyDescent="0.25">
      <c r="A585" s="834"/>
      <c r="B585" s="835"/>
      <c r="C585" s="835"/>
      <c r="D585" s="835"/>
      <c r="E585" s="835"/>
    </row>
    <row r="586" spans="1:5" ht="15.75" x14ac:dyDescent="0.25">
      <c r="A586" s="834"/>
      <c r="B586" s="835"/>
      <c r="C586" s="835"/>
      <c r="D586" s="835"/>
      <c r="E586" s="835"/>
    </row>
    <row r="587" spans="1:5" ht="15.75" x14ac:dyDescent="0.25">
      <c r="A587" s="834"/>
      <c r="B587" s="835"/>
      <c r="C587" s="835"/>
      <c r="D587" s="835"/>
      <c r="E587" s="835"/>
    </row>
    <row r="588" spans="1:5" ht="15.75" x14ac:dyDescent="0.25">
      <c r="A588" s="834"/>
      <c r="B588" s="835"/>
      <c r="C588" s="835"/>
      <c r="D588" s="835"/>
      <c r="E588" s="835"/>
    </row>
    <row r="589" spans="1:5" ht="15.75" x14ac:dyDescent="0.25">
      <c r="A589" s="834"/>
      <c r="B589" s="835"/>
      <c r="C589" s="835"/>
      <c r="D589" s="835"/>
      <c r="E589" s="835"/>
    </row>
    <row r="590" spans="1:5" ht="15.75" x14ac:dyDescent="0.25">
      <c r="A590" s="834"/>
      <c r="B590" s="835"/>
      <c r="C590" s="835"/>
      <c r="D590" s="835"/>
      <c r="E590" s="835"/>
    </row>
    <row r="591" spans="1:5" ht="15.75" x14ac:dyDescent="0.25">
      <c r="A591" s="834"/>
      <c r="B591" s="835"/>
      <c r="C591" s="835"/>
      <c r="D591" s="835"/>
      <c r="E591" s="835"/>
    </row>
    <row r="592" spans="1:5" ht="15.75" x14ac:dyDescent="0.25">
      <c r="A592" s="834"/>
      <c r="B592" s="835"/>
      <c r="C592" s="835"/>
      <c r="D592" s="835"/>
      <c r="E592" s="835"/>
    </row>
    <row r="593" spans="1:5" ht="15.75" x14ac:dyDescent="0.25">
      <c r="A593" s="834"/>
      <c r="B593" s="835"/>
      <c r="C593" s="835"/>
      <c r="D593" s="835"/>
      <c r="E593" s="835"/>
    </row>
    <row r="594" spans="1:5" ht="15.75" x14ac:dyDescent="0.25">
      <c r="A594" s="834"/>
      <c r="B594" s="835"/>
      <c r="C594" s="835"/>
      <c r="D594" s="835"/>
      <c r="E594" s="835"/>
    </row>
    <row r="595" spans="1:5" ht="15.75" x14ac:dyDescent="0.25">
      <c r="A595" s="834"/>
      <c r="B595" s="835"/>
      <c r="C595" s="835"/>
      <c r="D595" s="835"/>
      <c r="E595" s="835"/>
    </row>
    <row r="596" spans="1:5" ht="15.75" x14ac:dyDescent="0.25">
      <c r="A596" s="834"/>
      <c r="B596" s="835"/>
      <c r="C596" s="835"/>
      <c r="D596" s="835"/>
      <c r="E596" s="835"/>
    </row>
    <row r="597" spans="1:5" ht="15.75" x14ac:dyDescent="0.25">
      <c r="A597" s="834"/>
      <c r="B597" s="835"/>
      <c r="C597" s="835"/>
      <c r="D597" s="835"/>
      <c r="E597" s="835"/>
    </row>
    <row r="598" spans="1:5" ht="15.75" x14ac:dyDescent="0.25">
      <c r="A598" s="834"/>
      <c r="B598" s="835"/>
      <c r="C598" s="835"/>
      <c r="D598" s="835"/>
      <c r="E598" s="835"/>
    </row>
    <row r="599" spans="1:5" ht="15.75" x14ac:dyDescent="0.25">
      <c r="A599" s="834"/>
      <c r="B599" s="835"/>
      <c r="C599" s="835"/>
      <c r="D599" s="835"/>
      <c r="E599" s="835"/>
    </row>
    <row r="600" spans="1:5" ht="15.75" x14ac:dyDescent="0.25">
      <c r="A600" s="834"/>
      <c r="B600" s="835"/>
      <c r="C600" s="835"/>
      <c r="D600" s="835"/>
      <c r="E600" s="835"/>
    </row>
    <row r="601" spans="1:5" ht="15.75" x14ac:dyDescent="0.25">
      <c r="A601" s="834"/>
      <c r="B601" s="835"/>
      <c r="C601" s="835"/>
      <c r="D601" s="835"/>
      <c r="E601" s="835"/>
    </row>
    <row r="602" spans="1:5" ht="15.75" x14ac:dyDescent="0.25">
      <c r="A602" s="834"/>
      <c r="B602" s="835"/>
      <c r="C602" s="835"/>
      <c r="D602" s="835"/>
      <c r="E602" s="835"/>
    </row>
    <row r="603" spans="1:5" ht="15.75" x14ac:dyDescent="0.25">
      <c r="A603" s="834"/>
      <c r="B603" s="835"/>
      <c r="C603" s="835"/>
      <c r="D603" s="835"/>
      <c r="E603" s="835"/>
    </row>
    <row r="604" spans="1:5" ht="15.75" x14ac:dyDescent="0.25">
      <c r="A604" s="834"/>
      <c r="B604" s="835"/>
      <c r="C604" s="835"/>
      <c r="D604" s="835"/>
      <c r="E604" s="835"/>
    </row>
    <row r="605" spans="1:5" ht="15.75" x14ac:dyDescent="0.25">
      <c r="A605" s="834"/>
      <c r="B605" s="835"/>
      <c r="C605" s="835"/>
      <c r="D605" s="835"/>
      <c r="E605" s="835"/>
    </row>
    <row r="606" spans="1:5" ht="15.75" x14ac:dyDescent="0.25">
      <c r="A606" s="834"/>
      <c r="B606" s="835"/>
      <c r="C606" s="835"/>
      <c r="D606" s="835"/>
      <c r="E606" s="835"/>
    </row>
    <row r="607" spans="1:5" ht="15.75" x14ac:dyDescent="0.25">
      <c r="A607" s="834"/>
      <c r="B607" s="835"/>
      <c r="C607" s="835"/>
      <c r="D607" s="835"/>
      <c r="E607" s="835"/>
    </row>
    <row r="608" spans="1:5" ht="15.75" x14ac:dyDescent="0.25">
      <c r="A608" s="834"/>
      <c r="B608" s="835"/>
      <c r="C608" s="835"/>
      <c r="D608" s="835"/>
      <c r="E608" s="835"/>
    </row>
    <row r="609" spans="1:5" ht="15.75" x14ac:dyDescent="0.25">
      <c r="A609" s="834"/>
      <c r="B609" s="835"/>
      <c r="C609" s="835"/>
      <c r="D609" s="835"/>
      <c r="E609" s="835"/>
    </row>
    <row r="610" spans="1:5" ht="15.75" x14ac:dyDescent="0.25">
      <c r="A610" s="834"/>
      <c r="B610" s="835"/>
      <c r="C610" s="835"/>
      <c r="D610" s="835"/>
      <c r="E610" s="835"/>
    </row>
    <row r="611" spans="1:5" ht="15.75" x14ac:dyDescent="0.25">
      <c r="A611" s="834"/>
      <c r="B611" s="835"/>
      <c r="C611" s="835"/>
      <c r="D611" s="835"/>
      <c r="E611" s="835"/>
    </row>
    <row r="612" spans="1:5" ht="15.75" x14ac:dyDescent="0.25">
      <c r="A612" s="834"/>
      <c r="B612" s="835"/>
      <c r="C612" s="835"/>
      <c r="D612" s="835"/>
      <c r="E612" s="835"/>
    </row>
    <row r="613" spans="1:5" ht="15.75" x14ac:dyDescent="0.25">
      <c r="A613" s="834"/>
      <c r="B613" s="835"/>
      <c r="C613" s="835"/>
      <c r="D613" s="835"/>
      <c r="E613" s="835"/>
    </row>
    <row r="614" spans="1:5" ht="15.75" x14ac:dyDescent="0.25">
      <c r="A614" s="834"/>
      <c r="B614" s="835"/>
      <c r="C614" s="835"/>
      <c r="D614" s="835"/>
      <c r="E614" s="835"/>
    </row>
    <row r="615" spans="1:5" ht="15.75" x14ac:dyDescent="0.25">
      <c r="A615" s="834"/>
      <c r="B615" s="835"/>
      <c r="C615" s="835"/>
      <c r="D615" s="835"/>
      <c r="E615" s="835"/>
    </row>
    <row r="616" spans="1:5" ht="15.75" x14ac:dyDescent="0.25">
      <c r="A616" s="834"/>
      <c r="B616" s="835"/>
      <c r="C616" s="835"/>
      <c r="D616" s="835"/>
      <c r="E616" s="835"/>
    </row>
    <row r="617" spans="1:5" ht="15.75" x14ac:dyDescent="0.25">
      <c r="A617" s="834"/>
      <c r="B617" s="835"/>
      <c r="C617" s="835"/>
      <c r="D617" s="835"/>
      <c r="E617" s="835"/>
    </row>
    <row r="618" spans="1:5" ht="15.75" x14ac:dyDescent="0.25">
      <c r="A618" s="834"/>
      <c r="B618" s="835"/>
      <c r="C618" s="835"/>
      <c r="D618" s="835"/>
      <c r="E618" s="835"/>
    </row>
    <row r="619" spans="1:5" ht="15.75" x14ac:dyDescent="0.25">
      <c r="A619" s="834"/>
      <c r="B619" s="835"/>
      <c r="C619" s="835"/>
      <c r="D619" s="835"/>
      <c r="E619" s="835"/>
    </row>
    <row r="620" spans="1:5" ht="15.75" x14ac:dyDescent="0.25">
      <c r="A620" s="834"/>
      <c r="B620" s="835"/>
      <c r="C620" s="835"/>
      <c r="D620" s="835"/>
      <c r="E620" s="835"/>
    </row>
    <row r="621" spans="1:5" ht="15.75" x14ac:dyDescent="0.25">
      <c r="A621" s="834"/>
      <c r="B621" s="835"/>
      <c r="C621" s="835"/>
      <c r="D621" s="835"/>
      <c r="E621" s="835"/>
    </row>
    <row r="622" spans="1:5" ht="15.75" x14ac:dyDescent="0.25">
      <c r="A622" s="834"/>
      <c r="B622" s="835"/>
      <c r="C622" s="835"/>
      <c r="D622" s="835"/>
      <c r="E622" s="835"/>
    </row>
    <row r="623" spans="1:5" ht="15.75" x14ac:dyDescent="0.25">
      <c r="A623" s="834"/>
      <c r="B623" s="835"/>
      <c r="C623" s="835"/>
      <c r="D623" s="835"/>
      <c r="E623" s="835"/>
    </row>
    <row r="624" spans="1:5" ht="15.75" x14ac:dyDescent="0.25">
      <c r="A624" s="834"/>
      <c r="B624" s="835"/>
      <c r="C624" s="835"/>
      <c r="D624" s="835"/>
      <c r="E624" s="835"/>
    </row>
    <row r="625" spans="1:5" ht="15.75" x14ac:dyDescent="0.25">
      <c r="A625" s="834"/>
      <c r="B625" s="835"/>
      <c r="C625" s="835"/>
      <c r="D625" s="835"/>
      <c r="E625" s="835"/>
    </row>
    <row r="626" spans="1:5" ht="15.75" x14ac:dyDescent="0.25">
      <c r="A626" s="834"/>
      <c r="B626" s="835"/>
      <c r="C626" s="835"/>
      <c r="D626" s="835"/>
      <c r="E626" s="835"/>
    </row>
    <row r="627" spans="1:5" ht="15.75" x14ac:dyDescent="0.25">
      <c r="A627" s="834"/>
      <c r="B627" s="835"/>
      <c r="C627" s="835"/>
      <c r="D627" s="835"/>
      <c r="E627" s="835"/>
    </row>
    <row r="628" spans="1:5" ht="15.75" x14ac:dyDescent="0.25">
      <c r="A628" s="834"/>
      <c r="B628" s="835"/>
      <c r="C628" s="835"/>
      <c r="D628" s="835"/>
      <c r="E628" s="835"/>
    </row>
    <row r="629" spans="1:5" ht="15.75" x14ac:dyDescent="0.25">
      <c r="A629" s="834"/>
      <c r="B629" s="835"/>
      <c r="C629" s="835"/>
      <c r="D629" s="835"/>
      <c r="E629" s="835"/>
    </row>
    <row r="630" spans="1:5" ht="15.75" x14ac:dyDescent="0.25">
      <c r="A630" s="834"/>
      <c r="B630" s="835"/>
      <c r="C630" s="835"/>
      <c r="D630" s="835"/>
      <c r="E630" s="835"/>
    </row>
    <row r="631" spans="1:5" ht="15.75" x14ac:dyDescent="0.25">
      <c r="A631" s="834"/>
      <c r="B631" s="835"/>
      <c r="C631" s="835"/>
      <c r="D631" s="835"/>
      <c r="E631" s="835"/>
    </row>
    <row r="632" spans="1:5" ht="15.75" x14ac:dyDescent="0.25">
      <c r="A632" s="834"/>
      <c r="B632" s="835"/>
      <c r="C632" s="835"/>
      <c r="D632" s="835"/>
      <c r="E632" s="835"/>
    </row>
    <row r="633" spans="1:5" ht="15.75" x14ac:dyDescent="0.25">
      <c r="A633" s="834"/>
      <c r="B633" s="835"/>
      <c r="C633" s="835"/>
      <c r="D633" s="835"/>
      <c r="E633" s="835"/>
    </row>
    <row r="634" spans="1:5" ht="15.75" x14ac:dyDescent="0.25">
      <c r="A634" s="834"/>
      <c r="B634" s="835"/>
      <c r="C634" s="835"/>
      <c r="D634" s="835"/>
      <c r="E634" s="835"/>
    </row>
    <row r="635" spans="1:5" ht="15.75" x14ac:dyDescent="0.25">
      <c r="A635" s="834"/>
      <c r="B635" s="835"/>
      <c r="C635" s="835"/>
      <c r="D635" s="835"/>
      <c r="E635" s="835"/>
    </row>
    <row r="636" spans="1:5" ht="15.75" x14ac:dyDescent="0.25">
      <c r="A636" s="834"/>
      <c r="B636" s="835"/>
      <c r="C636" s="835"/>
      <c r="D636" s="835"/>
      <c r="E636" s="835"/>
    </row>
    <row r="637" spans="1:5" ht="15.75" x14ac:dyDescent="0.25">
      <c r="A637" s="834"/>
      <c r="B637" s="835"/>
      <c r="C637" s="835"/>
      <c r="D637" s="835"/>
      <c r="E637" s="835"/>
    </row>
    <row r="638" spans="1:5" ht="15.75" x14ac:dyDescent="0.25">
      <c r="A638" s="834"/>
      <c r="B638" s="835"/>
      <c r="C638" s="835"/>
      <c r="D638" s="835"/>
      <c r="E638" s="835"/>
    </row>
    <row r="639" spans="1:5" ht="15.75" x14ac:dyDescent="0.25">
      <c r="A639" s="834"/>
      <c r="B639" s="835"/>
      <c r="C639" s="835"/>
      <c r="D639" s="835"/>
      <c r="E639" s="835"/>
    </row>
    <row r="640" spans="1:5" ht="15.75" x14ac:dyDescent="0.25">
      <c r="A640" s="834"/>
      <c r="B640" s="835"/>
      <c r="C640" s="835"/>
      <c r="D640" s="835"/>
      <c r="E640" s="835"/>
    </row>
    <row r="641" spans="1:5" ht="15.75" x14ac:dyDescent="0.25">
      <c r="A641" s="834"/>
      <c r="B641" s="835"/>
      <c r="C641" s="835"/>
      <c r="D641" s="835"/>
      <c r="E641" s="835"/>
    </row>
    <row r="642" spans="1:5" ht="15.75" x14ac:dyDescent="0.25">
      <c r="A642" s="834"/>
      <c r="B642" s="835"/>
      <c r="C642" s="835"/>
      <c r="D642" s="835"/>
      <c r="E642" s="835"/>
    </row>
    <row r="643" spans="1:5" ht="15.75" x14ac:dyDescent="0.25">
      <c r="A643" s="834"/>
      <c r="B643" s="835"/>
      <c r="C643" s="835"/>
      <c r="D643" s="835"/>
      <c r="E643" s="835"/>
    </row>
    <row r="644" spans="1:5" ht="15.75" x14ac:dyDescent="0.25">
      <c r="A644" s="834"/>
      <c r="B644" s="835"/>
      <c r="C644" s="835"/>
      <c r="D644" s="835"/>
      <c r="E644" s="835"/>
    </row>
    <row r="645" spans="1:5" ht="15.75" x14ac:dyDescent="0.25">
      <c r="A645" s="834"/>
      <c r="B645" s="835"/>
      <c r="C645" s="835"/>
      <c r="D645" s="835"/>
      <c r="E645" s="835"/>
    </row>
    <row r="646" spans="1:5" ht="15.75" x14ac:dyDescent="0.25">
      <c r="A646" s="834"/>
      <c r="B646" s="835"/>
      <c r="C646" s="835"/>
      <c r="D646" s="835"/>
      <c r="E646" s="835"/>
    </row>
    <row r="647" spans="1:5" ht="15.75" x14ac:dyDescent="0.25">
      <c r="A647" s="834"/>
      <c r="B647" s="835"/>
      <c r="C647" s="835"/>
      <c r="D647" s="835"/>
      <c r="E647" s="835"/>
    </row>
    <row r="648" spans="1:5" ht="15.75" x14ac:dyDescent="0.25">
      <c r="A648" s="834"/>
      <c r="B648" s="835"/>
      <c r="C648" s="835"/>
      <c r="D648" s="835"/>
      <c r="E648" s="835"/>
    </row>
    <row r="649" spans="1:5" ht="15.75" x14ac:dyDescent="0.25">
      <c r="A649" s="834"/>
      <c r="B649" s="835"/>
      <c r="C649" s="835"/>
      <c r="D649" s="835"/>
      <c r="E649" s="835"/>
    </row>
    <row r="650" spans="1:5" ht="15.75" x14ac:dyDescent="0.25">
      <c r="A650" s="834"/>
      <c r="B650" s="835"/>
      <c r="C650" s="835"/>
      <c r="D650" s="835"/>
      <c r="E650" s="835"/>
    </row>
    <row r="651" spans="1:5" ht="15.75" x14ac:dyDescent="0.25">
      <c r="A651" s="834"/>
      <c r="B651" s="835"/>
      <c r="C651" s="835"/>
      <c r="D651" s="835"/>
      <c r="E651" s="835"/>
    </row>
    <row r="652" spans="1:5" ht="15.75" x14ac:dyDescent="0.25">
      <c r="A652" s="834"/>
      <c r="B652" s="835"/>
      <c r="C652" s="835"/>
      <c r="D652" s="835"/>
      <c r="E652" s="835"/>
    </row>
    <row r="653" spans="1:5" ht="15.75" x14ac:dyDescent="0.25">
      <c r="A653" s="834"/>
      <c r="B653" s="835"/>
      <c r="C653" s="835"/>
      <c r="D653" s="835"/>
      <c r="E653" s="835"/>
    </row>
    <row r="654" spans="1:5" ht="15.75" x14ac:dyDescent="0.25">
      <c r="A654" s="834"/>
      <c r="B654" s="835"/>
      <c r="C654" s="835"/>
      <c r="D654" s="835"/>
      <c r="E654" s="835"/>
    </row>
    <row r="655" spans="1:5" ht="15.75" x14ac:dyDescent="0.25">
      <c r="A655" s="834"/>
      <c r="B655" s="835"/>
      <c r="C655" s="835"/>
      <c r="D655" s="835"/>
      <c r="E655" s="835"/>
    </row>
    <row r="656" spans="1:5" ht="15.75" x14ac:dyDescent="0.25">
      <c r="A656" s="834"/>
      <c r="B656" s="835"/>
      <c r="C656" s="835"/>
      <c r="D656" s="835"/>
      <c r="E656" s="835"/>
    </row>
    <row r="657" spans="1:5" ht="15.75" x14ac:dyDescent="0.25">
      <c r="A657" s="834"/>
      <c r="B657" s="835"/>
      <c r="C657" s="835"/>
      <c r="D657" s="835"/>
      <c r="E657" s="835"/>
    </row>
    <row r="658" spans="1:5" ht="15.75" x14ac:dyDescent="0.25">
      <c r="A658" s="834"/>
      <c r="B658" s="835"/>
      <c r="C658" s="835"/>
      <c r="D658" s="835"/>
      <c r="E658" s="835"/>
    </row>
    <row r="659" spans="1:5" ht="15.75" x14ac:dyDescent="0.25">
      <c r="A659" s="834"/>
      <c r="B659" s="835"/>
      <c r="C659" s="835"/>
      <c r="D659" s="835"/>
      <c r="E659" s="835"/>
    </row>
    <row r="660" spans="1:5" ht="15.75" x14ac:dyDescent="0.25">
      <c r="A660" s="834"/>
      <c r="B660" s="835"/>
      <c r="C660" s="835"/>
      <c r="D660" s="835"/>
      <c r="E660" s="835"/>
    </row>
    <row r="661" spans="1:5" ht="15.75" x14ac:dyDescent="0.25">
      <c r="A661" s="834"/>
      <c r="B661" s="835"/>
      <c r="C661" s="835"/>
      <c r="D661" s="835"/>
      <c r="E661" s="835"/>
    </row>
    <row r="662" spans="1:5" ht="15.75" x14ac:dyDescent="0.25">
      <c r="A662" s="834"/>
      <c r="B662" s="835"/>
      <c r="C662" s="835"/>
      <c r="D662" s="835"/>
      <c r="E662" s="835"/>
    </row>
    <row r="663" spans="1:5" ht="15.75" x14ac:dyDescent="0.25">
      <c r="A663" s="834"/>
      <c r="B663" s="835"/>
      <c r="C663" s="835"/>
      <c r="D663" s="835"/>
      <c r="E663" s="835"/>
    </row>
    <row r="664" spans="1:5" ht="15.75" x14ac:dyDescent="0.25">
      <c r="A664" s="834"/>
      <c r="B664" s="835"/>
      <c r="C664" s="835"/>
      <c r="D664" s="835"/>
      <c r="E664" s="835"/>
    </row>
    <row r="665" spans="1:5" ht="15.75" x14ac:dyDescent="0.25">
      <c r="A665" s="834"/>
      <c r="B665" s="835"/>
      <c r="C665" s="835"/>
      <c r="D665" s="835"/>
      <c r="E665" s="835"/>
    </row>
    <row r="666" spans="1:5" ht="15.75" x14ac:dyDescent="0.25">
      <c r="A666" s="834"/>
      <c r="B666" s="835"/>
      <c r="C666" s="835"/>
      <c r="D666" s="835"/>
      <c r="E666" s="835"/>
    </row>
    <row r="667" spans="1:5" ht="15.75" x14ac:dyDescent="0.25">
      <c r="A667" s="834"/>
      <c r="B667" s="835"/>
      <c r="C667" s="835"/>
      <c r="D667" s="835"/>
      <c r="E667" s="835"/>
    </row>
    <row r="668" spans="1:5" ht="15.75" x14ac:dyDescent="0.25">
      <c r="A668" s="834"/>
      <c r="B668" s="835"/>
      <c r="C668" s="835"/>
      <c r="D668" s="835"/>
      <c r="E668" s="835"/>
    </row>
    <row r="669" spans="1:5" ht="15.75" x14ac:dyDescent="0.25">
      <c r="A669" s="834"/>
      <c r="B669" s="835"/>
      <c r="C669" s="835"/>
      <c r="D669" s="835"/>
      <c r="E669" s="835"/>
    </row>
    <row r="670" spans="1:5" ht="15.75" x14ac:dyDescent="0.25">
      <c r="A670" s="834"/>
      <c r="B670" s="835"/>
      <c r="C670" s="835"/>
      <c r="D670" s="835"/>
      <c r="E670" s="835"/>
    </row>
    <row r="671" spans="1:5" ht="15.75" x14ac:dyDescent="0.25">
      <c r="A671" s="834"/>
      <c r="B671" s="835"/>
      <c r="C671" s="835"/>
      <c r="D671" s="835"/>
      <c r="E671" s="835"/>
    </row>
    <row r="672" spans="1:5" ht="15.75" x14ac:dyDescent="0.25">
      <c r="A672" s="834"/>
      <c r="B672" s="835"/>
      <c r="C672" s="835"/>
      <c r="D672" s="835"/>
      <c r="E672" s="835"/>
    </row>
    <row r="673" spans="1:5" ht="15.75" x14ac:dyDescent="0.25">
      <c r="A673" s="834"/>
      <c r="B673" s="835"/>
      <c r="C673" s="835"/>
      <c r="D673" s="835"/>
      <c r="E673" s="835"/>
    </row>
    <row r="674" spans="1:5" ht="15.75" x14ac:dyDescent="0.25">
      <c r="A674" s="834"/>
      <c r="B674" s="835"/>
      <c r="C674" s="835"/>
      <c r="D674" s="835"/>
      <c r="E674" s="835"/>
    </row>
    <row r="675" spans="1:5" ht="15.75" x14ac:dyDescent="0.25">
      <c r="A675" s="834"/>
      <c r="B675" s="835"/>
      <c r="C675" s="835"/>
      <c r="D675" s="835"/>
      <c r="E675" s="835"/>
    </row>
    <row r="676" spans="1:5" ht="15.75" x14ac:dyDescent="0.25">
      <c r="A676" s="834"/>
      <c r="B676" s="835"/>
      <c r="C676" s="835"/>
      <c r="D676" s="835"/>
      <c r="E676" s="835"/>
    </row>
    <row r="677" spans="1:5" ht="15.75" x14ac:dyDescent="0.25">
      <c r="A677" s="834"/>
      <c r="B677" s="835"/>
      <c r="C677" s="835"/>
      <c r="D677" s="835"/>
      <c r="E677" s="835"/>
    </row>
    <row r="678" spans="1:5" ht="15.75" x14ac:dyDescent="0.25">
      <c r="A678" s="834"/>
      <c r="B678" s="835"/>
      <c r="C678" s="835"/>
      <c r="D678" s="835"/>
      <c r="E678" s="835"/>
    </row>
    <row r="679" spans="1:5" ht="15.75" x14ac:dyDescent="0.25">
      <c r="A679" s="834"/>
      <c r="B679" s="835"/>
      <c r="C679" s="835"/>
      <c r="D679" s="835"/>
      <c r="E679" s="835"/>
    </row>
    <row r="680" spans="1:5" ht="15.75" x14ac:dyDescent="0.25">
      <c r="A680" s="834"/>
      <c r="B680" s="835"/>
      <c r="C680" s="835"/>
      <c r="D680" s="835"/>
      <c r="E680" s="835"/>
    </row>
    <row r="681" spans="1:5" ht="15.75" x14ac:dyDescent="0.25">
      <c r="A681" s="834"/>
      <c r="B681" s="835"/>
      <c r="C681" s="835"/>
      <c r="D681" s="835"/>
      <c r="E681" s="835"/>
    </row>
    <row r="682" spans="1:5" ht="15.75" x14ac:dyDescent="0.25">
      <c r="A682" s="834"/>
      <c r="B682" s="835"/>
      <c r="C682" s="835"/>
      <c r="D682" s="835"/>
      <c r="E682" s="835"/>
    </row>
    <row r="683" spans="1:5" ht="15.75" x14ac:dyDescent="0.25">
      <c r="A683" s="834"/>
      <c r="B683" s="835"/>
      <c r="C683" s="835"/>
      <c r="D683" s="835"/>
      <c r="E683" s="835"/>
    </row>
    <row r="684" spans="1:5" ht="15.75" x14ac:dyDescent="0.25">
      <c r="A684" s="834"/>
      <c r="B684" s="835"/>
      <c r="C684" s="835"/>
      <c r="D684" s="835"/>
      <c r="E684" s="835"/>
    </row>
    <row r="685" spans="1:5" ht="15.75" x14ac:dyDescent="0.25">
      <c r="A685" s="834"/>
      <c r="B685" s="835"/>
      <c r="C685" s="835"/>
      <c r="D685" s="835"/>
      <c r="E685" s="835"/>
    </row>
    <row r="686" spans="1:5" ht="15.75" x14ac:dyDescent="0.25">
      <c r="A686" s="834"/>
      <c r="B686" s="835"/>
      <c r="C686" s="835"/>
      <c r="D686" s="835"/>
      <c r="E686" s="835"/>
    </row>
    <row r="687" spans="1:5" ht="15.75" x14ac:dyDescent="0.25">
      <c r="A687" s="834"/>
      <c r="B687" s="835"/>
      <c r="C687" s="835"/>
      <c r="D687" s="835"/>
      <c r="E687" s="835"/>
    </row>
    <row r="688" spans="1:5" ht="15.75" x14ac:dyDescent="0.25">
      <c r="A688" s="834"/>
      <c r="B688" s="835"/>
      <c r="C688" s="835"/>
      <c r="D688" s="835"/>
      <c r="E688" s="835"/>
    </row>
    <row r="689" spans="1:5" ht="15.75" x14ac:dyDescent="0.25">
      <c r="A689" s="834"/>
      <c r="B689" s="835"/>
      <c r="C689" s="835"/>
      <c r="D689" s="835"/>
      <c r="E689" s="835"/>
    </row>
    <row r="690" spans="1:5" ht="15.75" x14ac:dyDescent="0.25">
      <c r="A690" s="834"/>
      <c r="B690" s="835"/>
      <c r="C690" s="835"/>
      <c r="D690" s="835"/>
      <c r="E690" s="835"/>
    </row>
    <row r="691" spans="1:5" ht="15.75" x14ac:dyDescent="0.25">
      <c r="A691" s="834"/>
      <c r="B691" s="835"/>
      <c r="C691" s="835"/>
      <c r="D691" s="835"/>
      <c r="E691" s="835"/>
    </row>
    <row r="692" spans="1:5" ht="15.75" x14ac:dyDescent="0.25">
      <c r="A692" s="834"/>
      <c r="B692" s="835"/>
      <c r="C692" s="835"/>
      <c r="D692" s="835"/>
      <c r="E692" s="835"/>
    </row>
    <row r="693" spans="1:5" ht="15.75" x14ac:dyDescent="0.25">
      <c r="A693" s="834"/>
      <c r="B693" s="835"/>
      <c r="C693" s="835"/>
      <c r="D693" s="835"/>
      <c r="E693" s="835"/>
    </row>
    <row r="694" spans="1:5" ht="15.75" x14ac:dyDescent="0.25">
      <c r="A694" s="834"/>
      <c r="B694" s="835"/>
      <c r="C694" s="835"/>
      <c r="D694" s="835"/>
      <c r="E694" s="835"/>
    </row>
    <row r="695" spans="1:5" ht="15.75" x14ac:dyDescent="0.25">
      <c r="A695" s="834"/>
      <c r="B695" s="835"/>
      <c r="C695" s="835"/>
      <c r="D695" s="835"/>
      <c r="E695" s="835"/>
    </row>
    <row r="696" spans="1:5" ht="15.75" x14ac:dyDescent="0.25">
      <c r="A696" s="834"/>
      <c r="B696" s="835"/>
      <c r="C696" s="835"/>
      <c r="D696" s="835"/>
      <c r="E696" s="835"/>
    </row>
    <row r="697" spans="1:5" ht="15.75" x14ac:dyDescent="0.25">
      <c r="A697" s="834"/>
      <c r="B697" s="835"/>
      <c r="C697" s="835"/>
      <c r="D697" s="835"/>
      <c r="E697" s="835"/>
    </row>
    <row r="698" spans="1:5" ht="15.75" x14ac:dyDescent="0.25">
      <c r="A698" s="834"/>
      <c r="B698" s="835"/>
      <c r="C698" s="835"/>
      <c r="D698" s="835"/>
      <c r="E698" s="835"/>
    </row>
    <row r="699" spans="1:5" ht="15.75" x14ac:dyDescent="0.25">
      <c r="A699" s="834"/>
      <c r="B699" s="835"/>
      <c r="C699" s="835"/>
      <c r="D699" s="835"/>
      <c r="E699" s="835"/>
    </row>
    <row r="700" spans="1:5" ht="15.75" x14ac:dyDescent="0.25">
      <c r="A700" s="834"/>
      <c r="B700" s="835"/>
      <c r="C700" s="835"/>
      <c r="D700" s="835"/>
      <c r="E700" s="835"/>
    </row>
    <row r="701" spans="1:5" ht="15.75" x14ac:dyDescent="0.25">
      <c r="A701" s="834"/>
      <c r="B701" s="835"/>
      <c r="C701" s="835"/>
      <c r="D701" s="835"/>
      <c r="E701" s="835"/>
    </row>
    <row r="702" spans="1:5" ht="15.75" x14ac:dyDescent="0.25">
      <c r="A702" s="834"/>
      <c r="B702" s="835"/>
      <c r="C702" s="835"/>
      <c r="D702" s="835"/>
      <c r="E702" s="835"/>
    </row>
    <row r="703" spans="1:5" ht="15.75" x14ac:dyDescent="0.25">
      <c r="A703" s="834"/>
      <c r="B703" s="835"/>
      <c r="C703" s="835"/>
      <c r="D703" s="835"/>
      <c r="E703" s="835"/>
    </row>
    <row r="704" spans="1:5" ht="15.75" x14ac:dyDescent="0.25">
      <c r="A704" s="834"/>
      <c r="B704" s="835"/>
      <c r="C704" s="835"/>
      <c r="D704" s="835"/>
      <c r="E704" s="835"/>
    </row>
    <row r="705" spans="1:5" ht="15.75" x14ac:dyDescent="0.25">
      <c r="A705" s="834"/>
      <c r="B705" s="835"/>
      <c r="C705" s="835"/>
      <c r="D705" s="835"/>
      <c r="E705" s="835"/>
    </row>
    <row r="706" spans="1:5" ht="15.75" x14ac:dyDescent="0.25">
      <c r="A706" s="834"/>
      <c r="B706" s="835"/>
      <c r="C706" s="835"/>
      <c r="D706" s="835"/>
      <c r="E706" s="835"/>
    </row>
    <row r="707" spans="1:5" ht="15.75" x14ac:dyDescent="0.25">
      <c r="A707" s="834"/>
      <c r="B707" s="835"/>
      <c r="C707" s="835"/>
      <c r="D707" s="835"/>
      <c r="E707" s="835"/>
    </row>
    <row r="708" spans="1:5" ht="15.75" x14ac:dyDescent="0.25">
      <c r="A708" s="834"/>
      <c r="B708" s="835"/>
      <c r="C708" s="835"/>
      <c r="D708" s="835"/>
      <c r="E708" s="835"/>
    </row>
    <row r="709" spans="1:5" ht="15.75" x14ac:dyDescent="0.25">
      <c r="A709" s="834"/>
      <c r="B709" s="835"/>
      <c r="C709" s="835"/>
      <c r="D709" s="835"/>
      <c r="E709" s="835"/>
    </row>
    <row r="710" spans="1:5" ht="15.75" x14ac:dyDescent="0.25">
      <c r="A710" s="834"/>
      <c r="B710" s="835"/>
      <c r="C710" s="835"/>
      <c r="D710" s="835"/>
      <c r="E710" s="835"/>
    </row>
    <row r="711" spans="1:5" ht="15.75" x14ac:dyDescent="0.25">
      <c r="A711" s="834"/>
      <c r="B711" s="835"/>
      <c r="C711" s="835"/>
      <c r="D711" s="835"/>
      <c r="E711" s="835"/>
    </row>
    <row r="712" spans="1:5" ht="15.75" x14ac:dyDescent="0.25">
      <c r="A712" s="834"/>
      <c r="B712" s="835"/>
      <c r="C712" s="835"/>
      <c r="D712" s="835"/>
      <c r="E712" s="835"/>
    </row>
    <row r="713" spans="1:5" ht="15.75" x14ac:dyDescent="0.25">
      <c r="A713" s="834"/>
      <c r="B713" s="835"/>
      <c r="C713" s="835"/>
      <c r="D713" s="835"/>
      <c r="E713" s="835"/>
    </row>
    <row r="714" spans="1:5" ht="15.75" x14ac:dyDescent="0.25">
      <c r="A714" s="834"/>
      <c r="B714" s="835"/>
      <c r="C714" s="835"/>
      <c r="D714" s="835"/>
      <c r="E714" s="835"/>
    </row>
    <row r="715" spans="1:5" ht="15.75" x14ac:dyDescent="0.25">
      <c r="A715" s="834"/>
      <c r="B715" s="835"/>
      <c r="C715" s="835"/>
      <c r="D715" s="835"/>
      <c r="E715" s="835"/>
    </row>
    <row r="716" spans="1:5" ht="15.75" x14ac:dyDescent="0.25">
      <c r="A716" s="834"/>
      <c r="B716" s="835"/>
      <c r="C716" s="835"/>
      <c r="D716" s="835"/>
      <c r="E716" s="835"/>
    </row>
    <row r="717" spans="1:5" ht="15.75" x14ac:dyDescent="0.25">
      <c r="A717" s="834"/>
      <c r="B717" s="835"/>
      <c r="C717" s="835"/>
      <c r="D717" s="835"/>
      <c r="E717" s="835"/>
    </row>
    <row r="718" spans="1:5" ht="15.75" x14ac:dyDescent="0.25">
      <c r="A718" s="834"/>
      <c r="B718" s="835"/>
      <c r="C718" s="835"/>
      <c r="D718" s="835"/>
      <c r="E718" s="835"/>
    </row>
    <row r="719" spans="1:5" ht="15.75" x14ac:dyDescent="0.25">
      <c r="A719" s="834"/>
      <c r="B719" s="835"/>
      <c r="C719" s="835"/>
      <c r="D719" s="835"/>
      <c r="E719" s="835"/>
    </row>
    <row r="720" spans="1:5" ht="15.75" x14ac:dyDescent="0.25">
      <c r="A720" s="834"/>
      <c r="B720" s="835"/>
      <c r="C720" s="835"/>
      <c r="D720" s="835"/>
      <c r="E720" s="835"/>
    </row>
    <row r="721" spans="1:5" ht="15.75" x14ac:dyDescent="0.25">
      <c r="A721" s="834"/>
      <c r="B721" s="835"/>
      <c r="C721" s="835"/>
      <c r="D721" s="835"/>
      <c r="E721" s="835"/>
    </row>
    <row r="722" spans="1:5" ht="15.75" x14ac:dyDescent="0.25">
      <c r="A722" s="834"/>
      <c r="B722" s="835"/>
      <c r="C722" s="835"/>
      <c r="D722" s="835"/>
      <c r="E722" s="835"/>
    </row>
    <row r="723" spans="1:5" ht="15.75" x14ac:dyDescent="0.25">
      <c r="A723" s="834"/>
      <c r="B723" s="835"/>
      <c r="C723" s="835"/>
      <c r="D723" s="835"/>
      <c r="E723" s="835"/>
    </row>
    <row r="724" spans="1:5" ht="15.75" x14ac:dyDescent="0.25">
      <c r="A724" s="834"/>
      <c r="B724" s="835"/>
      <c r="C724" s="835"/>
      <c r="D724" s="835"/>
      <c r="E724" s="835"/>
    </row>
    <row r="725" spans="1:5" ht="15.75" x14ac:dyDescent="0.25">
      <c r="A725" s="834"/>
      <c r="B725" s="835"/>
      <c r="C725" s="835"/>
      <c r="D725" s="835"/>
      <c r="E725" s="835"/>
    </row>
    <row r="726" spans="1:5" ht="15.75" x14ac:dyDescent="0.25">
      <c r="A726" s="834"/>
      <c r="B726" s="835"/>
      <c r="C726" s="835"/>
      <c r="D726" s="835"/>
      <c r="E726" s="835"/>
    </row>
    <row r="727" spans="1:5" ht="15.75" x14ac:dyDescent="0.25">
      <c r="A727" s="834"/>
      <c r="B727" s="835"/>
      <c r="C727" s="835"/>
      <c r="D727" s="835"/>
      <c r="E727" s="835"/>
    </row>
    <row r="728" spans="1:5" ht="15.75" x14ac:dyDescent="0.25">
      <c r="A728" s="834"/>
      <c r="B728" s="835"/>
      <c r="C728" s="835"/>
      <c r="D728" s="835"/>
      <c r="E728" s="835"/>
    </row>
    <row r="729" spans="1:5" ht="15.75" x14ac:dyDescent="0.25">
      <c r="A729" s="834"/>
      <c r="B729" s="835"/>
      <c r="C729" s="835"/>
      <c r="D729" s="835"/>
      <c r="E729" s="835"/>
    </row>
    <row r="730" spans="1:5" ht="15.75" x14ac:dyDescent="0.25">
      <c r="A730" s="834"/>
      <c r="B730" s="835"/>
      <c r="C730" s="835"/>
      <c r="D730" s="835"/>
      <c r="E730" s="835"/>
    </row>
    <row r="731" spans="1:5" ht="15.75" x14ac:dyDescent="0.25">
      <c r="A731" s="834"/>
      <c r="B731" s="835"/>
      <c r="C731" s="835"/>
      <c r="D731" s="835"/>
      <c r="E731" s="835"/>
    </row>
    <row r="732" spans="1:5" ht="15.75" x14ac:dyDescent="0.25">
      <c r="A732" s="834"/>
      <c r="B732" s="835"/>
      <c r="C732" s="835"/>
      <c r="D732" s="835"/>
      <c r="E732" s="835"/>
    </row>
    <row r="733" spans="1:5" ht="15.75" x14ac:dyDescent="0.25">
      <c r="A733" s="834"/>
      <c r="B733" s="835"/>
      <c r="C733" s="835"/>
      <c r="D733" s="835"/>
      <c r="E733" s="835"/>
    </row>
    <row r="734" spans="1:5" ht="15.75" x14ac:dyDescent="0.25">
      <c r="A734" s="834"/>
      <c r="B734" s="835"/>
      <c r="C734" s="835"/>
      <c r="D734" s="835"/>
      <c r="E734" s="835"/>
    </row>
    <row r="735" spans="1:5" ht="15.75" x14ac:dyDescent="0.25">
      <c r="A735" s="834"/>
      <c r="B735" s="835"/>
      <c r="C735" s="835"/>
      <c r="D735" s="835"/>
      <c r="E735" s="835"/>
    </row>
    <row r="736" spans="1:5" ht="15.75" x14ac:dyDescent="0.25">
      <c r="A736" s="834"/>
      <c r="B736" s="835"/>
      <c r="C736" s="835"/>
      <c r="D736" s="835"/>
      <c r="E736" s="835"/>
    </row>
    <row r="737" spans="1:5" ht="15.75" x14ac:dyDescent="0.25">
      <c r="A737" s="834"/>
      <c r="B737" s="835"/>
      <c r="C737" s="835"/>
      <c r="D737" s="835"/>
      <c r="E737" s="835"/>
    </row>
    <row r="738" spans="1:5" ht="15.75" x14ac:dyDescent="0.25">
      <c r="A738" s="834"/>
      <c r="B738" s="835"/>
      <c r="C738" s="835"/>
      <c r="D738" s="835"/>
      <c r="E738" s="835"/>
    </row>
    <row r="739" spans="1:5" ht="15.75" x14ac:dyDescent="0.25">
      <c r="A739" s="834"/>
      <c r="B739" s="835"/>
      <c r="C739" s="835"/>
      <c r="D739" s="835"/>
      <c r="E739" s="835"/>
    </row>
    <row r="740" spans="1:5" ht="15.75" x14ac:dyDescent="0.25">
      <c r="A740" s="834"/>
      <c r="B740" s="835"/>
      <c r="C740" s="835"/>
      <c r="D740" s="835"/>
      <c r="E740" s="835"/>
    </row>
    <row r="741" spans="1:5" ht="15.75" x14ac:dyDescent="0.25">
      <c r="A741" s="834"/>
      <c r="B741" s="835"/>
      <c r="C741" s="835"/>
      <c r="D741" s="835"/>
      <c r="E741" s="835"/>
    </row>
    <row r="742" spans="1:5" ht="15.75" x14ac:dyDescent="0.25">
      <c r="A742" s="834"/>
      <c r="B742" s="835"/>
      <c r="C742" s="835"/>
      <c r="D742" s="835"/>
      <c r="E742" s="835"/>
    </row>
    <row r="743" spans="1:5" ht="15.75" x14ac:dyDescent="0.25">
      <c r="A743" s="834"/>
      <c r="B743" s="835"/>
      <c r="C743" s="835"/>
      <c r="D743" s="835"/>
      <c r="E743" s="835"/>
    </row>
    <row r="744" spans="1:5" ht="15.75" x14ac:dyDescent="0.25">
      <c r="A744" s="834"/>
      <c r="B744" s="835"/>
      <c r="C744" s="835"/>
      <c r="D744" s="835"/>
      <c r="E744" s="835"/>
    </row>
    <row r="745" spans="1:5" ht="15.75" x14ac:dyDescent="0.25">
      <c r="A745" s="834"/>
      <c r="B745" s="835"/>
      <c r="C745" s="835"/>
      <c r="D745" s="835"/>
      <c r="E745" s="835"/>
    </row>
    <row r="746" spans="1:5" ht="15.75" x14ac:dyDescent="0.25">
      <c r="A746" s="834"/>
      <c r="B746" s="835"/>
      <c r="C746" s="835"/>
      <c r="D746" s="835"/>
      <c r="E746" s="835"/>
    </row>
    <row r="747" spans="1:5" ht="15.75" x14ac:dyDescent="0.25">
      <c r="A747" s="834"/>
      <c r="B747" s="835"/>
      <c r="C747" s="835"/>
      <c r="D747" s="835"/>
      <c r="E747" s="835"/>
    </row>
    <row r="748" spans="1:5" ht="15.75" x14ac:dyDescent="0.25">
      <c r="A748" s="834"/>
      <c r="B748" s="835"/>
      <c r="C748" s="835"/>
      <c r="D748" s="835"/>
      <c r="E748" s="835"/>
    </row>
    <row r="749" spans="1:5" ht="15.75" x14ac:dyDescent="0.25">
      <c r="A749" s="834"/>
      <c r="B749" s="835"/>
      <c r="C749" s="835"/>
      <c r="D749" s="835"/>
      <c r="E749" s="835"/>
    </row>
    <row r="750" spans="1:5" ht="15.75" x14ac:dyDescent="0.25">
      <c r="A750" s="834"/>
      <c r="B750" s="835"/>
      <c r="C750" s="835"/>
      <c r="D750" s="835"/>
      <c r="E750" s="835"/>
    </row>
    <row r="751" spans="1:5" ht="15.75" x14ac:dyDescent="0.25">
      <c r="A751" s="834"/>
      <c r="B751" s="835"/>
      <c r="C751" s="835"/>
      <c r="D751" s="835"/>
      <c r="E751" s="835"/>
    </row>
    <row r="752" spans="1:5" ht="15.75" x14ac:dyDescent="0.25">
      <c r="A752" s="834"/>
      <c r="B752" s="835"/>
      <c r="C752" s="835"/>
      <c r="D752" s="835"/>
      <c r="E752" s="835"/>
    </row>
    <row r="753" spans="1:5" ht="15.75" x14ac:dyDescent="0.25">
      <c r="A753" s="834"/>
      <c r="B753" s="835"/>
      <c r="C753" s="835"/>
      <c r="D753" s="835"/>
      <c r="E753" s="835"/>
    </row>
    <row r="754" spans="1:5" ht="15.75" x14ac:dyDescent="0.25">
      <c r="A754" s="834"/>
      <c r="B754" s="835"/>
      <c r="C754" s="835"/>
      <c r="D754" s="835"/>
      <c r="E754" s="835"/>
    </row>
    <row r="755" spans="1:5" ht="15.75" x14ac:dyDescent="0.25">
      <c r="A755" s="834"/>
      <c r="B755" s="835"/>
      <c r="C755" s="835"/>
      <c r="D755" s="835"/>
      <c r="E755" s="835"/>
    </row>
    <row r="756" spans="1:5" ht="15.75" x14ac:dyDescent="0.25">
      <c r="A756" s="834"/>
      <c r="B756" s="835"/>
      <c r="C756" s="835"/>
      <c r="D756" s="835"/>
      <c r="E756" s="835"/>
    </row>
    <row r="757" spans="1:5" ht="15.75" x14ac:dyDescent="0.25">
      <c r="A757" s="834"/>
      <c r="B757" s="835"/>
      <c r="C757" s="835"/>
      <c r="D757" s="835"/>
      <c r="E757" s="835"/>
    </row>
    <row r="758" spans="1:5" ht="15.75" x14ac:dyDescent="0.25">
      <c r="A758" s="834"/>
      <c r="B758" s="835"/>
      <c r="C758" s="835"/>
      <c r="D758" s="835"/>
      <c r="E758" s="835"/>
    </row>
    <row r="759" spans="1:5" ht="15.75" x14ac:dyDescent="0.25">
      <c r="A759" s="834"/>
      <c r="B759" s="835"/>
      <c r="C759" s="835"/>
      <c r="D759" s="835"/>
      <c r="E759" s="835"/>
    </row>
    <row r="760" spans="1:5" ht="15.75" x14ac:dyDescent="0.25">
      <c r="A760" s="834"/>
      <c r="B760" s="835"/>
      <c r="C760" s="835"/>
      <c r="D760" s="835"/>
      <c r="E760" s="835"/>
    </row>
    <row r="761" spans="1:5" ht="15.75" x14ac:dyDescent="0.25">
      <c r="A761" s="834"/>
      <c r="B761" s="835"/>
      <c r="C761" s="835"/>
      <c r="D761" s="835"/>
      <c r="E761" s="835"/>
    </row>
    <row r="762" spans="1:5" ht="15.75" x14ac:dyDescent="0.25">
      <c r="A762" s="834"/>
      <c r="B762" s="835"/>
      <c r="C762" s="835"/>
      <c r="D762" s="835"/>
      <c r="E762" s="835"/>
    </row>
    <row r="763" spans="1:5" ht="15.75" x14ac:dyDescent="0.25">
      <c r="A763" s="834"/>
      <c r="B763" s="835"/>
      <c r="C763" s="835"/>
      <c r="D763" s="835"/>
      <c r="E763" s="835"/>
    </row>
    <row r="764" spans="1:5" ht="15.75" x14ac:dyDescent="0.25">
      <c r="A764" s="834"/>
      <c r="B764" s="835"/>
      <c r="C764" s="835"/>
      <c r="D764" s="835"/>
      <c r="E764" s="835"/>
    </row>
    <row r="765" spans="1:5" ht="15.75" x14ac:dyDescent="0.25">
      <c r="A765" s="834"/>
      <c r="B765" s="835"/>
      <c r="C765" s="835"/>
      <c r="D765" s="835"/>
      <c r="E765" s="835"/>
    </row>
    <row r="766" spans="1:5" ht="15.75" x14ac:dyDescent="0.25">
      <c r="A766" s="834"/>
      <c r="B766" s="835"/>
      <c r="C766" s="835"/>
      <c r="D766" s="835"/>
      <c r="E766" s="835"/>
    </row>
    <row r="767" spans="1:5" ht="15.75" x14ac:dyDescent="0.25">
      <c r="A767" s="834"/>
      <c r="B767" s="835"/>
      <c r="C767" s="835"/>
      <c r="D767" s="835"/>
      <c r="E767" s="835"/>
    </row>
    <row r="768" spans="1:5" ht="15.75" x14ac:dyDescent="0.25">
      <c r="A768" s="834"/>
      <c r="B768" s="835"/>
      <c r="C768" s="835"/>
      <c r="D768" s="835"/>
      <c r="E768" s="835"/>
    </row>
    <row r="769" spans="1:5" ht="15.75" x14ac:dyDescent="0.25">
      <c r="A769" s="834"/>
      <c r="B769" s="835"/>
      <c r="C769" s="835"/>
      <c r="D769" s="835"/>
      <c r="E769" s="835"/>
    </row>
    <row r="770" spans="1:5" ht="15.75" x14ac:dyDescent="0.25">
      <c r="A770" s="834"/>
      <c r="B770" s="835"/>
      <c r="C770" s="835"/>
      <c r="D770" s="835"/>
      <c r="E770" s="835"/>
    </row>
    <row r="771" spans="1:5" ht="15.75" x14ac:dyDescent="0.25">
      <c r="A771" s="834"/>
      <c r="B771" s="835"/>
      <c r="C771" s="835"/>
      <c r="D771" s="835"/>
      <c r="E771" s="835"/>
    </row>
    <row r="772" spans="1:5" ht="15.75" x14ac:dyDescent="0.25">
      <c r="A772" s="834"/>
      <c r="B772" s="835"/>
      <c r="C772" s="835"/>
      <c r="D772" s="835"/>
      <c r="E772" s="835"/>
    </row>
    <row r="773" spans="1:5" ht="15.75" x14ac:dyDescent="0.25">
      <c r="A773" s="834"/>
      <c r="B773" s="835"/>
      <c r="C773" s="835"/>
      <c r="D773" s="835"/>
      <c r="E773" s="835"/>
    </row>
    <row r="774" spans="1:5" ht="15.75" x14ac:dyDescent="0.25">
      <c r="A774" s="834"/>
      <c r="B774" s="835"/>
      <c r="C774" s="835"/>
      <c r="D774" s="835"/>
      <c r="E774" s="835"/>
    </row>
    <row r="775" spans="1:5" ht="15.75" x14ac:dyDescent="0.25">
      <c r="A775" s="834"/>
      <c r="B775" s="835"/>
      <c r="C775" s="835"/>
      <c r="D775" s="835"/>
      <c r="E775" s="835"/>
    </row>
    <row r="776" spans="1:5" ht="15.75" x14ac:dyDescent="0.25">
      <c r="A776" s="834"/>
      <c r="B776" s="835"/>
      <c r="C776" s="835"/>
      <c r="D776" s="835"/>
      <c r="E776" s="835"/>
    </row>
    <row r="777" spans="1:5" ht="15.75" x14ac:dyDescent="0.25">
      <c r="A777" s="834"/>
      <c r="B777" s="835"/>
      <c r="C777" s="835"/>
      <c r="D777" s="835"/>
      <c r="E777" s="835"/>
    </row>
    <row r="778" spans="1:5" ht="15.75" x14ac:dyDescent="0.25">
      <c r="A778" s="834"/>
      <c r="B778" s="835"/>
      <c r="C778" s="835"/>
      <c r="D778" s="835"/>
      <c r="E778" s="835"/>
    </row>
    <row r="779" spans="1:5" ht="15.75" x14ac:dyDescent="0.25">
      <c r="A779" s="834"/>
      <c r="B779" s="835"/>
      <c r="C779" s="835"/>
      <c r="D779" s="835"/>
      <c r="E779" s="835"/>
    </row>
    <row r="780" spans="1:5" ht="15.75" x14ac:dyDescent="0.25">
      <c r="A780" s="834"/>
      <c r="B780" s="835"/>
      <c r="C780" s="835"/>
      <c r="D780" s="835"/>
      <c r="E780" s="835"/>
    </row>
    <row r="781" spans="1:5" ht="15.75" x14ac:dyDescent="0.25">
      <c r="A781" s="834"/>
      <c r="B781" s="835"/>
      <c r="C781" s="835"/>
      <c r="D781" s="835"/>
      <c r="E781" s="835"/>
    </row>
    <row r="782" spans="1:5" ht="15.75" x14ac:dyDescent="0.25">
      <c r="A782" s="834"/>
      <c r="B782" s="835"/>
      <c r="C782" s="835"/>
      <c r="D782" s="835"/>
      <c r="E782" s="835"/>
    </row>
    <row r="783" spans="1:5" ht="15.75" x14ac:dyDescent="0.25">
      <c r="A783" s="834"/>
      <c r="B783" s="835"/>
      <c r="C783" s="835"/>
      <c r="D783" s="835"/>
      <c r="E783" s="835"/>
    </row>
    <row r="784" spans="1:5" ht="15.75" x14ac:dyDescent="0.25">
      <c r="A784" s="834"/>
      <c r="B784" s="835"/>
      <c r="C784" s="835"/>
      <c r="D784" s="835"/>
      <c r="E784" s="835"/>
    </row>
    <row r="785" spans="1:5" ht="15.75" x14ac:dyDescent="0.25">
      <c r="A785" s="834"/>
      <c r="B785" s="835"/>
      <c r="C785" s="835"/>
      <c r="D785" s="835"/>
      <c r="E785" s="835"/>
    </row>
    <row r="786" spans="1:5" ht="15.75" x14ac:dyDescent="0.25">
      <c r="A786" s="834"/>
      <c r="B786" s="835"/>
      <c r="C786" s="835"/>
      <c r="D786" s="835"/>
      <c r="E786" s="835"/>
    </row>
    <row r="787" spans="1:5" ht="15.75" x14ac:dyDescent="0.25">
      <c r="A787" s="834"/>
      <c r="B787" s="835"/>
      <c r="C787" s="835"/>
      <c r="D787" s="835"/>
      <c r="E787" s="835"/>
    </row>
    <row r="788" spans="1:5" ht="15.75" x14ac:dyDescent="0.25">
      <c r="A788" s="834"/>
      <c r="B788" s="835"/>
      <c r="C788" s="835"/>
      <c r="D788" s="835"/>
      <c r="E788" s="835"/>
    </row>
    <row r="789" spans="1:5" ht="15.75" x14ac:dyDescent="0.25">
      <c r="A789" s="834"/>
      <c r="B789" s="835"/>
      <c r="C789" s="835"/>
      <c r="D789" s="835"/>
      <c r="E789" s="835"/>
    </row>
    <row r="790" spans="1:5" ht="15.75" x14ac:dyDescent="0.25">
      <c r="A790" s="834"/>
      <c r="B790" s="835"/>
      <c r="C790" s="835"/>
      <c r="D790" s="835"/>
      <c r="E790" s="835"/>
    </row>
    <row r="791" spans="1:5" ht="15.75" x14ac:dyDescent="0.25">
      <c r="A791" s="834"/>
      <c r="B791" s="835"/>
      <c r="C791" s="835"/>
      <c r="D791" s="835"/>
      <c r="E791" s="835"/>
    </row>
    <row r="792" spans="1:5" ht="15.75" x14ac:dyDescent="0.25">
      <c r="A792" s="834"/>
      <c r="B792" s="835"/>
      <c r="C792" s="835"/>
      <c r="D792" s="835"/>
      <c r="E792" s="835"/>
    </row>
    <row r="793" spans="1:5" ht="15.75" x14ac:dyDescent="0.25">
      <c r="A793" s="834"/>
      <c r="B793" s="835"/>
      <c r="C793" s="835"/>
      <c r="D793" s="835"/>
      <c r="E793" s="835"/>
    </row>
    <row r="794" spans="1:5" ht="15.75" x14ac:dyDescent="0.25">
      <c r="A794" s="834"/>
      <c r="B794" s="835"/>
      <c r="C794" s="835"/>
      <c r="D794" s="835"/>
      <c r="E794" s="835"/>
    </row>
    <row r="795" spans="1:5" ht="15.75" x14ac:dyDescent="0.25">
      <c r="A795" s="834"/>
      <c r="B795" s="835"/>
      <c r="C795" s="835"/>
      <c r="D795" s="835"/>
      <c r="E795" s="835"/>
    </row>
    <row r="796" spans="1:5" ht="15.75" x14ac:dyDescent="0.25">
      <c r="A796" s="834"/>
      <c r="B796" s="835"/>
      <c r="C796" s="835"/>
      <c r="D796" s="835"/>
      <c r="E796" s="835"/>
    </row>
    <row r="797" spans="1:5" ht="15.75" x14ac:dyDescent="0.25">
      <c r="A797" s="834"/>
      <c r="B797" s="835"/>
      <c r="C797" s="835"/>
      <c r="D797" s="835"/>
      <c r="E797" s="835"/>
    </row>
    <row r="798" spans="1:5" ht="15.75" x14ac:dyDescent="0.25">
      <c r="A798" s="834"/>
      <c r="B798" s="835"/>
      <c r="C798" s="835"/>
      <c r="D798" s="835"/>
      <c r="E798" s="835"/>
    </row>
    <row r="799" spans="1:5" ht="15.75" x14ac:dyDescent="0.25">
      <c r="A799" s="834"/>
      <c r="B799" s="835"/>
      <c r="C799" s="835"/>
      <c r="D799" s="835"/>
      <c r="E799" s="835"/>
    </row>
    <row r="800" spans="1:5" ht="15.75" x14ac:dyDescent="0.25">
      <c r="A800" s="834"/>
      <c r="B800" s="835"/>
      <c r="C800" s="835"/>
      <c r="D800" s="835"/>
      <c r="E800" s="835"/>
    </row>
    <row r="801" spans="1:5" ht="15.75" x14ac:dyDescent="0.25">
      <c r="A801" s="834"/>
      <c r="B801" s="835"/>
      <c r="C801" s="835"/>
      <c r="D801" s="835"/>
      <c r="E801" s="835"/>
    </row>
    <row r="802" spans="1:5" ht="15.75" x14ac:dyDescent="0.25">
      <c r="A802" s="834"/>
      <c r="B802" s="835"/>
      <c r="C802" s="835"/>
      <c r="D802" s="835"/>
      <c r="E802" s="835"/>
    </row>
    <row r="803" spans="1:5" ht="15.75" x14ac:dyDescent="0.25">
      <c r="A803" s="834"/>
      <c r="B803" s="835"/>
      <c r="C803" s="835"/>
      <c r="D803" s="835"/>
      <c r="E803" s="835"/>
    </row>
    <row r="804" spans="1:5" ht="15.75" x14ac:dyDescent="0.25">
      <c r="A804" s="834"/>
      <c r="B804" s="835"/>
      <c r="C804" s="835"/>
      <c r="D804" s="835"/>
      <c r="E804" s="835"/>
    </row>
    <row r="805" spans="1:5" ht="15.75" x14ac:dyDescent="0.25">
      <c r="A805" s="834"/>
      <c r="B805" s="835"/>
      <c r="C805" s="835"/>
      <c r="D805" s="835"/>
      <c r="E805" s="835"/>
    </row>
    <row r="806" spans="1:5" ht="15.75" x14ac:dyDescent="0.25">
      <c r="A806" s="834"/>
      <c r="B806" s="835"/>
      <c r="C806" s="835"/>
      <c r="D806" s="835"/>
      <c r="E806" s="835"/>
    </row>
    <row r="807" spans="1:5" ht="15.75" x14ac:dyDescent="0.25">
      <c r="A807" s="834"/>
      <c r="B807" s="835"/>
      <c r="C807" s="835"/>
      <c r="D807" s="835"/>
      <c r="E807" s="835"/>
    </row>
    <row r="808" spans="1:5" ht="15.75" x14ac:dyDescent="0.25">
      <c r="A808" s="834"/>
      <c r="B808" s="835"/>
      <c r="C808" s="835"/>
      <c r="D808" s="835"/>
      <c r="E808" s="835"/>
    </row>
    <row r="809" spans="1:5" ht="15.75" x14ac:dyDescent="0.25">
      <c r="A809" s="834"/>
      <c r="B809" s="835"/>
      <c r="C809" s="835"/>
      <c r="D809" s="835"/>
      <c r="E809" s="835"/>
    </row>
    <row r="810" spans="1:5" ht="15.75" x14ac:dyDescent="0.25">
      <c r="A810" s="834"/>
      <c r="B810" s="835"/>
      <c r="C810" s="835"/>
      <c r="D810" s="835"/>
      <c r="E810" s="835"/>
    </row>
    <row r="811" spans="1:5" ht="15.75" x14ac:dyDescent="0.25">
      <c r="A811" s="834"/>
      <c r="B811" s="835"/>
      <c r="C811" s="835"/>
      <c r="D811" s="835"/>
      <c r="E811" s="835"/>
    </row>
    <row r="812" spans="1:5" ht="15.75" x14ac:dyDescent="0.25">
      <c r="A812" s="834"/>
      <c r="B812" s="835"/>
      <c r="C812" s="835"/>
      <c r="D812" s="835"/>
      <c r="E812" s="835"/>
    </row>
    <row r="813" spans="1:5" ht="15.75" x14ac:dyDescent="0.25">
      <c r="A813" s="834"/>
      <c r="B813" s="835"/>
      <c r="C813" s="835"/>
      <c r="D813" s="835"/>
      <c r="E813" s="835"/>
    </row>
    <row r="814" spans="1:5" ht="15.75" x14ac:dyDescent="0.25">
      <c r="A814" s="834"/>
      <c r="B814" s="835"/>
      <c r="C814" s="835"/>
      <c r="D814" s="835"/>
      <c r="E814" s="835"/>
    </row>
    <row r="815" spans="1:5" ht="15.75" x14ac:dyDescent="0.25">
      <c r="A815" s="834"/>
      <c r="B815" s="835"/>
      <c r="C815" s="835"/>
      <c r="D815" s="835"/>
      <c r="E815" s="835"/>
    </row>
    <row r="816" spans="1:5" ht="15.75" x14ac:dyDescent="0.25">
      <c r="A816" s="834"/>
      <c r="B816" s="835"/>
      <c r="C816" s="835"/>
      <c r="D816" s="835"/>
      <c r="E816" s="835"/>
    </row>
    <row r="817" spans="1:5" ht="15.75" x14ac:dyDescent="0.25">
      <c r="A817" s="834"/>
      <c r="B817" s="835"/>
      <c r="C817" s="835"/>
      <c r="D817" s="835"/>
      <c r="E817" s="835"/>
    </row>
    <row r="818" spans="1:5" ht="15.75" x14ac:dyDescent="0.25">
      <c r="A818" s="834"/>
      <c r="B818" s="835"/>
      <c r="C818" s="835"/>
      <c r="D818" s="835"/>
      <c r="E818" s="835"/>
    </row>
    <row r="819" spans="1:5" ht="15.75" x14ac:dyDescent="0.25">
      <c r="A819" s="834"/>
      <c r="B819" s="835"/>
      <c r="C819" s="835"/>
      <c r="D819" s="835"/>
      <c r="E819" s="835"/>
    </row>
    <row r="820" spans="1:5" ht="15.75" x14ac:dyDescent="0.25">
      <c r="A820" s="834"/>
      <c r="B820" s="835"/>
      <c r="C820" s="835"/>
      <c r="D820" s="835"/>
      <c r="E820" s="835"/>
    </row>
    <row r="821" spans="1:5" ht="15.75" x14ac:dyDescent="0.25">
      <c r="A821" s="834"/>
      <c r="B821" s="835"/>
      <c r="C821" s="835"/>
      <c r="D821" s="835"/>
      <c r="E821" s="835"/>
    </row>
    <row r="822" spans="1:5" ht="15.75" x14ac:dyDescent="0.25">
      <c r="A822" s="834"/>
      <c r="B822" s="835"/>
      <c r="C822" s="835"/>
      <c r="D822" s="835"/>
      <c r="E822" s="835"/>
    </row>
    <row r="823" spans="1:5" ht="15.75" x14ac:dyDescent="0.25">
      <c r="A823" s="834"/>
      <c r="B823" s="835"/>
      <c r="C823" s="835"/>
      <c r="D823" s="835"/>
      <c r="E823" s="835"/>
    </row>
    <row r="824" spans="1:5" ht="15.75" x14ac:dyDescent="0.25">
      <c r="A824" s="834"/>
      <c r="B824" s="835"/>
      <c r="C824" s="835"/>
      <c r="D824" s="835"/>
      <c r="E824" s="835"/>
    </row>
    <row r="825" spans="1:5" ht="15.75" x14ac:dyDescent="0.25">
      <c r="A825" s="834"/>
      <c r="B825" s="835"/>
      <c r="C825" s="835"/>
      <c r="D825" s="835"/>
      <c r="E825" s="835"/>
    </row>
    <row r="826" spans="1:5" ht="15.75" x14ac:dyDescent="0.25">
      <c r="A826" s="834"/>
      <c r="B826" s="835"/>
      <c r="C826" s="835"/>
      <c r="D826" s="835"/>
      <c r="E826" s="835"/>
    </row>
    <row r="827" spans="1:5" ht="15.75" x14ac:dyDescent="0.25">
      <c r="A827" s="834"/>
      <c r="B827" s="835"/>
      <c r="C827" s="835"/>
      <c r="D827" s="835"/>
      <c r="E827" s="835"/>
    </row>
    <row r="828" spans="1:5" ht="15.75" x14ac:dyDescent="0.25">
      <c r="A828" s="834"/>
      <c r="B828" s="835"/>
      <c r="C828" s="835"/>
      <c r="D828" s="835"/>
      <c r="E828" s="835"/>
    </row>
    <row r="829" spans="1:5" ht="15.75" x14ac:dyDescent="0.25">
      <c r="A829" s="834"/>
      <c r="B829" s="835"/>
      <c r="C829" s="835"/>
      <c r="D829" s="835"/>
      <c r="E829" s="835"/>
    </row>
    <row r="830" spans="1:5" ht="15.75" x14ac:dyDescent="0.25">
      <c r="A830" s="834"/>
      <c r="B830" s="835"/>
      <c r="C830" s="835"/>
      <c r="D830" s="835"/>
      <c r="E830" s="835"/>
    </row>
    <row r="831" spans="1:5" ht="15.75" x14ac:dyDescent="0.25">
      <c r="A831" s="834"/>
      <c r="B831" s="835"/>
      <c r="C831" s="835"/>
      <c r="D831" s="835"/>
      <c r="E831" s="835"/>
    </row>
    <row r="832" spans="1:5" ht="15.75" x14ac:dyDescent="0.25">
      <c r="A832" s="834"/>
      <c r="B832" s="835"/>
      <c r="C832" s="835"/>
      <c r="D832" s="835"/>
      <c r="E832" s="835"/>
    </row>
    <row r="833" spans="1:5" ht="15.75" x14ac:dyDescent="0.25">
      <c r="A833" s="834"/>
      <c r="B833" s="835"/>
      <c r="C833" s="835"/>
      <c r="D833" s="835"/>
      <c r="E833" s="835"/>
    </row>
    <row r="834" spans="1:5" ht="15.75" x14ac:dyDescent="0.25">
      <c r="A834" s="834"/>
      <c r="B834" s="835"/>
      <c r="C834" s="835"/>
      <c r="D834" s="835"/>
      <c r="E834" s="835"/>
    </row>
    <row r="835" spans="1:5" ht="15.75" x14ac:dyDescent="0.25">
      <c r="A835" s="834"/>
      <c r="B835" s="835"/>
      <c r="C835" s="835"/>
      <c r="D835" s="835"/>
      <c r="E835" s="835"/>
    </row>
    <row r="836" spans="1:5" ht="15.75" x14ac:dyDescent="0.25">
      <c r="A836" s="834"/>
      <c r="B836" s="835"/>
      <c r="C836" s="835"/>
      <c r="D836" s="835"/>
      <c r="E836" s="835"/>
    </row>
    <row r="837" spans="1:5" ht="15.75" x14ac:dyDescent="0.25">
      <c r="A837" s="834"/>
      <c r="B837" s="835"/>
      <c r="C837" s="835"/>
      <c r="D837" s="835"/>
      <c r="E837" s="835"/>
    </row>
    <row r="838" spans="1:5" ht="15.75" x14ac:dyDescent="0.25">
      <c r="A838" s="834"/>
      <c r="B838" s="835"/>
      <c r="C838" s="835"/>
      <c r="D838" s="835"/>
      <c r="E838" s="835"/>
    </row>
    <row r="839" spans="1:5" ht="15.75" x14ac:dyDescent="0.25">
      <c r="A839" s="834"/>
      <c r="B839" s="835"/>
      <c r="C839" s="835"/>
      <c r="D839" s="835"/>
      <c r="E839" s="835"/>
    </row>
    <row r="840" spans="1:5" ht="15.75" x14ac:dyDescent="0.25">
      <c r="A840" s="834"/>
      <c r="B840" s="835"/>
      <c r="C840" s="835"/>
      <c r="D840" s="835"/>
      <c r="E840" s="835"/>
    </row>
    <row r="841" spans="1:5" ht="15.75" x14ac:dyDescent="0.25">
      <c r="A841" s="834"/>
      <c r="B841" s="835"/>
      <c r="C841" s="835"/>
      <c r="D841" s="835"/>
      <c r="E841" s="835"/>
    </row>
    <row r="842" spans="1:5" ht="15.75" x14ac:dyDescent="0.25">
      <c r="A842" s="834"/>
      <c r="B842" s="835"/>
      <c r="C842" s="835"/>
      <c r="D842" s="835"/>
      <c r="E842" s="835"/>
    </row>
    <row r="843" spans="1:5" ht="15.75" x14ac:dyDescent="0.25">
      <c r="A843" s="834"/>
      <c r="B843" s="835"/>
      <c r="C843" s="835"/>
      <c r="D843" s="835"/>
      <c r="E843" s="835"/>
    </row>
    <row r="844" spans="1:5" ht="15.75" x14ac:dyDescent="0.25">
      <c r="A844" s="834"/>
      <c r="B844" s="835"/>
      <c r="C844" s="835"/>
      <c r="D844" s="835"/>
      <c r="E844" s="835"/>
    </row>
    <row r="845" spans="1:5" ht="15.75" x14ac:dyDescent="0.25">
      <c r="A845" s="834"/>
      <c r="B845" s="835"/>
      <c r="C845" s="835"/>
      <c r="D845" s="835"/>
      <c r="E845" s="835"/>
    </row>
    <row r="846" spans="1:5" ht="15.75" x14ac:dyDescent="0.25">
      <c r="A846" s="834"/>
      <c r="B846" s="835"/>
      <c r="C846" s="835"/>
      <c r="D846" s="835"/>
      <c r="E846" s="835"/>
    </row>
    <row r="847" spans="1:5" ht="15.75" x14ac:dyDescent="0.25">
      <c r="A847" s="834"/>
      <c r="B847" s="835"/>
      <c r="C847" s="835"/>
      <c r="D847" s="835"/>
      <c r="E847" s="835"/>
    </row>
    <row r="848" spans="1:5" ht="15.75" x14ac:dyDescent="0.25">
      <c r="A848" s="834"/>
      <c r="B848" s="835"/>
      <c r="C848" s="835"/>
      <c r="D848" s="835"/>
      <c r="E848" s="835"/>
    </row>
    <row r="849" spans="1:5" ht="15.75" x14ac:dyDescent="0.25">
      <c r="A849" s="834"/>
      <c r="B849" s="835"/>
      <c r="C849" s="835"/>
      <c r="D849" s="835"/>
      <c r="E849" s="835"/>
    </row>
    <row r="850" spans="1:5" ht="15.75" x14ac:dyDescent="0.25">
      <c r="A850" s="834"/>
      <c r="B850" s="835"/>
      <c r="C850" s="835"/>
      <c r="D850" s="835"/>
      <c r="E850" s="835"/>
    </row>
    <row r="851" spans="1:5" ht="15.75" x14ac:dyDescent="0.25">
      <c r="A851" s="834"/>
      <c r="B851" s="835"/>
      <c r="C851" s="835"/>
      <c r="D851" s="835"/>
      <c r="E851" s="835"/>
    </row>
    <row r="852" spans="1:5" ht="15.75" x14ac:dyDescent="0.25">
      <c r="A852" s="834"/>
      <c r="B852" s="835"/>
      <c r="C852" s="835"/>
      <c r="D852" s="835"/>
      <c r="E852" s="835"/>
    </row>
    <row r="853" spans="1:5" ht="15.75" x14ac:dyDescent="0.25">
      <c r="A853" s="834"/>
      <c r="B853" s="835"/>
      <c r="C853" s="835"/>
      <c r="D853" s="835"/>
      <c r="E853" s="835"/>
    </row>
    <row r="854" spans="1:5" ht="15.75" x14ac:dyDescent="0.25">
      <c r="A854" s="834"/>
      <c r="B854" s="835"/>
      <c r="C854" s="835"/>
      <c r="D854" s="835"/>
      <c r="E854" s="835"/>
    </row>
    <row r="855" spans="1:5" ht="15.75" x14ac:dyDescent="0.25">
      <c r="A855" s="834"/>
      <c r="B855" s="835"/>
      <c r="C855" s="835"/>
      <c r="D855" s="835"/>
      <c r="E855" s="835"/>
    </row>
    <row r="856" spans="1:5" ht="15.75" x14ac:dyDescent="0.25">
      <c r="A856" s="834"/>
      <c r="B856" s="835"/>
      <c r="C856" s="835"/>
      <c r="D856" s="835"/>
      <c r="E856" s="835"/>
    </row>
    <row r="857" spans="1:5" ht="15.75" x14ac:dyDescent="0.25">
      <c r="A857" s="834"/>
      <c r="B857" s="835"/>
      <c r="C857" s="835"/>
      <c r="D857" s="835"/>
      <c r="E857" s="835"/>
    </row>
    <row r="858" spans="1:5" ht="15.75" x14ac:dyDescent="0.25">
      <c r="A858" s="834"/>
      <c r="B858" s="835"/>
      <c r="C858" s="835"/>
      <c r="D858" s="835"/>
      <c r="E858" s="835"/>
    </row>
    <row r="859" spans="1:5" ht="15.75" x14ac:dyDescent="0.25">
      <c r="A859" s="834"/>
      <c r="B859" s="835"/>
      <c r="C859" s="835"/>
      <c r="D859" s="835"/>
      <c r="E859" s="835"/>
    </row>
    <row r="860" spans="1:5" ht="15.75" x14ac:dyDescent="0.25">
      <c r="A860" s="834"/>
      <c r="B860" s="835"/>
      <c r="C860" s="835"/>
      <c r="D860" s="835"/>
      <c r="E860" s="835"/>
    </row>
    <row r="861" spans="1:5" ht="15.75" x14ac:dyDescent="0.25">
      <c r="A861" s="834"/>
      <c r="B861" s="835"/>
      <c r="C861" s="835"/>
      <c r="D861" s="835"/>
      <c r="E861" s="835"/>
    </row>
    <row r="862" spans="1:5" ht="15.75" x14ac:dyDescent="0.25">
      <c r="A862" s="834"/>
      <c r="B862" s="835"/>
      <c r="C862" s="835"/>
      <c r="D862" s="835"/>
      <c r="E862" s="835"/>
    </row>
    <row r="863" spans="1:5" ht="15.75" x14ac:dyDescent="0.25">
      <c r="A863" s="834"/>
      <c r="B863" s="835"/>
      <c r="C863" s="835"/>
      <c r="D863" s="835"/>
      <c r="E863" s="835"/>
    </row>
    <row r="864" spans="1:5" ht="15.75" x14ac:dyDescent="0.25">
      <c r="A864" s="834"/>
      <c r="B864" s="835"/>
      <c r="C864" s="835"/>
      <c r="D864" s="835"/>
      <c r="E864" s="835"/>
    </row>
    <row r="865" spans="1:5" ht="15.75" x14ac:dyDescent="0.25">
      <c r="A865" s="834"/>
      <c r="B865" s="835"/>
      <c r="C865" s="835"/>
      <c r="D865" s="835"/>
      <c r="E865" s="835"/>
    </row>
    <row r="866" spans="1:5" ht="15.75" x14ac:dyDescent="0.25">
      <c r="A866" s="834"/>
      <c r="B866" s="835"/>
      <c r="C866" s="835"/>
      <c r="D866" s="835"/>
      <c r="E866" s="835"/>
    </row>
    <row r="867" spans="1:5" ht="15.75" x14ac:dyDescent="0.25">
      <c r="A867" s="834"/>
      <c r="B867" s="835"/>
      <c r="C867" s="835"/>
      <c r="D867" s="835"/>
      <c r="E867" s="835"/>
    </row>
    <row r="868" spans="1:5" ht="15.75" x14ac:dyDescent="0.25">
      <c r="A868" s="834"/>
      <c r="B868" s="835"/>
      <c r="C868" s="835"/>
      <c r="D868" s="835"/>
      <c r="E868" s="835"/>
    </row>
    <row r="869" spans="1:5" ht="15.75" x14ac:dyDescent="0.25">
      <c r="A869" s="834"/>
      <c r="B869" s="835"/>
      <c r="C869" s="835"/>
      <c r="D869" s="835"/>
      <c r="E869" s="835"/>
    </row>
    <row r="870" spans="1:5" ht="15.75" x14ac:dyDescent="0.25">
      <c r="A870" s="834"/>
      <c r="B870" s="835"/>
      <c r="C870" s="835"/>
      <c r="D870" s="835"/>
      <c r="E870" s="835"/>
    </row>
    <row r="871" spans="1:5" ht="15.75" x14ac:dyDescent="0.25">
      <c r="A871" s="834"/>
      <c r="B871" s="835"/>
      <c r="C871" s="835"/>
      <c r="D871" s="835"/>
      <c r="E871" s="835"/>
    </row>
    <row r="872" spans="1:5" ht="15.75" x14ac:dyDescent="0.25">
      <c r="A872" s="834"/>
      <c r="B872" s="835"/>
      <c r="C872" s="835"/>
      <c r="D872" s="835"/>
      <c r="E872" s="835"/>
    </row>
    <row r="873" spans="1:5" ht="15.75" x14ac:dyDescent="0.25">
      <c r="A873" s="834"/>
      <c r="B873" s="835"/>
      <c r="C873" s="835"/>
      <c r="D873" s="835"/>
      <c r="E873" s="835"/>
    </row>
    <row r="874" spans="1:5" ht="15.75" x14ac:dyDescent="0.25">
      <c r="A874" s="834"/>
      <c r="B874" s="835"/>
      <c r="C874" s="835"/>
      <c r="D874" s="835"/>
      <c r="E874" s="835"/>
    </row>
    <row r="875" spans="1:5" ht="15.75" x14ac:dyDescent="0.25">
      <c r="A875" s="834"/>
      <c r="B875" s="835"/>
      <c r="C875" s="835"/>
      <c r="D875" s="835"/>
      <c r="E875" s="835"/>
    </row>
    <row r="876" spans="1:5" ht="15.75" x14ac:dyDescent="0.25">
      <c r="A876" s="834"/>
      <c r="B876" s="835"/>
      <c r="C876" s="835"/>
      <c r="D876" s="835"/>
      <c r="E876" s="835"/>
    </row>
    <row r="877" spans="1:5" ht="15.75" x14ac:dyDescent="0.25">
      <c r="A877" s="834"/>
      <c r="B877" s="835"/>
      <c r="C877" s="835"/>
      <c r="D877" s="835"/>
      <c r="E877" s="835"/>
    </row>
    <row r="878" spans="1:5" ht="15.75" x14ac:dyDescent="0.25">
      <c r="A878" s="834"/>
      <c r="B878" s="835"/>
      <c r="C878" s="835"/>
      <c r="D878" s="835"/>
      <c r="E878" s="835"/>
    </row>
    <row r="879" spans="1:5" ht="15.75" x14ac:dyDescent="0.25">
      <c r="A879" s="834"/>
      <c r="B879" s="835"/>
      <c r="C879" s="835"/>
      <c r="D879" s="835"/>
      <c r="E879" s="835"/>
    </row>
    <row r="880" spans="1:5" ht="15.75" x14ac:dyDescent="0.25">
      <c r="A880" s="834"/>
      <c r="B880" s="835"/>
      <c r="C880" s="835"/>
      <c r="D880" s="835"/>
      <c r="E880" s="835"/>
    </row>
    <row r="881" spans="1:5" ht="15.75" x14ac:dyDescent="0.25">
      <c r="A881" s="834"/>
      <c r="B881" s="835"/>
      <c r="C881" s="835"/>
      <c r="D881" s="835"/>
      <c r="E881" s="835"/>
    </row>
    <row r="882" spans="1:5" ht="15.75" x14ac:dyDescent="0.25">
      <c r="A882" s="834"/>
      <c r="B882" s="835"/>
      <c r="C882" s="835"/>
      <c r="D882" s="835"/>
      <c r="E882" s="835"/>
    </row>
    <row r="883" spans="1:5" ht="15.75" x14ac:dyDescent="0.25">
      <c r="A883" s="834"/>
      <c r="B883" s="835"/>
      <c r="C883" s="835"/>
      <c r="D883" s="835"/>
      <c r="E883" s="835"/>
    </row>
    <row r="884" spans="1:5" ht="15.75" x14ac:dyDescent="0.25">
      <c r="A884" s="834"/>
      <c r="B884" s="835"/>
      <c r="C884" s="835"/>
      <c r="D884" s="835"/>
      <c r="E884" s="835"/>
    </row>
    <row r="885" spans="1:5" ht="15.75" x14ac:dyDescent="0.25">
      <c r="A885" s="834"/>
      <c r="B885" s="835"/>
      <c r="C885" s="835"/>
      <c r="D885" s="835"/>
      <c r="E885" s="835"/>
    </row>
    <row r="886" spans="1:5" ht="15.75" x14ac:dyDescent="0.25">
      <c r="A886" s="834"/>
      <c r="B886" s="835"/>
      <c r="C886" s="835"/>
      <c r="D886" s="835"/>
      <c r="E886" s="835"/>
    </row>
    <row r="887" spans="1:5" ht="15.75" x14ac:dyDescent="0.25">
      <c r="A887" s="834"/>
      <c r="B887" s="835"/>
      <c r="C887" s="835"/>
      <c r="D887" s="835"/>
      <c r="E887" s="835"/>
    </row>
    <row r="888" spans="1:5" ht="15.75" x14ac:dyDescent="0.25">
      <c r="A888" s="834"/>
      <c r="B888" s="835"/>
      <c r="C888" s="835"/>
      <c r="D888" s="835"/>
      <c r="E888" s="835"/>
    </row>
    <row r="889" spans="1:5" ht="15.75" x14ac:dyDescent="0.25">
      <c r="A889" s="834"/>
      <c r="B889" s="835"/>
      <c r="C889" s="835"/>
      <c r="D889" s="835"/>
      <c r="E889" s="835"/>
    </row>
    <row r="890" spans="1:5" ht="15.75" x14ac:dyDescent="0.25">
      <c r="A890" s="834"/>
      <c r="B890" s="835"/>
      <c r="C890" s="835"/>
      <c r="D890" s="835"/>
      <c r="E890" s="835"/>
    </row>
    <row r="891" spans="1:5" ht="15.75" x14ac:dyDescent="0.25">
      <c r="A891" s="834"/>
      <c r="B891" s="835"/>
      <c r="C891" s="835"/>
      <c r="D891" s="835"/>
      <c r="E891" s="835"/>
    </row>
    <row r="892" spans="1:5" ht="15.75" x14ac:dyDescent="0.25">
      <c r="A892" s="834"/>
      <c r="B892" s="835"/>
      <c r="C892" s="835"/>
      <c r="D892" s="835"/>
      <c r="E892" s="835"/>
    </row>
    <row r="893" spans="1:5" ht="15.75" x14ac:dyDescent="0.25">
      <c r="A893" s="834"/>
      <c r="B893" s="835"/>
      <c r="C893" s="835"/>
      <c r="D893" s="835"/>
      <c r="E893" s="835"/>
    </row>
    <row r="894" spans="1:5" ht="15.75" x14ac:dyDescent="0.25">
      <c r="A894" s="834"/>
      <c r="B894" s="835"/>
      <c r="C894" s="835"/>
      <c r="D894" s="835"/>
      <c r="E894" s="835"/>
    </row>
    <row r="895" spans="1:5" ht="15.75" x14ac:dyDescent="0.25">
      <c r="A895" s="834"/>
      <c r="B895" s="835"/>
      <c r="C895" s="835"/>
      <c r="D895" s="835"/>
      <c r="E895" s="835"/>
    </row>
    <row r="896" spans="1:5" ht="15.75" x14ac:dyDescent="0.25">
      <c r="A896" s="834"/>
      <c r="B896" s="835"/>
      <c r="C896" s="835"/>
      <c r="D896" s="835"/>
      <c r="E896" s="835"/>
    </row>
    <row r="897" spans="1:5" ht="15.75" x14ac:dyDescent="0.25">
      <c r="A897" s="834"/>
      <c r="B897" s="835"/>
      <c r="C897" s="835"/>
      <c r="D897" s="835"/>
      <c r="E897" s="835"/>
    </row>
    <row r="898" spans="1:5" ht="15.75" x14ac:dyDescent="0.25">
      <c r="A898" s="834"/>
      <c r="B898" s="835"/>
      <c r="C898" s="835"/>
      <c r="D898" s="835"/>
      <c r="E898" s="835"/>
    </row>
    <row r="899" spans="1:5" ht="15.75" x14ac:dyDescent="0.25">
      <c r="A899" s="834"/>
      <c r="B899" s="835"/>
      <c r="C899" s="835"/>
      <c r="D899" s="835"/>
      <c r="E899" s="835"/>
    </row>
    <row r="900" spans="1:5" ht="15.75" x14ac:dyDescent="0.25">
      <c r="A900" s="834"/>
      <c r="B900" s="835"/>
      <c r="C900" s="835"/>
      <c r="D900" s="835"/>
      <c r="E900" s="835"/>
    </row>
    <row r="901" spans="1:5" ht="15.75" x14ac:dyDescent="0.25">
      <c r="A901" s="834"/>
      <c r="B901" s="835"/>
      <c r="C901" s="835"/>
      <c r="D901" s="835"/>
      <c r="E901" s="835"/>
    </row>
    <row r="902" spans="1:5" ht="15.75" x14ac:dyDescent="0.25">
      <c r="A902" s="834"/>
      <c r="B902" s="835"/>
      <c r="C902" s="835"/>
      <c r="D902" s="835"/>
      <c r="E902" s="835"/>
    </row>
    <row r="903" spans="1:5" ht="15.75" x14ac:dyDescent="0.25">
      <c r="A903" s="834"/>
      <c r="B903" s="835"/>
      <c r="C903" s="835"/>
      <c r="D903" s="835"/>
      <c r="E903" s="835"/>
    </row>
    <row r="904" spans="1:5" ht="15.75" x14ac:dyDescent="0.25">
      <c r="A904" s="834"/>
      <c r="B904" s="835"/>
      <c r="C904" s="835"/>
      <c r="D904" s="835"/>
      <c r="E904" s="835"/>
    </row>
    <row r="905" spans="1:5" ht="15.75" x14ac:dyDescent="0.25">
      <c r="A905" s="834"/>
      <c r="B905" s="835"/>
      <c r="C905" s="835"/>
      <c r="D905" s="835"/>
      <c r="E905" s="835"/>
    </row>
    <row r="906" spans="1:5" ht="15.75" x14ac:dyDescent="0.25">
      <c r="A906" s="834"/>
      <c r="B906" s="835"/>
      <c r="C906" s="835"/>
      <c r="D906" s="835"/>
      <c r="E906" s="835"/>
    </row>
    <row r="907" spans="1:5" ht="15.75" x14ac:dyDescent="0.25">
      <c r="A907" s="834"/>
      <c r="B907" s="835"/>
      <c r="C907" s="835"/>
      <c r="D907" s="835"/>
      <c r="E907" s="835"/>
    </row>
    <row r="908" spans="1:5" ht="15.75" x14ac:dyDescent="0.25">
      <c r="A908" s="834"/>
      <c r="B908" s="835"/>
      <c r="C908" s="835"/>
      <c r="D908" s="835"/>
      <c r="E908" s="835"/>
    </row>
    <row r="909" spans="1:5" ht="15.75" x14ac:dyDescent="0.25">
      <c r="A909" s="834"/>
      <c r="B909" s="835"/>
      <c r="C909" s="835"/>
      <c r="D909" s="835"/>
      <c r="E909" s="835"/>
    </row>
    <row r="910" spans="1:5" ht="15.75" x14ac:dyDescent="0.25">
      <c r="A910" s="834"/>
      <c r="B910" s="835"/>
      <c r="C910" s="835"/>
      <c r="D910" s="835"/>
      <c r="E910" s="835"/>
    </row>
    <row r="911" spans="1:5" ht="15.75" x14ac:dyDescent="0.25">
      <c r="A911" s="834"/>
      <c r="B911" s="835"/>
      <c r="C911" s="835"/>
      <c r="D911" s="835"/>
      <c r="E911" s="835"/>
    </row>
    <row r="912" spans="1:5" ht="15.75" x14ac:dyDescent="0.25">
      <c r="A912" s="834"/>
      <c r="B912" s="835"/>
      <c r="C912" s="835"/>
      <c r="D912" s="835"/>
      <c r="E912" s="835"/>
    </row>
    <row r="913" spans="1:5" ht="15.75" x14ac:dyDescent="0.25">
      <c r="A913" s="834"/>
      <c r="B913" s="835"/>
      <c r="C913" s="835"/>
      <c r="D913" s="835"/>
      <c r="E913" s="835"/>
    </row>
    <row r="914" spans="1:5" ht="15.75" x14ac:dyDescent="0.25">
      <c r="A914" s="834"/>
      <c r="B914" s="835"/>
      <c r="C914" s="835"/>
      <c r="D914" s="835"/>
      <c r="E914" s="835"/>
    </row>
    <row r="915" spans="1:5" ht="15.75" x14ac:dyDescent="0.25">
      <c r="A915" s="834"/>
      <c r="B915" s="835"/>
      <c r="C915" s="835"/>
      <c r="D915" s="835"/>
      <c r="E915" s="835"/>
    </row>
    <row r="916" spans="1:5" ht="15.75" x14ac:dyDescent="0.25">
      <c r="A916" s="834"/>
      <c r="B916" s="835"/>
      <c r="C916" s="835"/>
      <c r="D916" s="835"/>
      <c r="E916" s="835"/>
    </row>
    <row r="917" spans="1:5" ht="15.75" x14ac:dyDescent="0.25">
      <c r="A917" s="834"/>
      <c r="B917" s="835"/>
      <c r="C917" s="835"/>
      <c r="D917" s="835"/>
      <c r="E917" s="835"/>
    </row>
    <row r="918" spans="1:5" ht="15.75" x14ac:dyDescent="0.25">
      <c r="A918" s="834"/>
      <c r="B918" s="835"/>
      <c r="C918" s="835"/>
      <c r="D918" s="835"/>
      <c r="E918" s="835"/>
    </row>
    <row r="919" spans="1:5" ht="15.75" x14ac:dyDescent="0.25">
      <c r="A919" s="834"/>
      <c r="B919" s="835"/>
      <c r="C919" s="835"/>
      <c r="D919" s="835"/>
      <c r="E919" s="835"/>
    </row>
    <row r="920" spans="1:5" ht="15.75" x14ac:dyDescent="0.25">
      <c r="A920" s="834"/>
      <c r="B920" s="835"/>
      <c r="C920" s="835"/>
      <c r="D920" s="835"/>
      <c r="E920" s="835"/>
    </row>
    <row r="921" spans="1:5" ht="15.75" x14ac:dyDescent="0.25">
      <c r="A921" s="834"/>
      <c r="B921" s="835"/>
      <c r="C921" s="835"/>
      <c r="D921" s="835"/>
      <c r="E921" s="835"/>
    </row>
    <row r="922" spans="1:5" ht="15.75" x14ac:dyDescent="0.25">
      <c r="A922" s="834"/>
      <c r="B922" s="835"/>
      <c r="C922" s="835"/>
      <c r="D922" s="835"/>
      <c r="E922" s="835"/>
    </row>
    <row r="923" spans="1:5" ht="15.75" x14ac:dyDescent="0.25">
      <c r="A923" s="834"/>
      <c r="B923" s="835"/>
      <c r="C923" s="835"/>
      <c r="D923" s="835"/>
      <c r="E923" s="835"/>
    </row>
    <row r="924" spans="1:5" ht="15.75" x14ac:dyDescent="0.25">
      <c r="A924" s="834"/>
      <c r="B924" s="835"/>
      <c r="C924" s="835"/>
      <c r="D924" s="835"/>
      <c r="E924" s="835"/>
    </row>
    <row r="925" spans="1:5" ht="15.75" x14ac:dyDescent="0.25">
      <c r="A925" s="834"/>
      <c r="B925" s="835"/>
      <c r="C925" s="835"/>
      <c r="D925" s="835"/>
      <c r="E925" s="835"/>
    </row>
    <row r="926" spans="1:5" ht="15.75" x14ac:dyDescent="0.25">
      <c r="A926" s="834"/>
      <c r="B926" s="835"/>
      <c r="C926" s="835"/>
      <c r="D926" s="835"/>
      <c r="E926" s="835"/>
    </row>
    <row r="927" spans="1:5" ht="15.75" x14ac:dyDescent="0.25">
      <c r="A927" s="834"/>
      <c r="B927" s="835"/>
      <c r="C927" s="835"/>
      <c r="D927" s="835"/>
      <c r="E927" s="835"/>
    </row>
    <row r="928" spans="1:5" ht="15.75" x14ac:dyDescent="0.25">
      <c r="A928" s="834"/>
      <c r="B928" s="835"/>
      <c r="C928" s="835"/>
      <c r="D928" s="835"/>
      <c r="E928" s="835"/>
    </row>
    <row r="929" spans="1:5" ht="15.75" x14ac:dyDescent="0.25">
      <c r="A929" s="834"/>
      <c r="B929" s="835"/>
      <c r="C929" s="835"/>
      <c r="D929" s="835"/>
      <c r="E929" s="835"/>
    </row>
    <row r="930" spans="1:5" ht="15.75" x14ac:dyDescent="0.25">
      <c r="A930" s="834"/>
      <c r="B930" s="835"/>
      <c r="C930" s="835"/>
      <c r="D930" s="835"/>
      <c r="E930" s="835"/>
    </row>
    <row r="931" spans="1:5" ht="15.75" x14ac:dyDescent="0.25">
      <c r="A931" s="834"/>
      <c r="B931" s="835"/>
      <c r="C931" s="835"/>
      <c r="D931" s="835"/>
      <c r="E931" s="835"/>
    </row>
    <row r="932" spans="1:5" ht="15.75" x14ac:dyDescent="0.25">
      <c r="A932" s="834"/>
      <c r="B932" s="835"/>
      <c r="C932" s="835"/>
      <c r="D932" s="835"/>
      <c r="E932" s="835"/>
    </row>
    <row r="933" spans="1:5" ht="15.75" x14ac:dyDescent="0.25">
      <c r="A933" s="834"/>
      <c r="B933" s="835"/>
      <c r="C933" s="835"/>
      <c r="D933" s="835"/>
      <c r="E933" s="835"/>
    </row>
    <row r="934" spans="1:5" ht="15.75" x14ac:dyDescent="0.25">
      <c r="A934" s="834"/>
      <c r="B934" s="835"/>
      <c r="C934" s="835"/>
      <c r="D934" s="835"/>
      <c r="E934" s="835"/>
    </row>
    <row r="935" spans="1:5" ht="15.75" x14ac:dyDescent="0.25">
      <c r="A935" s="834"/>
      <c r="B935" s="835"/>
      <c r="C935" s="835"/>
      <c r="D935" s="835"/>
      <c r="E935" s="835"/>
    </row>
    <row r="936" spans="1:5" ht="15.75" x14ac:dyDescent="0.25">
      <c r="A936" s="834"/>
      <c r="B936" s="835"/>
      <c r="C936" s="835"/>
      <c r="D936" s="835"/>
      <c r="E936" s="835"/>
    </row>
    <row r="937" spans="1:5" ht="15.75" x14ac:dyDescent="0.25">
      <c r="A937" s="834"/>
      <c r="B937" s="835"/>
      <c r="C937" s="835"/>
      <c r="D937" s="835"/>
      <c r="E937" s="835"/>
    </row>
    <row r="938" spans="1:5" ht="15.75" x14ac:dyDescent="0.25">
      <c r="A938" s="834"/>
      <c r="B938" s="835"/>
      <c r="C938" s="835"/>
      <c r="D938" s="835"/>
      <c r="E938" s="835"/>
    </row>
    <row r="939" spans="1:5" ht="15.75" x14ac:dyDescent="0.25">
      <c r="A939" s="834"/>
      <c r="B939" s="835"/>
      <c r="C939" s="835"/>
      <c r="D939" s="835"/>
      <c r="E939" s="835"/>
    </row>
    <row r="940" spans="1:5" ht="15.75" x14ac:dyDescent="0.25">
      <c r="A940" s="834"/>
      <c r="B940" s="835"/>
      <c r="C940" s="835"/>
      <c r="D940" s="835"/>
      <c r="E940" s="835"/>
    </row>
    <row r="941" spans="1:5" ht="15.75" x14ac:dyDescent="0.25">
      <c r="A941" s="834"/>
      <c r="B941" s="835"/>
      <c r="C941" s="835"/>
      <c r="D941" s="835"/>
      <c r="E941" s="835"/>
    </row>
    <row r="942" spans="1:5" ht="15.75" x14ac:dyDescent="0.25">
      <c r="A942" s="834"/>
      <c r="B942" s="835"/>
      <c r="C942" s="835"/>
      <c r="D942" s="835"/>
      <c r="E942" s="835"/>
    </row>
    <row r="943" spans="1:5" ht="15.75" x14ac:dyDescent="0.25">
      <c r="A943" s="834"/>
      <c r="B943" s="835"/>
      <c r="C943" s="835"/>
      <c r="D943" s="835"/>
      <c r="E943" s="835"/>
    </row>
    <row r="944" spans="1:5" ht="15.75" x14ac:dyDescent="0.25">
      <c r="A944" s="834"/>
      <c r="B944" s="835"/>
      <c r="C944" s="835"/>
      <c r="D944" s="835"/>
      <c r="E944" s="835"/>
    </row>
    <row r="945" spans="1:5" ht="15.75" x14ac:dyDescent="0.25">
      <c r="A945" s="834"/>
      <c r="B945" s="835"/>
      <c r="C945" s="835"/>
      <c r="D945" s="835"/>
      <c r="E945" s="835"/>
    </row>
    <row r="946" spans="1:5" ht="15.75" x14ac:dyDescent="0.25">
      <c r="A946" s="834"/>
      <c r="B946" s="835"/>
      <c r="C946" s="835"/>
      <c r="D946" s="835"/>
      <c r="E946" s="835"/>
    </row>
    <row r="947" spans="1:5" ht="15.75" x14ac:dyDescent="0.25">
      <c r="A947" s="834"/>
      <c r="B947" s="835"/>
      <c r="C947" s="835"/>
      <c r="D947" s="835"/>
      <c r="E947" s="835"/>
    </row>
    <row r="948" spans="1:5" ht="15.75" x14ac:dyDescent="0.25">
      <c r="A948" s="834"/>
      <c r="B948" s="835"/>
      <c r="C948" s="835"/>
      <c r="D948" s="835"/>
      <c r="E948" s="835"/>
    </row>
    <row r="949" spans="1:5" ht="15.75" x14ac:dyDescent="0.25">
      <c r="A949" s="834"/>
      <c r="B949" s="835"/>
      <c r="C949" s="835"/>
      <c r="D949" s="835"/>
      <c r="E949" s="835"/>
    </row>
    <row r="950" spans="1:5" ht="15.75" x14ac:dyDescent="0.25">
      <c r="A950" s="834"/>
      <c r="B950" s="835"/>
      <c r="C950" s="835"/>
      <c r="D950" s="835"/>
      <c r="E950" s="835"/>
    </row>
    <row r="951" spans="1:5" ht="15.75" x14ac:dyDescent="0.25">
      <c r="A951" s="834"/>
      <c r="B951" s="835"/>
      <c r="C951" s="835"/>
      <c r="D951" s="835"/>
      <c r="E951" s="835"/>
    </row>
    <row r="952" spans="1:5" ht="15.75" x14ac:dyDescent="0.25">
      <c r="A952" s="834"/>
      <c r="B952" s="835"/>
      <c r="C952" s="835"/>
      <c r="D952" s="835"/>
      <c r="E952" s="835"/>
    </row>
    <row r="953" spans="1:5" ht="15.75" x14ac:dyDescent="0.25">
      <c r="A953" s="834"/>
      <c r="B953" s="835"/>
      <c r="C953" s="835"/>
      <c r="D953" s="835"/>
      <c r="E953" s="835"/>
    </row>
    <row r="954" spans="1:5" ht="15.75" x14ac:dyDescent="0.25">
      <c r="A954" s="834"/>
      <c r="B954" s="835"/>
      <c r="C954" s="835"/>
      <c r="D954" s="835"/>
      <c r="E954" s="835"/>
    </row>
    <row r="955" spans="1:5" ht="15.75" x14ac:dyDescent="0.25">
      <c r="A955" s="834"/>
      <c r="B955" s="835"/>
      <c r="C955" s="835"/>
      <c r="D955" s="835"/>
      <c r="E955" s="835"/>
    </row>
    <row r="956" spans="1:5" ht="15.75" x14ac:dyDescent="0.25">
      <c r="A956" s="834"/>
      <c r="B956" s="835"/>
      <c r="C956" s="835"/>
      <c r="D956" s="835"/>
      <c r="E956" s="835"/>
    </row>
    <row r="957" spans="1:5" ht="15.75" x14ac:dyDescent="0.25">
      <c r="A957" s="834"/>
      <c r="B957" s="835"/>
      <c r="C957" s="835"/>
      <c r="D957" s="835"/>
      <c r="E957" s="835"/>
    </row>
    <row r="958" spans="1:5" ht="15.75" x14ac:dyDescent="0.25">
      <c r="A958" s="834"/>
      <c r="B958" s="835"/>
      <c r="C958" s="835"/>
      <c r="D958" s="835"/>
      <c r="E958" s="835"/>
    </row>
    <row r="959" spans="1:5" ht="15.75" x14ac:dyDescent="0.25">
      <c r="A959" s="834"/>
      <c r="B959" s="835"/>
      <c r="C959" s="835"/>
      <c r="D959" s="835"/>
      <c r="E959" s="835"/>
    </row>
    <row r="960" spans="1:5" ht="15.75" x14ac:dyDescent="0.25">
      <c r="A960" s="834"/>
      <c r="B960" s="835"/>
      <c r="C960" s="835"/>
      <c r="D960" s="835"/>
      <c r="E960" s="835"/>
    </row>
    <row r="961" spans="1:5" ht="15.75" x14ac:dyDescent="0.25">
      <c r="A961" s="834"/>
      <c r="B961" s="835"/>
      <c r="C961" s="835"/>
      <c r="D961" s="835"/>
      <c r="E961" s="835"/>
    </row>
    <row r="962" spans="1:5" ht="15.75" x14ac:dyDescent="0.25">
      <c r="A962" s="834"/>
      <c r="B962" s="835"/>
      <c r="C962" s="835"/>
      <c r="D962" s="835"/>
      <c r="E962" s="835"/>
    </row>
    <row r="963" spans="1:5" ht="15.75" x14ac:dyDescent="0.25">
      <c r="A963" s="834"/>
      <c r="B963" s="835"/>
      <c r="C963" s="835"/>
      <c r="D963" s="835"/>
      <c r="E963" s="835"/>
    </row>
    <row r="964" spans="1:5" ht="15.75" x14ac:dyDescent="0.25">
      <c r="A964" s="834"/>
      <c r="B964" s="835"/>
      <c r="C964" s="835"/>
      <c r="D964" s="835"/>
      <c r="E964" s="835"/>
    </row>
    <row r="965" spans="1:5" ht="15.75" x14ac:dyDescent="0.25">
      <c r="A965" s="834"/>
      <c r="B965" s="835"/>
      <c r="C965" s="835"/>
      <c r="D965" s="835"/>
      <c r="E965" s="835"/>
    </row>
    <row r="966" spans="1:5" ht="15.75" x14ac:dyDescent="0.25">
      <c r="A966" s="834"/>
      <c r="B966" s="835"/>
      <c r="C966" s="835"/>
      <c r="D966" s="835"/>
      <c r="E966" s="835"/>
    </row>
    <row r="967" spans="1:5" ht="15.75" x14ac:dyDescent="0.25">
      <c r="A967" s="834"/>
      <c r="B967" s="835"/>
      <c r="C967" s="835"/>
      <c r="D967" s="835"/>
      <c r="E967" s="835"/>
    </row>
    <row r="968" spans="1:5" ht="15.75" x14ac:dyDescent="0.25">
      <c r="A968" s="834"/>
      <c r="B968" s="835"/>
      <c r="C968" s="835"/>
      <c r="D968" s="835"/>
      <c r="E968" s="835"/>
    </row>
    <row r="969" spans="1:5" ht="15.75" x14ac:dyDescent="0.25">
      <c r="A969" s="834"/>
      <c r="B969" s="835"/>
      <c r="C969" s="835"/>
      <c r="D969" s="835"/>
      <c r="E969" s="835"/>
    </row>
    <row r="970" spans="1:5" ht="15.75" x14ac:dyDescent="0.25">
      <c r="A970" s="834"/>
      <c r="B970" s="835"/>
      <c r="C970" s="835"/>
      <c r="D970" s="835"/>
      <c r="E970" s="835"/>
    </row>
    <row r="971" spans="1:5" ht="15.75" x14ac:dyDescent="0.25">
      <c r="A971" s="834"/>
      <c r="B971" s="835"/>
      <c r="C971" s="835"/>
      <c r="D971" s="835"/>
      <c r="E971" s="835"/>
    </row>
    <row r="972" spans="1:5" ht="15.75" x14ac:dyDescent="0.25">
      <c r="A972" s="834"/>
      <c r="B972" s="835"/>
      <c r="C972" s="835"/>
      <c r="D972" s="835"/>
      <c r="E972" s="835"/>
    </row>
    <row r="973" spans="1:5" ht="15.75" x14ac:dyDescent="0.25">
      <c r="A973" s="834"/>
      <c r="B973" s="835"/>
      <c r="C973" s="835"/>
      <c r="D973" s="835"/>
      <c r="E973" s="835"/>
    </row>
    <row r="974" spans="1:5" ht="15.75" x14ac:dyDescent="0.25">
      <c r="A974" s="834"/>
      <c r="B974" s="835"/>
      <c r="C974" s="835"/>
      <c r="D974" s="835"/>
      <c r="E974" s="835"/>
    </row>
    <row r="975" spans="1:5" ht="15.75" x14ac:dyDescent="0.25">
      <c r="A975" s="834"/>
      <c r="B975" s="835"/>
      <c r="C975" s="835"/>
      <c r="D975" s="835"/>
      <c r="E975" s="835"/>
    </row>
    <row r="976" spans="1:5" ht="15.75" x14ac:dyDescent="0.25">
      <c r="A976" s="834"/>
      <c r="B976" s="835"/>
      <c r="C976" s="835"/>
      <c r="D976" s="835"/>
      <c r="E976" s="835"/>
    </row>
    <row r="977" spans="1:5" ht="15.75" x14ac:dyDescent="0.25">
      <c r="A977" s="834"/>
      <c r="B977" s="835"/>
      <c r="C977" s="835"/>
      <c r="D977" s="835"/>
      <c r="E977" s="835"/>
    </row>
    <row r="978" spans="1:5" ht="15.75" x14ac:dyDescent="0.25">
      <c r="A978" s="834"/>
      <c r="B978" s="835"/>
      <c r="C978" s="835"/>
      <c r="D978" s="835"/>
      <c r="E978" s="835"/>
    </row>
    <row r="979" spans="1:5" ht="15.75" x14ac:dyDescent="0.25">
      <c r="A979" s="834"/>
      <c r="B979" s="835"/>
      <c r="C979" s="835"/>
      <c r="D979" s="835"/>
      <c r="E979" s="835"/>
    </row>
    <row r="980" spans="1:5" ht="15.75" x14ac:dyDescent="0.25">
      <c r="A980" s="834"/>
      <c r="B980" s="835"/>
      <c r="C980" s="835"/>
      <c r="D980" s="835"/>
      <c r="E980" s="835"/>
    </row>
    <row r="981" spans="1:5" ht="15.75" x14ac:dyDescent="0.25">
      <c r="A981" s="834"/>
      <c r="B981" s="835"/>
      <c r="C981" s="835"/>
      <c r="D981" s="835"/>
      <c r="E981" s="835"/>
    </row>
    <row r="982" spans="1:5" ht="15.75" x14ac:dyDescent="0.25">
      <c r="A982" s="834"/>
      <c r="B982" s="835"/>
      <c r="C982" s="835"/>
      <c r="D982" s="835"/>
      <c r="E982" s="835"/>
    </row>
    <row r="983" spans="1:5" ht="15.75" x14ac:dyDescent="0.25">
      <c r="A983" s="834"/>
      <c r="B983" s="835"/>
      <c r="C983" s="835"/>
      <c r="D983" s="835"/>
      <c r="E983" s="835"/>
    </row>
    <row r="984" spans="1:5" ht="15.75" x14ac:dyDescent="0.25">
      <c r="A984" s="834"/>
      <c r="B984" s="835"/>
      <c r="C984" s="835"/>
      <c r="D984" s="835"/>
      <c r="E984" s="835"/>
    </row>
    <row r="985" spans="1:5" ht="15.75" x14ac:dyDescent="0.25">
      <c r="A985" s="834"/>
      <c r="B985" s="835"/>
      <c r="C985" s="835"/>
      <c r="D985" s="835"/>
      <c r="E985" s="835"/>
    </row>
    <row r="986" spans="1:5" ht="15.75" x14ac:dyDescent="0.25">
      <c r="A986" s="834"/>
      <c r="B986" s="835"/>
      <c r="C986" s="835"/>
      <c r="D986" s="835"/>
      <c r="E986" s="835"/>
    </row>
    <row r="987" spans="1:5" ht="15.75" x14ac:dyDescent="0.25">
      <c r="A987" s="834"/>
      <c r="B987" s="835"/>
      <c r="C987" s="835"/>
      <c r="D987" s="835"/>
      <c r="E987" s="835"/>
    </row>
    <row r="988" spans="1:5" ht="15.75" x14ac:dyDescent="0.25">
      <c r="A988" s="834"/>
      <c r="B988" s="835"/>
      <c r="C988" s="835"/>
      <c r="D988" s="835"/>
      <c r="E988" s="835"/>
    </row>
    <row r="989" spans="1:5" ht="15.75" x14ac:dyDescent="0.25">
      <c r="A989" s="834"/>
      <c r="B989" s="835"/>
      <c r="C989" s="835"/>
      <c r="D989" s="835"/>
      <c r="E989" s="835"/>
    </row>
    <row r="990" spans="1:5" ht="15.75" x14ac:dyDescent="0.25">
      <c r="A990" s="834"/>
      <c r="B990" s="835"/>
      <c r="C990" s="835"/>
      <c r="D990" s="835"/>
      <c r="E990" s="835"/>
    </row>
    <row r="991" spans="1:5" ht="15.75" x14ac:dyDescent="0.25">
      <c r="A991" s="834"/>
      <c r="B991" s="835"/>
      <c r="C991" s="835"/>
      <c r="D991" s="835"/>
      <c r="E991" s="835"/>
    </row>
    <row r="992" spans="1:5" ht="15.75" x14ac:dyDescent="0.25">
      <c r="A992" s="834"/>
      <c r="B992" s="835"/>
      <c r="C992" s="835"/>
      <c r="D992" s="835"/>
      <c r="E992" s="835"/>
    </row>
    <row r="993" spans="1:5" ht="15.75" x14ac:dyDescent="0.25">
      <c r="A993" s="834"/>
      <c r="B993" s="835"/>
      <c r="C993" s="835"/>
      <c r="D993" s="835"/>
      <c r="E993" s="835"/>
    </row>
    <row r="994" spans="1:5" ht="15.75" x14ac:dyDescent="0.25">
      <c r="A994" s="834"/>
      <c r="B994" s="835"/>
      <c r="C994" s="835"/>
      <c r="D994" s="835"/>
      <c r="E994" s="835"/>
    </row>
    <row r="995" spans="1:5" ht="15.75" x14ac:dyDescent="0.25">
      <c r="A995" s="834"/>
      <c r="B995" s="835"/>
      <c r="C995" s="835"/>
      <c r="D995" s="835"/>
      <c r="E995" s="835"/>
    </row>
    <row r="996" spans="1:5" ht="15.75" x14ac:dyDescent="0.25">
      <c r="A996" s="834"/>
      <c r="B996" s="835"/>
      <c r="C996" s="835"/>
      <c r="D996" s="835"/>
      <c r="E996" s="835"/>
    </row>
    <row r="997" spans="1:5" ht="15.75" x14ac:dyDescent="0.25">
      <c r="A997" s="834"/>
      <c r="B997" s="835"/>
      <c r="C997" s="835"/>
      <c r="D997" s="835"/>
      <c r="E997" s="835"/>
    </row>
    <row r="998" spans="1:5" ht="15.75" x14ac:dyDescent="0.25">
      <c r="A998" s="834"/>
      <c r="B998" s="835"/>
      <c r="C998" s="835"/>
      <c r="D998" s="835"/>
      <c r="E998" s="835"/>
    </row>
    <row r="999" spans="1:5" ht="15.75" x14ac:dyDescent="0.25">
      <c r="A999" s="834"/>
      <c r="B999" s="835"/>
      <c r="C999" s="835"/>
      <c r="D999" s="835"/>
      <c r="E999" s="835"/>
    </row>
    <row r="1000" spans="1:5" ht="15.75" x14ac:dyDescent="0.25">
      <c r="A1000" s="834"/>
      <c r="B1000" s="835"/>
      <c r="C1000" s="835"/>
      <c r="D1000" s="835"/>
      <c r="E1000" s="835"/>
    </row>
    <row r="1001" spans="1:5" ht="15.75" x14ac:dyDescent="0.25">
      <c r="A1001" s="834"/>
      <c r="B1001" s="835"/>
      <c r="C1001" s="835"/>
      <c r="D1001" s="835"/>
      <c r="E1001" s="835"/>
    </row>
    <row r="1002" spans="1:5" ht="15.75" x14ac:dyDescent="0.25">
      <c r="A1002" s="834"/>
      <c r="B1002" s="835"/>
      <c r="C1002" s="835"/>
      <c r="D1002" s="835"/>
      <c r="E1002" s="835"/>
    </row>
    <row r="1003" spans="1:5" ht="15.75" x14ac:dyDescent="0.25">
      <c r="A1003" s="834"/>
      <c r="B1003" s="835"/>
      <c r="C1003" s="835"/>
      <c r="D1003" s="835"/>
      <c r="E1003" s="835"/>
    </row>
    <row r="1004" spans="1:5" ht="15.75" x14ac:dyDescent="0.25">
      <c r="A1004" s="834"/>
      <c r="B1004" s="835"/>
      <c r="C1004" s="835"/>
      <c r="D1004" s="835"/>
      <c r="E1004" s="835"/>
    </row>
    <row r="1005" spans="1:5" ht="15.75" x14ac:dyDescent="0.25">
      <c r="A1005" s="834"/>
      <c r="B1005" s="835"/>
      <c r="C1005" s="835"/>
      <c r="D1005" s="835"/>
      <c r="E1005" s="835"/>
    </row>
    <row r="1006" spans="1:5" ht="15.75" x14ac:dyDescent="0.25">
      <c r="A1006" s="834"/>
      <c r="B1006" s="835"/>
      <c r="C1006" s="835"/>
      <c r="D1006" s="835"/>
      <c r="E1006" s="835"/>
    </row>
    <row r="1007" spans="1:5" ht="15.75" x14ac:dyDescent="0.25">
      <c r="A1007" s="834"/>
      <c r="B1007" s="835"/>
      <c r="C1007" s="835"/>
      <c r="D1007" s="835"/>
      <c r="E1007" s="835"/>
    </row>
    <row r="1008" spans="1:5" ht="15.75" x14ac:dyDescent="0.25">
      <c r="A1008" s="834"/>
      <c r="B1008" s="835"/>
      <c r="C1008" s="835"/>
      <c r="D1008" s="835"/>
      <c r="E1008" s="835"/>
    </row>
    <row r="1009" spans="1:5" ht="15.75" x14ac:dyDescent="0.25">
      <c r="A1009" s="834"/>
      <c r="B1009" s="835"/>
      <c r="C1009" s="835"/>
      <c r="D1009" s="835"/>
      <c r="E1009" s="835"/>
    </row>
    <row r="1010" spans="1:5" ht="15.75" x14ac:dyDescent="0.25">
      <c r="A1010" s="834"/>
      <c r="B1010" s="835"/>
      <c r="C1010" s="835"/>
      <c r="D1010" s="835"/>
      <c r="E1010" s="835"/>
    </row>
    <row r="1011" spans="1:5" ht="15.75" x14ac:dyDescent="0.25">
      <c r="A1011" s="834"/>
      <c r="B1011" s="835"/>
      <c r="C1011" s="835"/>
      <c r="D1011" s="835"/>
      <c r="E1011" s="835"/>
    </row>
    <row r="1012" spans="1:5" ht="15.75" x14ac:dyDescent="0.25">
      <c r="A1012" s="834"/>
      <c r="B1012" s="835"/>
      <c r="C1012" s="835"/>
      <c r="D1012" s="835"/>
      <c r="E1012" s="835"/>
    </row>
    <row r="1013" spans="1:5" ht="15.75" x14ac:dyDescent="0.25">
      <c r="A1013" s="834"/>
      <c r="B1013" s="835"/>
      <c r="C1013" s="835"/>
      <c r="D1013" s="835"/>
      <c r="E1013" s="835"/>
    </row>
    <row r="1014" spans="1:5" ht="15.75" x14ac:dyDescent="0.25">
      <c r="A1014" s="834"/>
      <c r="B1014" s="835"/>
      <c r="C1014" s="835"/>
      <c r="D1014" s="835"/>
      <c r="E1014" s="835"/>
    </row>
    <row r="1015" spans="1:5" ht="15.75" x14ac:dyDescent="0.25">
      <c r="A1015" s="834"/>
      <c r="B1015" s="835"/>
      <c r="C1015" s="835"/>
      <c r="D1015" s="835"/>
      <c r="E1015" s="835"/>
    </row>
    <row r="1016" spans="1:5" ht="15.75" x14ac:dyDescent="0.25">
      <c r="A1016" s="834"/>
      <c r="B1016" s="835"/>
      <c r="C1016" s="835"/>
      <c r="D1016" s="835"/>
      <c r="E1016" s="835"/>
    </row>
    <row r="1017" spans="1:5" ht="15.75" x14ac:dyDescent="0.25">
      <c r="A1017" s="834"/>
      <c r="B1017" s="835"/>
      <c r="C1017" s="835"/>
      <c r="D1017" s="835"/>
      <c r="E1017" s="835"/>
    </row>
    <row r="1018" spans="1:5" ht="15.75" x14ac:dyDescent="0.25">
      <c r="A1018" s="834"/>
      <c r="B1018" s="835"/>
      <c r="C1018" s="835"/>
      <c r="D1018" s="835"/>
      <c r="E1018" s="835"/>
    </row>
    <row r="1019" spans="1:5" ht="15.75" x14ac:dyDescent="0.25">
      <c r="A1019" s="834"/>
      <c r="B1019" s="835"/>
      <c r="C1019" s="835"/>
      <c r="D1019" s="835"/>
      <c r="E1019" s="835"/>
    </row>
    <row r="1020" spans="1:5" ht="15.75" x14ac:dyDescent="0.25">
      <c r="A1020" s="834"/>
      <c r="B1020" s="835"/>
      <c r="C1020" s="835"/>
      <c r="D1020" s="835"/>
      <c r="E1020" s="835"/>
    </row>
    <row r="1021" spans="1:5" ht="15.75" x14ac:dyDescent="0.25">
      <c r="A1021" s="834"/>
      <c r="B1021" s="835"/>
      <c r="C1021" s="835"/>
      <c r="D1021" s="835"/>
      <c r="E1021" s="835"/>
    </row>
    <row r="1022" spans="1:5" ht="15.75" x14ac:dyDescent="0.25">
      <c r="A1022" s="834"/>
      <c r="B1022" s="835"/>
      <c r="C1022" s="835"/>
      <c r="D1022" s="835"/>
      <c r="E1022" s="835"/>
    </row>
    <row r="1023" spans="1:5" ht="15.75" x14ac:dyDescent="0.25">
      <c r="A1023" s="834"/>
      <c r="B1023" s="835"/>
      <c r="C1023" s="835"/>
      <c r="D1023" s="835"/>
      <c r="E1023" s="835"/>
    </row>
    <row r="1024" spans="1:5" ht="15.75" x14ac:dyDescent="0.25">
      <c r="A1024" s="834"/>
      <c r="B1024" s="835"/>
      <c r="C1024" s="835"/>
      <c r="D1024" s="835"/>
      <c r="E1024" s="835"/>
    </row>
    <row r="1025" spans="1:5" ht="15.75" x14ac:dyDescent="0.25">
      <c r="A1025" s="834"/>
      <c r="B1025" s="835"/>
      <c r="C1025" s="835"/>
      <c r="D1025" s="835"/>
      <c r="E1025" s="835"/>
    </row>
    <row r="1026" spans="1:5" ht="15.75" x14ac:dyDescent="0.25">
      <c r="A1026" s="834"/>
      <c r="B1026" s="835"/>
      <c r="C1026" s="835"/>
      <c r="D1026" s="835"/>
      <c r="E1026" s="835"/>
    </row>
    <row r="1027" spans="1:5" ht="15.75" x14ac:dyDescent="0.25">
      <c r="A1027" s="834"/>
      <c r="B1027" s="835"/>
      <c r="C1027" s="835"/>
      <c r="D1027" s="835"/>
      <c r="E1027" s="835"/>
    </row>
    <row r="1028" spans="1:5" ht="15.75" x14ac:dyDescent="0.25">
      <c r="A1028" s="834"/>
      <c r="B1028" s="835"/>
      <c r="C1028" s="835"/>
      <c r="D1028" s="835"/>
      <c r="E1028" s="835"/>
    </row>
    <row r="1029" spans="1:5" ht="15.75" x14ac:dyDescent="0.25">
      <c r="A1029" s="834"/>
      <c r="B1029" s="835"/>
      <c r="C1029" s="835"/>
      <c r="D1029" s="835"/>
      <c r="E1029" s="835"/>
    </row>
    <row r="1030" spans="1:5" ht="15.75" x14ac:dyDescent="0.25">
      <c r="A1030" s="834"/>
      <c r="B1030" s="835"/>
      <c r="C1030" s="835"/>
      <c r="D1030" s="835"/>
      <c r="E1030" s="835"/>
    </row>
    <row r="1031" spans="1:5" ht="15.75" x14ac:dyDescent="0.25">
      <c r="A1031" s="834"/>
      <c r="B1031" s="835"/>
      <c r="C1031" s="835"/>
      <c r="D1031" s="835"/>
      <c r="E1031" s="835"/>
    </row>
    <row r="1032" spans="1:5" ht="15.75" x14ac:dyDescent="0.25">
      <c r="A1032" s="834"/>
      <c r="B1032" s="835"/>
      <c r="C1032" s="835"/>
      <c r="D1032" s="835"/>
      <c r="E1032" s="835"/>
    </row>
    <row r="1033" spans="1:5" ht="15.75" x14ac:dyDescent="0.25">
      <c r="A1033" s="834"/>
      <c r="B1033" s="835"/>
      <c r="C1033" s="835"/>
      <c r="D1033" s="835"/>
      <c r="E1033" s="835"/>
    </row>
    <row r="1034" spans="1:5" ht="15.75" x14ac:dyDescent="0.25">
      <c r="A1034" s="834"/>
      <c r="B1034" s="835"/>
      <c r="C1034" s="835"/>
      <c r="D1034" s="835"/>
      <c r="E1034" s="835"/>
    </row>
    <row r="1035" spans="1:5" ht="15.75" x14ac:dyDescent="0.25">
      <c r="A1035" s="834"/>
      <c r="B1035" s="835"/>
      <c r="C1035" s="835"/>
      <c r="D1035" s="835"/>
      <c r="E1035" s="835"/>
    </row>
    <row r="1036" spans="1:5" ht="15.75" x14ac:dyDescent="0.25">
      <c r="A1036" s="834"/>
      <c r="B1036" s="835"/>
      <c r="C1036" s="835"/>
      <c r="D1036" s="835"/>
      <c r="E1036" s="835"/>
    </row>
    <row r="1037" spans="1:5" ht="15.75" x14ac:dyDescent="0.25">
      <c r="A1037" s="834"/>
      <c r="B1037" s="835"/>
      <c r="C1037" s="835"/>
      <c r="D1037" s="835"/>
      <c r="E1037" s="835"/>
    </row>
    <row r="1038" spans="1:5" ht="15.75" x14ac:dyDescent="0.25">
      <c r="A1038" s="834"/>
      <c r="B1038" s="835"/>
      <c r="C1038" s="835"/>
      <c r="D1038" s="835"/>
      <c r="E1038" s="835"/>
    </row>
    <row r="1039" spans="1:5" ht="15.75" x14ac:dyDescent="0.25">
      <c r="A1039" s="834"/>
      <c r="B1039" s="835"/>
      <c r="C1039" s="835"/>
      <c r="D1039" s="835"/>
      <c r="E1039" s="835"/>
    </row>
    <row r="1040" spans="1:5" ht="15.75" x14ac:dyDescent="0.25">
      <c r="A1040" s="834"/>
      <c r="B1040" s="835"/>
      <c r="C1040" s="835"/>
      <c r="D1040" s="835"/>
      <c r="E1040" s="835"/>
    </row>
    <row r="1041" spans="1:5" ht="15.75" x14ac:dyDescent="0.25">
      <c r="A1041" s="834"/>
      <c r="B1041" s="835"/>
      <c r="C1041" s="835"/>
      <c r="D1041" s="835"/>
      <c r="E1041" s="835"/>
    </row>
    <row r="1042" spans="1:5" ht="15.75" x14ac:dyDescent="0.25">
      <c r="A1042" s="834"/>
      <c r="B1042" s="835"/>
      <c r="C1042" s="835"/>
      <c r="D1042" s="835"/>
      <c r="E1042" s="835"/>
    </row>
    <row r="1043" spans="1:5" ht="15.75" x14ac:dyDescent="0.25">
      <c r="A1043" s="834"/>
      <c r="B1043" s="835"/>
      <c r="C1043" s="835"/>
      <c r="D1043" s="835"/>
      <c r="E1043" s="835"/>
    </row>
    <row r="1044" spans="1:5" ht="15.75" x14ac:dyDescent="0.25">
      <c r="A1044" s="834"/>
      <c r="B1044" s="835"/>
      <c r="C1044" s="835"/>
      <c r="D1044" s="835"/>
      <c r="E1044" s="835"/>
    </row>
    <row r="1045" spans="1:5" ht="15.75" x14ac:dyDescent="0.25">
      <c r="A1045" s="834"/>
      <c r="B1045" s="835"/>
      <c r="C1045" s="835"/>
      <c r="D1045" s="835"/>
      <c r="E1045" s="835"/>
    </row>
    <row r="1046" spans="1:5" ht="15.75" x14ac:dyDescent="0.25">
      <c r="A1046" s="834"/>
      <c r="B1046" s="835"/>
      <c r="C1046" s="835"/>
      <c r="D1046" s="835"/>
      <c r="E1046" s="835"/>
    </row>
    <row r="1047" spans="1:5" ht="15.75" x14ac:dyDescent="0.25">
      <c r="A1047" s="834"/>
      <c r="B1047" s="835"/>
      <c r="C1047" s="835"/>
      <c r="D1047" s="835"/>
      <c r="E1047" s="835"/>
    </row>
    <row r="1048" spans="1:5" ht="15.75" x14ac:dyDescent="0.25">
      <c r="A1048" s="834"/>
      <c r="B1048" s="835"/>
      <c r="C1048" s="835"/>
      <c r="D1048" s="835"/>
      <c r="E1048" s="835"/>
    </row>
    <row r="1049" spans="1:5" ht="15.75" x14ac:dyDescent="0.25">
      <c r="A1049" s="834"/>
      <c r="B1049" s="835"/>
      <c r="C1049" s="835"/>
      <c r="D1049" s="835"/>
      <c r="E1049" s="835"/>
    </row>
    <row r="1050" spans="1:5" ht="15.75" x14ac:dyDescent="0.25">
      <c r="A1050" s="834"/>
      <c r="B1050" s="835"/>
      <c r="C1050" s="835"/>
      <c r="D1050" s="835"/>
      <c r="E1050" s="835"/>
    </row>
    <row r="1051" spans="1:5" ht="15.75" x14ac:dyDescent="0.25">
      <c r="A1051" s="834"/>
      <c r="B1051" s="835"/>
      <c r="C1051" s="835"/>
      <c r="D1051" s="835"/>
      <c r="E1051" s="835"/>
    </row>
    <row r="1052" spans="1:5" ht="15.75" x14ac:dyDescent="0.25">
      <c r="A1052" s="834"/>
      <c r="B1052" s="835"/>
      <c r="C1052" s="835"/>
      <c r="D1052" s="835"/>
      <c r="E1052" s="835"/>
    </row>
    <row r="1053" spans="1:5" ht="15.75" x14ac:dyDescent="0.25">
      <c r="A1053" s="834"/>
      <c r="B1053" s="835"/>
      <c r="C1053" s="835"/>
      <c r="D1053" s="835"/>
      <c r="E1053" s="835"/>
    </row>
    <row r="1054" spans="1:5" ht="15.75" x14ac:dyDescent="0.25">
      <c r="A1054" s="834"/>
      <c r="B1054" s="835"/>
      <c r="C1054" s="835"/>
      <c r="D1054" s="835"/>
      <c r="E1054" s="835"/>
    </row>
    <row r="1055" spans="1:5" ht="15.75" x14ac:dyDescent="0.25">
      <c r="A1055" s="834"/>
      <c r="B1055" s="835"/>
      <c r="C1055" s="835"/>
      <c r="D1055" s="835"/>
      <c r="E1055" s="835"/>
    </row>
    <row r="1056" spans="1:5" ht="15.75" x14ac:dyDescent="0.25">
      <c r="A1056" s="834"/>
      <c r="B1056" s="835"/>
      <c r="C1056" s="835"/>
      <c r="D1056" s="835"/>
      <c r="E1056" s="835"/>
    </row>
    <row r="1057" spans="1:5" ht="15.75" x14ac:dyDescent="0.25">
      <c r="A1057" s="834"/>
      <c r="B1057" s="835"/>
      <c r="C1057" s="835"/>
      <c r="D1057" s="835"/>
      <c r="E1057" s="835"/>
    </row>
    <row r="1058" spans="1:5" ht="15.75" x14ac:dyDescent="0.25">
      <c r="A1058" s="834"/>
      <c r="B1058" s="835"/>
      <c r="C1058" s="835"/>
      <c r="D1058" s="835"/>
      <c r="E1058" s="835"/>
    </row>
    <row r="1059" spans="1:5" ht="15.75" x14ac:dyDescent="0.25">
      <c r="A1059" s="834"/>
      <c r="B1059" s="835"/>
      <c r="C1059" s="835"/>
      <c r="D1059" s="835"/>
      <c r="E1059" s="835"/>
    </row>
    <row r="1060" spans="1:5" ht="15.75" x14ac:dyDescent="0.25">
      <c r="A1060" s="834"/>
      <c r="B1060" s="835"/>
      <c r="C1060" s="835"/>
      <c r="D1060" s="835"/>
      <c r="E1060" s="835"/>
    </row>
    <row r="1061" spans="1:5" ht="15.75" x14ac:dyDescent="0.25">
      <c r="A1061" s="834"/>
      <c r="B1061" s="835"/>
      <c r="C1061" s="835"/>
      <c r="D1061" s="835"/>
      <c r="E1061" s="835"/>
    </row>
    <row r="1062" spans="1:5" ht="15.75" x14ac:dyDescent="0.25">
      <c r="A1062" s="834"/>
      <c r="B1062" s="835"/>
      <c r="C1062" s="835"/>
      <c r="D1062" s="835"/>
      <c r="E1062" s="835"/>
    </row>
    <row r="1063" spans="1:5" ht="15.75" x14ac:dyDescent="0.25">
      <c r="A1063" s="834"/>
      <c r="B1063" s="835"/>
      <c r="C1063" s="835"/>
      <c r="D1063" s="835"/>
      <c r="E1063" s="835"/>
    </row>
    <row r="1064" spans="1:5" ht="15.75" x14ac:dyDescent="0.25">
      <c r="A1064" s="834"/>
      <c r="B1064" s="835"/>
      <c r="C1064" s="835"/>
      <c r="D1064" s="835"/>
      <c r="E1064" s="835"/>
    </row>
    <row r="1065" spans="1:5" ht="15.75" x14ac:dyDescent="0.25">
      <c r="A1065" s="834"/>
      <c r="B1065" s="835"/>
      <c r="C1065" s="835"/>
      <c r="D1065" s="835"/>
      <c r="E1065" s="835"/>
    </row>
    <row r="1066" spans="1:5" ht="15.75" x14ac:dyDescent="0.25">
      <c r="A1066" s="834"/>
      <c r="B1066" s="835"/>
      <c r="C1066" s="835"/>
      <c r="D1066" s="835"/>
      <c r="E1066" s="835"/>
    </row>
    <row r="1067" spans="1:5" ht="15.75" x14ac:dyDescent="0.25">
      <c r="A1067" s="834"/>
      <c r="B1067" s="835"/>
      <c r="C1067" s="835"/>
      <c r="D1067" s="835"/>
      <c r="E1067" s="835"/>
    </row>
    <row r="1068" spans="1:5" ht="15.75" x14ac:dyDescent="0.25">
      <c r="A1068" s="834"/>
      <c r="B1068" s="835"/>
      <c r="C1068" s="835"/>
      <c r="D1068" s="835"/>
      <c r="E1068" s="835"/>
    </row>
    <row r="1069" spans="1:5" ht="15.75" x14ac:dyDescent="0.25">
      <c r="A1069" s="834"/>
      <c r="B1069" s="835"/>
      <c r="C1069" s="835"/>
      <c r="D1069" s="835"/>
      <c r="E1069" s="835"/>
    </row>
    <row r="1070" spans="1:5" ht="15.75" x14ac:dyDescent="0.25">
      <c r="A1070" s="834"/>
      <c r="B1070" s="835"/>
      <c r="C1070" s="835"/>
      <c r="D1070" s="835"/>
      <c r="E1070" s="835"/>
    </row>
    <row r="1071" spans="1:5" ht="15.75" x14ac:dyDescent="0.25">
      <c r="A1071" s="834"/>
      <c r="B1071" s="835"/>
      <c r="C1071" s="835"/>
      <c r="D1071" s="835"/>
      <c r="E1071" s="835"/>
    </row>
    <row r="1072" spans="1:5" ht="15.75" x14ac:dyDescent="0.25">
      <c r="A1072" s="834"/>
      <c r="B1072" s="835"/>
      <c r="C1072" s="835"/>
      <c r="D1072" s="835"/>
      <c r="E1072" s="835"/>
    </row>
    <row r="1073" spans="1:5" ht="15.75" x14ac:dyDescent="0.25">
      <c r="A1073" s="834"/>
      <c r="B1073" s="835"/>
      <c r="C1073" s="835"/>
      <c r="D1073" s="835"/>
      <c r="E1073" s="835"/>
    </row>
    <row r="1074" spans="1:5" ht="15.75" x14ac:dyDescent="0.25">
      <c r="A1074" s="834"/>
      <c r="B1074" s="835"/>
      <c r="C1074" s="835"/>
      <c r="D1074" s="835"/>
      <c r="E1074" s="835"/>
    </row>
    <row r="1075" spans="1:5" ht="15.75" x14ac:dyDescent="0.25">
      <c r="A1075" s="834"/>
      <c r="B1075" s="835"/>
      <c r="C1075" s="835"/>
      <c r="D1075" s="835"/>
      <c r="E1075" s="835"/>
    </row>
    <row r="1076" spans="1:5" ht="15.75" x14ac:dyDescent="0.25">
      <c r="A1076" s="834"/>
      <c r="B1076" s="835"/>
      <c r="C1076" s="835"/>
      <c r="D1076" s="835"/>
      <c r="E1076" s="835"/>
    </row>
    <row r="1077" spans="1:5" ht="15.75" x14ac:dyDescent="0.25">
      <c r="A1077" s="834"/>
      <c r="B1077" s="835"/>
      <c r="C1077" s="835"/>
      <c r="D1077" s="835"/>
      <c r="E1077" s="835"/>
    </row>
    <row r="1078" spans="1:5" ht="15.75" x14ac:dyDescent="0.25">
      <c r="A1078" s="834"/>
      <c r="B1078" s="835"/>
      <c r="C1078" s="835"/>
      <c r="D1078" s="835"/>
      <c r="E1078" s="835"/>
    </row>
    <row r="1079" spans="1:5" ht="15.75" x14ac:dyDescent="0.25">
      <c r="A1079" s="834"/>
      <c r="B1079" s="835"/>
      <c r="C1079" s="835"/>
      <c r="D1079" s="835"/>
      <c r="E1079" s="835"/>
    </row>
    <row r="1080" spans="1:5" ht="15.75" x14ac:dyDescent="0.25">
      <c r="A1080" s="834"/>
      <c r="B1080" s="835"/>
      <c r="C1080" s="835"/>
      <c r="D1080" s="835"/>
      <c r="E1080" s="835"/>
    </row>
    <row r="1081" spans="1:5" ht="15.75" x14ac:dyDescent="0.25">
      <c r="A1081" s="834"/>
      <c r="B1081" s="835"/>
      <c r="C1081" s="835"/>
      <c r="D1081" s="835"/>
      <c r="E1081" s="835"/>
    </row>
    <row r="1082" spans="1:5" ht="15.75" x14ac:dyDescent="0.25">
      <c r="A1082" s="834"/>
      <c r="B1082" s="835"/>
      <c r="C1082" s="835"/>
      <c r="D1082" s="835"/>
      <c r="E1082" s="835"/>
    </row>
    <row r="1083" spans="1:5" ht="15.75" x14ac:dyDescent="0.25">
      <c r="A1083" s="834"/>
      <c r="B1083" s="835"/>
      <c r="C1083" s="835"/>
      <c r="D1083" s="835"/>
      <c r="E1083" s="835"/>
    </row>
    <row r="1084" spans="1:5" ht="15.75" x14ac:dyDescent="0.25">
      <c r="A1084" s="834"/>
      <c r="B1084" s="835"/>
      <c r="C1084" s="835"/>
      <c r="D1084" s="835"/>
      <c r="E1084" s="835"/>
    </row>
    <row r="1085" spans="1:5" ht="15.75" x14ac:dyDescent="0.25">
      <c r="A1085" s="834"/>
      <c r="B1085" s="835"/>
      <c r="C1085" s="835"/>
      <c r="D1085" s="835"/>
      <c r="E1085" s="835"/>
    </row>
    <row r="1086" spans="1:5" ht="15.75" x14ac:dyDescent="0.25">
      <c r="A1086" s="834"/>
      <c r="B1086" s="835"/>
      <c r="C1086" s="835"/>
      <c r="D1086" s="835"/>
      <c r="E1086" s="835"/>
    </row>
    <row r="1087" spans="1:5" ht="15.75" x14ac:dyDescent="0.25">
      <c r="A1087" s="834"/>
      <c r="B1087" s="835"/>
      <c r="C1087" s="835"/>
      <c r="D1087" s="835"/>
      <c r="E1087" s="835"/>
    </row>
    <row r="1088" spans="1:5" ht="15.75" x14ac:dyDescent="0.25">
      <c r="A1088" s="834"/>
      <c r="B1088" s="835"/>
      <c r="C1088" s="835"/>
      <c r="D1088" s="835"/>
      <c r="E1088" s="835"/>
    </row>
    <row r="1089" spans="1:5" ht="15.75" x14ac:dyDescent="0.25">
      <c r="A1089" s="834"/>
      <c r="B1089" s="835"/>
      <c r="C1089" s="835"/>
      <c r="D1089" s="835"/>
      <c r="E1089" s="835"/>
    </row>
    <row r="1090" spans="1:5" ht="15.75" x14ac:dyDescent="0.25">
      <c r="A1090" s="834"/>
      <c r="B1090" s="835"/>
      <c r="C1090" s="835"/>
      <c r="D1090" s="835"/>
      <c r="E1090" s="835"/>
    </row>
    <row r="1091" spans="1:5" ht="15.75" x14ac:dyDescent="0.25">
      <c r="A1091" s="834"/>
      <c r="B1091" s="835"/>
      <c r="C1091" s="835"/>
      <c r="D1091" s="835"/>
      <c r="E1091" s="835"/>
    </row>
    <row r="1092" spans="1:5" ht="15.75" x14ac:dyDescent="0.25">
      <c r="A1092" s="834"/>
      <c r="B1092" s="835"/>
      <c r="C1092" s="835"/>
      <c r="D1092" s="835"/>
      <c r="E1092" s="835"/>
    </row>
    <row r="1093" spans="1:5" ht="15.75" x14ac:dyDescent="0.25">
      <c r="A1093" s="834"/>
      <c r="B1093" s="835"/>
      <c r="C1093" s="835"/>
      <c r="D1093" s="835"/>
      <c r="E1093" s="835"/>
    </row>
    <row r="1094" spans="1:5" ht="15.75" x14ac:dyDescent="0.25">
      <c r="A1094" s="834"/>
      <c r="B1094" s="835"/>
      <c r="C1094" s="835"/>
      <c r="D1094" s="835"/>
      <c r="E1094" s="835"/>
    </row>
    <row r="1095" spans="1:5" ht="15.75" x14ac:dyDescent="0.25">
      <c r="A1095" s="834"/>
      <c r="B1095" s="835"/>
      <c r="C1095" s="835"/>
      <c r="D1095" s="835"/>
      <c r="E1095" s="835"/>
    </row>
    <row r="1096" spans="1:5" ht="15.75" x14ac:dyDescent="0.25">
      <c r="A1096" s="834"/>
      <c r="B1096" s="835"/>
      <c r="C1096" s="835"/>
      <c r="D1096" s="835"/>
      <c r="E1096" s="835"/>
    </row>
    <row r="1097" spans="1:5" ht="15.75" x14ac:dyDescent="0.25">
      <c r="A1097" s="834"/>
      <c r="B1097" s="835"/>
      <c r="C1097" s="835"/>
      <c r="D1097" s="835"/>
      <c r="E1097" s="835"/>
    </row>
    <row r="1098" spans="1:5" ht="15.75" x14ac:dyDescent="0.25">
      <c r="A1098" s="834"/>
      <c r="B1098" s="835"/>
      <c r="C1098" s="835"/>
      <c r="D1098" s="835"/>
      <c r="E1098" s="835"/>
    </row>
    <row r="1099" spans="1:5" ht="15.75" x14ac:dyDescent="0.25">
      <c r="A1099" s="834"/>
      <c r="B1099" s="835"/>
      <c r="C1099" s="835"/>
      <c r="D1099" s="835"/>
      <c r="E1099" s="835"/>
    </row>
    <row r="1100" spans="1:5" ht="15.75" x14ac:dyDescent="0.25">
      <c r="A1100" s="834"/>
      <c r="B1100" s="835"/>
      <c r="C1100" s="835"/>
      <c r="D1100" s="835"/>
      <c r="E1100" s="835"/>
    </row>
    <row r="1101" spans="1:5" ht="15.75" x14ac:dyDescent="0.25">
      <c r="A1101" s="834"/>
      <c r="B1101" s="835"/>
      <c r="C1101" s="835"/>
      <c r="D1101" s="835"/>
      <c r="E1101" s="835"/>
    </row>
    <row r="1102" spans="1:5" ht="15.75" x14ac:dyDescent="0.25">
      <c r="A1102" s="834"/>
      <c r="B1102" s="835"/>
      <c r="C1102" s="835"/>
      <c r="D1102" s="835"/>
      <c r="E1102" s="835"/>
    </row>
    <row r="1103" spans="1:5" ht="15.75" x14ac:dyDescent="0.25">
      <c r="A1103" s="834"/>
      <c r="B1103" s="835"/>
      <c r="C1103" s="835"/>
      <c r="D1103" s="835"/>
      <c r="E1103" s="835"/>
    </row>
    <row r="1104" spans="1:5" ht="15.75" x14ac:dyDescent="0.25">
      <c r="A1104" s="834"/>
      <c r="B1104" s="835"/>
      <c r="C1104" s="835"/>
      <c r="D1104" s="835"/>
      <c r="E1104" s="835"/>
    </row>
    <row r="1105" spans="1:5" ht="15.75" x14ac:dyDescent="0.25">
      <c r="A1105" s="834"/>
      <c r="B1105" s="835"/>
      <c r="C1105" s="835"/>
      <c r="D1105" s="835"/>
      <c r="E1105" s="835"/>
    </row>
    <row r="1106" spans="1:5" ht="15.75" x14ac:dyDescent="0.25">
      <c r="A1106" s="834"/>
      <c r="B1106" s="835"/>
      <c r="C1106" s="835"/>
      <c r="D1106" s="835"/>
      <c r="E1106" s="835"/>
    </row>
    <row r="1107" spans="1:5" ht="15.75" x14ac:dyDescent="0.25">
      <c r="A1107" s="834"/>
      <c r="B1107" s="835"/>
      <c r="C1107" s="835"/>
      <c r="D1107" s="835"/>
      <c r="E1107" s="835"/>
    </row>
    <row r="1108" spans="1:5" ht="15.75" x14ac:dyDescent="0.25">
      <c r="A1108" s="834"/>
      <c r="B1108" s="835"/>
      <c r="C1108" s="835"/>
      <c r="D1108" s="835"/>
      <c r="E1108" s="835"/>
    </row>
    <row r="1109" spans="1:5" ht="15.75" x14ac:dyDescent="0.25">
      <c r="A1109" s="834"/>
      <c r="B1109" s="835"/>
      <c r="C1109" s="835"/>
      <c r="D1109" s="835"/>
      <c r="E1109" s="835"/>
    </row>
    <row r="1110" spans="1:5" ht="15.75" x14ac:dyDescent="0.25">
      <c r="A1110" s="834"/>
      <c r="B1110" s="835"/>
      <c r="C1110" s="835"/>
      <c r="D1110" s="835"/>
      <c r="E1110" s="835"/>
    </row>
    <row r="1111" spans="1:5" ht="15.75" x14ac:dyDescent="0.25">
      <c r="A1111" s="834"/>
      <c r="B1111" s="835"/>
      <c r="C1111" s="835"/>
      <c r="D1111" s="835"/>
      <c r="E1111" s="835"/>
    </row>
    <row r="1112" spans="1:5" ht="15.75" x14ac:dyDescent="0.25">
      <c r="A1112" s="834"/>
      <c r="B1112" s="835"/>
      <c r="C1112" s="835"/>
      <c r="D1112" s="835"/>
      <c r="E1112" s="835"/>
    </row>
    <row r="1113" spans="1:5" ht="15.75" x14ac:dyDescent="0.25">
      <c r="A1113" s="834"/>
      <c r="B1113" s="835"/>
      <c r="C1113" s="835"/>
      <c r="D1113" s="835"/>
      <c r="E1113" s="835"/>
    </row>
    <row r="1114" spans="1:5" ht="15.75" x14ac:dyDescent="0.25">
      <c r="A1114" s="834"/>
      <c r="B1114" s="835"/>
      <c r="C1114" s="835"/>
      <c r="D1114" s="835"/>
      <c r="E1114" s="835"/>
    </row>
    <row r="1115" spans="1:5" ht="15.75" x14ac:dyDescent="0.25">
      <c r="A1115" s="834"/>
      <c r="B1115" s="835"/>
      <c r="C1115" s="835"/>
      <c r="D1115" s="835"/>
      <c r="E1115" s="835"/>
    </row>
    <row r="1116" spans="1:5" ht="15.75" x14ac:dyDescent="0.25">
      <c r="A1116" s="834"/>
      <c r="B1116" s="835"/>
      <c r="C1116" s="835"/>
      <c r="D1116" s="835"/>
      <c r="E1116" s="835"/>
    </row>
    <row r="1117" spans="1:5" ht="15.75" x14ac:dyDescent="0.25">
      <c r="A1117" s="834"/>
      <c r="B1117" s="835"/>
      <c r="C1117" s="835"/>
      <c r="D1117" s="835"/>
      <c r="E1117" s="835"/>
    </row>
    <row r="1118" spans="1:5" ht="15.75" x14ac:dyDescent="0.25">
      <c r="A1118" s="834"/>
      <c r="B1118" s="835"/>
      <c r="C1118" s="835"/>
      <c r="D1118" s="835"/>
      <c r="E1118" s="835"/>
    </row>
    <row r="1119" spans="1:5" ht="15.75" x14ac:dyDescent="0.25">
      <c r="A1119" s="834"/>
      <c r="B1119" s="835"/>
      <c r="C1119" s="835"/>
      <c r="D1119" s="835"/>
      <c r="E1119" s="835"/>
    </row>
    <row r="1120" spans="1:5" ht="15.75" x14ac:dyDescent="0.25">
      <c r="A1120" s="834"/>
      <c r="B1120" s="835"/>
      <c r="C1120" s="835"/>
      <c r="D1120" s="835"/>
      <c r="E1120" s="835"/>
    </row>
    <row r="1121" spans="1:5" ht="15.75" x14ac:dyDescent="0.25">
      <c r="A1121" s="834"/>
      <c r="B1121" s="835"/>
      <c r="C1121" s="835"/>
      <c r="D1121" s="835"/>
      <c r="E1121" s="835"/>
    </row>
    <row r="1122" spans="1:5" ht="15.75" x14ac:dyDescent="0.25">
      <c r="A1122" s="834"/>
      <c r="B1122" s="835"/>
      <c r="C1122" s="835"/>
      <c r="D1122" s="835"/>
      <c r="E1122" s="835"/>
    </row>
    <row r="1123" spans="1:5" ht="15.75" x14ac:dyDescent="0.25">
      <c r="A1123" s="834"/>
      <c r="B1123" s="835"/>
      <c r="C1123" s="835"/>
      <c r="D1123" s="835"/>
      <c r="E1123" s="835"/>
    </row>
    <row r="1124" spans="1:5" ht="15.75" x14ac:dyDescent="0.25">
      <c r="A1124" s="834"/>
      <c r="B1124" s="835"/>
      <c r="C1124" s="835"/>
      <c r="D1124" s="835"/>
      <c r="E1124" s="835"/>
    </row>
    <row r="1125" spans="1:5" ht="15.75" x14ac:dyDescent="0.25">
      <c r="A1125" s="834"/>
      <c r="B1125" s="835"/>
      <c r="C1125" s="835"/>
      <c r="D1125" s="835"/>
      <c r="E1125" s="835"/>
    </row>
    <row r="1126" spans="1:5" ht="15.75" x14ac:dyDescent="0.25">
      <c r="A1126" s="834"/>
      <c r="B1126" s="835"/>
      <c r="C1126" s="835"/>
      <c r="D1126" s="835"/>
      <c r="E1126" s="835"/>
    </row>
    <row r="1127" spans="1:5" ht="15.75" x14ac:dyDescent="0.25">
      <c r="A1127" s="834"/>
      <c r="B1127" s="835"/>
      <c r="C1127" s="835"/>
      <c r="D1127" s="835"/>
      <c r="E1127" s="835"/>
    </row>
    <row r="1128" spans="1:5" ht="15.75" x14ac:dyDescent="0.25">
      <c r="A1128" s="834"/>
      <c r="B1128" s="835"/>
      <c r="C1128" s="835"/>
      <c r="D1128" s="835"/>
      <c r="E1128" s="835"/>
    </row>
    <row r="1129" spans="1:5" ht="15.75" x14ac:dyDescent="0.25">
      <c r="A1129" s="834"/>
      <c r="B1129" s="835"/>
      <c r="C1129" s="835"/>
      <c r="D1129" s="835"/>
      <c r="E1129" s="835"/>
    </row>
    <row r="1130" spans="1:5" ht="15.75" x14ac:dyDescent="0.25">
      <c r="A1130" s="834"/>
      <c r="B1130" s="835"/>
      <c r="C1130" s="835"/>
      <c r="D1130" s="835"/>
      <c r="E1130" s="835"/>
    </row>
    <row r="1131" spans="1:5" ht="15.75" x14ac:dyDescent="0.25">
      <c r="A1131" s="834"/>
      <c r="B1131" s="835"/>
      <c r="C1131" s="835"/>
      <c r="D1131" s="835"/>
      <c r="E1131" s="835"/>
    </row>
    <row r="1132" spans="1:5" ht="15.75" x14ac:dyDescent="0.25">
      <c r="A1132" s="834"/>
      <c r="B1132" s="835"/>
      <c r="C1132" s="835"/>
      <c r="D1132" s="835"/>
      <c r="E1132" s="835"/>
    </row>
    <row r="1133" spans="1:5" ht="15.75" x14ac:dyDescent="0.25">
      <c r="A1133" s="834"/>
      <c r="B1133" s="835"/>
      <c r="C1133" s="835"/>
      <c r="D1133" s="835"/>
      <c r="E1133" s="835"/>
    </row>
    <row r="1134" spans="1:5" ht="15.75" x14ac:dyDescent="0.25">
      <c r="A1134" s="834"/>
      <c r="B1134" s="835"/>
      <c r="C1134" s="835"/>
      <c r="D1134" s="835"/>
      <c r="E1134" s="835"/>
    </row>
    <row r="1135" spans="1:5" ht="15.75" x14ac:dyDescent="0.25">
      <c r="A1135" s="834"/>
      <c r="B1135" s="835"/>
      <c r="C1135" s="835"/>
      <c r="D1135" s="835"/>
      <c r="E1135" s="835"/>
    </row>
    <row r="1136" spans="1:5" ht="15.75" x14ac:dyDescent="0.25">
      <c r="A1136" s="834"/>
      <c r="B1136" s="835"/>
      <c r="C1136" s="835"/>
      <c r="D1136" s="835"/>
      <c r="E1136" s="835"/>
    </row>
    <row r="1137" spans="1:5" ht="15.75" x14ac:dyDescent="0.25">
      <c r="A1137" s="834"/>
      <c r="B1137" s="835"/>
      <c r="C1137" s="835"/>
      <c r="D1137" s="835"/>
      <c r="E1137" s="835"/>
    </row>
    <row r="1138" spans="1:5" ht="15.75" x14ac:dyDescent="0.25">
      <c r="A1138" s="834"/>
      <c r="B1138" s="835"/>
      <c r="C1138" s="835"/>
      <c r="D1138" s="835"/>
      <c r="E1138" s="835"/>
    </row>
    <row r="1139" spans="1:5" ht="15.75" x14ac:dyDescent="0.25">
      <c r="A1139" s="834"/>
      <c r="B1139" s="835"/>
      <c r="C1139" s="835"/>
      <c r="D1139" s="835"/>
      <c r="E1139" s="835"/>
    </row>
    <row r="1140" spans="1:5" ht="15.75" x14ac:dyDescent="0.25">
      <c r="A1140" s="834"/>
      <c r="B1140" s="835"/>
      <c r="C1140" s="835"/>
      <c r="D1140" s="835"/>
      <c r="E1140" s="835"/>
    </row>
    <row r="1141" spans="1:5" ht="15.75" x14ac:dyDescent="0.25">
      <c r="A1141" s="834"/>
      <c r="B1141" s="835"/>
      <c r="C1141" s="835"/>
      <c r="D1141" s="835"/>
      <c r="E1141" s="835"/>
    </row>
    <row r="1142" spans="1:5" ht="15.75" x14ac:dyDescent="0.25">
      <c r="A1142" s="834"/>
      <c r="B1142" s="835"/>
      <c r="C1142" s="835"/>
      <c r="D1142" s="835"/>
      <c r="E1142" s="835"/>
    </row>
    <row r="1143" spans="1:5" ht="15.75" x14ac:dyDescent="0.25">
      <c r="A1143" s="834"/>
      <c r="B1143" s="835"/>
      <c r="C1143" s="835"/>
      <c r="D1143" s="835"/>
      <c r="E1143" s="835"/>
    </row>
    <row r="1144" spans="1:5" ht="15.75" x14ac:dyDescent="0.25">
      <c r="A1144" s="834"/>
      <c r="B1144" s="835"/>
      <c r="C1144" s="835"/>
      <c r="D1144" s="835"/>
      <c r="E1144" s="835"/>
    </row>
    <row r="1145" spans="1:5" ht="15.75" x14ac:dyDescent="0.25">
      <c r="A1145" s="834"/>
      <c r="B1145" s="835"/>
      <c r="C1145" s="835"/>
      <c r="D1145" s="835"/>
      <c r="E1145" s="835"/>
    </row>
    <row r="1146" spans="1:5" ht="15.75" x14ac:dyDescent="0.25">
      <c r="A1146" s="834"/>
      <c r="B1146" s="835"/>
      <c r="C1146" s="835"/>
      <c r="D1146" s="835"/>
      <c r="E1146" s="835"/>
    </row>
    <row r="1147" spans="1:5" ht="15.75" x14ac:dyDescent="0.25">
      <c r="A1147" s="834"/>
      <c r="B1147" s="835"/>
      <c r="C1147" s="835"/>
      <c r="D1147" s="835"/>
      <c r="E1147" s="835"/>
    </row>
    <row r="1148" spans="1:5" ht="15.75" x14ac:dyDescent="0.25">
      <c r="A1148" s="834"/>
      <c r="B1148" s="835"/>
      <c r="C1148" s="835"/>
      <c r="D1148" s="835"/>
      <c r="E1148" s="835"/>
    </row>
    <row r="1149" spans="1:5" ht="15.75" x14ac:dyDescent="0.25">
      <c r="A1149" s="834"/>
      <c r="B1149" s="835"/>
      <c r="C1149" s="835"/>
      <c r="D1149" s="835"/>
      <c r="E1149" s="835"/>
    </row>
    <row r="1150" spans="1:5" ht="15.75" x14ac:dyDescent="0.25">
      <c r="A1150" s="834"/>
      <c r="B1150" s="835"/>
      <c r="C1150" s="835"/>
      <c r="D1150" s="835"/>
      <c r="E1150" s="835"/>
    </row>
    <row r="1151" spans="1:5" ht="15.75" x14ac:dyDescent="0.25">
      <c r="A1151" s="834"/>
      <c r="B1151" s="835"/>
      <c r="C1151" s="835"/>
      <c r="D1151" s="835"/>
      <c r="E1151" s="835"/>
    </row>
    <row r="1152" spans="1:5" ht="15.75" x14ac:dyDescent="0.25">
      <c r="A1152" s="834"/>
      <c r="B1152" s="835"/>
      <c r="C1152" s="835"/>
      <c r="D1152" s="835"/>
      <c r="E1152" s="835"/>
    </row>
    <row r="1153" spans="1:5" ht="15.75" x14ac:dyDescent="0.25">
      <c r="A1153" s="834"/>
      <c r="B1153" s="835"/>
      <c r="C1153" s="835"/>
      <c r="D1153" s="835"/>
      <c r="E1153" s="835"/>
    </row>
    <row r="1154" spans="1:5" ht="15.75" x14ac:dyDescent="0.25">
      <c r="A1154" s="834"/>
      <c r="B1154" s="835"/>
      <c r="C1154" s="835"/>
      <c r="D1154" s="835"/>
      <c r="E1154" s="835"/>
    </row>
    <row r="1155" spans="1:5" ht="15.75" x14ac:dyDescent="0.25">
      <c r="A1155" s="834"/>
      <c r="B1155" s="835"/>
      <c r="C1155" s="835"/>
      <c r="D1155" s="835"/>
      <c r="E1155" s="835"/>
    </row>
    <row r="1156" spans="1:5" ht="15.75" x14ac:dyDescent="0.25">
      <c r="A1156" s="834"/>
      <c r="B1156" s="835"/>
      <c r="C1156" s="835"/>
      <c r="D1156" s="835"/>
      <c r="E1156" s="835"/>
    </row>
    <row r="1157" spans="1:5" ht="15.75" x14ac:dyDescent="0.25">
      <c r="A1157" s="834"/>
      <c r="B1157" s="835"/>
      <c r="C1157" s="835"/>
      <c r="D1157" s="835"/>
      <c r="E1157" s="835"/>
    </row>
    <row r="1158" spans="1:5" ht="15.75" x14ac:dyDescent="0.25">
      <c r="A1158" s="834"/>
      <c r="B1158" s="835"/>
      <c r="C1158" s="835"/>
      <c r="D1158" s="835"/>
      <c r="E1158" s="835"/>
    </row>
    <row r="1159" spans="1:5" ht="15.75" x14ac:dyDescent="0.25">
      <c r="A1159" s="834"/>
      <c r="B1159" s="835"/>
      <c r="C1159" s="835"/>
      <c r="D1159" s="835"/>
      <c r="E1159" s="835"/>
    </row>
    <row r="1160" spans="1:5" ht="15.75" x14ac:dyDescent="0.25">
      <c r="A1160" s="834"/>
      <c r="B1160" s="835"/>
      <c r="C1160" s="835"/>
      <c r="D1160" s="835"/>
      <c r="E1160" s="835"/>
    </row>
    <row r="1161" spans="1:5" ht="15.75" x14ac:dyDescent="0.25">
      <c r="A1161" s="834"/>
      <c r="B1161" s="835"/>
      <c r="C1161" s="835"/>
      <c r="D1161" s="835"/>
      <c r="E1161" s="835"/>
    </row>
    <row r="1162" spans="1:5" ht="15.75" x14ac:dyDescent="0.25">
      <c r="A1162" s="834"/>
      <c r="B1162" s="835"/>
      <c r="C1162" s="835"/>
      <c r="D1162" s="835"/>
      <c r="E1162" s="835"/>
    </row>
    <row r="1163" spans="1:5" ht="15.75" x14ac:dyDescent="0.25">
      <c r="A1163" s="834"/>
      <c r="B1163" s="835"/>
      <c r="C1163" s="835"/>
      <c r="D1163" s="835"/>
      <c r="E1163" s="835"/>
    </row>
    <row r="1164" spans="1:5" ht="15.75" x14ac:dyDescent="0.25">
      <c r="A1164" s="834"/>
      <c r="B1164" s="835"/>
      <c r="C1164" s="835"/>
      <c r="D1164" s="835"/>
      <c r="E1164" s="835"/>
    </row>
    <row r="1165" spans="1:5" ht="15.75" x14ac:dyDescent="0.25">
      <c r="A1165" s="834"/>
      <c r="B1165" s="835"/>
      <c r="C1165" s="835"/>
      <c r="D1165" s="835"/>
      <c r="E1165" s="835"/>
    </row>
    <row r="1166" spans="1:5" ht="15.75" x14ac:dyDescent="0.25">
      <c r="A1166" s="834"/>
      <c r="B1166" s="835"/>
      <c r="C1166" s="835"/>
      <c r="D1166" s="835"/>
      <c r="E1166" s="835"/>
    </row>
    <row r="1167" spans="1:5" ht="15.75" x14ac:dyDescent="0.25">
      <c r="A1167" s="834"/>
      <c r="B1167" s="835"/>
      <c r="C1167" s="835"/>
      <c r="D1167" s="835"/>
      <c r="E1167" s="835"/>
    </row>
    <row r="1168" spans="1:5" ht="15.75" x14ac:dyDescent="0.25">
      <c r="A1168" s="834"/>
      <c r="B1168" s="835"/>
      <c r="C1168" s="835"/>
      <c r="D1168" s="835"/>
      <c r="E1168" s="835"/>
    </row>
    <row r="1169" spans="1:5" ht="15.75" x14ac:dyDescent="0.25">
      <c r="A1169" s="834"/>
      <c r="B1169" s="835"/>
      <c r="C1169" s="835"/>
      <c r="D1169" s="835"/>
      <c r="E1169" s="835"/>
    </row>
    <row r="1170" spans="1:5" ht="15.75" x14ac:dyDescent="0.25">
      <c r="A1170" s="834"/>
      <c r="B1170" s="835"/>
      <c r="C1170" s="835"/>
      <c r="D1170" s="835"/>
      <c r="E1170" s="835"/>
    </row>
    <row r="1171" spans="1:5" ht="15.75" x14ac:dyDescent="0.25">
      <c r="A1171" s="834"/>
      <c r="B1171" s="835"/>
      <c r="C1171" s="835"/>
      <c r="D1171" s="835"/>
      <c r="E1171" s="835"/>
    </row>
    <row r="1172" spans="1:5" ht="15.75" x14ac:dyDescent="0.25">
      <c r="A1172" s="834"/>
      <c r="B1172" s="835"/>
      <c r="C1172" s="835"/>
      <c r="D1172" s="835"/>
      <c r="E1172" s="835"/>
    </row>
    <row r="1173" spans="1:5" ht="15.75" x14ac:dyDescent="0.25">
      <c r="A1173" s="834"/>
      <c r="B1173" s="835"/>
      <c r="C1173" s="835"/>
      <c r="D1173" s="835"/>
      <c r="E1173" s="835"/>
    </row>
    <row r="1174" spans="1:5" ht="15.75" x14ac:dyDescent="0.25">
      <c r="A1174" s="834"/>
      <c r="B1174" s="835"/>
      <c r="C1174" s="835"/>
      <c r="D1174" s="835"/>
      <c r="E1174" s="835"/>
    </row>
    <row r="1175" spans="1:5" ht="15.75" x14ac:dyDescent="0.25">
      <c r="A1175" s="834"/>
      <c r="B1175" s="835"/>
      <c r="C1175" s="835"/>
      <c r="D1175" s="835"/>
      <c r="E1175" s="835"/>
    </row>
    <row r="1176" spans="1:5" ht="15.75" x14ac:dyDescent="0.25">
      <c r="A1176" s="834"/>
      <c r="B1176" s="835"/>
      <c r="C1176" s="835"/>
      <c r="D1176" s="835"/>
      <c r="E1176" s="835"/>
    </row>
    <row r="1177" spans="1:5" ht="15.75" x14ac:dyDescent="0.25">
      <c r="A1177" s="834"/>
      <c r="B1177" s="835"/>
      <c r="C1177" s="835"/>
      <c r="D1177" s="835"/>
      <c r="E1177" s="835"/>
    </row>
    <row r="1178" spans="1:5" ht="15.75" x14ac:dyDescent="0.25">
      <c r="A1178" s="834"/>
      <c r="B1178" s="835"/>
      <c r="C1178" s="835"/>
      <c r="D1178" s="835"/>
      <c r="E1178" s="835"/>
    </row>
    <row r="1179" spans="1:5" ht="15.75" x14ac:dyDescent="0.25">
      <c r="A1179" s="834"/>
      <c r="B1179" s="835"/>
      <c r="C1179" s="835"/>
      <c r="D1179" s="835"/>
      <c r="E1179" s="835"/>
    </row>
    <row r="1180" spans="1:5" ht="15.75" x14ac:dyDescent="0.25">
      <c r="A1180" s="834"/>
      <c r="B1180" s="835"/>
      <c r="C1180" s="835"/>
      <c r="D1180" s="835"/>
      <c r="E1180" s="835"/>
    </row>
    <row r="1181" spans="1:5" ht="15.75" x14ac:dyDescent="0.25">
      <c r="A1181" s="834"/>
      <c r="B1181" s="835"/>
      <c r="C1181" s="835"/>
      <c r="D1181" s="835"/>
      <c r="E1181" s="835"/>
    </row>
    <row r="1182" spans="1:5" ht="15.75" x14ac:dyDescent="0.25">
      <c r="A1182" s="834"/>
      <c r="B1182" s="835"/>
      <c r="C1182" s="835"/>
      <c r="D1182" s="835"/>
      <c r="E1182" s="835"/>
    </row>
    <row r="1183" spans="1:5" ht="15.75" x14ac:dyDescent="0.25">
      <c r="A1183" s="834"/>
      <c r="B1183" s="835"/>
      <c r="C1183" s="835"/>
      <c r="D1183" s="835"/>
      <c r="E1183" s="835"/>
    </row>
    <row r="1184" spans="1:5" ht="15.75" x14ac:dyDescent="0.25">
      <c r="A1184" s="834"/>
      <c r="B1184" s="835"/>
      <c r="C1184" s="835"/>
      <c r="D1184" s="835"/>
      <c r="E1184" s="835"/>
    </row>
    <row r="1185" spans="1:5" ht="15.75" x14ac:dyDescent="0.25">
      <c r="A1185" s="834"/>
      <c r="B1185" s="835"/>
      <c r="C1185" s="835"/>
      <c r="D1185" s="835"/>
      <c r="E1185" s="835"/>
    </row>
    <row r="1186" spans="1:5" ht="15.75" x14ac:dyDescent="0.25">
      <c r="A1186" s="834"/>
      <c r="B1186" s="835"/>
      <c r="C1186" s="835"/>
      <c r="D1186" s="835"/>
      <c r="E1186" s="835"/>
    </row>
    <row r="1187" spans="1:5" ht="15.75" x14ac:dyDescent="0.25">
      <c r="A1187" s="834"/>
      <c r="B1187" s="835"/>
      <c r="C1187" s="835"/>
      <c r="D1187" s="835"/>
      <c r="E1187" s="835"/>
    </row>
    <row r="1188" spans="1:5" ht="15.75" x14ac:dyDescent="0.25">
      <c r="A1188" s="834"/>
      <c r="B1188" s="835"/>
      <c r="C1188" s="835"/>
      <c r="D1188" s="835"/>
      <c r="E1188" s="835"/>
    </row>
    <row r="1189" spans="1:5" ht="15.75" x14ac:dyDescent="0.25">
      <c r="A1189" s="834"/>
      <c r="B1189" s="835"/>
      <c r="C1189" s="835"/>
      <c r="D1189" s="835"/>
      <c r="E1189" s="835"/>
    </row>
    <row r="1190" spans="1:5" ht="15.75" x14ac:dyDescent="0.25">
      <c r="A1190" s="834"/>
      <c r="B1190" s="835"/>
      <c r="C1190" s="835"/>
      <c r="D1190" s="835"/>
      <c r="E1190" s="835"/>
    </row>
    <row r="1191" spans="1:5" ht="15.75" x14ac:dyDescent="0.25">
      <c r="A1191" s="834"/>
      <c r="B1191" s="835"/>
      <c r="C1191" s="835"/>
      <c r="D1191" s="835"/>
      <c r="E1191" s="835"/>
    </row>
    <row r="1192" spans="1:5" ht="15.75" x14ac:dyDescent="0.25">
      <c r="A1192" s="834"/>
      <c r="B1192" s="835"/>
      <c r="C1192" s="835"/>
      <c r="D1192" s="835"/>
      <c r="E1192" s="835"/>
    </row>
    <row r="1193" spans="1:5" ht="15.75" x14ac:dyDescent="0.25">
      <c r="A1193" s="834"/>
      <c r="B1193" s="835"/>
      <c r="C1193" s="835"/>
      <c r="D1193" s="835"/>
      <c r="E1193" s="835"/>
    </row>
    <row r="1194" spans="1:5" ht="15.75" x14ac:dyDescent="0.25">
      <c r="A1194" s="834"/>
      <c r="B1194" s="835"/>
      <c r="C1194" s="835"/>
      <c r="D1194" s="835"/>
      <c r="E1194" s="835"/>
    </row>
    <row r="1195" spans="1:5" ht="15.75" x14ac:dyDescent="0.25">
      <c r="A1195" s="834"/>
      <c r="B1195" s="835"/>
      <c r="C1195" s="835"/>
      <c r="D1195" s="835"/>
      <c r="E1195" s="835"/>
    </row>
    <row r="1196" spans="1:5" ht="15.75" x14ac:dyDescent="0.25">
      <c r="A1196" s="834"/>
      <c r="B1196" s="835"/>
      <c r="C1196" s="835"/>
      <c r="D1196" s="835"/>
      <c r="E1196" s="835"/>
    </row>
    <row r="1197" spans="1:5" ht="15.75" x14ac:dyDescent="0.25">
      <c r="A1197" s="834"/>
      <c r="B1197" s="835"/>
      <c r="C1197" s="835"/>
      <c r="D1197" s="835"/>
      <c r="E1197" s="835"/>
    </row>
    <row r="1198" spans="1:5" ht="15.75" x14ac:dyDescent="0.25">
      <c r="A1198" s="834"/>
      <c r="B1198" s="835"/>
      <c r="C1198" s="835"/>
      <c r="D1198" s="835"/>
      <c r="E1198" s="835"/>
    </row>
    <row r="1199" spans="1:5" ht="15.75" x14ac:dyDescent="0.25">
      <c r="A1199" s="834"/>
      <c r="B1199" s="835"/>
      <c r="C1199" s="835"/>
      <c r="D1199" s="835"/>
      <c r="E1199" s="835"/>
    </row>
    <row r="1200" spans="1:5" ht="15.75" x14ac:dyDescent="0.25">
      <c r="A1200" s="834"/>
      <c r="B1200" s="835"/>
      <c r="C1200" s="835"/>
      <c r="D1200" s="835"/>
      <c r="E1200" s="835"/>
    </row>
    <row r="1201" spans="1:5" ht="15.75" x14ac:dyDescent="0.25">
      <c r="A1201" s="834"/>
      <c r="B1201" s="835"/>
      <c r="C1201" s="835"/>
      <c r="D1201" s="835"/>
      <c r="E1201" s="835"/>
    </row>
    <row r="1202" spans="1:5" ht="15.75" x14ac:dyDescent="0.25">
      <c r="A1202" s="834"/>
      <c r="B1202" s="835"/>
      <c r="C1202" s="835"/>
      <c r="D1202" s="835"/>
      <c r="E1202" s="835"/>
    </row>
    <row r="1203" spans="1:5" ht="15.75" x14ac:dyDescent="0.25">
      <c r="A1203" s="834"/>
      <c r="B1203" s="835"/>
      <c r="C1203" s="835"/>
      <c r="D1203" s="835"/>
      <c r="E1203" s="835"/>
    </row>
    <row r="1204" spans="1:5" ht="15.75" x14ac:dyDescent="0.25">
      <c r="A1204" s="834"/>
      <c r="B1204" s="835"/>
      <c r="C1204" s="835"/>
      <c r="D1204" s="835"/>
      <c r="E1204" s="835"/>
    </row>
    <row r="1205" spans="1:5" ht="15.75" x14ac:dyDescent="0.25">
      <c r="A1205" s="834"/>
      <c r="B1205" s="835"/>
      <c r="C1205" s="835"/>
      <c r="D1205" s="835"/>
      <c r="E1205" s="835"/>
    </row>
    <row r="1206" spans="1:5" ht="15.75" x14ac:dyDescent="0.25">
      <c r="A1206" s="834"/>
      <c r="B1206" s="835"/>
      <c r="C1206" s="835"/>
      <c r="D1206" s="835"/>
      <c r="E1206" s="835"/>
    </row>
    <row r="1207" spans="1:5" ht="15.75" x14ac:dyDescent="0.25">
      <c r="A1207" s="834"/>
      <c r="B1207" s="835"/>
      <c r="C1207" s="835"/>
      <c r="D1207" s="835"/>
      <c r="E1207" s="835"/>
    </row>
    <row r="1208" spans="1:5" ht="15.75" x14ac:dyDescent="0.25">
      <c r="A1208" s="834"/>
      <c r="B1208" s="835"/>
      <c r="C1208" s="835"/>
      <c r="D1208" s="835"/>
      <c r="E1208" s="835"/>
    </row>
    <row r="1209" spans="1:5" ht="15.75" x14ac:dyDescent="0.25">
      <c r="A1209" s="834"/>
      <c r="B1209" s="835"/>
      <c r="C1209" s="835"/>
      <c r="D1209" s="835"/>
      <c r="E1209" s="835"/>
    </row>
    <row r="1210" spans="1:5" ht="15.75" x14ac:dyDescent="0.25">
      <c r="A1210" s="834"/>
      <c r="B1210" s="835"/>
      <c r="C1210" s="835"/>
      <c r="D1210" s="835"/>
      <c r="E1210" s="835"/>
    </row>
    <row r="1211" spans="1:5" ht="15.75" x14ac:dyDescent="0.25">
      <c r="A1211" s="834"/>
      <c r="B1211" s="835"/>
      <c r="C1211" s="835"/>
      <c r="D1211" s="835"/>
      <c r="E1211" s="835"/>
    </row>
    <row r="1212" spans="1:5" ht="15.75" x14ac:dyDescent="0.25">
      <c r="A1212" s="834"/>
      <c r="B1212" s="835"/>
      <c r="C1212" s="835"/>
      <c r="D1212" s="835"/>
      <c r="E1212" s="835"/>
    </row>
    <row r="1213" spans="1:5" ht="15.75" x14ac:dyDescent="0.25">
      <c r="A1213" s="834"/>
      <c r="B1213" s="835"/>
      <c r="C1213" s="835"/>
      <c r="D1213" s="835"/>
      <c r="E1213" s="835"/>
    </row>
    <row r="1214" spans="1:5" ht="15.75" x14ac:dyDescent="0.25">
      <c r="A1214" s="834"/>
      <c r="B1214" s="835"/>
      <c r="C1214" s="835"/>
      <c r="D1214" s="835"/>
      <c r="E1214" s="835"/>
    </row>
    <row r="1215" spans="1:5" ht="15.75" x14ac:dyDescent="0.25">
      <c r="A1215" s="834"/>
      <c r="B1215" s="835"/>
      <c r="C1215" s="835"/>
      <c r="D1215" s="835"/>
      <c r="E1215" s="835"/>
    </row>
    <row r="1216" spans="1:5" ht="15.75" x14ac:dyDescent="0.25">
      <c r="A1216" s="834"/>
      <c r="B1216" s="835"/>
      <c r="C1216" s="835"/>
      <c r="D1216" s="835"/>
      <c r="E1216" s="835"/>
    </row>
    <row r="1217" spans="1:5" ht="15.75" x14ac:dyDescent="0.25">
      <c r="A1217" s="834"/>
      <c r="B1217" s="835"/>
      <c r="C1217" s="835"/>
      <c r="D1217" s="835"/>
      <c r="E1217" s="835"/>
    </row>
    <row r="1218" spans="1:5" ht="15.75" x14ac:dyDescent="0.25">
      <c r="A1218" s="834"/>
      <c r="B1218" s="835"/>
      <c r="C1218" s="835"/>
      <c r="D1218" s="835"/>
      <c r="E1218" s="835"/>
    </row>
    <row r="1219" spans="1:5" ht="15.75" x14ac:dyDescent="0.25">
      <c r="A1219" s="834"/>
      <c r="B1219" s="835"/>
      <c r="C1219" s="835"/>
      <c r="D1219" s="835"/>
      <c r="E1219" s="835"/>
    </row>
    <row r="1220" spans="1:5" ht="15.75" x14ac:dyDescent="0.25">
      <c r="A1220" s="834"/>
      <c r="B1220" s="835"/>
      <c r="C1220" s="835"/>
      <c r="D1220" s="835"/>
      <c r="E1220" s="835"/>
    </row>
    <row r="1221" spans="1:5" ht="15.75" x14ac:dyDescent="0.25">
      <c r="A1221" s="834"/>
      <c r="B1221" s="835"/>
      <c r="C1221" s="835"/>
      <c r="D1221" s="835"/>
      <c r="E1221" s="835"/>
    </row>
    <row r="1222" spans="1:5" ht="15.75" x14ac:dyDescent="0.25">
      <c r="A1222" s="834"/>
      <c r="B1222" s="835"/>
      <c r="C1222" s="835"/>
      <c r="D1222" s="835"/>
      <c r="E1222" s="835"/>
    </row>
    <row r="1223" spans="1:5" ht="15.75" x14ac:dyDescent="0.25">
      <c r="A1223" s="834"/>
      <c r="B1223" s="835"/>
      <c r="C1223" s="835"/>
      <c r="D1223" s="835"/>
      <c r="E1223" s="835"/>
    </row>
    <row r="1224" spans="1:5" ht="15.75" x14ac:dyDescent="0.25">
      <c r="A1224" s="834"/>
      <c r="B1224" s="835"/>
      <c r="C1224" s="835"/>
      <c r="D1224" s="835"/>
      <c r="E1224" s="835"/>
    </row>
    <row r="1225" spans="1:5" ht="15.75" x14ac:dyDescent="0.25">
      <c r="A1225" s="834"/>
      <c r="B1225" s="835"/>
      <c r="C1225" s="835"/>
      <c r="D1225" s="835"/>
      <c r="E1225" s="835"/>
    </row>
    <row r="1226" spans="1:5" ht="15.75" x14ac:dyDescent="0.25">
      <c r="A1226" s="834"/>
      <c r="B1226" s="835"/>
      <c r="C1226" s="835"/>
      <c r="D1226" s="835"/>
      <c r="E1226" s="835"/>
    </row>
    <row r="1227" spans="1:5" ht="15.75" x14ac:dyDescent="0.25">
      <c r="A1227" s="834"/>
      <c r="B1227" s="835"/>
      <c r="C1227" s="835"/>
      <c r="D1227" s="835"/>
      <c r="E1227" s="835"/>
    </row>
    <row r="1228" spans="1:5" ht="15.75" x14ac:dyDescent="0.25">
      <c r="A1228" s="834"/>
      <c r="B1228" s="835"/>
      <c r="C1228" s="835"/>
      <c r="D1228" s="835"/>
      <c r="E1228" s="835"/>
    </row>
    <row r="1229" spans="1:5" ht="15.75" x14ac:dyDescent="0.25">
      <c r="A1229" s="834"/>
      <c r="B1229" s="835"/>
      <c r="C1229" s="835"/>
      <c r="D1229" s="835"/>
      <c r="E1229" s="835"/>
    </row>
    <row r="1230" spans="1:5" ht="15.75" x14ac:dyDescent="0.25">
      <c r="A1230" s="834"/>
      <c r="B1230" s="835"/>
      <c r="C1230" s="835"/>
      <c r="D1230" s="835"/>
      <c r="E1230" s="835"/>
    </row>
    <row r="1231" spans="1:5" ht="15.75" x14ac:dyDescent="0.25">
      <c r="A1231" s="834"/>
      <c r="B1231" s="835"/>
      <c r="C1231" s="835"/>
      <c r="D1231" s="835"/>
      <c r="E1231" s="835"/>
    </row>
    <row r="1232" spans="1:5" ht="15.75" x14ac:dyDescent="0.25">
      <c r="A1232" s="834"/>
      <c r="B1232" s="835"/>
      <c r="C1232" s="835"/>
      <c r="D1232" s="835"/>
      <c r="E1232" s="835"/>
    </row>
    <row r="1233" spans="1:5" ht="15.75" x14ac:dyDescent="0.25">
      <c r="A1233" s="834"/>
      <c r="B1233" s="835"/>
      <c r="C1233" s="835"/>
      <c r="D1233" s="835"/>
      <c r="E1233" s="835"/>
    </row>
    <row r="1234" spans="1:5" ht="15.75" x14ac:dyDescent="0.25">
      <c r="A1234" s="834"/>
      <c r="B1234" s="835"/>
      <c r="C1234" s="835"/>
      <c r="D1234" s="835"/>
      <c r="E1234" s="835"/>
    </row>
    <row r="1235" spans="1:5" ht="15.75" x14ac:dyDescent="0.25">
      <c r="A1235" s="834"/>
      <c r="B1235" s="835"/>
      <c r="C1235" s="835"/>
      <c r="D1235" s="835"/>
      <c r="E1235" s="835"/>
    </row>
    <row r="1236" spans="1:5" ht="15.75" x14ac:dyDescent="0.25">
      <c r="A1236" s="834"/>
      <c r="B1236" s="835"/>
      <c r="C1236" s="835"/>
      <c r="D1236" s="835"/>
      <c r="E1236" s="835"/>
    </row>
    <row r="1237" spans="1:5" ht="15.75" x14ac:dyDescent="0.25">
      <c r="A1237" s="834"/>
      <c r="B1237" s="835"/>
      <c r="C1237" s="835"/>
      <c r="D1237" s="835"/>
      <c r="E1237" s="835"/>
    </row>
    <row r="1238" spans="1:5" ht="15.75" x14ac:dyDescent="0.25">
      <c r="A1238" s="834"/>
      <c r="B1238" s="835"/>
      <c r="C1238" s="835"/>
      <c r="D1238" s="835"/>
      <c r="E1238" s="835"/>
    </row>
    <row r="1239" spans="1:5" ht="15.75" x14ac:dyDescent="0.25">
      <c r="A1239" s="834"/>
      <c r="B1239" s="835"/>
      <c r="C1239" s="835"/>
      <c r="D1239" s="835"/>
      <c r="E1239" s="835"/>
    </row>
    <row r="1240" spans="1:5" ht="15.75" x14ac:dyDescent="0.25">
      <c r="A1240" s="834"/>
      <c r="B1240" s="835"/>
      <c r="C1240" s="835"/>
      <c r="D1240" s="835"/>
      <c r="E1240" s="835"/>
    </row>
    <row r="1241" spans="1:5" ht="15.75" x14ac:dyDescent="0.25">
      <c r="A1241" s="834"/>
      <c r="B1241" s="835"/>
      <c r="C1241" s="835"/>
      <c r="D1241" s="835"/>
      <c r="E1241" s="835"/>
    </row>
    <row r="1242" spans="1:5" ht="15.75" x14ac:dyDescent="0.25">
      <c r="A1242" s="834"/>
      <c r="B1242" s="835"/>
      <c r="C1242" s="835"/>
      <c r="D1242" s="835"/>
      <c r="E1242" s="835"/>
    </row>
    <row r="1243" spans="1:5" ht="15.75" x14ac:dyDescent="0.25">
      <c r="A1243" s="834"/>
      <c r="B1243" s="835"/>
      <c r="C1243" s="835"/>
      <c r="D1243" s="835"/>
      <c r="E1243" s="835"/>
    </row>
    <row r="1244" spans="1:5" ht="15.75" x14ac:dyDescent="0.25">
      <c r="A1244" s="834"/>
      <c r="B1244" s="835"/>
      <c r="C1244" s="835"/>
      <c r="D1244" s="835"/>
      <c r="E1244" s="835"/>
    </row>
    <row r="1245" spans="1:5" ht="15.75" x14ac:dyDescent="0.25">
      <c r="A1245" s="834"/>
      <c r="B1245" s="835"/>
      <c r="C1245" s="835"/>
      <c r="D1245" s="835"/>
      <c r="E1245" s="835"/>
    </row>
    <row r="1246" spans="1:5" ht="15.75" x14ac:dyDescent="0.25">
      <c r="A1246" s="834"/>
      <c r="B1246" s="835"/>
      <c r="C1246" s="835"/>
      <c r="D1246" s="835"/>
      <c r="E1246" s="835"/>
    </row>
    <row r="1247" spans="1:5" ht="15.75" x14ac:dyDescent="0.25">
      <c r="A1247" s="834"/>
      <c r="B1247" s="835"/>
      <c r="C1247" s="835"/>
      <c r="D1247" s="835"/>
      <c r="E1247" s="835"/>
    </row>
    <row r="1248" spans="1:5" ht="15.75" x14ac:dyDescent="0.25">
      <c r="A1248" s="834"/>
      <c r="B1248" s="835"/>
      <c r="C1248" s="835"/>
      <c r="D1248" s="835"/>
      <c r="E1248" s="835"/>
    </row>
    <row r="1249" spans="1:5" ht="15.75" x14ac:dyDescent="0.25">
      <c r="A1249" s="834"/>
      <c r="B1249" s="835"/>
      <c r="C1249" s="835"/>
      <c r="D1249" s="835"/>
      <c r="E1249" s="835"/>
    </row>
    <row r="1250" spans="1:5" ht="15.75" x14ac:dyDescent="0.25">
      <c r="A1250" s="834"/>
      <c r="B1250" s="835"/>
      <c r="C1250" s="835"/>
      <c r="D1250" s="835"/>
      <c r="E1250" s="835"/>
    </row>
    <row r="1251" spans="1:5" ht="15.75" x14ac:dyDescent="0.25">
      <c r="A1251" s="834"/>
      <c r="B1251" s="835"/>
      <c r="C1251" s="835"/>
      <c r="D1251" s="835"/>
      <c r="E1251" s="835"/>
    </row>
    <row r="1252" spans="1:5" ht="15.75" x14ac:dyDescent="0.25">
      <c r="A1252" s="834"/>
      <c r="B1252" s="835"/>
      <c r="C1252" s="835"/>
      <c r="D1252" s="835"/>
      <c r="E1252" s="835"/>
    </row>
    <row r="1253" spans="1:5" ht="15.75" x14ac:dyDescent="0.25">
      <c r="A1253" s="834"/>
      <c r="B1253" s="835"/>
      <c r="C1253" s="835"/>
      <c r="D1253" s="835"/>
      <c r="E1253" s="835"/>
    </row>
    <row r="1254" spans="1:5" ht="15.75" x14ac:dyDescent="0.25">
      <c r="A1254" s="834"/>
      <c r="B1254" s="835"/>
      <c r="C1254" s="835"/>
      <c r="D1254" s="835"/>
      <c r="E1254" s="835"/>
    </row>
    <row r="1255" spans="1:5" ht="15.75" x14ac:dyDescent="0.25">
      <c r="A1255" s="834"/>
      <c r="B1255" s="835"/>
      <c r="C1255" s="835"/>
      <c r="D1255" s="835"/>
      <c r="E1255" s="835"/>
    </row>
    <row r="1256" spans="1:5" ht="15.75" x14ac:dyDescent="0.25">
      <c r="A1256" s="834"/>
      <c r="B1256" s="835"/>
      <c r="C1256" s="835"/>
      <c r="D1256" s="835"/>
      <c r="E1256" s="835"/>
    </row>
    <row r="1257" spans="1:5" ht="15.75" x14ac:dyDescent="0.25">
      <c r="A1257" s="834"/>
      <c r="B1257" s="835"/>
      <c r="C1257" s="835"/>
      <c r="D1257" s="835"/>
      <c r="E1257" s="835"/>
    </row>
    <row r="1258" spans="1:5" ht="15.75" x14ac:dyDescent="0.25">
      <c r="A1258" s="834"/>
      <c r="B1258" s="835"/>
      <c r="C1258" s="835"/>
      <c r="D1258" s="835"/>
      <c r="E1258" s="835"/>
    </row>
    <row r="1259" spans="1:5" ht="15.75" x14ac:dyDescent="0.25">
      <c r="A1259" s="834"/>
      <c r="B1259" s="835"/>
      <c r="C1259" s="835"/>
      <c r="D1259" s="835"/>
      <c r="E1259" s="835"/>
    </row>
    <row r="1260" spans="1:5" ht="15.75" x14ac:dyDescent="0.25">
      <c r="A1260" s="834"/>
      <c r="B1260" s="835"/>
      <c r="C1260" s="835"/>
      <c r="D1260" s="835"/>
      <c r="E1260" s="835"/>
    </row>
    <row r="1261" spans="1:5" ht="15.75" x14ac:dyDescent="0.25">
      <c r="A1261" s="834"/>
      <c r="B1261" s="835"/>
      <c r="C1261" s="835"/>
      <c r="D1261" s="835"/>
      <c r="E1261" s="835"/>
    </row>
    <row r="1262" spans="1:5" ht="15.75" x14ac:dyDescent="0.25">
      <c r="A1262" s="834"/>
      <c r="B1262" s="835"/>
      <c r="C1262" s="835"/>
      <c r="D1262" s="835"/>
      <c r="E1262" s="835"/>
    </row>
    <row r="1263" spans="1:5" ht="15.75" x14ac:dyDescent="0.25">
      <c r="A1263" s="834"/>
      <c r="B1263" s="835"/>
      <c r="C1263" s="835"/>
      <c r="D1263" s="835"/>
      <c r="E1263" s="835"/>
    </row>
    <row r="1264" spans="1:5" ht="15.75" x14ac:dyDescent="0.25">
      <c r="A1264" s="834"/>
      <c r="B1264" s="835"/>
      <c r="C1264" s="835"/>
      <c r="D1264" s="835"/>
      <c r="E1264" s="835"/>
    </row>
    <row r="1265" spans="1:5" ht="15.75" x14ac:dyDescent="0.25">
      <c r="A1265" s="834"/>
      <c r="B1265" s="835"/>
      <c r="C1265" s="835"/>
      <c r="D1265" s="835"/>
      <c r="E1265" s="835"/>
    </row>
    <row r="1266" spans="1:5" ht="15.75" x14ac:dyDescent="0.25">
      <c r="A1266" s="834"/>
      <c r="B1266" s="835"/>
      <c r="C1266" s="835"/>
      <c r="D1266" s="835"/>
      <c r="E1266" s="835"/>
    </row>
    <row r="1267" spans="1:5" ht="15.75" x14ac:dyDescent="0.25">
      <c r="A1267" s="834"/>
      <c r="B1267" s="835"/>
      <c r="C1267" s="835"/>
      <c r="D1267" s="835"/>
      <c r="E1267" s="835"/>
    </row>
    <row r="1268" spans="1:5" ht="15.75" x14ac:dyDescent="0.25">
      <c r="A1268" s="834"/>
      <c r="B1268" s="835"/>
      <c r="C1268" s="835"/>
      <c r="D1268" s="835"/>
      <c r="E1268" s="835"/>
    </row>
    <row r="1269" spans="1:5" ht="15.75" x14ac:dyDescent="0.25">
      <c r="A1269" s="834"/>
      <c r="B1269" s="835"/>
      <c r="C1269" s="835"/>
      <c r="D1269" s="835"/>
      <c r="E1269" s="835"/>
    </row>
    <row r="1270" spans="1:5" ht="15.75" x14ac:dyDescent="0.25">
      <c r="A1270" s="834"/>
      <c r="B1270" s="835"/>
      <c r="C1270" s="835"/>
      <c r="D1270" s="835"/>
      <c r="E1270" s="835"/>
    </row>
    <row r="1271" spans="1:5" ht="15.75" x14ac:dyDescent="0.25">
      <c r="A1271" s="834"/>
      <c r="B1271" s="835"/>
      <c r="C1271" s="835"/>
      <c r="D1271" s="835"/>
      <c r="E1271" s="835"/>
    </row>
    <row r="1272" spans="1:5" ht="15.75" x14ac:dyDescent="0.25">
      <c r="A1272" s="834"/>
      <c r="B1272" s="835"/>
      <c r="C1272" s="835"/>
      <c r="D1272" s="835"/>
      <c r="E1272" s="835"/>
    </row>
    <row r="1273" spans="1:5" ht="15.75" x14ac:dyDescent="0.25">
      <c r="A1273" s="834"/>
      <c r="B1273" s="835"/>
      <c r="C1273" s="835"/>
      <c r="D1273" s="835"/>
      <c r="E1273" s="835"/>
    </row>
    <row r="1274" spans="1:5" ht="15.75" x14ac:dyDescent="0.25">
      <c r="A1274" s="834"/>
      <c r="B1274" s="835"/>
      <c r="C1274" s="835"/>
      <c r="D1274" s="835"/>
      <c r="E1274" s="835"/>
    </row>
    <row r="1275" spans="1:5" ht="15.75" x14ac:dyDescent="0.25">
      <c r="A1275" s="834"/>
      <c r="B1275" s="835"/>
      <c r="C1275" s="835"/>
      <c r="D1275" s="835"/>
      <c r="E1275" s="835"/>
    </row>
    <row r="1276" spans="1:5" ht="15.75" x14ac:dyDescent="0.25">
      <c r="A1276" s="834"/>
      <c r="B1276" s="835"/>
      <c r="C1276" s="835"/>
      <c r="D1276" s="835"/>
      <c r="E1276" s="835"/>
    </row>
    <row r="1277" spans="1:5" ht="15.75" x14ac:dyDescent="0.25">
      <c r="A1277" s="834"/>
      <c r="B1277" s="835"/>
      <c r="C1277" s="835"/>
      <c r="D1277" s="835"/>
      <c r="E1277" s="835"/>
    </row>
    <row r="1278" spans="1:5" ht="15.75" x14ac:dyDescent="0.25">
      <c r="A1278" s="834"/>
      <c r="B1278" s="835"/>
      <c r="C1278" s="835"/>
      <c r="D1278" s="835"/>
      <c r="E1278" s="835"/>
    </row>
    <row r="1279" spans="1:5" ht="15.75" x14ac:dyDescent="0.25">
      <c r="A1279" s="834"/>
      <c r="B1279" s="835"/>
      <c r="C1279" s="835"/>
      <c r="D1279" s="835"/>
      <c r="E1279" s="835"/>
    </row>
    <row r="1280" spans="1:5" ht="15.75" x14ac:dyDescent="0.25">
      <c r="A1280" s="834"/>
      <c r="B1280" s="835"/>
      <c r="C1280" s="835"/>
      <c r="D1280" s="835"/>
      <c r="E1280" s="835"/>
    </row>
    <row r="1281" spans="1:5" ht="15.75" x14ac:dyDescent="0.25">
      <c r="A1281" s="834"/>
      <c r="B1281" s="835"/>
      <c r="C1281" s="835"/>
      <c r="D1281" s="835"/>
      <c r="E1281" s="835"/>
    </row>
    <row r="1282" spans="1:5" ht="15.75" x14ac:dyDescent="0.25">
      <c r="A1282" s="834"/>
      <c r="B1282" s="835"/>
      <c r="C1282" s="835"/>
      <c r="D1282" s="835"/>
      <c r="E1282" s="835"/>
    </row>
    <row r="1283" spans="1:5" ht="15.75" x14ac:dyDescent="0.25">
      <c r="A1283" s="834"/>
      <c r="B1283" s="835"/>
      <c r="C1283" s="835"/>
      <c r="D1283" s="835"/>
      <c r="E1283" s="835"/>
    </row>
    <row r="1284" spans="1:5" ht="15.75" x14ac:dyDescent="0.25">
      <c r="A1284" s="834"/>
      <c r="B1284" s="835"/>
      <c r="C1284" s="835"/>
      <c r="D1284" s="835"/>
      <c r="E1284" s="835"/>
    </row>
    <row r="1285" spans="1:5" ht="15.75" x14ac:dyDescent="0.25">
      <c r="A1285" s="834"/>
      <c r="B1285" s="835"/>
      <c r="C1285" s="835"/>
      <c r="D1285" s="835"/>
      <c r="E1285" s="835"/>
    </row>
    <row r="1286" spans="1:5" ht="15.75" x14ac:dyDescent="0.25">
      <c r="A1286" s="834"/>
      <c r="B1286" s="835"/>
      <c r="C1286" s="835"/>
      <c r="D1286" s="835"/>
      <c r="E1286" s="835"/>
    </row>
    <row r="1287" spans="1:5" ht="15.75" x14ac:dyDescent="0.25">
      <c r="A1287" s="834"/>
      <c r="B1287" s="835"/>
      <c r="C1287" s="835"/>
      <c r="D1287" s="835"/>
      <c r="E1287" s="835"/>
    </row>
    <row r="1288" spans="1:5" ht="15.75" x14ac:dyDescent="0.25">
      <c r="A1288" s="834"/>
      <c r="B1288" s="835"/>
      <c r="C1288" s="835"/>
      <c r="D1288" s="835"/>
      <c r="E1288" s="835"/>
    </row>
    <row r="1289" spans="1:5" ht="15.75" x14ac:dyDescent="0.25">
      <c r="A1289" s="834"/>
      <c r="B1289" s="835"/>
      <c r="C1289" s="835"/>
      <c r="D1289" s="835"/>
      <c r="E1289" s="835"/>
    </row>
    <row r="1290" spans="1:5" ht="15.75" x14ac:dyDescent="0.25">
      <c r="A1290" s="834"/>
      <c r="B1290" s="835"/>
      <c r="C1290" s="835"/>
      <c r="D1290" s="835"/>
      <c r="E1290" s="835"/>
    </row>
    <row r="1291" spans="1:5" ht="15.75" x14ac:dyDescent="0.25">
      <c r="A1291" s="834"/>
      <c r="B1291" s="835"/>
      <c r="C1291" s="835"/>
      <c r="D1291" s="835"/>
      <c r="E1291" s="835"/>
    </row>
    <row r="1292" spans="1:5" ht="15.75" x14ac:dyDescent="0.25">
      <c r="A1292" s="834"/>
      <c r="B1292" s="835"/>
      <c r="C1292" s="835"/>
      <c r="D1292" s="835"/>
      <c r="E1292" s="835"/>
    </row>
    <row r="1293" spans="1:5" ht="15.75" x14ac:dyDescent="0.25">
      <c r="A1293" s="834"/>
      <c r="B1293" s="835"/>
      <c r="C1293" s="835"/>
      <c r="D1293" s="835"/>
      <c r="E1293" s="835"/>
    </row>
    <row r="1294" spans="1:5" ht="15.75" x14ac:dyDescent="0.25">
      <c r="A1294" s="834"/>
      <c r="B1294" s="835"/>
      <c r="C1294" s="835"/>
      <c r="D1294" s="835"/>
      <c r="E1294" s="835"/>
    </row>
    <row r="1295" spans="1:5" ht="15.75" x14ac:dyDescent="0.25">
      <c r="A1295" s="834"/>
      <c r="B1295" s="835"/>
      <c r="C1295" s="835"/>
      <c r="D1295" s="835"/>
      <c r="E1295" s="835"/>
    </row>
    <row r="1296" spans="1:5" ht="15.75" x14ac:dyDescent="0.25">
      <c r="A1296" s="834"/>
      <c r="B1296" s="835"/>
      <c r="C1296" s="835"/>
      <c r="D1296" s="835"/>
      <c r="E1296" s="835"/>
    </row>
    <row r="1297" spans="1:5" ht="15.75" x14ac:dyDescent="0.25">
      <c r="A1297" s="834"/>
      <c r="B1297" s="835"/>
      <c r="C1297" s="835"/>
      <c r="D1297" s="835"/>
      <c r="E1297" s="835"/>
    </row>
    <row r="1298" spans="1:5" ht="15.75" x14ac:dyDescent="0.25">
      <c r="A1298" s="834"/>
      <c r="B1298" s="835"/>
      <c r="C1298" s="835"/>
      <c r="D1298" s="835"/>
      <c r="E1298" s="835"/>
    </row>
    <row r="1299" spans="1:5" ht="15.75" x14ac:dyDescent="0.25">
      <c r="A1299" s="834"/>
      <c r="B1299" s="835"/>
      <c r="C1299" s="835"/>
      <c r="D1299" s="835"/>
      <c r="E1299" s="835"/>
    </row>
    <row r="1300" spans="1:5" ht="15.75" x14ac:dyDescent="0.25">
      <c r="A1300" s="834"/>
      <c r="B1300" s="835"/>
      <c r="C1300" s="835"/>
      <c r="D1300" s="835"/>
      <c r="E1300" s="835"/>
    </row>
    <row r="1301" spans="1:5" ht="15.75" x14ac:dyDescent="0.25">
      <c r="A1301" s="834"/>
      <c r="B1301" s="835"/>
      <c r="C1301" s="835"/>
      <c r="D1301" s="835"/>
      <c r="E1301" s="835"/>
    </row>
    <row r="1302" spans="1:5" ht="15.75" x14ac:dyDescent="0.25">
      <c r="A1302" s="834"/>
      <c r="B1302" s="835"/>
      <c r="C1302" s="835"/>
      <c r="D1302" s="835"/>
      <c r="E1302" s="835"/>
    </row>
    <row r="1303" spans="1:5" ht="15.75" x14ac:dyDescent="0.25">
      <c r="A1303" s="834"/>
      <c r="B1303" s="835"/>
      <c r="C1303" s="835"/>
      <c r="D1303" s="835"/>
      <c r="E1303" s="835"/>
    </row>
    <row r="1304" spans="1:5" ht="15.75" x14ac:dyDescent="0.25">
      <c r="A1304" s="834"/>
      <c r="B1304" s="835"/>
      <c r="C1304" s="835"/>
      <c r="D1304" s="835"/>
      <c r="E1304" s="835"/>
    </row>
    <row r="1305" spans="1:5" ht="15.75" x14ac:dyDescent="0.25">
      <c r="A1305" s="834"/>
      <c r="B1305" s="835"/>
      <c r="C1305" s="835"/>
      <c r="D1305" s="835"/>
      <c r="E1305" s="835"/>
    </row>
    <row r="1306" spans="1:5" ht="15.75" x14ac:dyDescent="0.25">
      <c r="A1306" s="834"/>
      <c r="B1306" s="835"/>
      <c r="C1306" s="835"/>
      <c r="D1306" s="835"/>
      <c r="E1306" s="835"/>
    </row>
    <row r="1307" spans="1:5" ht="15.75" x14ac:dyDescent="0.25">
      <c r="A1307" s="834"/>
      <c r="B1307" s="835"/>
      <c r="C1307" s="835"/>
      <c r="D1307" s="835"/>
      <c r="E1307" s="835"/>
    </row>
    <row r="1308" spans="1:5" ht="15.75" x14ac:dyDescent="0.25">
      <c r="A1308" s="834"/>
      <c r="B1308" s="835"/>
      <c r="C1308" s="835"/>
      <c r="D1308" s="835"/>
      <c r="E1308" s="835"/>
    </row>
    <row r="1309" spans="1:5" ht="15.75" x14ac:dyDescent="0.25">
      <c r="A1309" s="834"/>
      <c r="B1309" s="835"/>
      <c r="C1309" s="835"/>
      <c r="D1309" s="835"/>
      <c r="E1309" s="835"/>
    </row>
    <row r="1310" spans="1:5" ht="15.75" x14ac:dyDescent="0.25">
      <c r="A1310" s="834"/>
      <c r="B1310" s="835"/>
      <c r="C1310" s="835"/>
      <c r="D1310" s="835"/>
      <c r="E1310" s="835"/>
    </row>
    <row r="1311" spans="1:5" ht="15.75" x14ac:dyDescent="0.25">
      <c r="A1311" s="834"/>
      <c r="B1311" s="835"/>
      <c r="C1311" s="835"/>
      <c r="D1311" s="835"/>
      <c r="E1311" s="835"/>
    </row>
    <row r="1312" spans="1:5" ht="15.75" x14ac:dyDescent="0.25">
      <c r="A1312" s="834"/>
      <c r="B1312" s="835"/>
      <c r="C1312" s="835"/>
      <c r="D1312" s="835"/>
      <c r="E1312" s="835"/>
    </row>
    <row r="1313" spans="1:5" ht="15.75" x14ac:dyDescent="0.25">
      <c r="A1313" s="834"/>
      <c r="B1313" s="835"/>
      <c r="C1313" s="835"/>
      <c r="D1313" s="835"/>
      <c r="E1313" s="835"/>
    </row>
    <row r="1314" spans="1:5" ht="15.75" x14ac:dyDescent="0.25">
      <c r="A1314" s="834"/>
      <c r="B1314" s="835"/>
      <c r="C1314" s="835"/>
      <c r="D1314" s="835"/>
      <c r="E1314" s="835"/>
    </row>
    <row r="1315" spans="1:5" ht="15.75" x14ac:dyDescent="0.25">
      <c r="A1315" s="834"/>
      <c r="B1315" s="835"/>
      <c r="C1315" s="835"/>
      <c r="D1315" s="835"/>
      <c r="E1315" s="835"/>
    </row>
    <row r="1316" spans="1:5" ht="15.75" x14ac:dyDescent="0.25">
      <c r="A1316" s="834"/>
      <c r="B1316" s="835"/>
      <c r="C1316" s="835"/>
      <c r="D1316" s="835"/>
      <c r="E1316" s="835"/>
    </row>
    <row r="1317" spans="1:5" ht="15.75" x14ac:dyDescent="0.25">
      <c r="A1317" s="834"/>
      <c r="B1317" s="835"/>
      <c r="C1317" s="835"/>
      <c r="D1317" s="835"/>
      <c r="E1317" s="835"/>
    </row>
    <row r="1318" spans="1:5" ht="15.75" x14ac:dyDescent="0.25">
      <c r="A1318" s="834"/>
      <c r="B1318" s="835"/>
      <c r="C1318" s="835"/>
      <c r="D1318" s="835"/>
      <c r="E1318" s="835"/>
    </row>
    <row r="1319" spans="1:5" ht="15.75" x14ac:dyDescent="0.25">
      <c r="A1319" s="834"/>
      <c r="B1319" s="835"/>
      <c r="C1319" s="835"/>
      <c r="D1319" s="835"/>
      <c r="E1319" s="835"/>
    </row>
    <row r="1320" spans="1:5" ht="15.75" x14ac:dyDescent="0.25">
      <c r="A1320" s="834"/>
      <c r="B1320" s="835"/>
      <c r="C1320" s="835"/>
      <c r="D1320" s="835"/>
      <c r="E1320" s="835"/>
    </row>
    <row r="1321" spans="1:5" ht="15.75" x14ac:dyDescent="0.25">
      <c r="A1321" s="834"/>
      <c r="B1321" s="835"/>
      <c r="C1321" s="835"/>
      <c r="D1321" s="835"/>
      <c r="E1321" s="835"/>
    </row>
    <row r="1322" spans="1:5" ht="15.75" x14ac:dyDescent="0.25">
      <c r="A1322" s="834"/>
      <c r="B1322" s="835"/>
      <c r="C1322" s="835"/>
      <c r="D1322" s="835"/>
      <c r="E1322" s="835"/>
    </row>
    <row r="1323" spans="1:5" ht="15.75" x14ac:dyDescent="0.25">
      <c r="A1323" s="834"/>
      <c r="B1323" s="835"/>
      <c r="C1323" s="835"/>
      <c r="D1323" s="835"/>
      <c r="E1323" s="835"/>
    </row>
    <row r="1324" spans="1:5" ht="15.75" x14ac:dyDescent="0.25">
      <c r="A1324" s="834"/>
      <c r="B1324" s="835"/>
      <c r="C1324" s="835"/>
      <c r="D1324" s="835"/>
      <c r="E1324" s="835"/>
    </row>
    <row r="1325" spans="1:5" ht="15.75" x14ac:dyDescent="0.25">
      <c r="A1325" s="834"/>
      <c r="B1325" s="835"/>
      <c r="C1325" s="835"/>
      <c r="D1325" s="835"/>
      <c r="E1325" s="835"/>
    </row>
    <row r="1326" spans="1:5" ht="15.75" x14ac:dyDescent="0.25">
      <c r="A1326" s="834"/>
      <c r="B1326" s="835"/>
      <c r="C1326" s="835"/>
      <c r="D1326" s="835"/>
      <c r="E1326" s="835"/>
    </row>
    <row r="1327" spans="1:5" ht="15.75" x14ac:dyDescent="0.25">
      <c r="A1327" s="834"/>
      <c r="B1327" s="835"/>
      <c r="C1327" s="835"/>
      <c r="D1327" s="835"/>
      <c r="E1327" s="835"/>
    </row>
    <row r="1328" spans="1:5" ht="15.75" x14ac:dyDescent="0.25">
      <c r="A1328" s="834"/>
      <c r="B1328" s="835"/>
      <c r="C1328" s="835"/>
      <c r="D1328" s="835"/>
      <c r="E1328" s="835"/>
    </row>
    <row r="1329" spans="1:5" ht="15.75" x14ac:dyDescent="0.25">
      <c r="A1329" s="834"/>
      <c r="B1329" s="835"/>
      <c r="C1329" s="835"/>
      <c r="D1329" s="835"/>
      <c r="E1329" s="835"/>
    </row>
    <row r="1330" spans="1:5" ht="15.75" x14ac:dyDescent="0.25">
      <c r="A1330" s="834"/>
      <c r="B1330" s="835"/>
      <c r="C1330" s="835"/>
      <c r="D1330" s="835"/>
      <c r="E1330" s="835"/>
    </row>
    <row r="1331" spans="1:5" ht="15.75" x14ac:dyDescent="0.25">
      <c r="A1331" s="834"/>
      <c r="B1331" s="835"/>
      <c r="C1331" s="835"/>
      <c r="D1331" s="835"/>
      <c r="E1331" s="835"/>
    </row>
    <row r="1332" spans="1:5" ht="15.75" x14ac:dyDescent="0.25">
      <c r="A1332" s="834"/>
      <c r="B1332" s="835"/>
      <c r="C1332" s="835"/>
      <c r="D1332" s="835"/>
      <c r="E1332" s="835"/>
    </row>
    <row r="1333" spans="1:5" ht="15.75" x14ac:dyDescent="0.25">
      <c r="A1333" s="834"/>
      <c r="B1333" s="835"/>
      <c r="C1333" s="835"/>
      <c r="D1333" s="835"/>
      <c r="E1333" s="835"/>
    </row>
    <row r="1334" spans="1:5" ht="15.75" x14ac:dyDescent="0.25">
      <c r="A1334" s="834"/>
      <c r="B1334" s="835"/>
      <c r="C1334" s="835"/>
      <c r="D1334" s="835"/>
      <c r="E1334" s="835"/>
    </row>
    <row r="1335" spans="1:5" ht="15.75" x14ac:dyDescent="0.25">
      <c r="A1335" s="834"/>
      <c r="B1335" s="835"/>
      <c r="C1335" s="835"/>
      <c r="D1335" s="835"/>
      <c r="E1335" s="835"/>
    </row>
    <row r="1336" spans="1:5" ht="15.75" x14ac:dyDescent="0.25">
      <c r="A1336" s="834"/>
      <c r="B1336" s="835"/>
      <c r="C1336" s="835"/>
      <c r="D1336" s="835"/>
      <c r="E1336" s="835"/>
    </row>
    <row r="1337" spans="1:5" ht="15.75" x14ac:dyDescent="0.25">
      <c r="A1337" s="834"/>
      <c r="B1337" s="835"/>
      <c r="C1337" s="835"/>
      <c r="D1337" s="835"/>
      <c r="E1337" s="835"/>
    </row>
    <row r="1338" spans="1:5" ht="15.75" x14ac:dyDescent="0.25">
      <c r="A1338" s="834"/>
      <c r="B1338" s="835"/>
      <c r="C1338" s="835"/>
      <c r="D1338" s="835"/>
      <c r="E1338" s="835"/>
    </row>
    <row r="1339" spans="1:5" ht="15.75" x14ac:dyDescent="0.25">
      <c r="A1339" s="834"/>
      <c r="B1339" s="835"/>
      <c r="C1339" s="835"/>
      <c r="D1339" s="835"/>
      <c r="E1339" s="835"/>
    </row>
    <row r="1340" spans="1:5" ht="15.75" x14ac:dyDescent="0.25">
      <c r="A1340" s="834"/>
      <c r="B1340" s="835"/>
      <c r="C1340" s="835"/>
      <c r="D1340" s="835"/>
      <c r="E1340" s="835"/>
    </row>
    <row r="1341" spans="1:5" ht="15.75" x14ac:dyDescent="0.25">
      <c r="A1341" s="834"/>
      <c r="B1341" s="835"/>
      <c r="C1341" s="835"/>
      <c r="D1341" s="835"/>
      <c r="E1341" s="835"/>
    </row>
    <row r="1342" spans="1:5" ht="15.75" x14ac:dyDescent="0.25">
      <c r="A1342" s="834"/>
      <c r="B1342" s="835"/>
      <c r="C1342" s="835"/>
      <c r="D1342" s="835"/>
      <c r="E1342" s="835"/>
    </row>
    <row r="1343" spans="1:5" ht="15.75" x14ac:dyDescent="0.25">
      <c r="A1343" s="834"/>
      <c r="B1343" s="835"/>
      <c r="C1343" s="835"/>
      <c r="D1343" s="835"/>
      <c r="E1343" s="835"/>
    </row>
    <row r="1344" spans="1:5" ht="15.75" x14ac:dyDescent="0.25">
      <c r="A1344" s="834"/>
      <c r="B1344" s="835"/>
      <c r="C1344" s="835"/>
      <c r="D1344" s="835"/>
      <c r="E1344" s="835"/>
    </row>
    <row r="1345" spans="1:5" ht="15.75" x14ac:dyDescent="0.25">
      <c r="A1345" s="834"/>
      <c r="B1345" s="835"/>
      <c r="C1345" s="835"/>
      <c r="D1345" s="835"/>
      <c r="E1345" s="835"/>
    </row>
    <row r="1346" spans="1:5" ht="15.75" x14ac:dyDescent="0.25">
      <c r="A1346" s="834"/>
      <c r="B1346" s="835"/>
      <c r="C1346" s="835"/>
      <c r="D1346" s="835"/>
      <c r="E1346" s="835"/>
    </row>
    <row r="1347" spans="1:5" ht="15.75" x14ac:dyDescent="0.25">
      <c r="A1347" s="834"/>
      <c r="B1347" s="835"/>
      <c r="C1347" s="835"/>
      <c r="D1347" s="835"/>
      <c r="E1347" s="835"/>
    </row>
    <row r="1348" spans="1:5" ht="15.75" x14ac:dyDescent="0.25">
      <c r="A1348" s="834"/>
      <c r="B1348" s="835"/>
      <c r="C1348" s="835"/>
      <c r="D1348" s="835"/>
      <c r="E1348" s="835"/>
    </row>
    <row r="1349" spans="1:5" ht="15.75" x14ac:dyDescent="0.25">
      <c r="A1349" s="834"/>
      <c r="B1349" s="835"/>
      <c r="C1349" s="835"/>
      <c r="D1349" s="835"/>
      <c r="E1349" s="835"/>
    </row>
    <row r="1350" spans="1:5" ht="15.75" x14ac:dyDescent="0.25">
      <c r="A1350" s="834"/>
      <c r="B1350" s="835"/>
      <c r="C1350" s="835"/>
      <c r="D1350" s="835"/>
      <c r="E1350" s="835"/>
    </row>
    <row r="1351" spans="1:5" ht="15.75" x14ac:dyDescent="0.25">
      <c r="A1351" s="834"/>
      <c r="B1351" s="835"/>
      <c r="C1351" s="835"/>
      <c r="D1351" s="835"/>
      <c r="E1351" s="835"/>
    </row>
    <row r="1352" spans="1:5" ht="15.75" x14ac:dyDescent="0.25">
      <c r="A1352" s="834"/>
      <c r="B1352" s="835"/>
      <c r="C1352" s="835"/>
      <c r="D1352" s="835"/>
      <c r="E1352" s="835"/>
    </row>
    <row r="1353" spans="1:5" ht="15.75" x14ac:dyDescent="0.25">
      <c r="A1353" s="834"/>
      <c r="B1353" s="835"/>
      <c r="C1353" s="835"/>
      <c r="D1353" s="835"/>
      <c r="E1353" s="835"/>
    </row>
    <row r="1354" spans="1:5" ht="15.75" x14ac:dyDescent="0.25">
      <c r="A1354" s="834"/>
      <c r="B1354" s="835"/>
      <c r="C1354" s="835"/>
      <c r="D1354" s="835"/>
      <c r="E1354" s="835"/>
    </row>
    <row r="1355" spans="1:5" ht="15.75" x14ac:dyDescent="0.25">
      <c r="A1355" s="834"/>
      <c r="B1355" s="835"/>
      <c r="C1355" s="835"/>
      <c r="D1355" s="835"/>
      <c r="E1355" s="835"/>
    </row>
    <row r="1356" spans="1:5" ht="15.75" x14ac:dyDescent="0.25">
      <c r="A1356" s="834"/>
      <c r="B1356" s="835"/>
      <c r="C1356" s="835"/>
      <c r="D1356" s="835"/>
      <c r="E1356" s="835"/>
    </row>
    <row r="1357" spans="1:5" ht="15.75" x14ac:dyDescent="0.25">
      <c r="A1357" s="834"/>
      <c r="B1357" s="835"/>
      <c r="C1357" s="835"/>
      <c r="D1357" s="835"/>
      <c r="E1357" s="835"/>
    </row>
    <row r="1358" spans="1:5" ht="15.75" x14ac:dyDescent="0.25">
      <c r="A1358" s="834"/>
      <c r="B1358" s="835"/>
      <c r="C1358" s="835"/>
      <c r="D1358" s="835"/>
      <c r="E1358" s="835"/>
    </row>
    <row r="1359" spans="1:5" ht="15.75" x14ac:dyDescent="0.25">
      <c r="A1359" s="834"/>
      <c r="B1359" s="835"/>
      <c r="C1359" s="835"/>
      <c r="D1359" s="835"/>
      <c r="E1359" s="835"/>
    </row>
    <row r="1360" spans="1:5" ht="15.75" x14ac:dyDescent="0.25">
      <c r="A1360" s="834"/>
      <c r="B1360" s="835"/>
      <c r="C1360" s="835"/>
      <c r="D1360" s="835"/>
      <c r="E1360" s="835"/>
    </row>
    <row r="1361" spans="1:5" ht="15.75" x14ac:dyDescent="0.25">
      <c r="A1361" s="834"/>
      <c r="B1361" s="835"/>
      <c r="C1361" s="835"/>
      <c r="D1361" s="835"/>
      <c r="E1361" s="835"/>
    </row>
    <row r="1362" spans="1:5" ht="15.75" x14ac:dyDescent="0.25">
      <c r="A1362" s="834"/>
      <c r="B1362" s="835"/>
      <c r="C1362" s="835"/>
      <c r="D1362" s="835"/>
      <c r="E1362" s="835"/>
    </row>
    <row r="1363" spans="1:5" ht="15.75" x14ac:dyDescent="0.25">
      <c r="A1363" s="834"/>
      <c r="B1363" s="835"/>
      <c r="C1363" s="835"/>
      <c r="D1363" s="835"/>
      <c r="E1363" s="835"/>
    </row>
    <row r="1364" spans="1:5" ht="15.75" x14ac:dyDescent="0.25">
      <c r="A1364" s="834"/>
      <c r="B1364" s="835"/>
      <c r="C1364" s="835"/>
      <c r="D1364" s="835"/>
      <c r="E1364" s="835"/>
    </row>
    <row r="1365" spans="1:5" ht="15.75" x14ac:dyDescent="0.25">
      <c r="A1365" s="834"/>
      <c r="B1365" s="835"/>
      <c r="C1365" s="835"/>
      <c r="D1365" s="835"/>
      <c r="E1365" s="835"/>
    </row>
    <row r="1366" spans="1:5" ht="15.75" x14ac:dyDescent="0.25">
      <c r="A1366" s="834"/>
      <c r="B1366" s="835"/>
      <c r="C1366" s="835"/>
      <c r="D1366" s="835"/>
      <c r="E1366" s="835"/>
    </row>
    <row r="1367" spans="1:5" ht="15.75" x14ac:dyDescent="0.25">
      <c r="A1367" s="834"/>
      <c r="B1367" s="835"/>
      <c r="C1367" s="835"/>
      <c r="D1367" s="835"/>
      <c r="E1367" s="835"/>
    </row>
    <row r="1368" spans="1:5" ht="15.75" x14ac:dyDescent="0.25">
      <c r="A1368" s="834"/>
      <c r="B1368" s="835"/>
      <c r="C1368" s="835"/>
      <c r="D1368" s="835"/>
      <c r="E1368" s="835"/>
    </row>
    <row r="1369" spans="1:5" ht="15.75" x14ac:dyDescent="0.25">
      <c r="A1369" s="834"/>
      <c r="B1369" s="835"/>
      <c r="C1369" s="835"/>
      <c r="D1369" s="835"/>
      <c r="E1369" s="835"/>
    </row>
    <row r="1370" spans="1:5" ht="15.75" x14ac:dyDescent="0.25">
      <c r="A1370" s="834"/>
      <c r="B1370" s="835"/>
      <c r="C1370" s="835"/>
      <c r="D1370" s="835"/>
      <c r="E1370" s="835"/>
    </row>
    <row r="1371" spans="1:5" ht="15.75" x14ac:dyDescent="0.25">
      <c r="A1371" s="834"/>
      <c r="B1371" s="835"/>
      <c r="C1371" s="835"/>
      <c r="D1371" s="835"/>
      <c r="E1371" s="835"/>
    </row>
    <row r="1372" spans="1:5" ht="15.75" x14ac:dyDescent="0.25">
      <c r="A1372" s="834"/>
      <c r="B1372" s="835"/>
      <c r="C1372" s="835"/>
      <c r="D1372" s="835"/>
      <c r="E1372" s="835"/>
    </row>
    <row r="1373" spans="1:5" ht="15.75" x14ac:dyDescent="0.25">
      <c r="A1373" s="834"/>
      <c r="B1373" s="835"/>
      <c r="C1373" s="835"/>
      <c r="D1373" s="835"/>
      <c r="E1373" s="835"/>
    </row>
    <row r="1374" spans="1:5" ht="15.75" x14ac:dyDescent="0.25">
      <c r="A1374" s="834"/>
      <c r="B1374" s="835"/>
      <c r="C1374" s="835"/>
      <c r="D1374" s="835"/>
      <c r="E1374" s="835"/>
    </row>
    <row r="1375" spans="1:5" ht="15.75" x14ac:dyDescent="0.25">
      <c r="A1375" s="834"/>
      <c r="B1375" s="835"/>
      <c r="C1375" s="835"/>
      <c r="D1375" s="835"/>
      <c r="E1375" s="835"/>
    </row>
    <row r="1376" spans="1:5" ht="15.75" x14ac:dyDescent="0.25">
      <c r="A1376" s="834"/>
      <c r="B1376" s="835"/>
      <c r="C1376" s="835"/>
      <c r="D1376" s="835"/>
      <c r="E1376" s="835"/>
    </row>
    <row r="1377" spans="1:5" ht="15.75" x14ac:dyDescent="0.25">
      <c r="A1377" s="834"/>
      <c r="B1377" s="835"/>
      <c r="C1377" s="835"/>
      <c r="D1377" s="835"/>
      <c r="E1377" s="835"/>
    </row>
    <row r="1378" spans="1:5" ht="15.75" x14ac:dyDescent="0.25">
      <c r="A1378" s="834"/>
      <c r="B1378" s="835"/>
      <c r="C1378" s="835"/>
      <c r="D1378" s="835"/>
      <c r="E1378" s="835"/>
    </row>
    <row r="1379" spans="1:5" ht="15.75" x14ac:dyDescent="0.25">
      <c r="A1379" s="834"/>
      <c r="B1379" s="835"/>
      <c r="C1379" s="835"/>
      <c r="D1379" s="835"/>
      <c r="E1379" s="835"/>
    </row>
    <row r="1380" spans="1:5" ht="15.75" x14ac:dyDescent="0.25">
      <c r="A1380" s="834"/>
      <c r="B1380" s="835"/>
      <c r="C1380" s="835"/>
      <c r="D1380" s="835"/>
      <c r="E1380" s="835"/>
    </row>
    <row r="1381" spans="1:5" ht="15.75" x14ac:dyDescent="0.25">
      <c r="A1381" s="834"/>
      <c r="B1381" s="835"/>
      <c r="C1381" s="835"/>
      <c r="D1381" s="835"/>
      <c r="E1381" s="835"/>
    </row>
    <row r="1382" spans="1:5" ht="15.75" x14ac:dyDescent="0.25">
      <c r="A1382" s="834"/>
      <c r="B1382" s="835"/>
      <c r="C1382" s="835"/>
      <c r="D1382" s="835"/>
      <c r="E1382" s="835"/>
    </row>
    <row r="1383" spans="1:5" ht="15.75" x14ac:dyDescent="0.25">
      <c r="A1383" s="834"/>
      <c r="B1383" s="835"/>
      <c r="C1383" s="835"/>
      <c r="D1383" s="835"/>
      <c r="E1383" s="835"/>
    </row>
    <row r="1384" spans="1:5" ht="15.75" x14ac:dyDescent="0.25">
      <c r="A1384" s="834"/>
      <c r="B1384" s="835"/>
      <c r="C1384" s="835"/>
      <c r="D1384" s="835"/>
      <c r="E1384" s="835"/>
    </row>
    <row r="1385" spans="1:5" ht="15.75" x14ac:dyDescent="0.25">
      <c r="A1385" s="834"/>
      <c r="B1385" s="835"/>
      <c r="C1385" s="835"/>
      <c r="D1385" s="835"/>
      <c r="E1385" s="835"/>
    </row>
    <row r="1386" spans="1:5" ht="15.75" x14ac:dyDescent="0.25">
      <c r="A1386" s="834"/>
      <c r="B1386" s="835"/>
      <c r="C1386" s="835"/>
      <c r="D1386" s="835"/>
      <c r="E1386" s="835"/>
    </row>
    <row r="1387" spans="1:5" ht="15.75" x14ac:dyDescent="0.25">
      <c r="A1387" s="834"/>
      <c r="B1387" s="835"/>
      <c r="C1387" s="835"/>
      <c r="D1387" s="835"/>
      <c r="E1387" s="835"/>
    </row>
    <row r="1388" spans="1:5" ht="15.75" x14ac:dyDescent="0.25">
      <c r="A1388" s="834"/>
      <c r="B1388" s="835"/>
      <c r="C1388" s="835"/>
      <c r="D1388" s="835"/>
      <c r="E1388" s="835"/>
    </row>
    <row r="1389" spans="1:5" ht="15.75" x14ac:dyDescent="0.25">
      <c r="A1389" s="834"/>
      <c r="B1389" s="835"/>
      <c r="C1389" s="835"/>
      <c r="D1389" s="835"/>
      <c r="E1389" s="835"/>
    </row>
    <row r="1390" spans="1:5" ht="15.75" x14ac:dyDescent="0.25">
      <c r="A1390" s="834"/>
      <c r="B1390" s="835"/>
      <c r="C1390" s="835"/>
      <c r="D1390" s="835"/>
      <c r="E1390" s="835"/>
    </row>
    <row r="1391" spans="1:5" ht="15.75" x14ac:dyDescent="0.25">
      <c r="A1391" s="834"/>
      <c r="B1391" s="835"/>
      <c r="C1391" s="835"/>
      <c r="D1391" s="835"/>
      <c r="E1391" s="835"/>
    </row>
    <row r="1392" spans="1:5" ht="15.75" x14ac:dyDescent="0.25">
      <c r="A1392" s="834"/>
      <c r="B1392" s="835"/>
      <c r="C1392" s="835"/>
      <c r="D1392" s="835"/>
      <c r="E1392" s="835"/>
    </row>
    <row r="1393" spans="1:5" ht="15.75" x14ac:dyDescent="0.25">
      <c r="A1393" s="834"/>
      <c r="B1393" s="835"/>
      <c r="C1393" s="835"/>
      <c r="D1393" s="835"/>
      <c r="E1393" s="835"/>
    </row>
    <row r="1394" spans="1:5" ht="15.75" x14ac:dyDescent="0.25">
      <c r="A1394" s="834"/>
      <c r="B1394" s="835"/>
      <c r="C1394" s="835"/>
      <c r="D1394" s="835"/>
      <c r="E1394" s="835"/>
    </row>
    <row r="1395" spans="1:5" ht="15.75" x14ac:dyDescent="0.25">
      <c r="A1395" s="834"/>
      <c r="B1395" s="835"/>
      <c r="C1395" s="835"/>
      <c r="D1395" s="835"/>
      <c r="E1395" s="835"/>
    </row>
    <row r="1396" spans="1:5" ht="15.75" x14ac:dyDescent="0.25">
      <c r="A1396" s="834"/>
      <c r="B1396" s="835"/>
      <c r="C1396" s="835"/>
      <c r="D1396" s="835"/>
      <c r="E1396" s="835"/>
    </row>
    <row r="1397" spans="1:5" ht="15.75" x14ac:dyDescent="0.25">
      <c r="A1397" s="834"/>
      <c r="B1397" s="835"/>
      <c r="C1397" s="835"/>
      <c r="D1397" s="835"/>
      <c r="E1397" s="835"/>
    </row>
    <row r="1398" spans="1:5" ht="15.75" x14ac:dyDescent="0.25">
      <c r="A1398" s="834"/>
      <c r="B1398" s="835"/>
      <c r="C1398" s="835"/>
      <c r="D1398" s="835"/>
      <c r="E1398" s="835"/>
    </row>
    <row r="1399" spans="1:5" ht="15.75" x14ac:dyDescent="0.25">
      <c r="A1399" s="834"/>
      <c r="B1399" s="835"/>
      <c r="C1399" s="835"/>
      <c r="D1399" s="835"/>
      <c r="E1399" s="835"/>
    </row>
    <row r="1400" spans="1:5" ht="15.75" x14ac:dyDescent="0.25">
      <c r="A1400" s="834"/>
      <c r="B1400" s="835"/>
      <c r="C1400" s="835"/>
      <c r="D1400" s="835"/>
      <c r="E1400" s="835"/>
    </row>
    <row r="1401" spans="1:5" ht="15.75" x14ac:dyDescent="0.25">
      <c r="A1401" s="834"/>
      <c r="B1401" s="835"/>
      <c r="C1401" s="835"/>
      <c r="D1401" s="835"/>
      <c r="E1401" s="835"/>
    </row>
    <row r="1402" spans="1:5" ht="15.75" x14ac:dyDescent="0.25">
      <c r="A1402" s="834"/>
      <c r="B1402" s="835"/>
      <c r="C1402" s="835"/>
      <c r="D1402" s="835"/>
      <c r="E1402" s="835"/>
    </row>
    <row r="1403" spans="1:5" ht="15.75" x14ac:dyDescent="0.25">
      <c r="A1403" s="834"/>
      <c r="B1403" s="835"/>
      <c r="C1403" s="835"/>
      <c r="D1403" s="835"/>
      <c r="E1403" s="835"/>
    </row>
    <row r="1404" spans="1:5" ht="15.75" x14ac:dyDescent="0.25">
      <c r="A1404" s="834"/>
      <c r="B1404" s="835"/>
      <c r="C1404" s="835"/>
      <c r="D1404" s="835"/>
      <c r="E1404" s="835"/>
    </row>
    <row r="1405" spans="1:5" ht="15.75" x14ac:dyDescent="0.25">
      <c r="A1405" s="834"/>
      <c r="B1405" s="835"/>
      <c r="C1405" s="835"/>
      <c r="D1405" s="835"/>
      <c r="E1405" s="835"/>
    </row>
    <row r="1406" spans="1:5" ht="15.75" x14ac:dyDescent="0.25">
      <c r="A1406" s="834"/>
      <c r="B1406" s="835"/>
      <c r="C1406" s="835"/>
      <c r="D1406" s="835"/>
      <c r="E1406" s="835"/>
    </row>
    <row r="1407" spans="1:5" ht="15.75" x14ac:dyDescent="0.25">
      <c r="A1407" s="834"/>
      <c r="B1407" s="835"/>
      <c r="C1407" s="835"/>
      <c r="D1407" s="835"/>
      <c r="E1407" s="835"/>
    </row>
    <row r="1408" spans="1:5" ht="15.75" x14ac:dyDescent="0.25">
      <c r="A1408" s="834"/>
      <c r="B1408" s="835"/>
      <c r="C1408" s="835"/>
      <c r="D1408" s="835"/>
      <c r="E1408" s="835"/>
    </row>
    <row r="1409" spans="1:5" ht="15.75" x14ac:dyDescent="0.25">
      <c r="A1409" s="834"/>
      <c r="B1409" s="835"/>
      <c r="C1409" s="835"/>
      <c r="D1409" s="835"/>
      <c r="E1409" s="835"/>
    </row>
    <row r="1410" spans="1:5" ht="15.75" x14ac:dyDescent="0.25">
      <c r="A1410" s="834"/>
      <c r="B1410" s="835"/>
      <c r="C1410" s="835"/>
      <c r="D1410" s="835"/>
      <c r="E1410" s="835"/>
    </row>
    <row r="1411" spans="1:5" ht="15.75" x14ac:dyDescent="0.25">
      <c r="A1411" s="834"/>
      <c r="B1411" s="835"/>
      <c r="C1411" s="835"/>
      <c r="D1411" s="835"/>
      <c r="E1411" s="835"/>
    </row>
    <row r="1412" spans="1:5" ht="15.75" x14ac:dyDescent="0.25">
      <c r="A1412" s="834"/>
      <c r="B1412" s="835"/>
      <c r="C1412" s="835"/>
      <c r="D1412" s="835"/>
      <c r="E1412" s="835"/>
    </row>
    <row r="1413" spans="1:5" ht="15.75" x14ac:dyDescent="0.25">
      <c r="A1413" s="834"/>
      <c r="B1413" s="835"/>
      <c r="C1413" s="835"/>
      <c r="D1413" s="835"/>
      <c r="E1413" s="835"/>
    </row>
    <row r="1414" spans="1:5" ht="15.75" x14ac:dyDescent="0.25">
      <c r="A1414" s="834"/>
      <c r="B1414" s="835"/>
      <c r="C1414" s="835"/>
      <c r="D1414" s="835"/>
      <c r="E1414" s="835"/>
    </row>
    <row r="1415" spans="1:5" ht="15.75" x14ac:dyDescent="0.25">
      <c r="A1415" s="834"/>
      <c r="B1415" s="835"/>
      <c r="C1415" s="835"/>
      <c r="D1415" s="835"/>
      <c r="E1415" s="835"/>
    </row>
    <row r="1416" spans="1:5" ht="15.75" x14ac:dyDescent="0.25">
      <c r="A1416" s="834"/>
      <c r="B1416" s="835"/>
      <c r="C1416" s="835"/>
      <c r="D1416" s="835"/>
      <c r="E1416" s="835"/>
    </row>
    <row r="1417" spans="1:5" ht="15.75" x14ac:dyDescent="0.25">
      <c r="A1417" s="834"/>
      <c r="B1417" s="835"/>
      <c r="C1417" s="835"/>
      <c r="D1417" s="835"/>
      <c r="E1417" s="835"/>
    </row>
    <row r="1418" spans="1:5" ht="15.75" x14ac:dyDescent="0.25">
      <c r="A1418" s="834"/>
      <c r="B1418" s="835"/>
      <c r="C1418" s="835"/>
      <c r="D1418" s="835"/>
      <c r="E1418" s="835"/>
    </row>
    <row r="1419" spans="1:5" ht="15.75" x14ac:dyDescent="0.25">
      <c r="A1419" s="834"/>
      <c r="B1419" s="835"/>
      <c r="C1419" s="835"/>
      <c r="D1419" s="835"/>
      <c r="E1419" s="835"/>
    </row>
    <row r="1420" spans="1:5" ht="15.75" x14ac:dyDescent="0.25">
      <c r="A1420" s="834"/>
      <c r="B1420" s="835"/>
      <c r="C1420" s="835"/>
      <c r="D1420" s="835"/>
      <c r="E1420" s="835"/>
    </row>
    <row r="1421" spans="1:5" ht="15.75" x14ac:dyDescent="0.25">
      <c r="A1421" s="834"/>
      <c r="B1421" s="835"/>
      <c r="C1421" s="835"/>
      <c r="D1421" s="835"/>
      <c r="E1421" s="835"/>
    </row>
    <row r="1422" spans="1:5" ht="15.75" x14ac:dyDescent="0.25">
      <c r="A1422" s="834"/>
      <c r="B1422" s="835"/>
      <c r="C1422" s="835"/>
      <c r="D1422" s="835"/>
      <c r="E1422" s="835"/>
    </row>
    <row r="1423" spans="1:5" ht="15.75" x14ac:dyDescent="0.25">
      <c r="A1423" s="834"/>
      <c r="B1423" s="835"/>
      <c r="C1423" s="835"/>
      <c r="D1423" s="835"/>
      <c r="E1423" s="835"/>
    </row>
    <row r="1424" spans="1:5" ht="15.75" x14ac:dyDescent="0.25">
      <c r="A1424" s="834"/>
      <c r="B1424" s="835"/>
      <c r="C1424" s="835"/>
      <c r="D1424" s="835"/>
      <c r="E1424" s="835"/>
    </row>
    <row r="1425" spans="1:5" ht="15.75" x14ac:dyDescent="0.25">
      <c r="A1425" s="834"/>
      <c r="B1425" s="835"/>
      <c r="C1425" s="835"/>
      <c r="D1425" s="835"/>
      <c r="E1425" s="835"/>
    </row>
    <row r="1426" spans="1:5" ht="15.75" x14ac:dyDescent="0.25">
      <c r="A1426" s="834"/>
      <c r="B1426" s="835"/>
      <c r="C1426" s="835"/>
      <c r="D1426" s="835"/>
      <c r="E1426" s="835"/>
    </row>
    <row r="1427" spans="1:5" ht="15.75" x14ac:dyDescent="0.25">
      <c r="A1427" s="834"/>
      <c r="B1427" s="835"/>
      <c r="C1427" s="835"/>
      <c r="D1427" s="835"/>
      <c r="E1427" s="835"/>
    </row>
    <row r="1428" spans="1:5" ht="15.75" x14ac:dyDescent="0.25">
      <c r="A1428" s="834"/>
      <c r="B1428" s="835"/>
      <c r="C1428" s="835"/>
      <c r="D1428" s="835"/>
      <c r="E1428" s="835"/>
    </row>
    <row r="1429" spans="1:5" ht="15.75" x14ac:dyDescent="0.25">
      <c r="A1429" s="834"/>
      <c r="B1429" s="835"/>
      <c r="C1429" s="835"/>
      <c r="D1429" s="835"/>
      <c r="E1429" s="835"/>
    </row>
    <row r="1430" spans="1:5" ht="15.75" x14ac:dyDescent="0.25">
      <c r="A1430" s="834"/>
      <c r="B1430" s="835"/>
      <c r="C1430" s="835"/>
      <c r="D1430" s="835"/>
      <c r="E1430" s="835"/>
    </row>
    <row r="1431" spans="1:5" ht="15.75" x14ac:dyDescent="0.25">
      <c r="A1431" s="834"/>
      <c r="B1431" s="835"/>
      <c r="C1431" s="835"/>
      <c r="D1431" s="835"/>
      <c r="E1431" s="835"/>
    </row>
    <row r="1432" spans="1:5" ht="15.75" x14ac:dyDescent="0.25">
      <c r="A1432" s="834"/>
      <c r="B1432" s="835"/>
      <c r="C1432" s="835"/>
      <c r="D1432" s="835"/>
      <c r="E1432" s="835"/>
    </row>
    <row r="1433" spans="1:5" ht="15.75" x14ac:dyDescent="0.25">
      <c r="A1433" s="834"/>
      <c r="B1433" s="835"/>
      <c r="C1433" s="835"/>
      <c r="D1433" s="835"/>
      <c r="E1433" s="835"/>
    </row>
    <row r="1434" spans="1:5" ht="15.75" x14ac:dyDescent="0.25">
      <c r="A1434" s="834"/>
      <c r="B1434" s="835"/>
      <c r="C1434" s="835"/>
      <c r="D1434" s="835"/>
      <c r="E1434" s="835"/>
    </row>
    <row r="1435" spans="1:5" ht="15.75" x14ac:dyDescent="0.25">
      <c r="A1435" s="834"/>
      <c r="B1435" s="835"/>
      <c r="C1435" s="835"/>
      <c r="D1435" s="835"/>
      <c r="E1435" s="835"/>
    </row>
    <row r="1436" spans="1:5" ht="15.75" x14ac:dyDescent="0.25">
      <c r="A1436" s="834"/>
      <c r="B1436" s="835"/>
      <c r="C1436" s="835"/>
      <c r="D1436" s="835"/>
      <c r="E1436" s="835"/>
    </row>
    <row r="1437" spans="1:5" ht="15.75" x14ac:dyDescent="0.25">
      <c r="A1437" s="834"/>
      <c r="B1437" s="835"/>
      <c r="C1437" s="835"/>
      <c r="D1437" s="835"/>
      <c r="E1437" s="835"/>
    </row>
    <row r="1438" spans="1:5" ht="15.75" x14ac:dyDescent="0.25">
      <c r="A1438" s="834"/>
      <c r="B1438" s="835"/>
      <c r="C1438" s="835"/>
      <c r="D1438" s="835"/>
      <c r="E1438" s="835"/>
    </row>
    <row r="1439" spans="1:5" ht="15.75" x14ac:dyDescent="0.25">
      <c r="A1439" s="834"/>
      <c r="B1439" s="835"/>
      <c r="C1439" s="835"/>
      <c r="D1439" s="835"/>
      <c r="E1439" s="835"/>
    </row>
    <row r="1440" spans="1:5" ht="15.75" x14ac:dyDescent="0.25">
      <c r="A1440" s="834"/>
      <c r="B1440" s="835"/>
      <c r="C1440" s="835"/>
      <c r="D1440" s="835"/>
      <c r="E1440" s="835"/>
    </row>
    <row r="1441" spans="1:5" ht="15.75" x14ac:dyDescent="0.25">
      <c r="A1441" s="834"/>
      <c r="B1441" s="835"/>
      <c r="C1441" s="835"/>
      <c r="D1441" s="835"/>
      <c r="E1441" s="835"/>
    </row>
    <row r="1442" spans="1:5" ht="15.75" x14ac:dyDescent="0.25">
      <c r="A1442" s="834"/>
      <c r="B1442" s="835"/>
      <c r="C1442" s="835"/>
      <c r="D1442" s="835"/>
      <c r="E1442" s="835"/>
    </row>
    <row r="1443" spans="1:5" ht="15.75" x14ac:dyDescent="0.25">
      <c r="A1443" s="834"/>
      <c r="B1443" s="835"/>
      <c r="C1443" s="835"/>
      <c r="D1443" s="835"/>
      <c r="E1443" s="835"/>
    </row>
    <row r="1444" spans="1:5" ht="15.75" x14ac:dyDescent="0.25">
      <c r="A1444" s="834"/>
      <c r="B1444" s="835"/>
      <c r="C1444" s="835"/>
      <c r="D1444" s="835"/>
      <c r="E1444" s="835"/>
    </row>
    <row r="1445" spans="1:5" ht="15.75" x14ac:dyDescent="0.25">
      <c r="A1445" s="834"/>
      <c r="B1445" s="835"/>
      <c r="C1445" s="835"/>
      <c r="D1445" s="835"/>
      <c r="E1445" s="835"/>
    </row>
    <row r="1446" spans="1:5" ht="15.75" x14ac:dyDescent="0.25">
      <c r="A1446" s="834"/>
      <c r="B1446" s="835"/>
      <c r="C1446" s="835"/>
      <c r="D1446" s="835"/>
      <c r="E1446" s="835"/>
    </row>
    <row r="1447" spans="1:5" ht="15.75" x14ac:dyDescent="0.25">
      <c r="A1447" s="834"/>
      <c r="B1447" s="835"/>
      <c r="C1447" s="835"/>
      <c r="D1447" s="835"/>
      <c r="E1447" s="835"/>
    </row>
    <row r="1448" spans="1:5" ht="15.75" x14ac:dyDescent="0.25">
      <c r="A1448" s="834"/>
      <c r="B1448" s="835"/>
      <c r="C1448" s="835"/>
      <c r="D1448" s="835"/>
      <c r="E1448" s="835"/>
    </row>
    <row r="1449" spans="1:5" ht="15.75" x14ac:dyDescent="0.25">
      <c r="A1449" s="834"/>
      <c r="B1449" s="835"/>
      <c r="C1449" s="835"/>
      <c r="D1449" s="835"/>
      <c r="E1449" s="835"/>
    </row>
    <row r="1450" spans="1:5" ht="15.75" x14ac:dyDescent="0.25">
      <c r="A1450" s="834"/>
      <c r="B1450" s="835"/>
      <c r="C1450" s="835"/>
      <c r="D1450" s="835"/>
      <c r="E1450" s="835"/>
    </row>
    <row r="1451" spans="1:5" ht="15.75" x14ac:dyDescent="0.25">
      <c r="A1451" s="834"/>
      <c r="B1451" s="835"/>
      <c r="C1451" s="835"/>
      <c r="D1451" s="835"/>
      <c r="E1451" s="835"/>
    </row>
    <row r="1452" spans="1:5" ht="15.75" x14ac:dyDescent="0.25">
      <c r="A1452" s="834"/>
      <c r="B1452" s="835"/>
      <c r="C1452" s="835"/>
      <c r="D1452" s="835"/>
      <c r="E1452" s="835"/>
    </row>
    <row r="1453" spans="1:5" ht="15.75" x14ac:dyDescent="0.25">
      <c r="A1453" s="834"/>
      <c r="B1453" s="835"/>
      <c r="C1453" s="835"/>
      <c r="D1453" s="835"/>
      <c r="E1453" s="835"/>
    </row>
    <row r="1454" spans="1:5" ht="15.75" x14ac:dyDescent="0.25">
      <c r="A1454" s="834"/>
      <c r="B1454" s="835"/>
      <c r="C1454" s="835"/>
      <c r="D1454" s="835"/>
      <c r="E1454" s="835"/>
    </row>
    <row r="1455" spans="1:5" ht="15.75" x14ac:dyDescent="0.25">
      <c r="A1455" s="834"/>
      <c r="B1455" s="835"/>
      <c r="C1455" s="835"/>
      <c r="D1455" s="835"/>
      <c r="E1455" s="835"/>
    </row>
    <row r="1456" spans="1:5" ht="15.75" x14ac:dyDescent="0.25">
      <c r="A1456" s="834"/>
      <c r="B1456" s="835"/>
      <c r="C1456" s="835"/>
      <c r="D1456" s="835"/>
      <c r="E1456" s="835"/>
    </row>
    <row r="1457" spans="1:5" ht="15.75" x14ac:dyDescent="0.25">
      <c r="A1457" s="834"/>
      <c r="B1457" s="835"/>
      <c r="C1457" s="835"/>
      <c r="D1457" s="835"/>
      <c r="E1457" s="835"/>
    </row>
    <row r="1458" spans="1:5" ht="15.75" x14ac:dyDescent="0.25">
      <c r="A1458" s="834"/>
      <c r="B1458" s="835"/>
      <c r="C1458" s="835"/>
      <c r="D1458" s="835"/>
      <c r="E1458" s="835"/>
    </row>
    <row r="1459" spans="1:5" ht="15.75" x14ac:dyDescent="0.25">
      <c r="A1459" s="834"/>
      <c r="B1459" s="835"/>
      <c r="C1459" s="835"/>
      <c r="D1459" s="835"/>
      <c r="E1459" s="835"/>
    </row>
    <row r="1460" spans="1:5" ht="15.75" x14ac:dyDescent="0.25">
      <c r="A1460" s="834"/>
      <c r="B1460" s="835"/>
      <c r="C1460" s="835"/>
      <c r="D1460" s="835"/>
      <c r="E1460" s="835"/>
    </row>
    <row r="1461" spans="1:5" ht="15.75" x14ac:dyDescent="0.25">
      <c r="A1461" s="834"/>
      <c r="B1461" s="835"/>
      <c r="C1461" s="835"/>
      <c r="D1461" s="835"/>
      <c r="E1461" s="835"/>
    </row>
    <row r="1462" spans="1:5" ht="15.75" x14ac:dyDescent="0.25">
      <c r="A1462" s="834"/>
      <c r="B1462" s="835"/>
      <c r="C1462" s="835"/>
      <c r="D1462" s="835"/>
      <c r="E1462" s="835"/>
    </row>
    <row r="1463" spans="1:5" ht="15.75" x14ac:dyDescent="0.25">
      <c r="A1463" s="834"/>
      <c r="B1463" s="835"/>
      <c r="C1463" s="835"/>
      <c r="D1463" s="835"/>
      <c r="E1463" s="835"/>
    </row>
    <row r="1464" spans="1:5" ht="15.75" x14ac:dyDescent="0.25">
      <c r="A1464" s="834"/>
      <c r="B1464" s="835"/>
      <c r="C1464" s="835"/>
      <c r="D1464" s="835"/>
      <c r="E1464" s="835"/>
    </row>
    <row r="1465" spans="1:5" ht="15.75" x14ac:dyDescent="0.25">
      <c r="A1465" s="834"/>
      <c r="B1465" s="835"/>
      <c r="C1465" s="835"/>
      <c r="D1465" s="835"/>
      <c r="E1465" s="835"/>
    </row>
    <row r="1466" spans="1:5" ht="15.75" x14ac:dyDescent="0.25">
      <c r="A1466" s="834"/>
      <c r="B1466" s="835"/>
      <c r="C1466" s="835"/>
      <c r="D1466" s="835"/>
      <c r="E1466" s="835"/>
    </row>
    <row r="1467" spans="1:5" ht="15.75" x14ac:dyDescent="0.25">
      <c r="A1467" s="834"/>
      <c r="B1467" s="835"/>
      <c r="C1467" s="835"/>
      <c r="D1467" s="835"/>
      <c r="E1467" s="835"/>
    </row>
    <row r="1468" spans="1:5" ht="15.75" x14ac:dyDescent="0.25">
      <c r="A1468" s="834"/>
      <c r="B1468" s="835"/>
      <c r="C1468" s="835"/>
      <c r="D1468" s="835"/>
      <c r="E1468" s="835"/>
    </row>
    <row r="1469" spans="1:5" ht="15.75" x14ac:dyDescent="0.25">
      <c r="A1469" s="834"/>
      <c r="B1469" s="835"/>
      <c r="C1469" s="835"/>
      <c r="D1469" s="835"/>
      <c r="E1469" s="835"/>
    </row>
    <row r="1470" spans="1:5" ht="15.75" x14ac:dyDescent="0.25">
      <c r="A1470" s="834"/>
      <c r="B1470" s="835"/>
      <c r="C1470" s="835"/>
      <c r="D1470" s="835"/>
      <c r="E1470" s="835"/>
    </row>
    <row r="1471" spans="1:5" ht="15.75" x14ac:dyDescent="0.25">
      <c r="A1471" s="834"/>
      <c r="B1471" s="835"/>
      <c r="C1471" s="835"/>
      <c r="D1471" s="835"/>
      <c r="E1471" s="835"/>
    </row>
    <row r="1472" spans="1:5" ht="15.75" x14ac:dyDescent="0.25">
      <c r="A1472" s="834"/>
      <c r="B1472" s="835"/>
      <c r="C1472" s="835"/>
      <c r="D1472" s="835"/>
      <c r="E1472" s="835"/>
    </row>
    <row r="1473" spans="1:5" ht="15.75" x14ac:dyDescent="0.25">
      <c r="A1473" s="834"/>
      <c r="B1473" s="835"/>
      <c r="C1473" s="835"/>
      <c r="D1473" s="835"/>
      <c r="E1473" s="835"/>
    </row>
    <row r="1474" spans="1:5" ht="15.75" x14ac:dyDescent="0.25">
      <c r="A1474" s="834"/>
      <c r="B1474" s="835"/>
      <c r="C1474" s="835"/>
      <c r="D1474" s="835"/>
      <c r="E1474" s="835"/>
    </row>
    <row r="1475" spans="1:5" ht="15.75" x14ac:dyDescent="0.25">
      <c r="A1475" s="834"/>
      <c r="B1475" s="835"/>
      <c r="C1475" s="835"/>
      <c r="D1475" s="835"/>
      <c r="E1475" s="835"/>
    </row>
    <row r="1476" spans="1:5" ht="15.75" x14ac:dyDescent="0.25">
      <c r="A1476" s="834"/>
      <c r="B1476" s="835"/>
      <c r="C1476" s="835"/>
      <c r="D1476" s="835"/>
      <c r="E1476" s="835"/>
    </row>
    <row r="1477" spans="1:5" ht="15.75" x14ac:dyDescent="0.25">
      <c r="A1477" s="834"/>
      <c r="B1477" s="835"/>
      <c r="C1477" s="835"/>
      <c r="D1477" s="835"/>
      <c r="E1477" s="835"/>
    </row>
    <row r="1478" spans="1:5" ht="15.75" x14ac:dyDescent="0.25">
      <c r="A1478" s="834"/>
      <c r="B1478" s="835"/>
      <c r="C1478" s="835"/>
      <c r="D1478" s="835"/>
      <c r="E1478" s="835"/>
    </row>
    <row r="1479" spans="1:5" ht="15.75" x14ac:dyDescent="0.25">
      <c r="A1479" s="834"/>
      <c r="B1479" s="835"/>
      <c r="C1479" s="835"/>
      <c r="D1479" s="835"/>
      <c r="E1479" s="835"/>
    </row>
    <row r="1480" spans="1:5" ht="15.75" x14ac:dyDescent="0.25">
      <c r="A1480" s="834"/>
      <c r="B1480" s="835"/>
      <c r="C1480" s="835"/>
      <c r="D1480" s="835"/>
      <c r="E1480" s="835"/>
    </row>
    <row r="1481" spans="1:5" ht="15.75" x14ac:dyDescent="0.25">
      <c r="A1481" s="834"/>
      <c r="B1481" s="835"/>
      <c r="C1481" s="835"/>
      <c r="D1481" s="835"/>
      <c r="E1481" s="835"/>
    </row>
    <row r="1482" spans="1:5" ht="15.75" x14ac:dyDescent="0.25">
      <c r="A1482" s="834"/>
      <c r="B1482" s="835"/>
      <c r="C1482" s="835"/>
      <c r="D1482" s="835"/>
      <c r="E1482" s="835"/>
    </row>
    <row r="1483" spans="1:5" ht="15.75" x14ac:dyDescent="0.25">
      <c r="A1483" s="834"/>
      <c r="B1483" s="835"/>
      <c r="C1483" s="835"/>
      <c r="D1483" s="835"/>
      <c r="E1483" s="835"/>
    </row>
    <row r="1484" spans="1:5" ht="15.75" x14ac:dyDescent="0.25">
      <c r="A1484" s="834"/>
      <c r="B1484" s="835"/>
      <c r="C1484" s="835"/>
      <c r="D1484" s="835"/>
      <c r="E1484" s="835"/>
    </row>
    <row r="1485" spans="1:5" ht="15.75" x14ac:dyDescent="0.25">
      <c r="A1485" s="834"/>
      <c r="B1485" s="835"/>
      <c r="C1485" s="835"/>
      <c r="D1485" s="835"/>
      <c r="E1485" s="835"/>
    </row>
    <row r="1486" spans="1:5" ht="15.75" x14ac:dyDescent="0.25">
      <c r="A1486" s="834"/>
      <c r="B1486" s="835"/>
      <c r="C1486" s="835"/>
      <c r="D1486" s="835"/>
      <c r="E1486" s="835"/>
    </row>
    <row r="1487" spans="1:5" ht="15.75" x14ac:dyDescent="0.25">
      <c r="A1487" s="834"/>
      <c r="B1487" s="835"/>
      <c r="C1487" s="835"/>
      <c r="D1487" s="835"/>
      <c r="E1487" s="835"/>
    </row>
    <row r="1488" spans="1:5" ht="15.75" x14ac:dyDescent="0.25">
      <c r="A1488" s="834"/>
      <c r="B1488" s="835"/>
      <c r="C1488" s="835"/>
      <c r="D1488" s="835"/>
      <c r="E1488" s="835"/>
    </row>
    <row r="1489" spans="1:5" ht="15.75" x14ac:dyDescent="0.25">
      <c r="A1489" s="834"/>
      <c r="B1489" s="835"/>
      <c r="C1489" s="835"/>
      <c r="D1489" s="835"/>
      <c r="E1489" s="835"/>
    </row>
    <row r="1490" spans="1:5" ht="15.75" x14ac:dyDescent="0.25">
      <c r="A1490" s="834"/>
      <c r="B1490" s="835"/>
      <c r="C1490" s="835"/>
      <c r="D1490" s="835"/>
      <c r="E1490" s="835"/>
    </row>
    <row r="1491" spans="1:5" ht="15.75" x14ac:dyDescent="0.25">
      <c r="A1491" s="834"/>
      <c r="B1491" s="835"/>
      <c r="C1491" s="835"/>
      <c r="D1491" s="835"/>
      <c r="E1491" s="835"/>
    </row>
    <row r="1492" spans="1:5" ht="15.75" x14ac:dyDescent="0.25">
      <c r="A1492" s="834"/>
      <c r="B1492" s="835"/>
      <c r="C1492" s="835"/>
      <c r="D1492" s="835"/>
      <c r="E1492" s="835"/>
    </row>
    <row r="1493" spans="1:5" ht="15.75" x14ac:dyDescent="0.25">
      <c r="A1493" s="834"/>
      <c r="B1493" s="835"/>
      <c r="C1493" s="835"/>
      <c r="D1493" s="835"/>
      <c r="E1493" s="835"/>
    </row>
    <row r="1494" spans="1:5" ht="15.75" x14ac:dyDescent="0.25">
      <c r="A1494" s="834"/>
      <c r="B1494" s="835"/>
      <c r="C1494" s="835"/>
      <c r="D1494" s="835"/>
      <c r="E1494" s="835"/>
    </row>
    <row r="1495" spans="1:5" ht="15.75" x14ac:dyDescent="0.25">
      <c r="A1495" s="834"/>
      <c r="B1495" s="835"/>
      <c r="C1495" s="835"/>
      <c r="D1495" s="835"/>
      <c r="E1495" s="835"/>
    </row>
    <row r="1496" spans="1:5" ht="15.75" x14ac:dyDescent="0.25">
      <c r="A1496" s="834"/>
      <c r="B1496" s="835"/>
      <c r="C1496" s="835"/>
      <c r="D1496" s="835"/>
      <c r="E1496" s="835"/>
    </row>
    <row r="1497" spans="1:5" ht="15.75" x14ac:dyDescent="0.25">
      <c r="A1497" s="834"/>
      <c r="B1497" s="835"/>
      <c r="C1497" s="835"/>
      <c r="D1497" s="835"/>
      <c r="E1497" s="835"/>
    </row>
    <row r="1498" spans="1:5" ht="15.75" x14ac:dyDescent="0.25">
      <c r="A1498" s="834"/>
      <c r="B1498" s="835"/>
      <c r="C1498" s="835"/>
      <c r="D1498" s="835"/>
      <c r="E1498" s="835"/>
    </row>
    <row r="1499" spans="1:5" ht="15.75" x14ac:dyDescent="0.25">
      <c r="A1499" s="834"/>
      <c r="B1499" s="835"/>
      <c r="C1499" s="835"/>
      <c r="D1499" s="835"/>
      <c r="E1499" s="835"/>
    </row>
    <row r="1500" spans="1:5" ht="15.75" x14ac:dyDescent="0.25">
      <c r="A1500" s="834"/>
      <c r="B1500" s="835"/>
      <c r="C1500" s="835"/>
      <c r="D1500" s="835"/>
      <c r="E1500" s="835"/>
    </row>
    <row r="1501" spans="1:5" ht="15.75" x14ac:dyDescent="0.25">
      <c r="A1501" s="834"/>
      <c r="B1501" s="835"/>
      <c r="C1501" s="835"/>
      <c r="D1501" s="835"/>
      <c r="E1501" s="835"/>
    </row>
    <row r="1502" spans="1:5" ht="15.75" x14ac:dyDescent="0.25">
      <c r="A1502" s="834"/>
      <c r="B1502" s="835"/>
      <c r="C1502" s="835"/>
      <c r="D1502" s="835"/>
      <c r="E1502" s="835"/>
    </row>
    <row r="1503" spans="1:5" ht="15.75" x14ac:dyDescent="0.25">
      <c r="A1503" s="834"/>
      <c r="B1503" s="835"/>
      <c r="C1503" s="835"/>
      <c r="D1503" s="835"/>
      <c r="E1503" s="835"/>
    </row>
    <row r="1504" spans="1:5" ht="15.75" x14ac:dyDescent="0.25">
      <c r="A1504" s="834"/>
      <c r="B1504" s="835"/>
      <c r="C1504" s="835"/>
      <c r="D1504" s="835"/>
      <c r="E1504" s="835"/>
    </row>
    <row r="1505" spans="1:5" ht="15.75" x14ac:dyDescent="0.25">
      <c r="A1505" s="834"/>
      <c r="B1505" s="835"/>
      <c r="C1505" s="835"/>
      <c r="D1505" s="835"/>
      <c r="E1505" s="835"/>
    </row>
    <row r="1506" spans="1:5" ht="15.75" x14ac:dyDescent="0.25">
      <c r="A1506" s="834"/>
      <c r="B1506" s="835"/>
      <c r="C1506" s="835"/>
      <c r="D1506" s="835"/>
      <c r="E1506" s="835"/>
    </row>
    <row r="1507" spans="1:5" ht="15.75" x14ac:dyDescent="0.25">
      <c r="A1507" s="834"/>
      <c r="B1507" s="835"/>
      <c r="C1507" s="835"/>
      <c r="D1507" s="835"/>
      <c r="E1507" s="835"/>
    </row>
    <row r="1508" spans="1:5" ht="15.75" x14ac:dyDescent="0.25">
      <c r="A1508" s="834"/>
      <c r="B1508" s="835"/>
      <c r="C1508" s="835"/>
      <c r="D1508" s="835"/>
      <c r="E1508" s="835"/>
    </row>
    <row r="1509" spans="1:5" ht="15.75" x14ac:dyDescent="0.25">
      <c r="A1509" s="834"/>
      <c r="B1509" s="835"/>
      <c r="C1509" s="835"/>
      <c r="D1509" s="835"/>
      <c r="E1509" s="835"/>
    </row>
    <row r="1510" spans="1:5" ht="15.75" x14ac:dyDescent="0.25">
      <c r="A1510" s="834"/>
      <c r="B1510" s="835"/>
      <c r="C1510" s="835"/>
      <c r="D1510" s="835"/>
      <c r="E1510" s="835"/>
    </row>
    <row r="1511" spans="1:5" ht="15.75" x14ac:dyDescent="0.25">
      <c r="A1511" s="834"/>
      <c r="B1511" s="835"/>
      <c r="C1511" s="835"/>
      <c r="D1511" s="835"/>
      <c r="E1511" s="835"/>
    </row>
    <row r="1512" spans="1:5" ht="15.75" x14ac:dyDescent="0.25">
      <c r="A1512" s="834"/>
      <c r="B1512" s="835"/>
      <c r="C1512" s="835"/>
      <c r="D1512" s="835"/>
      <c r="E1512" s="835"/>
    </row>
    <row r="1513" spans="1:5" ht="15.75" x14ac:dyDescent="0.25">
      <c r="A1513" s="834"/>
      <c r="B1513" s="835"/>
      <c r="C1513" s="835"/>
      <c r="D1513" s="835"/>
      <c r="E1513" s="835"/>
    </row>
    <row r="1514" spans="1:5" ht="15.75" x14ac:dyDescent="0.25">
      <c r="A1514" s="834"/>
      <c r="B1514" s="835"/>
      <c r="C1514" s="835"/>
      <c r="D1514" s="835"/>
      <c r="E1514" s="835"/>
    </row>
    <row r="1515" spans="1:5" ht="15.75" x14ac:dyDescent="0.25">
      <c r="A1515" s="834"/>
      <c r="B1515" s="835"/>
      <c r="C1515" s="835"/>
      <c r="D1515" s="835"/>
      <c r="E1515" s="835"/>
    </row>
    <row r="1516" spans="1:5" ht="15.75" x14ac:dyDescent="0.25">
      <c r="A1516" s="834"/>
      <c r="B1516" s="835"/>
      <c r="C1516" s="835"/>
      <c r="D1516" s="835"/>
      <c r="E1516" s="835"/>
    </row>
    <row r="1517" spans="1:5" ht="15.75" x14ac:dyDescent="0.25">
      <c r="A1517" s="834"/>
      <c r="B1517" s="835"/>
      <c r="C1517" s="835"/>
      <c r="D1517" s="835"/>
      <c r="E1517" s="835"/>
    </row>
    <row r="1518" spans="1:5" ht="15.75" x14ac:dyDescent="0.25">
      <c r="A1518" s="834"/>
      <c r="B1518" s="835"/>
      <c r="C1518" s="835"/>
      <c r="D1518" s="835"/>
      <c r="E1518" s="835"/>
    </row>
    <row r="1519" spans="1:5" ht="15.75" x14ac:dyDescent="0.25">
      <c r="A1519" s="834"/>
      <c r="B1519" s="835"/>
      <c r="C1519" s="835"/>
      <c r="D1519" s="835"/>
      <c r="E1519" s="835"/>
    </row>
    <row r="1520" spans="1:5" ht="15.75" x14ac:dyDescent="0.25">
      <c r="A1520" s="834"/>
      <c r="B1520" s="835"/>
      <c r="C1520" s="835"/>
      <c r="D1520" s="835"/>
      <c r="E1520" s="835"/>
    </row>
    <row r="1521" spans="1:5" ht="15.75" x14ac:dyDescent="0.25">
      <c r="A1521" s="834"/>
      <c r="B1521" s="835"/>
      <c r="C1521" s="835"/>
      <c r="D1521" s="835"/>
      <c r="E1521" s="835"/>
    </row>
    <row r="1522" spans="1:5" ht="15.75" x14ac:dyDescent="0.25">
      <c r="A1522" s="834"/>
      <c r="B1522" s="835"/>
      <c r="C1522" s="835"/>
      <c r="D1522" s="835"/>
      <c r="E1522" s="835"/>
    </row>
    <row r="1523" spans="1:5" ht="15.75" x14ac:dyDescent="0.25">
      <c r="A1523" s="834"/>
      <c r="B1523" s="835"/>
      <c r="C1523" s="835"/>
      <c r="D1523" s="835"/>
      <c r="E1523" s="835"/>
    </row>
    <row r="1524" spans="1:5" ht="15.75" x14ac:dyDescent="0.25">
      <c r="A1524" s="834"/>
      <c r="B1524" s="835"/>
      <c r="C1524" s="835"/>
      <c r="D1524" s="835"/>
      <c r="E1524" s="835"/>
    </row>
    <row r="1525" spans="1:5" ht="15.75" x14ac:dyDescent="0.25">
      <c r="A1525" s="834"/>
      <c r="B1525" s="835"/>
      <c r="C1525" s="835"/>
      <c r="D1525" s="835"/>
      <c r="E1525" s="835"/>
    </row>
    <row r="1526" spans="1:5" ht="15.75" x14ac:dyDescent="0.25">
      <c r="A1526" s="834"/>
      <c r="B1526" s="835"/>
      <c r="C1526" s="835"/>
      <c r="D1526" s="835"/>
      <c r="E1526" s="835"/>
    </row>
    <row r="1527" spans="1:5" ht="15.75" x14ac:dyDescent="0.25">
      <c r="A1527" s="834"/>
      <c r="B1527" s="835"/>
      <c r="C1527" s="835"/>
      <c r="D1527" s="835"/>
      <c r="E1527" s="835"/>
    </row>
    <row r="1528" spans="1:5" ht="15.75" x14ac:dyDescent="0.25">
      <c r="A1528" s="834"/>
      <c r="B1528" s="835"/>
      <c r="C1528" s="835"/>
      <c r="D1528" s="835"/>
      <c r="E1528" s="835"/>
    </row>
    <row r="1529" spans="1:5" ht="15.75" x14ac:dyDescent="0.25">
      <c r="A1529" s="834"/>
      <c r="B1529" s="835"/>
      <c r="C1529" s="835"/>
      <c r="D1529" s="835"/>
      <c r="E1529" s="835"/>
    </row>
    <row r="1530" spans="1:5" ht="15.75" x14ac:dyDescent="0.25">
      <c r="A1530" s="834"/>
      <c r="B1530" s="835"/>
      <c r="C1530" s="835"/>
      <c r="D1530" s="835"/>
      <c r="E1530" s="835"/>
    </row>
    <row r="1531" spans="1:5" ht="15.75" x14ac:dyDescent="0.25">
      <c r="A1531" s="834"/>
      <c r="B1531" s="835"/>
      <c r="C1531" s="835"/>
      <c r="D1531" s="835"/>
      <c r="E1531" s="835"/>
    </row>
    <row r="1532" spans="1:5" ht="15.75" x14ac:dyDescent="0.25">
      <c r="A1532" s="834"/>
      <c r="B1532" s="835"/>
      <c r="C1532" s="835"/>
      <c r="D1532" s="835"/>
      <c r="E1532" s="835"/>
    </row>
    <row r="1533" spans="1:5" ht="15.75" x14ac:dyDescent="0.25">
      <c r="A1533" s="834"/>
      <c r="B1533" s="835"/>
      <c r="C1533" s="835"/>
      <c r="D1533" s="835"/>
      <c r="E1533" s="835"/>
    </row>
    <row r="1534" spans="1:5" ht="15.75" x14ac:dyDescent="0.25">
      <c r="A1534" s="834"/>
      <c r="B1534" s="835"/>
      <c r="C1534" s="835"/>
      <c r="D1534" s="835"/>
      <c r="E1534" s="835"/>
    </row>
    <row r="1535" spans="1:5" ht="15.75" x14ac:dyDescent="0.25">
      <c r="A1535" s="834"/>
      <c r="B1535" s="835"/>
      <c r="C1535" s="835"/>
      <c r="D1535" s="835"/>
      <c r="E1535" s="835"/>
    </row>
    <row r="1536" spans="1:5" ht="15.75" x14ac:dyDescent="0.25">
      <c r="A1536" s="834"/>
      <c r="B1536" s="835"/>
      <c r="C1536" s="835"/>
      <c r="D1536" s="835"/>
      <c r="E1536" s="835"/>
    </row>
    <row r="1537" spans="1:5" ht="15.75" x14ac:dyDescent="0.25">
      <c r="A1537" s="834"/>
      <c r="B1537" s="835"/>
      <c r="C1537" s="835"/>
      <c r="D1537" s="835"/>
      <c r="E1537" s="835"/>
    </row>
    <row r="1538" spans="1:5" ht="15.75" x14ac:dyDescent="0.25">
      <c r="A1538" s="834"/>
      <c r="B1538" s="835"/>
      <c r="C1538" s="835"/>
      <c r="D1538" s="835"/>
      <c r="E1538" s="835"/>
    </row>
    <row r="1539" spans="1:5" ht="15.75" x14ac:dyDescent="0.25">
      <c r="A1539" s="834"/>
      <c r="B1539" s="835"/>
      <c r="C1539" s="835"/>
      <c r="D1539" s="835"/>
      <c r="E1539" s="835"/>
    </row>
    <row r="1540" spans="1:5" ht="15.75" x14ac:dyDescent="0.25">
      <c r="A1540" s="834"/>
      <c r="B1540" s="835"/>
      <c r="C1540" s="835"/>
      <c r="D1540" s="835"/>
      <c r="E1540" s="835"/>
    </row>
    <row r="1541" spans="1:5" ht="15.75" x14ac:dyDescent="0.25">
      <c r="A1541" s="834"/>
      <c r="B1541" s="835"/>
      <c r="C1541" s="835"/>
      <c r="D1541" s="835"/>
      <c r="E1541" s="835"/>
    </row>
    <row r="1542" spans="1:5" ht="15.75" x14ac:dyDescent="0.25">
      <c r="A1542" s="834"/>
      <c r="B1542" s="835"/>
      <c r="C1542" s="835"/>
      <c r="D1542" s="835"/>
      <c r="E1542" s="835"/>
    </row>
    <row r="1543" spans="1:5" ht="15.75" x14ac:dyDescent="0.25">
      <c r="A1543" s="834"/>
      <c r="B1543" s="835"/>
      <c r="C1543" s="835"/>
      <c r="D1543" s="835"/>
      <c r="E1543" s="835"/>
    </row>
    <row r="1544" spans="1:5" ht="15.75" x14ac:dyDescent="0.25">
      <c r="A1544" s="834"/>
      <c r="B1544" s="835"/>
      <c r="C1544" s="835"/>
      <c r="D1544" s="835"/>
      <c r="E1544" s="835"/>
    </row>
    <row r="1545" spans="1:5" ht="15.75" x14ac:dyDescent="0.25">
      <c r="A1545" s="834"/>
      <c r="B1545" s="835"/>
      <c r="C1545" s="835"/>
      <c r="D1545" s="835"/>
      <c r="E1545" s="835"/>
    </row>
    <row r="1546" spans="1:5" ht="15.75" x14ac:dyDescent="0.25">
      <c r="A1546" s="834"/>
      <c r="B1546" s="835"/>
      <c r="C1546" s="835"/>
      <c r="D1546" s="835"/>
      <c r="E1546" s="835"/>
    </row>
    <row r="1547" spans="1:5" ht="15.75" x14ac:dyDescent="0.25">
      <c r="A1547" s="834"/>
      <c r="B1547" s="835"/>
      <c r="C1547" s="835"/>
      <c r="D1547" s="835"/>
      <c r="E1547" s="835"/>
    </row>
    <row r="1548" spans="1:5" ht="15.75" x14ac:dyDescent="0.25">
      <c r="A1548" s="834"/>
      <c r="B1548" s="835"/>
      <c r="C1548" s="835"/>
      <c r="D1548" s="835"/>
      <c r="E1548" s="835"/>
    </row>
    <row r="1549" spans="1:5" ht="15.75" x14ac:dyDescent="0.25">
      <c r="A1549" s="834"/>
      <c r="B1549" s="835"/>
      <c r="C1549" s="835"/>
      <c r="D1549" s="835"/>
      <c r="E1549" s="835"/>
    </row>
    <row r="1550" spans="1:5" ht="15.75" x14ac:dyDescent="0.25">
      <c r="A1550" s="834"/>
      <c r="B1550" s="835"/>
      <c r="C1550" s="835"/>
      <c r="D1550" s="835"/>
      <c r="E1550" s="835"/>
    </row>
    <row r="1551" spans="1:5" ht="15.75" x14ac:dyDescent="0.25">
      <c r="A1551" s="834"/>
      <c r="B1551" s="835"/>
      <c r="C1551" s="835"/>
      <c r="D1551" s="835"/>
      <c r="E1551" s="835"/>
    </row>
    <row r="1552" spans="1:5" ht="15.75" x14ac:dyDescent="0.25">
      <c r="A1552" s="834"/>
      <c r="B1552" s="835"/>
      <c r="C1552" s="835"/>
      <c r="D1552" s="835"/>
      <c r="E1552" s="835"/>
    </row>
    <row r="1553" spans="1:5" ht="15.75" x14ac:dyDescent="0.25">
      <c r="A1553" s="834"/>
      <c r="B1553" s="835"/>
      <c r="C1553" s="835"/>
      <c r="D1553" s="835"/>
      <c r="E1553" s="835"/>
    </row>
    <row r="1554" spans="1:5" ht="15.75" x14ac:dyDescent="0.25">
      <c r="A1554" s="834"/>
      <c r="B1554" s="835"/>
      <c r="C1554" s="835"/>
      <c r="D1554" s="835"/>
      <c r="E1554" s="835"/>
    </row>
    <row r="1555" spans="1:5" ht="15.75" x14ac:dyDescent="0.25">
      <c r="A1555" s="834"/>
      <c r="B1555" s="835"/>
      <c r="C1555" s="835"/>
      <c r="D1555" s="835"/>
      <c r="E1555" s="835"/>
    </row>
    <row r="1556" spans="1:5" ht="15.75" x14ac:dyDescent="0.25">
      <c r="A1556" s="834"/>
      <c r="B1556" s="835"/>
      <c r="C1556" s="835"/>
      <c r="D1556" s="835"/>
      <c r="E1556" s="835"/>
    </row>
    <row r="1557" spans="1:5" ht="15.75" x14ac:dyDescent="0.25">
      <c r="A1557" s="834"/>
      <c r="B1557" s="835"/>
      <c r="C1557" s="835"/>
      <c r="D1557" s="835"/>
      <c r="E1557" s="835"/>
    </row>
    <row r="1558" spans="1:5" ht="15.75" x14ac:dyDescent="0.25">
      <c r="A1558" s="834"/>
      <c r="B1558" s="835"/>
      <c r="C1558" s="835"/>
      <c r="D1558" s="835"/>
      <c r="E1558" s="835"/>
    </row>
    <row r="1559" spans="1:5" ht="15.75" x14ac:dyDescent="0.25">
      <c r="A1559" s="834"/>
      <c r="B1559" s="835"/>
      <c r="C1559" s="835"/>
      <c r="D1559" s="835"/>
      <c r="E1559" s="835"/>
    </row>
    <row r="1560" spans="1:5" ht="15.75" x14ac:dyDescent="0.25">
      <c r="A1560" s="834"/>
      <c r="B1560" s="835"/>
      <c r="C1560" s="835"/>
      <c r="D1560" s="835"/>
      <c r="E1560" s="835"/>
    </row>
    <row r="1561" spans="1:5" ht="15.75" x14ac:dyDescent="0.25">
      <c r="A1561" s="834"/>
      <c r="B1561" s="835"/>
      <c r="C1561" s="835"/>
      <c r="D1561" s="835"/>
      <c r="E1561" s="835"/>
    </row>
    <row r="1562" spans="1:5" ht="15.75" x14ac:dyDescent="0.25">
      <c r="A1562" s="834"/>
      <c r="B1562" s="835"/>
      <c r="C1562" s="835"/>
      <c r="D1562" s="835"/>
      <c r="E1562" s="835"/>
    </row>
    <row r="1563" spans="1:5" ht="15.75" x14ac:dyDescent="0.25">
      <c r="A1563" s="834"/>
      <c r="B1563" s="835"/>
      <c r="C1563" s="835"/>
      <c r="D1563" s="835"/>
      <c r="E1563" s="835"/>
    </row>
    <row r="1564" spans="1:5" ht="15.75" x14ac:dyDescent="0.25">
      <c r="A1564" s="834"/>
      <c r="B1564" s="835"/>
      <c r="C1564" s="835"/>
      <c r="D1564" s="835"/>
      <c r="E1564" s="835"/>
    </row>
    <row r="1565" spans="1:5" ht="15.75" x14ac:dyDescent="0.25">
      <c r="A1565" s="834"/>
      <c r="B1565" s="835"/>
      <c r="C1565" s="835"/>
      <c r="D1565" s="835"/>
      <c r="E1565" s="835"/>
    </row>
    <row r="1566" spans="1:5" ht="15.75" x14ac:dyDescent="0.25">
      <c r="A1566" s="834"/>
      <c r="B1566" s="835"/>
      <c r="C1566" s="835"/>
      <c r="D1566" s="835"/>
      <c r="E1566" s="835"/>
    </row>
    <row r="1567" spans="1:5" ht="15.75" x14ac:dyDescent="0.25">
      <c r="A1567" s="834"/>
      <c r="B1567" s="835"/>
      <c r="C1567" s="835"/>
      <c r="D1567" s="835"/>
      <c r="E1567" s="835"/>
    </row>
    <row r="1568" spans="1:5" ht="15.75" x14ac:dyDescent="0.25">
      <c r="A1568" s="834"/>
      <c r="B1568" s="835"/>
      <c r="C1568" s="835"/>
      <c r="D1568" s="835"/>
      <c r="E1568" s="835"/>
    </row>
    <row r="1569" spans="1:5" ht="15.75" x14ac:dyDescent="0.25">
      <c r="A1569" s="834"/>
      <c r="B1569" s="835"/>
      <c r="C1569" s="835"/>
      <c r="D1569" s="835"/>
      <c r="E1569" s="835"/>
    </row>
    <row r="1570" spans="1:5" ht="15.75" x14ac:dyDescent="0.25">
      <c r="A1570" s="834"/>
      <c r="B1570" s="835"/>
      <c r="C1570" s="835"/>
      <c r="D1570" s="835"/>
      <c r="E1570" s="835"/>
    </row>
    <row r="1571" spans="1:5" ht="15.75" x14ac:dyDescent="0.25">
      <c r="A1571" s="834"/>
      <c r="B1571" s="835"/>
      <c r="C1571" s="835"/>
      <c r="D1571" s="835"/>
      <c r="E1571" s="835"/>
    </row>
    <row r="1572" spans="1:5" ht="15.75" x14ac:dyDescent="0.25">
      <c r="A1572" s="834"/>
      <c r="B1572" s="835"/>
      <c r="C1572" s="835"/>
      <c r="D1572" s="835"/>
      <c r="E1572" s="835"/>
    </row>
    <row r="1573" spans="1:5" ht="15.75" x14ac:dyDescent="0.25">
      <c r="A1573" s="834"/>
      <c r="B1573" s="835"/>
      <c r="C1573" s="835"/>
      <c r="D1573" s="835"/>
      <c r="E1573" s="835"/>
    </row>
    <row r="1574" spans="1:5" ht="15.75" x14ac:dyDescent="0.25">
      <c r="A1574" s="834"/>
      <c r="B1574" s="835"/>
      <c r="C1574" s="835"/>
      <c r="D1574" s="835"/>
      <c r="E1574" s="835"/>
    </row>
    <row r="1575" spans="1:5" ht="15.75" x14ac:dyDescent="0.25">
      <c r="A1575" s="834"/>
      <c r="B1575" s="835"/>
      <c r="C1575" s="835"/>
      <c r="D1575" s="835"/>
      <c r="E1575" s="835"/>
    </row>
    <row r="1576" spans="1:5" ht="15.75" x14ac:dyDescent="0.25">
      <c r="A1576" s="834"/>
      <c r="B1576" s="835"/>
      <c r="C1576" s="835"/>
      <c r="D1576" s="835"/>
      <c r="E1576" s="835"/>
    </row>
    <row r="1577" spans="1:5" ht="15.75" x14ac:dyDescent="0.25">
      <c r="A1577" s="834"/>
      <c r="B1577" s="835"/>
      <c r="C1577" s="835"/>
      <c r="D1577" s="835"/>
      <c r="E1577" s="835"/>
    </row>
    <row r="1578" spans="1:5" ht="15.75" x14ac:dyDescent="0.25">
      <c r="A1578" s="834"/>
      <c r="B1578" s="835"/>
      <c r="C1578" s="835"/>
      <c r="D1578" s="835"/>
      <c r="E1578" s="835"/>
    </row>
    <row r="1579" spans="1:5" ht="15.75" x14ac:dyDescent="0.25">
      <c r="A1579" s="834"/>
      <c r="B1579" s="835"/>
      <c r="C1579" s="835"/>
      <c r="D1579" s="835"/>
      <c r="E1579" s="835"/>
    </row>
    <row r="1580" spans="1:5" ht="15.75" x14ac:dyDescent="0.25">
      <c r="A1580" s="834"/>
      <c r="B1580" s="835"/>
      <c r="C1580" s="835"/>
      <c r="D1580" s="835"/>
      <c r="E1580" s="835"/>
    </row>
    <row r="1581" spans="1:5" ht="15.75" x14ac:dyDescent="0.25">
      <c r="A1581" s="834"/>
      <c r="B1581" s="835"/>
      <c r="C1581" s="835"/>
      <c r="D1581" s="835"/>
      <c r="E1581" s="835"/>
    </row>
    <row r="1582" spans="1:5" ht="15.75" x14ac:dyDescent="0.25">
      <c r="A1582" s="834"/>
      <c r="B1582" s="835"/>
      <c r="C1582" s="835"/>
      <c r="D1582" s="835"/>
      <c r="E1582" s="835"/>
    </row>
    <row r="1583" spans="1:5" ht="15.75" x14ac:dyDescent="0.25">
      <c r="A1583" s="834"/>
      <c r="B1583" s="835"/>
      <c r="C1583" s="835"/>
      <c r="D1583" s="835"/>
      <c r="E1583" s="835"/>
    </row>
    <row r="1584" spans="1:5" ht="15.75" x14ac:dyDescent="0.25">
      <c r="A1584" s="834"/>
      <c r="B1584" s="835"/>
      <c r="C1584" s="835"/>
      <c r="D1584" s="835"/>
      <c r="E1584" s="835"/>
    </row>
    <row r="1585" spans="1:5" ht="15.75" x14ac:dyDescent="0.25">
      <c r="A1585" s="834"/>
      <c r="B1585" s="835"/>
      <c r="C1585" s="835"/>
      <c r="D1585" s="835"/>
      <c r="E1585" s="835"/>
    </row>
    <row r="1586" spans="1:5" ht="15.75" x14ac:dyDescent="0.25">
      <c r="A1586" s="834"/>
      <c r="B1586" s="835"/>
      <c r="C1586" s="835"/>
      <c r="D1586" s="835"/>
      <c r="E1586" s="835"/>
    </row>
    <row r="1587" spans="1:5" ht="15.75" x14ac:dyDescent="0.25">
      <c r="A1587" s="834"/>
      <c r="B1587" s="835"/>
      <c r="C1587" s="835"/>
      <c r="D1587" s="835"/>
      <c r="E1587" s="835"/>
    </row>
    <row r="1588" spans="1:5" ht="15.75" x14ac:dyDescent="0.25">
      <c r="A1588" s="834"/>
      <c r="B1588" s="835"/>
      <c r="C1588" s="835"/>
      <c r="D1588" s="835"/>
      <c r="E1588" s="835"/>
    </row>
    <row r="1589" spans="1:5" ht="15.75" x14ac:dyDescent="0.25">
      <c r="A1589" s="834"/>
      <c r="B1589" s="835"/>
      <c r="C1589" s="835"/>
      <c r="D1589" s="835"/>
      <c r="E1589" s="835"/>
    </row>
    <row r="1590" spans="1:5" ht="15.75" x14ac:dyDescent="0.25">
      <c r="A1590" s="834"/>
      <c r="B1590" s="835"/>
      <c r="C1590" s="835"/>
      <c r="D1590" s="835"/>
      <c r="E1590" s="835"/>
    </row>
    <row r="1591" spans="1:5" ht="15.75" x14ac:dyDescent="0.25">
      <c r="A1591" s="834"/>
      <c r="B1591" s="835"/>
      <c r="C1591" s="835"/>
      <c r="D1591" s="835"/>
      <c r="E1591" s="835"/>
    </row>
    <row r="1592" spans="1:5" ht="15.75" x14ac:dyDescent="0.25">
      <c r="A1592" s="834"/>
      <c r="B1592" s="835"/>
      <c r="C1592" s="835"/>
      <c r="D1592" s="835"/>
      <c r="E1592" s="835"/>
    </row>
    <row r="1593" spans="1:5" ht="15.75" x14ac:dyDescent="0.25">
      <c r="A1593" s="834"/>
      <c r="B1593" s="835"/>
      <c r="C1593" s="835"/>
      <c r="D1593" s="835"/>
      <c r="E1593" s="835"/>
    </row>
    <row r="1594" spans="1:5" ht="15.75" x14ac:dyDescent="0.25">
      <c r="A1594" s="834"/>
      <c r="B1594" s="835"/>
      <c r="C1594" s="835"/>
      <c r="D1594" s="835"/>
      <c r="E1594" s="835"/>
    </row>
    <row r="1595" spans="1:5" ht="15.75" x14ac:dyDescent="0.25">
      <c r="A1595" s="834"/>
      <c r="B1595" s="835"/>
      <c r="C1595" s="835"/>
      <c r="D1595" s="835"/>
      <c r="E1595" s="835"/>
    </row>
    <row r="1596" spans="1:5" ht="15.75" x14ac:dyDescent="0.25">
      <c r="A1596" s="834"/>
      <c r="B1596" s="835"/>
      <c r="C1596" s="835"/>
      <c r="D1596" s="835"/>
      <c r="E1596" s="835"/>
    </row>
    <row r="1597" spans="1:5" ht="15.75" x14ac:dyDescent="0.25">
      <c r="A1597" s="834"/>
      <c r="B1597" s="835"/>
      <c r="C1597" s="835"/>
      <c r="D1597" s="835"/>
      <c r="E1597" s="835"/>
    </row>
    <row r="1598" spans="1:5" ht="15.75" x14ac:dyDescent="0.25">
      <c r="A1598" s="834"/>
      <c r="B1598" s="835"/>
      <c r="C1598" s="835"/>
      <c r="D1598" s="835"/>
      <c r="E1598" s="835"/>
    </row>
    <row r="1599" spans="1:5" ht="15.75" x14ac:dyDescent="0.25">
      <c r="A1599" s="834"/>
      <c r="B1599" s="835"/>
      <c r="C1599" s="835"/>
      <c r="D1599" s="835"/>
      <c r="E1599" s="835"/>
    </row>
    <row r="1600" spans="1:5" ht="15.75" x14ac:dyDescent="0.25">
      <c r="A1600" s="834"/>
      <c r="B1600" s="835"/>
      <c r="C1600" s="835"/>
      <c r="D1600" s="835"/>
      <c r="E1600" s="835"/>
    </row>
    <row r="1601" spans="1:5" ht="15.75" x14ac:dyDescent="0.25">
      <c r="A1601" s="834"/>
      <c r="B1601" s="835"/>
      <c r="C1601" s="835"/>
      <c r="D1601" s="835"/>
      <c r="E1601" s="835"/>
    </row>
    <row r="1602" spans="1:5" ht="15.75" x14ac:dyDescent="0.25">
      <c r="A1602" s="834"/>
      <c r="B1602" s="835"/>
      <c r="C1602" s="835"/>
      <c r="D1602" s="835"/>
      <c r="E1602" s="835"/>
    </row>
    <row r="1603" spans="1:5" ht="15.75" x14ac:dyDescent="0.25">
      <c r="A1603" s="834"/>
      <c r="B1603" s="835"/>
      <c r="C1603" s="835"/>
      <c r="D1603" s="835"/>
      <c r="E1603" s="835"/>
    </row>
    <row r="1604" spans="1:5" ht="15.75" x14ac:dyDescent="0.25">
      <c r="A1604" s="834"/>
      <c r="B1604" s="835"/>
      <c r="C1604" s="835"/>
      <c r="D1604" s="835"/>
      <c r="E1604" s="835"/>
    </row>
    <row r="1605" spans="1:5" ht="15.75" x14ac:dyDescent="0.25">
      <c r="A1605" s="834"/>
      <c r="B1605" s="835"/>
      <c r="C1605" s="835"/>
      <c r="D1605" s="835"/>
      <c r="E1605" s="835"/>
    </row>
    <row r="1606" spans="1:5" ht="15.75" x14ac:dyDescent="0.25">
      <c r="A1606" s="834"/>
      <c r="B1606" s="835"/>
      <c r="C1606" s="835"/>
      <c r="D1606" s="835"/>
      <c r="E1606" s="835"/>
    </row>
    <row r="1607" spans="1:5" ht="15.75" x14ac:dyDescent="0.25">
      <c r="A1607" s="834"/>
      <c r="B1607" s="835"/>
      <c r="C1607" s="835"/>
      <c r="D1607" s="835"/>
      <c r="E1607" s="835"/>
    </row>
    <row r="1608" spans="1:5" ht="15.75" x14ac:dyDescent="0.25">
      <c r="A1608" s="834"/>
      <c r="B1608" s="835"/>
      <c r="C1608" s="835"/>
      <c r="D1608" s="835"/>
      <c r="E1608" s="835"/>
    </row>
    <row r="1609" spans="1:5" ht="15.75" x14ac:dyDescent="0.25">
      <c r="A1609" s="834"/>
      <c r="B1609" s="835"/>
      <c r="C1609" s="835"/>
      <c r="D1609" s="835"/>
      <c r="E1609" s="835"/>
    </row>
    <row r="1610" spans="1:5" ht="15.75" x14ac:dyDescent="0.25">
      <c r="A1610" s="834"/>
      <c r="B1610" s="835"/>
      <c r="C1610" s="835"/>
      <c r="D1610" s="835"/>
      <c r="E1610" s="835"/>
    </row>
    <row r="1611" spans="1:5" ht="15.75" x14ac:dyDescent="0.25">
      <c r="A1611" s="834"/>
      <c r="B1611" s="835"/>
      <c r="C1611" s="835"/>
      <c r="D1611" s="835"/>
      <c r="E1611" s="835"/>
    </row>
    <row r="1612" spans="1:5" ht="15.75" x14ac:dyDescent="0.25">
      <c r="A1612" s="834"/>
      <c r="B1612" s="835"/>
      <c r="C1612" s="835"/>
      <c r="D1612" s="835"/>
      <c r="E1612" s="835"/>
    </row>
    <row r="1613" spans="1:5" ht="15.75" x14ac:dyDescent="0.25">
      <c r="A1613" s="834"/>
      <c r="B1613" s="835"/>
      <c r="C1613" s="835"/>
      <c r="D1613" s="835"/>
      <c r="E1613" s="835"/>
    </row>
    <row r="1614" spans="1:5" ht="15.75" x14ac:dyDescent="0.25">
      <c r="A1614" s="834"/>
      <c r="B1614" s="835"/>
      <c r="C1614" s="835"/>
      <c r="D1614" s="835"/>
      <c r="E1614" s="835"/>
    </row>
    <row r="1615" spans="1:5" ht="15.75" x14ac:dyDescent="0.25">
      <c r="A1615" s="834"/>
      <c r="B1615" s="835"/>
      <c r="C1615" s="835"/>
      <c r="D1615" s="835"/>
      <c r="E1615" s="835"/>
    </row>
    <row r="1616" spans="1:5" ht="15.75" x14ac:dyDescent="0.25">
      <c r="A1616" s="834"/>
      <c r="B1616" s="835"/>
      <c r="C1616" s="835"/>
      <c r="D1616" s="835"/>
      <c r="E1616" s="835"/>
    </row>
    <row r="1617" spans="1:5" ht="15.75" x14ac:dyDescent="0.25">
      <c r="A1617" s="834"/>
      <c r="B1617" s="835"/>
      <c r="C1617" s="835"/>
      <c r="D1617" s="835"/>
      <c r="E1617" s="835"/>
    </row>
    <row r="1618" spans="1:5" ht="15.75" x14ac:dyDescent="0.25">
      <c r="A1618" s="834"/>
      <c r="B1618" s="835"/>
      <c r="C1618" s="835"/>
      <c r="D1618" s="835"/>
      <c r="E1618" s="835"/>
    </row>
    <row r="1619" spans="1:5" ht="15.75" x14ac:dyDescent="0.25">
      <c r="A1619" s="834"/>
      <c r="B1619" s="835"/>
      <c r="C1619" s="835"/>
      <c r="D1619" s="835"/>
      <c r="E1619" s="835"/>
    </row>
    <row r="1620" spans="1:5" ht="15.75" x14ac:dyDescent="0.25">
      <c r="A1620" s="834"/>
      <c r="B1620" s="835"/>
      <c r="C1620" s="835"/>
      <c r="D1620" s="835"/>
      <c r="E1620" s="835"/>
    </row>
    <row r="1621" spans="1:5" ht="15.75" x14ac:dyDescent="0.25">
      <c r="A1621" s="834"/>
      <c r="B1621" s="835"/>
      <c r="C1621" s="835"/>
      <c r="D1621" s="835"/>
      <c r="E1621" s="835"/>
    </row>
    <row r="1622" spans="1:5" ht="15.75" x14ac:dyDescent="0.25">
      <c r="A1622" s="834"/>
      <c r="B1622" s="835"/>
      <c r="C1622" s="835"/>
      <c r="D1622" s="835"/>
      <c r="E1622" s="835"/>
    </row>
    <row r="1623" spans="1:5" ht="15.75" x14ac:dyDescent="0.25">
      <c r="A1623" s="834"/>
      <c r="B1623" s="835"/>
      <c r="C1623" s="835"/>
      <c r="D1623" s="835"/>
      <c r="E1623" s="835"/>
    </row>
    <row r="1624" spans="1:5" ht="15.75" x14ac:dyDescent="0.25">
      <c r="A1624" s="834"/>
      <c r="B1624" s="835"/>
      <c r="C1624" s="835"/>
      <c r="D1624" s="835"/>
      <c r="E1624" s="835"/>
    </row>
    <row r="1625" spans="1:5" ht="15.75" x14ac:dyDescent="0.25">
      <c r="A1625" s="834"/>
      <c r="B1625" s="835"/>
      <c r="C1625" s="835"/>
      <c r="D1625" s="835"/>
      <c r="E1625" s="835"/>
    </row>
    <row r="1626" spans="1:5" ht="15.75" x14ac:dyDescent="0.25">
      <c r="A1626" s="834"/>
      <c r="B1626" s="835"/>
      <c r="C1626" s="835"/>
      <c r="D1626" s="835"/>
      <c r="E1626" s="835"/>
    </row>
    <row r="1627" spans="1:5" ht="15.75" x14ac:dyDescent="0.25">
      <c r="A1627" s="834"/>
      <c r="B1627" s="835"/>
      <c r="C1627" s="835"/>
      <c r="D1627" s="835"/>
      <c r="E1627" s="835"/>
    </row>
    <row r="1628" spans="1:5" ht="15.75" x14ac:dyDescent="0.25">
      <c r="A1628" s="834"/>
      <c r="B1628" s="835"/>
      <c r="C1628" s="835"/>
      <c r="D1628" s="835"/>
      <c r="E1628" s="835"/>
    </row>
    <row r="1629" spans="1:5" ht="15.75" x14ac:dyDescent="0.25">
      <c r="A1629" s="834"/>
      <c r="B1629" s="835"/>
      <c r="C1629" s="835"/>
      <c r="D1629" s="835"/>
      <c r="E1629" s="835"/>
    </row>
    <row r="1630" spans="1:5" ht="15.75" x14ac:dyDescent="0.25">
      <c r="A1630" s="834"/>
      <c r="B1630" s="835"/>
      <c r="C1630" s="835"/>
      <c r="D1630" s="835"/>
      <c r="E1630" s="835"/>
    </row>
    <row r="1631" spans="1:5" ht="15.75" x14ac:dyDescent="0.25">
      <c r="A1631" s="834"/>
      <c r="B1631" s="835"/>
      <c r="C1631" s="835"/>
      <c r="D1631" s="835"/>
      <c r="E1631" s="835"/>
    </row>
    <row r="1632" spans="1:5" ht="15.75" x14ac:dyDescent="0.25">
      <c r="A1632" s="834"/>
      <c r="B1632" s="835"/>
      <c r="C1632" s="835"/>
      <c r="D1632" s="835"/>
      <c r="E1632" s="835"/>
    </row>
    <row r="1633" spans="1:5" ht="15.75" x14ac:dyDescent="0.25">
      <c r="A1633" s="834"/>
      <c r="B1633" s="835"/>
      <c r="C1633" s="835"/>
      <c r="D1633" s="835"/>
      <c r="E1633" s="835"/>
    </row>
    <row r="1634" spans="1:5" ht="15.75" x14ac:dyDescent="0.25">
      <c r="A1634" s="834"/>
      <c r="B1634" s="835"/>
      <c r="C1634" s="835"/>
      <c r="D1634" s="835"/>
      <c r="E1634" s="835"/>
    </row>
    <row r="1635" spans="1:5" ht="15.75" x14ac:dyDescent="0.25">
      <c r="A1635" s="834"/>
      <c r="B1635" s="835"/>
      <c r="C1635" s="835"/>
      <c r="D1635" s="835"/>
      <c r="E1635" s="835"/>
    </row>
    <row r="1636" spans="1:5" ht="15.75" x14ac:dyDescent="0.25">
      <c r="A1636" s="834"/>
      <c r="B1636" s="835"/>
      <c r="C1636" s="835"/>
      <c r="D1636" s="835"/>
      <c r="E1636" s="835"/>
    </row>
    <row r="1637" spans="1:5" ht="15.75" x14ac:dyDescent="0.25">
      <c r="A1637" s="834"/>
      <c r="B1637" s="835"/>
      <c r="C1637" s="835"/>
      <c r="D1637" s="835"/>
      <c r="E1637" s="835"/>
    </row>
    <row r="1638" spans="1:5" ht="15.75" x14ac:dyDescent="0.25">
      <c r="A1638" s="834"/>
      <c r="B1638" s="835"/>
      <c r="C1638" s="835"/>
      <c r="D1638" s="835"/>
      <c r="E1638" s="835"/>
    </row>
    <row r="1639" spans="1:5" ht="15.75" x14ac:dyDescent="0.25">
      <c r="A1639" s="834"/>
      <c r="B1639" s="835"/>
      <c r="C1639" s="835"/>
      <c r="D1639" s="835"/>
      <c r="E1639" s="835"/>
    </row>
    <row r="1640" spans="1:5" ht="15.75" x14ac:dyDescent="0.25">
      <c r="A1640" s="834"/>
      <c r="B1640" s="835"/>
      <c r="C1640" s="835"/>
      <c r="D1640" s="835"/>
      <c r="E1640" s="835"/>
    </row>
    <row r="1641" spans="1:5" ht="15.75" x14ac:dyDescent="0.25">
      <c r="A1641" s="834"/>
      <c r="B1641" s="835"/>
      <c r="C1641" s="835"/>
      <c r="D1641" s="835"/>
      <c r="E1641" s="835"/>
    </row>
    <row r="1642" spans="1:5" ht="15.75" x14ac:dyDescent="0.25">
      <c r="A1642" s="834"/>
      <c r="B1642" s="835"/>
      <c r="C1642" s="835"/>
      <c r="D1642" s="835"/>
      <c r="E1642" s="835"/>
    </row>
    <row r="1643" spans="1:5" ht="15.75" x14ac:dyDescent="0.25">
      <c r="A1643" s="834"/>
      <c r="B1643" s="835"/>
      <c r="C1643" s="835"/>
      <c r="D1643" s="835"/>
      <c r="E1643" s="835"/>
    </row>
    <row r="1644" spans="1:5" ht="15.75" x14ac:dyDescent="0.25">
      <c r="A1644" s="834"/>
      <c r="B1644" s="835"/>
      <c r="C1644" s="835"/>
      <c r="D1644" s="835"/>
      <c r="E1644" s="835"/>
    </row>
    <row r="1645" spans="1:5" ht="15.75" x14ac:dyDescent="0.25">
      <c r="A1645" s="834"/>
      <c r="B1645" s="835"/>
      <c r="C1645" s="835"/>
      <c r="D1645" s="835"/>
      <c r="E1645" s="835"/>
    </row>
    <row r="1646" spans="1:5" ht="15.75" x14ac:dyDescent="0.25">
      <c r="A1646" s="834"/>
      <c r="B1646" s="835"/>
      <c r="C1646" s="835"/>
      <c r="D1646" s="835"/>
      <c r="E1646" s="835"/>
    </row>
    <row r="1647" spans="1:5" ht="15.75" x14ac:dyDescent="0.25">
      <c r="A1647" s="834"/>
      <c r="B1647" s="835"/>
      <c r="C1647" s="835"/>
      <c r="D1647" s="835"/>
      <c r="E1647" s="835"/>
    </row>
    <row r="1648" spans="1:5" ht="15.75" x14ac:dyDescent="0.25">
      <c r="A1648" s="834"/>
      <c r="B1648" s="835"/>
      <c r="C1648" s="835"/>
      <c r="D1648" s="835"/>
      <c r="E1648" s="835"/>
    </row>
    <row r="1649" spans="1:5" ht="15.75" x14ac:dyDescent="0.25">
      <c r="A1649" s="834"/>
      <c r="B1649" s="835"/>
      <c r="C1649" s="835"/>
      <c r="D1649" s="835"/>
      <c r="E1649" s="835"/>
    </row>
    <row r="1650" spans="1:5" ht="15.75" x14ac:dyDescent="0.25">
      <c r="A1650" s="834"/>
      <c r="B1650" s="835"/>
      <c r="C1650" s="835"/>
      <c r="D1650" s="835"/>
      <c r="E1650" s="835"/>
    </row>
    <row r="1651" spans="1:5" ht="15.75" x14ac:dyDescent="0.25">
      <c r="A1651" s="834"/>
      <c r="B1651" s="835"/>
      <c r="C1651" s="835"/>
      <c r="D1651" s="835"/>
      <c r="E1651" s="835"/>
    </row>
    <row r="1652" spans="1:5" ht="15.75" x14ac:dyDescent="0.25">
      <c r="A1652" s="834"/>
      <c r="B1652" s="835"/>
      <c r="C1652" s="835"/>
      <c r="D1652" s="835"/>
      <c r="E1652" s="835"/>
    </row>
    <row r="1653" spans="1:5" ht="15.75" x14ac:dyDescent="0.25">
      <c r="A1653" s="834"/>
      <c r="B1653" s="835"/>
      <c r="C1653" s="835"/>
      <c r="D1653" s="835"/>
      <c r="E1653" s="835"/>
    </row>
    <row r="1654" spans="1:5" ht="15.75" x14ac:dyDescent="0.25">
      <c r="A1654" s="834"/>
      <c r="B1654" s="835"/>
      <c r="C1654" s="835"/>
      <c r="D1654" s="835"/>
      <c r="E1654" s="835"/>
    </row>
    <row r="1655" spans="1:5" ht="15.75" x14ac:dyDescent="0.25">
      <c r="A1655" s="834"/>
      <c r="B1655" s="835"/>
      <c r="C1655" s="835"/>
      <c r="D1655" s="835"/>
      <c r="E1655" s="835"/>
    </row>
    <row r="1656" spans="1:5" ht="15.75" x14ac:dyDescent="0.25">
      <c r="A1656" s="834"/>
      <c r="B1656" s="835"/>
      <c r="C1656" s="835"/>
      <c r="D1656" s="835"/>
      <c r="E1656" s="835"/>
    </row>
    <row r="1657" spans="1:5" ht="15.75" x14ac:dyDescent="0.25">
      <c r="A1657" s="834"/>
      <c r="B1657" s="835"/>
      <c r="C1657" s="835"/>
      <c r="D1657" s="835"/>
      <c r="E1657" s="835"/>
    </row>
    <row r="1658" spans="1:5" ht="15.75" x14ac:dyDescent="0.25">
      <c r="A1658" s="834"/>
      <c r="B1658" s="835"/>
      <c r="C1658" s="835"/>
      <c r="D1658" s="835"/>
      <c r="E1658" s="835"/>
    </row>
    <row r="1659" spans="1:5" ht="15.75" x14ac:dyDescent="0.25">
      <c r="A1659" s="834"/>
      <c r="B1659" s="835"/>
      <c r="C1659" s="835"/>
      <c r="D1659" s="835"/>
      <c r="E1659" s="835"/>
    </row>
    <row r="1660" spans="1:5" ht="15.75" x14ac:dyDescent="0.25">
      <c r="A1660" s="834"/>
      <c r="B1660" s="835"/>
      <c r="C1660" s="835"/>
      <c r="D1660" s="835"/>
      <c r="E1660" s="835"/>
    </row>
    <row r="1661" spans="1:5" ht="15.75" x14ac:dyDescent="0.25">
      <c r="A1661" s="834"/>
      <c r="B1661" s="835"/>
      <c r="C1661" s="835"/>
      <c r="D1661" s="835"/>
      <c r="E1661" s="835"/>
    </row>
    <row r="1662" spans="1:5" ht="15.75" x14ac:dyDescent="0.25">
      <c r="A1662" s="834"/>
      <c r="B1662" s="835"/>
      <c r="C1662" s="835"/>
      <c r="D1662" s="835"/>
      <c r="E1662" s="835"/>
    </row>
    <row r="1663" spans="1:5" ht="15.75" x14ac:dyDescent="0.25">
      <c r="A1663" s="834"/>
      <c r="B1663" s="835"/>
      <c r="C1663" s="835"/>
      <c r="D1663" s="835"/>
      <c r="E1663" s="835"/>
    </row>
    <row r="1664" spans="1:5" ht="15.75" x14ac:dyDescent="0.25">
      <c r="A1664" s="834"/>
      <c r="B1664" s="835"/>
      <c r="C1664" s="835"/>
      <c r="D1664" s="835"/>
      <c r="E1664" s="835"/>
    </row>
    <row r="1665" spans="1:5" ht="15.75" x14ac:dyDescent="0.25">
      <c r="A1665" s="834"/>
      <c r="B1665" s="835"/>
      <c r="C1665" s="835"/>
      <c r="D1665" s="835"/>
      <c r="E1665" s="835"/>
    </row>
    <row r="1666" spans="1:5" ht="15.75" x14ac:dyDescent="0.25">
      <c r="A1666" s="834"/>
      <c r="B1666" s="835"/>
      <c r="C1666" s="835"/>
      <c r="D1666" s="835"/>
      <c r="E1666" s="835"/>
    </row>
    <row r="1667" spans="1:5" ht="15.75" x14ac:dyDescent="0.25">
      <c r="A1667" s="834"/>
      <c r="B1667" s="835"/>
      <c r="C1667" s="835"/>
      <c r="D1667" s="835"/>
      <c r="E1667" s="835"/>
    </row>
    <row r="1668" spans="1:5" ht="15.75" x14ac:dyDescent="0.25">
      <c r="A1668" s="834"/>
      <c r="B1668" s="835"/>
      <c r="C1668" s="835"/>
      <c r="D1668" s="835"/>
      <c r="E1668" s="835"/>
    </row>
    <row r="1669" spans="1:5" ht="15.75" x14ac:dyDescent="0.25">
      <c r="A1669" s="834"/>
      <c r="B1669" s="835"/>
      <c r="C1669" s="835"/>
      <c r="D1669" s="835"/>
      <c r="E1669" s="835"/>
    </row>
    <row r="1670" spans="1:5" ht="15.75" x14ac:dyDescent="0.25">
      <c r="A1670" s="834"/>
      <c r="B1670" s="835"/>
      <c r="C1670" s="835"/>
      <c r="D1670" s="835"/>
      <c r="E1670" s="835"/>
    </row>
    <row r="1671" spans="1:5" ht="15.75" x14ac:dyDescent="0.25">
      <c r="A1671" s="834"/>
      <c r="B1671" s="835"/>
      <c r="C1671" s="835"/>
      <c r="D1671" s="835"/>
      <c r="E1671" s="835"/>
    </row>
    <row r="1672" spans="1:5" ht="15.75" x14ac:dyDescent="0.25">
      <c r="A1672" s="834"/>
      <c r="B1672" s="835"/>
      <c r="C1672" s="835"/>
      <c r="D1672" s="835"/>
      <c r="E1672" s="835"/>
    </row>
    <row r="1673" spans="1:5" ht="15.75" x14ac:dyDescent="0.25">
      <c r="A1673" s="834"/>
      <c r="B1673" s="835"/>
      <c r="C1673" s="835"/>
      <c r="D1673" s="835"/>
      <c r="E1673" s="835"/>
    </row>
    <row r="1674" spans="1:5" ht="15.75" x14ac:dyDescent="0.25">
      <c r="A1674" s="834"/>
      <c r="B1674" s="835"/>
      <c r="C1674" s="835"/>
      <c r="D1674" s="835"/>
      <c r="E1674" s="835"/>
    </row>
    <row r="1675" spans="1:5" ht="15.75" x14ac:dyDescent="0.25">
      <c r="A1675" s="834"/>
      <c r="B1675" s="835"/>
      <c r="C1675" s="835"/>
      <c r="D1675" s="835"/>
      <c r="E1675" s="835"/>
    </row>
    <row r="1676" spans="1:5" ht="15.75" x14ac:dyDescent="0.25">
      <c r="A1676" s="834"/>
      <c r="B1676" s="835"/>
      <c r="C1676" s="835"/>
      <c r="D1676" s="835"/>
      <c r="E1676" s="835"/>
    </row>
    <row r="1677" spans="1:5" ht="15.75" x14ac:dyDescent="0.25">
      <c r="A1677" s="834"/>
      <c r="B1677" s="835"/>
      <c r="C1677" s="835"/>
      <c r="D1677" s="835"/>
      <c r="E1677" s="835"/>
    </row>
    <row r="1678" spans="1:5" ht="15.75" x14ac:dyDescent="0.25">
      <c r="A1678" s="834"/>
      <c r="B1678" s="835"/>
      <c r="C1678" s="835"/>
      <c r="D1678" s="835"/>
      <c r="E1678" s="835"/>
    </row>
    <row r="1679" spans="1:5" ht="15.75" x14ac:dyDescent="0.25">
      <c r="A1679" s="834"/>
      <c r="B1679" s="835"/>
      <c r="C1679" s="835"/>
      <c r="D1679" s="835"/>
      <c r="E1679" s="835"/>
    </row>
    <row r="1680" spans="1:5" ht="15.75" x14ac:dyDescent="0.25">
      <c r="A1680" s="834"/>
      <c r="B1680" s="835"/>
      <c r="C1680" s="835"/>
      <c r="D1680" s="835"/>
      <c r="E1680" s="835"/>
    </row>
    <row r="1681" spans="1:5" ht="15.75" x14ac:dyDescent="0.25">
      <c r="A1681" s="834"/>
      <c r="B1681" s="835"/>
      <c r="C1681" s="835"/>
      <c r="D1681" s="835"/>
      <c r="E1681" s="835"/>
    </row>
    <row r="1682" spans="1:5" ht="15.75" x14ac:dyDescent="0.25">
      <c r="A1682" s="834"/>
      <c r="B1682" s="835"/>
      <c r="C1682" s="835"/>
      <c r="D1682" s="835"/>
      <c r="E1682" s="835"/>
    </row>
    <row r="1683" spans="1:5" ht="15.75" x14ac:dyDescent="0.25">
      <c r="A1683" s="834"/>
      <c r="B1683" s="835"/>
      <c r="C1683" s="835"/>
      <c r="D1683" s="835"/>
      <c r="E1683" s="835"/>
    </row>
    <row r="1684" spans="1:5" ht="15.75" x14ac:dyDescent="0.25">
      <c r="A1684" s="834"/>
      <c r="B1684" s="835"/>
      <c r="C1684" s="835"/>
      <c r="D1684" s="835"/>
      <c r="E1684" s="835"/>
    </row>
    <row r="1685" spans="1:5" ht="15.75" x14ac:dyDescent="0.25">
      <c r="A1685" s="834"/>
      <c r="B1685" s="835"/>
      <c r="C1685" s="835"/>
      <c r="D1685" s="835"/>
      <c r="E1685" s="835"/>
    </row>
    <row r="1686" spans="1:5" ht="15.75" x14ac:dyDescent="0.25">
      <c r="A1686" s="834"/>
      <c r="B1686" s="835"/>
      <c r="C1686" s="835"/>
      <c r="D1686" s="835"/>
      <c r="E1686" s="835"/>
    </row>
    <row r="1687" spans="1:5" ht="15.75" x14ac:dyDescent="0.25">
      <c r="A1687" s="834"/>
      <c r="B1687" s="835"/>
      <c r="C1687" s="835"/>
      <c r="D1687" s="835"/>
      <c r="E1687" s="835"/>
    </row>
    <row r="1688" spans="1:5" ht="15.75" x14ac:dyDescent="0.25">
      <c r="A1688" s="834"/>
      <c r="B1688" s="835"/>
      <c r="C1688" s="835"/>
      <c r="D1688" s="835"/>
      <c r="E1688" s="835"/>
    </row>
    <row r="1689" spans="1:5" ht="15.75" x14ac:dyDescent="0.25">
      <c r="A1689" s="834"/>
      <c r="B1689" s="835"/>
      <c r="C1689" s="835"/>
      <c r="D1689" s="835"/>
      <c r="E1689" s="835"/>
    </row>
    <row r="1690" spans="1:5" ht="15.75" x14ac:dyDescent="0.25">
      <c r="A1690" s="834"/>
      <c r="B1690" s="835"/>
      <c r="C1690" s="835"/>
      <c r="D1690" s="835"/>
      <c r="E1690" s="835"/>
    </row>
    <row r="1691" spans="1:5" ht="15.75" x14ac:dyDescent="0.25">
      <c r="A1691" s="834"/>
      <c r="B1691" s="835"/>
      <c r="C1691" s="835"/>
      <c r="D1691" s="835"/>
      <c r="E1691" s="835"/>
    </row>
    <row r="1692" spans="1:5" ht="15.75" x14ac:dyDescent="0.25">
      <c r="A1692" s="834"/>
      <c r="B1692" s="835"/>
      <c r="C1692" s="835"/>
      <c r="D1692" s="835"/>
      <c r="E1692" s="835"/>
    </row>
    <row r="1693" spans="1:5" ht="15.75" x14ac:dyDescent="0.25">
      <c r="A1693" s="834"/>
      <c r="B1693" s="835"/>
      <c r="C1693" s="835"/>
      <c r="D1693" s="835"/>
      <c r="E1693" s="835"/>
    </row>
    <row r="1694" spans="1:5" ht="15.75" x14ac:dyDescent="0.25">
      <c r="A1694" s="834"/>
      <c r="B1694" s="835"/>
      <c r="C1694" s="835"/>
      <c r="D1694" s="835"/>
      <c r="E1694" s="835"/>
    </row>
    <row r="1695" spans="1:5" ht="15.75" x14ac:dyDescent="0.25">
      <c r="A1695" s="834"/>
      <c r="B1695" s="835"/>
      <c r="C1695" s="835"/>
      <c r="D1695" s="835"/>
      <c r="E1695" s="835"/>
    </row>
    <row r="1696" spans="1:5" ht="15.75" x14ac:dyDescent="0.25">
      <c r="A1696" s="834"/>
      <c r="B1696" s="835"/>
      <c r="C1696" s="835"/>
      <c r="D1696" s="835"/>
      <c r="E1696" s="835"/>
    </row>
    <row r="1697" spans="1:5" ht="15.75" x14ac:dyDescent="0.25">
      <c r="A1697" s="834"/>
      <c r="B1697" s="835"/>
      <c r="C1697" s="835"/>
      <c r="D1697" s="835"/>
      <c r="E1697" s="835"/>
    </row>
    <row r="1698" spans="1:5" ht="15.75" x14ac:dyDescent="0.25">
      <c r="A1698" s="834"/>
      <c r="B1698" s="835"/>
      <c r="C1698" s="835"/>
      <c r="D1698" s="835"/>
      <c r="E1698" s="835"/>
    </row>
    <row r="1699" spans="1:5" ht="15.75" x14ac:dyDescent="0.25">
      <c r="A1699" s="834"/>
      <c r="B1699" s="835"/>
      <c r="C1699" s="835"/>
      <c r="D1699" s="835"/>
      <c r="E1699" s="835"/>
    </row>
    <row r="1700" spans="1:5" ht="15.75" x14ac:dyDescent="0.25">
      <c r="A1700" s="834"/>
      <c r="B1700" s="835"/>
      <c r="C1700" s="835"/>
      <c r="D1700" s="835"/>
      <c r="E1700" s="835"/>
    </row>
    <row r="1701" spans="1:5" ht="15.75" x14ac:dyDescent="0.25">
      <c r="A1701" s="834"/>
      <c r="B1701" s="835"/>
      <c r="C1701" s="835"/>
      <c r="D1701" s="835"/>
      <c r="E1701" s="835"/>
    </row>
    <row r="1702" spans="1:5" ht="15.75" x14ac:dyDescent="0.25">
      <c r="A1702" s="834"/>
      <c r="B1702" s="835"/>
      <c r="C1702" s="835"/>
      <c r="D1702" s="835"/>
      <c r="E1702" s="835"/>
    </row>
    <row r="1703" spans="1:5" ht="15.75" x14ac:dyDescent="0.25">
      <c r="A1703" s="834"/>
      <c r="B1703" s="835"/>
      <c r="C1703" s="835"/>
      <c r="D1703" s="835"/>
      <c r="E1703" s="835"/>
    </row>
    <row r="1704" spans="1:5" ht="15.75" x14ac:dyDescent="0.25">
      <c r="A1704" s="834"/>
      <c r="B1704" s="835"/>
      <c r="C1704" s="835"/>
      <c r="D1704" s="835"/>
      <c r="E1704" s="835"/>
    </row>
    <row r="1705" spans="1:5" ht="15.75" x14ac:dyDescent="0.25">
      <c r="A1705" s="834"/>
      <c r="B1705" s="835"/>
      <c r="C1705" s="835"/>
      <c r="D1705" s="835"/>
      <c r="E1705" s="835"/>
    </row>
    <row r="1706" spans="1:5" ht="15.75" x14ac:dyDescent="0.25">
      <c r="A1706" s="834"/>
      <c r="B1706" s="835"/>
      <c r="C1706" s="835"/>
      <c r="D1706" s="835"/>
      <c r="E1706" s="835"/>
    </row>
    <row r="1707" spans="1:5" ht="15.75" x14ac:dyDescent="0.25">
      <c r="A1707" s="834"/>
      <c r="B1707" s="835"/>
      <c r="C1707" s="835"/>
      <c r="D1707" s="835"/>
      <c r="E1707" s="835"/>
    </row>
    <row r="1708" spans="1:5" ht="15.75" x14ac:dyDescent="0.25">
      <c r="A1708" s="834"/>
      <c r="B1708" s="835"/>
      <c r="C1708" s="835"/>
      <c r="D1708" s="835"/>
      <c r="E1708" s="835"/>
    </row>
    <row r="1709" spans="1:5" ht="15.75" x14ac:dyDescent="0.25">
      <c r="A1709" s="834"/>
      <c r="B1709" s="835"/>
      <c r="C1709" s="835"/>
      <c r="D1709" s="835"/>
      <c r="E1709" s="835"/>
    </row>
    <row r="1710" spans="1:5" ht="15.75" x14ac:dyDescent="0.25">
      <c r="A1710" s="834"/>
      <c r="B1710" s="835"/>
      <c r="C1710" s="835"/>
      <c r="D1710" s="835"/>
      <c r="E1710" s="835"/>
    </row>
    <row r="1711" spans="1:5" ht="15.75" x14ac:dyDescent="0.25">
      <c r="A1711" s="834"/>
      <c r="B1711" s="835"/>
      <c r="C1711" s="835"/>
      <c r="D1711" s="835"/>
      <c r="E1711" s="835"/>
    </row>
    <row r="1712" spans="1:5" ht="15.75" x14ac:dyDescent="0.25">
      <c r="A1712" s="834"/>
      <c r="B1712" s="835"/>
      <c r="C1712" s="835"/>
      <c r="D1712" s="835"/>
      <c r="E1712" s="835"/>
    </row>
    <row r="1713" spans="1:5" ht="15.75" x14ac:dyDescent="0.25">
      <c r="A1713" s="834"/>
      <c r="B1713" s="835"/>
      <c r="C1713" s="835"/>
      <c r="D1713" s="835"/>
      <c r="E1713" s="835"/>
    </row>
    <row r="1714" spans="1:5" ht="15.75" x14ac:dyDescent="0.25">
      <c r="A1714" s="834"/>
      <c r="B1714" s="835"/>
      <c r="C1714" s="835"/>
      <c r="D1714" s="835"/>
      <c r="E1714" s="835"/>
    </row>
    <row r="1715" spans="1:5" ht="15.75" x14ac:dyDescent="0.25">
      <c r="A1715" s="834"/>
      <c r="B1715" s="835"/>
      <c r="C1715" s="835"/>
      <c r="D1715" s="835"/>
      <c r="E1715" s="835"/>
    </row>
    <row r="1716" spans="1:5" ht="15.75" x14ac:dyDescent="0.25">
      <c r="A1716" s="834"/>
      <c r="B1716" s="835"/>
      <c r="C1716" s="835"/>
      <c r="D1716" s="835"/>
      <c r="E1716" s="835"/>
    </row>
    <row r="1717" spans="1:5" ht="15.75" x14ac:dyDescent="0.25">
      <c r="A1717" s="834"/>
      <c r="B1717" s="835"/>
      <c r="C1717" s="835"/>
      <c r="D1717" s="835"/>
      <c r="E1717" s="835"/>
    </row>
    <row r="1718" spans="1:5" ht="15.75" x14ac:dyDescent="0.25">
      <c r="A1718" s="834"/>
      <c r="B1718" s="835"/>
      <c r="C1718" s="835"/>
      <c r="D1718" s="835"/>
      <c r="E1718" s="835"/>
    </row>
    <row r="1719" spans="1:5" ht="15.75" x14ac:dyDescent="0.25">
      <c r="A1719" s="834"/>
      <c r="B1719" s="835"/>
      <c r="C1719" s="835"/>
      <c r="D1719" s="835"/>
      <c r="E1719" s="835"/>
    </row>
    <row r="1720" spans="1:5" ht="15.75" x14ac:dyDescent="0.25">
      <c r="A1720" s="834"/>
      <c r="B1720" s="835"/>
      <c r="C1720" s="835"/>
      <c r="D1720" s="835"/>
      <c r="E1720" s="835"/>
    </row>
    <row r="1721" spans="1:5" ht="15.75" x14ac:dyDescent="0.25">
      <c r="A1721" s="834"/>
      <c r="B1721" s="835"/>
      <c r="C1721" s="835"/>
      <c r="D1721" s="835"/>
      <c r="E1721" s="835"/>
    </row>
    <row r="1722" spans="1:5" ht="15.75" x14ac:dyDescent="0.25">
      <c r="A1722" s="834"/>
      <c r="B1722" s="835"/>
      <c r="C1722" s="835"/>
      <c r="D1722" s="835"/>
      <c r="E1722" s="835"/>
    </row>
    <row r="1723" spans="1:5" ht="15.75" x14ac:dyDescent="0.25">
      <c r="A1723" s="834"/>
      <c r="B1723" s="835"/>
      <c r="C1723" s="835"/>
      <c r="D1723" s="835"/>
      <c r="E1723" s="835"/>
    </row>
    <row r="1724" spans="1:5" ht="15.75" x14ac:dyDescent="0.25">
      <c r="A1724" s="834"/>
      <c r="B1724" s="835"/>
      <c r="C1724" s="835"/>
      <c r="D1724" s="835"/>
      <c r="E1724" s="835"/>
    </row>
    <row r="1725" spans="1:5" ht="15.75" x14ac:dyDescent="0.25">
      <c r="A1725" s="834"/>
      <c r="B1725" s="835"/>
      <c r="C1725" s="835"/>
      <c r="D1725" s="835"/>
      <c r="E1725" s="835"/>
    </row>
    <row r="1726" spans="1:5" ht="15.75" x14ac:dyDescent="0.25">
      <c r="A1726" s="834"/>
      <c r="B1726" s="835"/>
      <c r="C1726" s="835"/>
      <c r="D1726" s="835"/>
      <c r="E1726" s="835"/>
    </row>
    <row r="1727" spans="1:5" ht="15.75" x14ac:dyDescent="0.25">
      <c r="A1727" s="834"/>
      <c r="B1727" s="835"/>
      <c r="C1727" s="835"/>
      <c r="D1727" s="835"/>
      <c r="E1727" s="835"/>
    </row>
    <row r="1728" spans="1:5" ht="15.75" x14ac:dyDescent="0.25">
      <c r="A1728" s="834"/>
      <c r="B1728" s="835"/>
      <c r="C1728" s="835"/>
      <c r="D1728" s="835"/>
      <c r="E1728" s="835"/>
    </row>
    <row r="1729" spans="1:5" ht="15.75" x14ac:dyDescent="0.25">
      <c r="A1729" s="834"/>
      <c r="B1729" s="835"/>
      <c r="C1729" s="835"/>
      <c r="D1729" s="835"/>
      <c r="E1729" s="835"/>
    </row>
    <row r="1730" spans="1:5" ht="15.75" x14ac:dyDescent="0.25">
      <c r="A1730" s="834"/>
      <c r="B1730" s="835"/>
      <c r="C1730" s="835"/>
      <c r="D1730" s="835"/>
      <c r="E1730" s="835"/>
    </row>
    <row r="1731" spans="1:5" ht="15.75" x14ac:dyDescent="0.25">
      <c r="A1731" s="834"/>
      <c r="B1731" s="835"/>
      <c r="C1731" s="835"/>
      <c r="D1731" s="835"/>
      <c r="E1731" s="835"/>
    </row>
    <row r="1732" spans="1:5" ht="15.75" x14ac:dyDescent="0.25">
      <c r="A1732" s="834"/>
      <c r="B1732" s="835"/>
      <c r="C1732" s="835"/>
      <c r="D1732" s="835"/>
      <c r="E1732" s="835"/>
    </row>
    <row r="1733" spans="1:5" ht="15.75" x14ac:dyDescent="0.25">
      <c r="A1733" s="834"/>
      <c r="B1733" s="835"/>
      <c r="C1733" s="835"/>
      <c r="D1733" s="835"/>
      <c r="E1733" s="835"/>
    </row>
    <row r="1734" spans="1:5" ht="15.75" x14ac:dyDescent="0.25">
      <c r="A1734" s="834"/>
      <c r="B1734" s="835"/>
      <c r="C1734" s="835"/>
      <c r="D1734" s="835"/>
      <c r="E1734" s="835"/>
    </row>
    <row r="1735" spans="1:5" ht="15.75" x14ac:dyDescent="0.25">
      <c r="A1735" s="834"/>
      <c r="B1735" s="835"/>
      <c r="C1735" s="835"/>
      <c r="D1735" s="835"/>
      <c r="E1735" s="835"/>
    </row>
    <row r="1736" spans="1:5" ht="15.75" x14ac:dyDescent="0.25">
      <c r="A1736" s="834"/>
      <c r="B1736" s="835"/>
      <c r="C1736" s="835"/>
      <c r="D1736" s="835"/>
      <c r="E1736" s="835"/>
    </row>
    <row r="1737" spans="1:5" ht="15.75" x14ac:dyDescent="0.25">
      <c r="A1737" s="834"/>
      <c r="B1737" s="835"/>
      <c r="C1737" s="835"/>
      <c r="D1737" s="835"/>
      <c r="E1737" s="835"/>
    </row>
    <row r="1738" spans="1:5" ht="15.75" x14ac:dyDescent="0.25">
      <c r="A1738" s="834"/>
      <c r="B1738" s="835"/>
      <c r="C1738" s="835"/>
      <c r="D1738" s="835"/>
      <c r="E1738" s="835"/>
    </row>
    <row r="1739" spans="1:5" ht="15.75" x14ac:dyDescent="0.25">
      <c r="A1739" s="834"/>
      <c r="B1739" s="835"/>
      <c r="C1739" s="835"/>
      <c r="D1739" s="835"/>
      <c r="E1739" s="835"/>
    </row>
    <row r="1740" spans="1:5" ht="15.75" x14ac:dyDescent="0.25">
      <c r="A1740" s="834"/>
      <c r="B1740" s="835"/>
      <c r="C1740" s="835"/>
      <c r="D1740" s="835"/>
      <c r="E1740" s="835"/>
    </row>
    <row r="1741" spans="1:5" ht="15.75" x14ac:dyDescent="0.25">
      <c r="A1741" s="834"/>
      <c r="B1741" s="835"/>
      <c r="C1741" s="835"/>
      <c r="D1741" s="835"/>
      <c r="E1741" s="835"/>
    </row>
    <row r="1742" spans="1:5" ht="15.75" x14ac:dyDescent="0.25">
      <c r="A1742" s="834"/>
      <c r="B1742" s="835"/>
      <c r="C1742" s="835"/>
      <c r="D1742" s="835"/>
      <c r="E1742" s="835"/>
    </row>
    <row r="1743" spans="1:5" ht="15.75" x14ac:dyDescent="0.25">
      <c r="A1743" s="834"/>
      <c r="B1743" s="835"/>
      <c r="C1743" s="835"/>
      <c r="D1743" s="835"/>
      <c r="E1743" s="835"/>
    </row>
    <row r="1744" spans="1:5" ht="15.75" x14ac:dyDescent="0.25">
      <c r="A1744" s="834"/>
      <c r="B1744" s="835"/>
      <c r="C1744" s="835"/>
      <c r="D1744" s="835"/>
      <c r="E1744" s="835"/>
    </row>
    <row r="1745" spans="1:5" ht="15.75" x14ac:dyDescent="0.25">
      <c r="A1745" s="834"/>
      <c r="B1745" s="835"/>
      <c r="C1745" s="835"/>
      <c r="D1745" s="835"/>
      <c r="E1745" s="835"/>
    </row>
    <row r="1746" spans="1:5" ht="15.75" x14ac:dyDescent="0.25">
      <c r="A1746" s="834"/>
      <c r="B1746" s="835"/>
      <c r="C1746" s="835"/>
      <c r="D1746" s="835"/>
      <c r="E1746" s="835"/>
    </row>
    <row r="1747" spans="1:5" ht="15.75" x14ac:dyDescent="0.25">
      <c r="A1747" s="834"/>
      <c r="B1747" s="835"/>
      <c r="C1747" s="835"/>
      <c r="D1747" s="835"/>
      <c r="E1747" s="835"/>
    </row>
    <row r="1748" spans="1:5" ht="15.75" x14ac:dyDescent="0.25">
      <c r="A1748" s="834"/>
      <c r="B1748" s="835"/>
      <c r="C1748" s="835"/>
      <c r="D1748" s="835"/>
      <c r="E1748" s="835"/>
    </row>
    <row r="1749" spans="1:5" ht="15.75" x14ac:dyDescent="0.25">
      <c r="A1749" s="834"/>
      <c r="B1749" s="835"/>
      <c r="C1749" s="835"/>
      <c r="D1749" s="835"/>
      <c r="E1749" s="835"/>
    </row>
    <row r="1750" spans="1:5" ht="15.75" x14ac:dyDescent="0.25">
      <c r="A1750" s="834"/>
      <c r="B1750" s="835"/>
      <c r="C1750" s="835"/>
      <c r="D1750" s="835"/>
      <c r="E1750" s="835"/>
    </row>
    <row r="1751" spans="1:5" ht="15.75" x14ac:dyDescent="0.25">
      <c r="A1751" s="834"/>
      <c r="B1751" s="835"/>
      <c r="C1751" s="835"/>
      <c r="D1751" s="835"/>
      <c r="E1751" s="835"/>
    </row>
    <row r="1752" spans="1:5" ht="15.75" x14ac:dyDescent="0.25">
      <c r="A1752" s="834"/>
      <c r="B1752" s="835"/>
      <c r="C1752" s="835"/>
      <c r="D1752" s="835"/>
      <c r="E1752" s="835"/>
    </row>
    <row r="1753" spans="1:5" ht="15.75" x14ac:dyDescent="0.25">
      <c r="A1753" s="834"/>
      <c r="B1753" s="835"/>
      <c r="C1753" s="835"/>
      <c r="D1753" s="835"/>
      <c r="E1753" s="835"/>
    </row>
    <row r="1754" spans="1:5" ht="15.75" x14ac:dyDescent="0.25">
      <c r="A1754" s="834"/>
      <c r="B1754" s="835"/>
      <c r="C1754" s="835"/>
      <c r="D1754" s="835"/>
      <c r="E1754" s="835"/>
    </row>
    <row r="1755" spans="1:5" ht="15.75" x14ac:dyDescent="0.25">
      <c r="A1755" s="834"/>
      <c r="B1755" s="835"/>
      <c r="C1755" s="835"/>
      <c r="D1755" s="835"/>
      <c r="E1755" s="835"/>
    </row>
    <row r="1756" spans="1:5" ht="15.75" x14ac:dyDescent="0.25">
      <c r="A1756" s="834"/>
      <c r="B1756" s="835"/>
      <c r="C1756" s="835"/>
      <c r="D1756" s="835"/>
      <c r="E1756" s="835"/>
    </row>
    <row r="1757" spans="1:5" ht="15.75" x14ac:dyDescent="0.25">
      <c r="A1757" s="834"/>
      <c r="B1757" s="835"/>
      <c r="C1757" s="835"/>
      <c r="D1757" s="835"/>
      <c r="E1757" s="835"/>
    </row>
    <row r="1758" spans="1:5" ht="15.75" x14ac:dyDescent="0.25">
      <c r="A1758" s="834"/>
      <c r="B1758" s="835"/>
      <c r="C1758" s="835"/>
      <c r="D1758" s="835"/>
      <c r="E1758" s="835"/>
    </row>
    <row r="1759" spans="1:5" ht="15.75" x14ac:dyDescent="0.25">
      <c r="A1759" s="834"/>
      <c r="B1759" s="835"/>
      <c r="C1759" s="835"/>
      <c r="D1759" s="835"/>
      <c r="E1759" s="835"/>
    </row>
    <row r="1760" spans="1:5" ht="15.75" x14ac:dyDescent="0.25">
      <c r="A1760" s="834"/>
      <c r="B1760" s="835"/>
      <c r="C1760" s="835"/>
      <c r="D1760" s="835"/>
      <c r="E1760" s="835"/>
    </row>
    <row r="1761" spans="1:5" ht="15.75" x14ac:dyDescent="0.25">
      <c r="A1761" s="834"/>
      <c r="B1761" s="835"/>
      <c r="C1761" s="835"/>
      <c r="D1761" s="835"/>
      <c r="E1761" s="835"/>
    </row>
    <row r="1762" spans="1:5" ht="15.75" x14ac:dyDescent="0.25">
      <c r="A1762" s="834"/>
      <c r="B1762" s="835"/>
      <c r="C1762" s="835"/>
      <c r="D1762" s="835"/>
      <c r="E1762" s="835"/>
    </row>
    <row r="1763" spans="1:5" ht="15.75" x14ac:dyDescent="0.25">
      <c r="A1763" s="834"/>
      <c r="B1763" s="835"/>
      <c r="C1763" s="835"/>
      <c r="D1763" s="835"/>
      <c r="E1763" s="835"/>
    </row>
    <row r="1764" spans="1:5" ht="15.75" x14ac:dyDescent="0.25">
      <c r="A1764" s="834"/>
      <c r="B1764" s="835"/>
      <c r="C1764" s="835"/>
      <c r="D1764" s="835"/>
      <c r="E1764" s="835"/>
    </row>
    <row r="1765" spans="1:5" ht="15.75" x14ac:dyDescent="0.25">
      <c r="A1765" s="834"/>
      <c r="B1765" s="835"/>
      <c r="C1765" s="835"/>
      <c r="D1765" s="835"/>
      <c r="E1765" s="835"/>
    </row>
    <row r="1766" spans="1:5" ht="15.75" x14ac:dyDescent="0.25">
      <c r="A1766" s="834"/>
      <c r="B1766" s="835"/>
      <c r="C1766" s="835"/>
      <c r="D1766" s="835"/>
      <c r="E1766" s="835"/>
    </row>
    <row r="1767" spans="1:5" ht="15.75" x14ac:dyDescent="0.25">
      <c r="A1767" s="834"/>
      <c r="B1767" s="835"/>
      <c r="C1767" s="835"/>
      <c r="D1767" s="835"/>
      <c r="E1767" s="835"/>
    </row>
    <row r="1768" spans="1:5" ht="15.75" x14ac:dyDescent="0.25">
      <c r="A1768" s="834"/>
      <c r="B1768" s="835"/>
      <c r="C1768" s="835"/>
      <c r="D1768" s="835"/>
      <c r="E1768" s="835"/>
    </row>
    <row r="1769" spans="1:5" ht="15.75" x14ac:dyDescent="0.25">
      <c r="A1769" s="834"/>
      <c r="B1769" s="835"/>
      <c r="C1769" s="835"/>
      <c r="D1769" s="835"/>
      <c r="E1769" s="835"/>
    </row>
    <row r="1770" spans="1:5" ht="15.75" x14ac:dyDescent="0.25">
      <c r="A1770" s="834"/>
      <c r="B1770" s="835"/>
      <c r="C1770" s="835"/>
      <c r="D1770" s="835"/>
      <c r="E1770" s="835"/>
    </row>
    <row r="1771" spans="1:5" ht="15.75" x14ac:dyDescent="0.25">
      <c r="A1771" s="834"/>
      <c r="B1771" s="835"/>
      <c r="C1771" s="835"/>
      <c r="D1771" s="835"/>
      <c r="E1771" s="835"/>
    </row>
    <row r="1772" spans="1:5" ht="15.75" x14ac:dyDescent="0.25">
      <c r="A1772" s="834"/>
      <c r="B1772" s="835"/>
      <c r="C1772" s="835"/>
      <c r="D1772" s="835"/>
      <c r="E1772" s="835"/>
    </row>
    <row r="1773" spans="1:5" ht="15.75" x14ac:dyDescent="0.25">
      <c r="A1773" s="834"/>
      <c r="B1773" s="835"/>
      <c r="C1773" s="835"/>
      <c r="D1773" s="835"/>
      <c r="E1773" s="835"/>
    </row>
    <row r="1774" spans="1:5" ht="15.75" x14ac:dyDescent="0.25">
      <c r="A1774" s="834"/>
      <c r="B1774" s="835"/>
      <c r="C1774" s="835"/>
      <c r="D1774" s="835"/>
      <c r="E1774" s="835"/>
    </row>
    <row r="1775" spans="1:5" ht="15.75" x14ac:dyDescent="0.25">
      <c r="A1775" s="834"/>
      <c r="B1775" s="835"/>
      <c r="C1775" s="835"/>
      <c r="D1775" s="835"/>
      <c r="E1775" s="835"/>
    </row>
    <row r="1776" spans="1:5" ht="15.75" x14ac:dyDescent="0.25">
      <c r="A1776" s="834"/>
      <c r="B1776" s="835"/>
      <c r="C1776" s="835"/>
      <c r="D1776" s="835"/>
      <c r="E1776" s="835"/>
    </row>
    <row r="1777" spans="1:5" ht="15.75" x14ac:dyDescent="0.25">
      <c r="A1777" s="834"/>
      <c r="B1777" s="835"/>
      <c r="C1777" s="835"/>
      <c r="D1777" s="835"/>
      <c r="E1777" s="835"/>
    </row>
    <row r="1778" spans="1:5" ht="15.75" x14ac:dyDescent="0.25">
      <c r="A1778" s="834"/>
      <c r="B1778" s="835"/>
      <c r="C1778" s="835"/>
      <c r="D1778" s="835"/>
      <c r="E1778" s="835"/>
    </row>
    <row r="1779" spans="1:5" ht="15.75" x14ac:dyDescent="0.25">
      <c r="A1779" s="834"/>
      <c r="B1779" s="835"/>
      <c r="C1779" s="835"/>
      <c r="D1779" s="835"/>
      <c r="E1779" s="835"/>
    </row>
    <row r="1780" spans="1:5" ht="15.75" x14ac:dyDescent="0.25">
      <c r="A1780" s="834"/>
      <c r="B1780" s="835"/>
      <c r="C1780" s="835"/>
      <c r="D1780" s="835"/>
      <c r="E1780" s="835"/>
    </row>
    <row r="1781" spans="1:5" ht="15.75" x14ac:dyDescent="0.25">
      <c r="A1781" s="834"/>
      <c r="B1781" s="835"/>
      <c r="C1781" s="835"/>
      <c r="D1781" s="835"/>
      <c r="E1781" s="835"/>
    </row>
    <row r="1782" spans="1:5" ht="15.75" x14ac:dyDescent="0.25">
      <c r="A1782" s="834"/>
      <c r="B1782" s="835"/>
      <c r="C1782" s="835"/>
      <c r="D1782" s="835"/>
      <c r="E1782" s="835"/>
    </row>
    <row r="1783" spans="1:5" ht="15.75" x14ac:dyDescent="0.25">
      <c r="A1783" s="834"/>
      <c r="B1783" s="835"/>
      <c r="C1783" s="835"/>
      <c r="D1783" s="835"/>
      <c r="E1783" s="835"/>
    </row>
    <row r="1784" spans="1:5" ht="15.75" x14ac:dyDescent="0.25">
      <c r="A1784" s="834"/>
      <c r="B1784" s="835"/>
      <c r="C1784" s="835"/>
      <c r="D1784" s="835"/>
      <c r="E1784" s="835"/>
    </row>
    <row r="1785" spans="1:5" ht="15.75" x14ac:dyDescent="0.25">
      <c r="A1785" s="834"/>
      <c r="B1785" s="835"/>
      <c r="C1785" s="835"/>
      <c r="D1785" s="835"/>
      <c r="E1785" s="835"/>
    </row>
    <row r="1786" spans="1:5" ht="15.75" x14ac:dyDescent="0.25">
      <c r="A1786" s="834"/>
      <c r="B1786" s="835"/>
      <c r="C1786" s="835"/>
      <c r="D1786" s="835"/>
      <c r="E1786" s="835"/>
    </row>
    <row r="1787" spans="1:5" ht="15.75" x14ac:dyDescent="0.25">
      <c r="A1787" s="834"/>
      <c r="B1787" s="835"/>
      <c r="C1787" s="835"/>
      <c r="D1787" s="835"/>
      <c r="E1787" s="835"/>
    </row>
    <row r="1788" spans="1:5" ht="15.75" x14ac:dyDescent="0.25">
      <c r="A1788" s="834"/>
      <c r="B1788" s="835"/>
      <c r="C1788" s="835"/>
      <c r="D1788" s="835"/>
      <c r="E1788" s="835"/>
    </row>
    <row r="1789" spans="1:5" ht="15.75" x14ac:dyDescent="0.25">
      <c r="A1789" s="834"/>
      <c r="B1789" s="835"/>
      <c r="C1789" s="835"/>
      <c r="D1789" s="835"/>
      <c r="E1789" s="835"/>
    </row>
    <row r="1790" spans="1:5" ht="15.75" x14ac:dyDescent="0.25">
      <c r="A1790" s="834"/>
      <c r="B1790" s="835"/>
      <c r="C1790" s="835"/>
      <c r="D1790" s="835"/>
      <c r="E1790" s="835"/>
    </row>
    <row r="1791" spans="1:5" ht="15.75" x14ac:dyDescent="0.25">
      <c r="A1791" s="834"/>
      <c r="B1791" s="835"/>
      <c r="C1791" s="835"/>
      <c r="D1791" s="835"/>
      <c r="E1791" s="835"/>
    </row>
    <row r="1792" spans="1:5" ht="15.75" x14ac:dyDescent="0.25">
      <c r="A1792" s="834"/>
      <c r="B1792" s="835"/>
      <c r="C1792" s="835"/>
      <c r="D1792" s="835"/>
      <c r="E1792" s="835"/>
    </row>
    <row r="1793" spans="1:5" ht="15.75" x14ac:dyDescent="0.25">
      <c r="A1793" s="834"/>
      <c r="B1793" s="835"/>
      <c r="C1793" s="835"/>
      <c r="D1793" s="835"/>
      <c r="E1793" s="835"/>
    </row>
    <row r="1794" spans="1:5" ht="15.75" x14ac:dyDescent="0.25">
      <c r="A1794" s="834"/>
      <c r="B1794" s="835"/>
      <c r="C1794" s="835"/>
      <c r="D1794" s="835"/>
      <c r="E1794" s="835"/>
    </row>
    <row r="1795" spans="1:5" ht="15.75" x14ac:dyDescent="0.25">
      <c r="A1795" s="834"/>
      <c r="B1795" s="835"/>
      <c r="C1795" s="835"/>
      <c r="D1795" s="835"/>
      <c r="E1795" s="835"/>
    </row>
    <row r="1796" spans="1:5" ht="15.75" x14ac:dyDescent="0.25">
      <c r="A1796" s="834"/>
      <c r="B1796" s="835"/>
      <c r="C1796" s="835"/>
      <c r="D1796" s="835"/>
      <c r="E1796" s="835"/>
    </row>
    <row r="1797" spans="1:5" ht="15.75" x14ac:dyDescent="0.25">
      <c r="A1797" s="834"/>
      <c r="B1797" s="835"/>
      <c r="C1797" s="835"/>
      <c r="D1797" s="835"/>
      <c r="E1797" s="835"/>
    </row>
    <row r="1798" spans="1:5" ht="15.75" x14ac:dyDescent="0.25">
      <c r="A1798" s="834"/>
      <c r="B1798" s="835"/>
      <c r="C1798" s="835"/>
      <c r="D1798" s="835"/>
      <c r="E1798" s="835"/>
    </row>
    <row r="1799" spans="1:5" ht="15.75" x14ac:dyDescent="0.25">
      <c r="A1799" s="834"/>
      <c r="B1799" s="835"/>
      <c r="C1799" s="835"/>
      <c r="D1799" s="835"/>
      <c r="E1799" s="835"/>
    </row>
    <row r="1800" spans="1:5" ht="15.75" x14ac:dyDescent="0.25">
      <c r="A1800" s="834"/>
      <c r="B1800" s="835"/>
      <c r="C1800" s="835"/>
      <c r="D1800" s="835"/>
      <c r="E1800" s="835"/>
    </row>
    <row r="1801" spans="1:5" ht="15.75" x14ac:dyDescent="0.25">
      <c r="A1801" s="834"/>
      <c r="B1801" s="835"/>
      <c r="C1801" s="835"/>
      <c r="D1801" s="835"/>
      <c r="E1801" s="835"/>
    </row>
    <row r="1802" spans="1:5" ht="15.75" x14ac:dyDescent="0.25">
      <c r="A1802" s="834"/>
      <c r="B1802" s="835"/>
      <c r="C1802" s="835"/>
      <c r="D1802" s="835"/>
      <c r="E1802" s="835"/>
    </row>
    <row r="1803" spans="1:5" ht="15.75" x14ac:dyDescent="0.25">
      <c r="A1803" s="834"/>
      <c r="B1803" s="835"/>
      <c r="C1803" s="835"/>
      <c r="D1803" s="835"/>
      <c r="E1803" s="835"/>
    </row>
    <row r="1804" spans="1:5" ht="15.75" x14ac:dyDescent="0.25">
      <c r="A1804" s="834"/>
      <c r="B1804" s="835"/>
      <c r="C1804" s="835"/>
      <c r="D1804" s="835"/>
      <c r="E1804" s="835"/>
    </row>
    <row r="1805" spans="1:5" ht="15.75" x14ac:dyDescent="0.25">
      <c r="A1805" s="834"/>
      <c r="B1805" s="835"/>
      <c r="C1805" s="835"/>
      <c r="D1805" s="835"/>
      <c r="E1805" s="835"/>
    </row>
    <row r="1806" spans="1:5" ht="15.75" x14ac:dyDescent="0.25">
      <c r="A1806" s="834"/>
      <c r="B1806" s="835"/>
      <c r="C1806" s="835"/>
      <c r="D1806" s="835"/>
      <c r="E1806" s="835"/>
    </row>
    <row r="1807" spans="1:5" ht="15.75" x14ac:dyDescent="0.25">
      <c r="A1807" s="834"/>
      <c r="B1807" s="835"/>
      <c r="C1807" s="835"/>
      <c r="D1807" s="835"/>
      <c r="E1807" s="835"/>
    </row>
    <row r="1808" spans="1:5" ht="15.75" x14ac:dyDescent="0.25">
      <c r="A1808" s="834"/>
      <c r="B1808" s="835"/>
      <c r="C1808" s="835"/>
      <c r="D1808" s="835"/>
      <c r="E1808" s="835"/>
    </row>
    <row r="1809" spans="1:5" ht="15.75" x14ac:dyDescent="0.25">
      <c r="A1809" s="834"/>
      <c r="B1809" s="835"/>
      <c r="C1809" s="835"/>
      <c r="D1809" s="835"/>
      <c r="E1809" s="835"/>
    </row>
    <row r="1810" spans="1:5" ht="15.75" x14ac:dyDescent="0.25">
      <c r="A1810" s="834"/>
      <c r="B1810" s="835"/>
      <c r="C1810" s="835"/>
      <c r="D1810" s="835"/>
      <c r="E1810" s="835"/>
    </row>
    <row r="1811" spans="1:5" ht="15.75" x14ac:dyDescent="0.25">
      <c r="A1811" s="834"/>
      <c r="B1811" s="835"/>
      <c r="C1811" s="835"/>
      <c r="D1811" s="835"/>
      <c r="E1811" s="835"/>
    </row>
    <row r="1812" spans="1:5" ht="15.75" x14ac:dyDescent="0.25">
      <c r="A1812" s="834"/>
      <c r="B1812" s="835"/>
      <c r="C1812" s="835"/>
      <c r="D1812" s="835"/>
      <c r="E1812" s="835"/>
    </row>
    <row r="1813" spans="1:5" ht="15.75" x14ac:dyDescent="0.25">
      <c r="A1813" s="834"/>
      <c r="B1813" s="835"/>
      <c r="C1813" s="835"/>
      <c r="D1813" s="835"/>
      <c r="E1813" s="835"/>
    </row>
    <row r="1814" spans="1:5" ht="15.75" x14ac:dyDescent="0.25">
      <c r="A1814" s="834"/>
      <c r="B1814" s="835"/>
      <c r="C1814" s="835"/>
      <c r="D1814" s="835"/>
      <c r="E1814" s="835"/>
    </row>
    <row r="1815" spans="1:5" ht="15.75" x14ac:dyDescent="0.25">
      <c r="A1815" s="834"/>
      <c r="B1815" s="835"/>
      <c r="C1815" s="835"/>
      <c r="D1815" s="835"/>
      <c r="E1815" s="835"/>
    </row>
    <row r="1816" spans="1:5" ht="15.75" x14ac:dyDescent="0.25">
      <c r="A1816" s="834"/>
      <c r="B1816" s="835"/>
      <c r="C1816" s="835"/>
      <c r="D1816" s="835"/>
      <c r="E1816" s="835"/>
    </row>
    <row r="1817" spans="1:5" ht="15.75" x14ac:dyDescent="0.25">
      <c r="A1817" s="834"/>
      <c r="B1817" s="835"/>
      <c r="C1817" s="835"/>
      <c r="D1817" s="835"/>
      <c r="E1817" s="835"/>
    </row>
    <row r="1818" spans="1:5" ht="15.75" x14ac:dyDescent="0.25">
      <c r="A1818" s="834"/>
      <c r="B1818" s="835"/>
      <c r="C1818" s="835"/>
      <c r="D1818" s="835"/>
      <c r="E1818" s="835"/>
    </row>
    <row r="1819" spans="1:5" ht="15.75" x14ac:dyDescent="0.25">
      <c r="A1819" s="834"/>
      <c r="B1819" s="835"/>
      <c r="C1819" s="835"/>
      <c r="D1819" s="835"/>
      <c r="E1819" s="835"/>
    </row>
    <row r="1820" spans="1:5" ht="15.75" x14ac:dyDescent="0.25">
      <c r="A1820" s="834"/>
      <c r="B1820" s="835"/>
      <c r="C1820" s="835"/>
      <c r="D1820" s="835"/>
      <c r="E1820" s="835"/>
    </row>
    <row r="1821" spans="1:5" ht="15.75" x14ac:dyDescent="0.25">
      <c r="A1821" s="834"/>
      <c r="B1821" s="835"/>
      <c r="C1821" s="835"/>
      <c r="D1821" s="835"/>
      <c r="E1821" s="835"/>
    </row>
    <row r="1822" spans="1:5" ht="15.75" x14ac:dyDescent="0.25">
      <c r="A1822" s="834"/>
      <c r="B1822" s="835"/>
      <c r="C1822" s="835"/>
      <c r="D1822" s="835"/>
      <c r="E1822" s="835"/>
    </row>
    <row r="1823" spans="1:5" ht="15.75" x14ac:dyDescent="0.25">
      <c r="A1823" s="834"/>
      <c r="B1823" s="835"/>
      <c r="C1823" s="835"/>
      <c r="D1823" s="835"/>
      <c r="E1823" s="835"/>
    </row>
    <row r="1824" spans="1:5" ht="15.75" x14ac:dyDescent="0.25">
      <c r="A1824" s="834"/>
      <c r="B1824" s="835"/>
      <c r="C1824" s="835"/>
      <c r="D1824" s="835"/>
      <c r="E1824" s="835"/>
    </row>
    <row r="1825" spans="1:5" ht="15.75" x14ac:dyDescent="0.25">
      <c r="A1825" s="834"/>
      <c r="B1825" s="835"/>
      <c r="C1825" s="835"/>
      <c r="D1825" s="835"/>
      <c r="E1825" s="835"/>
    </row>
    <row r="1826" spans="1:5" ht="15.75" x14ac:dyDescent="0.25">
      <c r="A1826" s="834"/>
      <c r="B1826" s="835"/>
      <c r="C1826" s="835"/>
      <c r="D1826" s="835"/>
      <c r="E1826" s="835"/>
    </row>
    <row r="1827" spans="1:5" ht="15.75" x14ac:dyDescent="0.25">
      <c r="A1827" s="834"/>
      <c r="B1827" s="835"/>
      <c r="C1827" s="835"/>
      <c r="D1827" s="835"/>
      <c r="E1827" s="835"/>
    </row>
    <row r="1828" spans="1:5" ht="15.75" x14ac:dyDescent="0.25">
      <c r="A1828" s="834"/>
      <c r="B1828" s="835"/>
      <c r="C1828" s="835"/>
      <c r="D1828" s="835"/>
      <c r="E1828" s="835"/>
    </row>
    <row r="1829" spans="1:5" ht="15.75" x14ac:dyDescent="0.25">
      <c r="A1829" s="834"/>
      <c r="B1829" s="835"/>
      <c r="C1829" s="835"/>
      <c r="D1829" s="835"/>
      <c r="E1829" s="835"/>
    </row>
    <row r="1830" spans="1:5" ht="15.75" x14ac:dyDescent="0.25">
      <c r="A1830" s="834"/>
      <c r="B1830" s="835"/>
      <c r="C1830" s="835"/>
      <c r="D1830" s="835"/>
      <c r="E1830" s="835"/>
    </row>
    <row r="1831" spans="1:5" ht="15.75" x14ac:dyDescent="0.25">
      <c r="A1831" s="834"/>
      <c r="B1831" s="835"/>
      <c r="C1831" s="835"/>
      <c r="D1831" s="835"/>
      <c r="E1831" s="835"/>
    </row>
    <row r="1832" spans="1:5" ht="15.75" x14ac:dyDescent="0.25">
      <c r="A1832" s="834"/>
      <c r="B1832" s="835"/>
      <c r="C1832" s="835"/>
      <c r="D1832" s="835"/>
      <c r="E1832" s="835"/>
    </row>
    <row r="1833" spans="1:5" ht="15.75" x14ac:dyDescent="0.25">
      <c r="A1833" s="834"/>
      <c r="B1833" s="835"/>
      <c r="C1833" s="835"/>
      <c r="D1833" s="835"/>
      <c r="E1833" s="835"/>
    </row>
    <row r="1834" spans="1:5" ht="15.75" x14ac:dyDescent="0.25">
      <c r="A1834" s="834"/>
      <c r="B1834" s="835"/>
      <c r="C1834" s="835"/>
      <c r="D1834" s="835"/>
      <c r="E1834" s="835"/>
    </row>
    <row r="1835" spans="1:5" ht="15.75" x14ac:dyDescent="0.25">
      <c r="A1835" s="834"/>
      <c r="B1835" s="835"/>
      <c r="C1835" s="835"/>
      <c r="D1835" s="835"/>
      <c r="E1835" s="835"/>
    </row>
    <row r="1836" spans="1:5" ht="15.75" x14ac:dyDescent="0.25">
      <c r="A1836" s="834"/>
      <c r="B1836" s="835"/>
      <c r="C1836" s="835"/>
      <c r="D1836" s="835"/>
      <c r="E1836" s="835"/>
    </row>
    <row r="1837" spans="1:5" ht="15.75" x14ac:dyDescent="0.25">
      <c r="A1837" s="834"/>
      <c r="B1837" s="835"/>
      <c r="C1837" s="835"/>
      <c r="D1837" s="835"/>
      <c r="E1837" s="835"/>
    </row>
    <row r="1838" spans="1:5" ht="15.75" x14ac:dyDescent="0.25">
      <c r="A1838" s="834"/>
      <c r="B1838" s="835"/>
      <c r="C1838" s="835"/>
      <c r="D1838" s="835"/>
      <c r="E1838" s="835"/>
    </row>
    <row r="1839" spans="1:5" ht="15.75" x14ac:dyDescent="0.25">
      <c r="A1839" s="834"/>
      <c r="B1839" s="835"/>
      <c r="C1839" s="835"/>
      <c r="D1839" s="835"/>
      <c r="E1839" s="835"/>
    </row>
    <row r="1840" spans="1:5" ht="15.75" x14ac:dyDescent="0.25">
      <c r="A1840" s="834"/>
      <c r="B1840" s="835"/>
      <c r="C1840" s="835"/>
      <c r="D1840" s="835"/>
      <c r="E1840" s="835"/>
    </row>
    <row r="1841" spans="1:5" ht="15.75" x14ac:dyDescent="0.25">
      <c r="A1841" s="834"/>
      <c r="B1841" s="835"/>
      <c r="C1841" s="835"/>
      <c r="D1841" s="835"/>
      <c r="E1841" s="835"/>
    </row>
    <row r="1842" spans="1:5" ht="15.75" x14ac:dyDescent="0.25">
      <c r="A1842" s="834"/>
      <c r="B1842" s="835"/>
      <c r="C1842" s="835"/>
      <c r="D1842" s="835"/>
      <c r="E1842" s="835"/>
    </row>
    <row r="1843" spans="1:5" ht="15.75" x14ac:dyDescent="0.25">
      <c r="A1843" s="834"/>
      <c r="B1843" s="835"/>
      <c r="C1843" s="835"/>
      <c r="D1843" s="835"/>
      <c r="E1843" s="835"/>
    </row>
    <row r="1844" spans="1:5" ht="15.75" x14ac:dyDescent="0.25">
      <c r="A1844" s="834"/>
      <c r="B1844" s="835"/>
      <c r="C1844" s="835"/>
      <c r="D1844" s="835"/>
      <c r="E1844" s="835"/>
    </row>
    <row r="1845" spans="1:5" ht="15.75" x14ac:dyDescent="0.25">
      <c r="A1845" s="834"/>
      <c r="B1845" s="835"/>
      <c r="C1845" s="835"/>
      <c r="D1845" s="835"/>
      <c r="E1845" s="835"/>
    </row>
    <row r="1846" spans="1:5" ht="15.75" x14ac:dyDescent="0.25">
      <c r="A1846" s="834"/>
      <c r="B1846" s="835"/>
      <c r="C1846" s="835"/>
      <c r="D1846" s="835"/>
      <c r="E1846" s="835"/>
    </row>
    <row r="1847" spans="1:5" ht="15.75" x14ac:dyDescent="0.25">
      <c r="A1847" s="834"/>
      <c r="B1847" s="835"/>
      <c r="C1847" s="835"/>
      <c r="D1847" s="835"/>
      <c r="E1847" s="835"/>
    </row>
    <row r="1848" spans="1:5" ht="15.75" x14ac:dyDescent="0.25">
      <c r="A1848" s="834"/>
      <c r="B1848" s="835"/>
      <c r="C1848" s="835"/>
      <c r="D1848" s="835"/>
      <c r="E1848" s="835"/>
    </row>
    <row r="1849" spans="1:5" ht="15.75" x14ac:dyDescent="0.25">
      <c r="A1849" s="834"/>
      <c r="B1849" s="835"/>
      <c r="C1849" s="835"/>
      <c r="D1849" s="835"/>
      <c r="E1849" s="835"/>
    </row>
    <row r="1850" spans="1:5" ht="15.75" x14ac:dyDescent="0.25">
      <c r="A1850" s="834"/>
      <c r="B1850" s="835"/>
      <c r="C1850" s="835"/>
      <c r="D1850" s="835"/>
      <c r="E1850" s="835"/>
    </row>
    <row r="1851" spans="1:5" ht="15.75" x14ac:dyDescent="0.25">
      <c r="A1851" s="834"/>
      <c r="B1851" s="835"/>
      <c r="C1851" s="835"/>
      <c r="D1851" s="835"/>
      <c r="E1851" s="835"/>
    </row>
    <row r="1852" spans="1:5" ht="15.75" x14ac:dyDescent="0.25">
      <c r="A1852" s="834"/>
      <c r="B1852" s="835"/>
      <c r="C1852" s="835"/>
      <c r="D1852" s="835"/>
      <c r="E1852" s="835"/>
    </row>
    <row r="1853" spans="1:5" ht="15.75" x14ac:dyDescent="0.25">
      <c r="A1853" s="834"/>
      <c r="B1853" s="835"/>
      <c r="C1853" s="835"/>
      <c r="D1853" s="835"/>
      <c r="E1853" s="835"/>
    </row>
    <row r="1854" spans="1:5" ht="15.75" x14ac:dyDescent="0.25">
      <c r="A1854" s="834"/>
      <c r="B1854" s="835"/>
      <c r="C1854" s="835"/>
      <c r="D1854" s="835"/>
      <c r="E1854" s="835"/>
    </row>
    <row r="1855" spans="1:5" ht="15.75" x14ac:dyDescent="0.25">
      <c r="A1855" s="834"/>
      <c r="B1855" s="835"/>
      <c r="C1855" s="835"/>
      <c r="D1855" s="835"/>
      <c r="E1855" s="835"/>
    </row>
    <row r="1856" spans="1:5" ht="15.75" x14ac:dyDescent="0.25">
      <c r="A1856" s="834"/>
      <c r="B1856" s="835"/>
      <c r="C1856" s="835"/>
      <c r="D1856" s="835"/>
      <c r="E1856" s="835"/>
    </row>
    <row r="1857" spans="1:5" ht="15.75" x14ac:dyDescent="0.25">
      <c r="A1857" s="834"/>
      <c r="B1857" s="835"/>
      <c r="C1857" s="835"/>
      <c r="D1857" s="835"/>
      <c r="E1857" s="835"/>
    </row>
    <row r="1858" spans="1:5" ht="15.75" x14ac:dyDescent="0.25">
      <c r="A1858" s="834"/>
      <c r="B1858" s="835"/>
      <c r="C1858" s="835"/>
      <c r="D1858" s="835"/>
      <c r="E1858" s="835"/>
    </row>
    <row r="1859" spans="1:5" ht="15.75" x14ac:dyDescent="0.25">
      <c r="A1859" s="834"/>
      <c r="B1859" s="835"/>
      <c r="C1859" s="835"/>
      <c r="D1859" s="835"/>
      <c r="E1859" s="835"/>
    </row>
    <row r="1860" spans="1:5" ht="15.75" x14ac:dyDescent="0.25">
      <c r="A1860" s="834"/>
      <c r="B1860" s="835"/>
      <c r="C1860" s="835"/>
      <c r="D1860" s="835"/>
      <c r="E1860" s="835"/>
    </row>
    <row r="1861" spans="1:5" ht="15.75" x14ac:dyDescent="0.25">
      <c r="A1861" s="834"/>
      <c r="B1861" s="835"/>
      <c r="C1861" s="835"/>
      <c r="D1861" s="835"/>
      <c r="E1861" s="835"/>
    </row>
    <row r="1862" spans="1:5" ht="15.75" x14ac:dyDescent="0.25">
      <c r="A1862" s="834"/>
      <c r="B1862" s="835"/>
      <c r="C1862" s="835"/>
      <c r="D1862" s="835"/>
      <c r="E1862" s="835"/>
    </row>
    <row r="1863" spans="1:5" ht="15.75" x14ac:dyDescent="0.25">
      <c r="A1863" s="834"/>
      <c r="B1863" s="835"/>
      <c r="C1863" s="835"/>
      <c r="D1863" s="835"/>
      <c r="E1863" s="835"/>
    </row>
    <row r="1864" spans="1:5" ht="15.75" x14ac:dyDescent="0.25">
      <c r="A1864" s="834"/>
      <c r="B1864" s="835"/>
      <c r="C1864" s="835"/>
      <c r="D1864" s="835"/>
      <c r="E1864" s="835"/>
    </row>
    <row r="1865" spans="1:5" ht="15.75" x14ac:dyDescent="0.25">
      <c r="A1865" s="834"/>
      <c r="B1865" s="835"/>
      <c r="C1865" s="835"/>
      <c r="D1865" s="835"/>
      <c r="E1865" s="835"/>
    </row>
    <row r="1866" spans="1:5" ht="15.75" x14ac:dyDescent="0.25">
      <c r="A1866" s="834"/>
      <c r="B1866" s="835"/>
      <c r="C1866" s="835"/>
      <c r="D1866" s="835"/>
      <c r="E1866" s="835"/>
    </row>
    <row r="1867" spans="1:5" ht="15.75" x14ac:dyDescent="0.25">
      <c r="A1867" s="834"/>
      <c r="B1867" s="835"/>
      <c r="C1867" s="835"/>
      <c r="D1867" s="835"/>
      <c r="E1867" s="835"/>
    </row>
    <row r="1868" spans="1:5" ht="15.75" x14ac:dyDescent="0.25">
      <c r="A1868" s="834"/>
      <c r="B1868" s="835"/>
      <c r="C1868" s="835"/>
      <c r="D1868" s="835"/>
      <c r="E1868" s="835"/>
    </row>
    <row r="1869" spans="1:5" ht="15.75" x14ac:dyDescent="0.25">
      <c r="A1869" s="834"/>
      <c r="B1869" s="835"/>
      <c r="C1869" s="835"/>
      <c r="D1869" s="835"/>
      <c r="E1869" s="835"/>
    </row>
    <row r="1870" spans="1:5" ht="15.75" x14ac:dyDescent="0.25">
      <c r="A1870" s="834"/>
      <c r="B1870" s="835"/>
      <c r="C1870" s="835"/>
      <c r="D1870" s="835"/>
      <c r="E1870" s="835"/>
    </row>
    <row r="1871" spans="1:5" ht="15.75" x14ac:dyDescent="0.25">
      <c r="A1871" s="834"/>
      <c r="B1871" s="835"/>
      <c r="C1871" s="835"/>
      <c r="D1871" s="835"/>
      <c r="E1871" s="835"/>
    </row>
    <row r="1872" spans="1:5" ht="15.75" x14ac:dyDescent="0.25">
      <c r="A1872" s="834"/>
      <c r="B1872" s="835"/>
      <c r="C1872" s="835"/>
      <c r="D1872" s="835"/>
      <c r="E1872" s="835"/>
    </row>
    <row r="1873" spans="1:5" ht="15.75" x14ac:dyDescent="0.25">
      <c r="A1873" s="834"/>
      <c r="B1873" s="835"/>
      <c r="C1873" s="835"/>
      <c r="D1873" s="835"/>
      <c r="E1873" s="835"/>
    </row>
    <row r="1874" spans="1:5" ht="15.75" x14ac:dyDescent="0.25">
      <c r="A1874" s="834"/>
      <c r="B1874" s="835"/>
      <c r="C1874" s="835"/>
      <c r="D1874" s="835"/>
      <c r="E1874" s="835"/>
    </row>
    <row r="1875" spans="1:5" ht="15.75" x14ac:dyDescent="0.25">
      <c r="A1875" s="834"/>
      <c r="B1875" s="835"/>
      <c r="C1875" s="835"/>
      <c r="D1875" s="835"/>
      <c r="E1875" s="835"/>
    </row>
    <row r="1876" spans="1:5" ht="15.75" x14ac:dyDescent="0.25">
      <c r="A1876" s="834"/>
      <c r="B1876" s="835"/>
      <c r="C1876" s="835"/>
      <c r="D1876" s="835"/>
      <c r="E1876" s="835"/>
    </row>
    <row r="1877" spans="1:5" ht="15.75" x14ac:dyDescent="0.25">
      <c r="A1877" s="834"/>
      <c r="B1877" s="835"/>
      <c r="C1877" s="835"/>
      <c r="D1877" s="835"/>
      <c r="E1877" s="835"/>
    </row>
    <row r="1878" spans="1:5" ht="15.75" x14ac:dyDescent="0.25">
      <c r="A1878" s="834"/>
      <c r="B1878" s="835"/>
      <c r="C1878" s="835"/>
      <c r="D1878" s="835"/>
      <c r="E1878" s="835"/>
    </row>
    <row r="1879" spans="1:5" ht="15.75" x14ac:dyDescent="0.25">
      <c r="A1879" s="834"/>
      <c r="B1879" s="835"/>
      <c r="C1879" s="835"/>
      <c r="D1879" s="835"/>
      <c r="E1879" s="835"/>
    </row>
    <row r="1880" spans="1:5" ht="15.75" x14ac:dyDescent="0.25">
      <c r="A1880" s="834"/>
      <c r="B1880" s="835"/>
      <c r="C1880" s="835"/>
      <c r="D1880" s="835"/>
      <c r="E1880" s="835"/>
    </row>
    <row r="1881" spans="1:5" ht="15.75" x14ac:dyDescent="0.25">
      <c r="A1881" s="834"/>
      <c r="B1881" s="835"/>
      <c r="C1881" s="835"/>
      <c r="D1881" s="835"/>
      <c r="E1881" s="835"/>
    </row>
    <row r="1882" spans="1:5" ht="15.75" x14ac:dyDescent="0.25">
      <c r="A1882" s="834"/>
      <c r="B1882" s="835"/>
      <c r="C1882" s="835"/>
      <c r="D1882" s="835"/>
      <c r="E1882" s="835"/>
    </row>
    <row r="1883" spans="1:5" ht="15.75" x14ac:dyDescent="0.25">
      <c r="A1883" s="834"/>
      <c r="B1883" s="835"/>
      <c r="C1883" s="835"/>
      <c r="D1883" s="835"/>
      <c r="E1883" s="835"/>
    </row>
    <row r="1884" spans="1:5" ht="15.75" x14ac:dyDescent="0.25">
      <c r="A1884" s="834"/>
      <c r="B1884" s="835"/>
      <c r="C1884" s="835"/>
      <c r="D1884" s="835"/>
      <c r="E1884" s="835"/>
    </row>
    <row r="1885" spans="1:5" ht="15.75" x14ac:dyDescent="0.25">
      <c r="A1885" s="834"/>
      <c r="B1885" s="835"/>
      <c r="C1885" s="835"/>
      <c r="D1885" s="835"/>
      <c r="E1885" s="835"/>
    </row>
    <row r="1886" spans="1:5" ht="15.75" x14ac:dyDescent="0.25">
      <c r="A1886" s="834"/>
      <c r="B1886" s="835"/>
      <c r="C1886" s="835"/>
      <c r="D1886" s="835"/>
      <c r="E1886" s="835"/>
    </row>
    <row r="1887" spans="1:5" ht="15.75" x14ac:dyDescent="0.25">
      <c r="A1887" s="834"/>
      <c r="B1887" s="835"/>
      <c r="C1887" s="835"/>
      <c r="D1887" s="835"/>
      <c r="E1887" s="835"/>
    </row>
    <row r="1888" spans="1:5" ht="15.75" x14ac:dyDescent="0.25">
      <c r="A1888" s="834"/>
      <c r="B1888" s="835"/>
      <c r="C1888" s="835"/>
      <c r="D1888" s="835"/>
      <c r="E1888" s="835"/>
    </row>
    <row r="1889" spans="1:5" ht="15.75" x14ac:dyDescent="0.25">
      <c r="A1889" s="834"/>
      <c r="B1889" s="835"/>
      <c r="C1889" s="835"/>
      <c r="D1889" s="835"/>
      <c r="E1889" s="835"/>
    </row>
    <row r="1890" spans="1:5" ht="15.75" x14ac:dyDescent="0.25">
      <c r="A1890" s="834"/>
      <c r="B1890" s="835"/>
      <c r="C1890" s="835"/>
      <c r="D1890" s="835"/>
      <c r="E1890" s="835"/>
    </row>
    <row r="1891" spans="1:5" ht="15.75" x14ac:dyDescent="0.25">
      <c r="A1891" s="834"/>
      <c r="B1891" s="835"/>
      <c r="C1891" s="835"/>
      <c r="D1891" s="835"/>
      <c r="E1891" s="835"/>
    </row>
    <row r="1892" spans="1:5" ht="15.75" x14ac:dyDescent="0.25">
      <c r="A1892" s="834"/>
      <c r="B1892" s="835"/>
      <c r="C1892" s="835"/>
      <c r="D1892" s="835"/>
      <c r="E1892" s="835"/>
    </row>
    <row r="1893" spans="1:5" ht="15.75" x14ac:dyDescent="0.25">
      <c r="A1893" s="834"/>
      <c r="B1893" s="835"/>
      <c r="C1893" s="835"/>
      <c r="D1893" s="835"/>
      <c r="E1893" s="835"/>
    </row>
    <row r="1894" spans="1:5" ht="15.75" x14ac:dyDescent="0.25">
      <c r="A1894" s="834"/>
      <c r="B1894" s="835"/>
      <c r="C1894" s="835"/>
      <c r="D1894" s="835"/>
      <c r="E1894" s="835"/>
    </row>
    <row r="1895" spans="1:5" ht="15.75" x14ac:dyDescent="0.25">
      <c r="A1895" s="834"/>
      <c r="B1895" s="835"/>
      <c r="C1895" s="835"/>
      <c r="D1895" s="835"/>
      <c r="E1895" s="835"/>
    </row>
    <row r="1896" spans="1:5" ht="15.75" x14ac:dyDescent="0.25">
      <c r="A1896" s="834"/>
      <c r="B1896" s="835"/>
      <c r="C1896" s="835"/>
      <c r="D1896" s="835"/>
      <c r="E1896" s="835"/>
    </row>
    <row r="1897" spans="1:5" ht="15.75" x14ac:dyDescent="0.25">
      <c r="A1897" s="834"/>
      <c r="B1897" s="835"/>
      <c r="C1897" s="835"/>
      <c r="D1897" s="835"/>
      <c r="E1897" s="835"/>
    </row>
    <row r="1898" spans="1:5" ht="15.75" x14ac:dyDescent="0.25">
      <c r="A1898" s="834"/>
      <c r="B1898" s="835"/>
      <c r="C1898" s="835"/>
      <c r="D1898" s="835"/>
      <c r="E1898" s="835"/>
    </row>
    <row r="1899" spans="1:5" ht="15.75" x14ac:dyDescent="0.25">
      <c r="A1899" s="834"/>
      <c r="B1899" s="835"/>
      <c r="C1899" s="835"/>
      <c r="D1899" s="835"/>
      <c r="E1899" s="835"/>
    </row>
    <row r="1900" spans="1:5" ht="15.75" x14ac:dyDescent="0.25">
      <c r="A1900" s="834"/>
      <c r="B1900" s="835"/>
      <c r="C1900" s="835"/>
      <c r="D1900" s="835"/>
      <c r="E1900" s="835"/>
    </row>
    <row r="1901" spans="1:5" ht="15.75" x14ac:dyDescent="0.25">
      <c r="A1901" s="834"/>
      <c r="B1901" s="835"/>
      <c r="C1901" s="835"/>
      <c r="D1901" s="835"/>
      <c r="E1901" s="835"/>
    </row>
    <row r="1902" spans="1:5" ht="15.75" x14ac:dyDescent="0.25">
      <c r="A1902" s="834"/>
      <c r="B1902" s="835"/>
      <c r="C1902" s="835"/>
      <c r="D1902" s="835"/>
      <c r="E1902" s="835"/>
    </row>
    <row r="1903" spans="1:5" ht="15.75" x14ac:dyDescent="0.25">
      <c r="A1903" s="834"/>
      <c r="B1903" s="835"/>
      <c r="C1903" s="835"/>
      <c r="D1903" s="835"/>
      <c r="E1903" s="835"/>
    </row>
    <row r="1904" spans="1:5" ht="15.75" x14ac:dyDescent="0.25">
      <c r="A1904" s="834"/>
      <c r="B1904" s="835"/>
      <c r="C1904" s="835"/>
      <c r="D1904" s="835"/>
      <c r="E1904" s="835"/>
    </row>
    <row r="1905" spans="1:5" ht="15.75" x14ac:dyDescent="0.25">
      <c r="A1905" s="834"/>
      <c r="B1905" s="835"/>
      <c r="C1905" s="835"/>
      <c r="D1905" s="835"/>
      <c r="E1905" s="835"/>
    </row>
    <row r="1906" spans="1:5" ht="15.75" x14ac:dyDescent="0.25">
      <c r="A1906" s="834"/>
      <c r="B1906" s="835"/>
      <c r="C1906" s="835"/>
      <c r="D1906" s="835"/>
      <c r="E1906" s="835"/>
    </row>
    <row r="1907" spans="1:5" ht="15.75" x14ac:dyDescent="0.25">
      <c r="A1907" s="834"/>
      <c r="B1907" s="835"/>
      <c r="C1907" s="835"/>
      <c r="D1907" s="835"/>
      <c r="E1907" s="835"/>
    </row>
    <row r="1908" spans="1:5" ht="15.75" x14ac:dyDescent="0.25">
      <c r="A1908" s="834"/>
      <c r="B1908" s="835"/>
      <c r="C1908" s="835"/>
      <c r="D1908" s="835"/>
      <c r="E1908" s="835"/>
    </row>
    <row r="1909" spans="1:5" ht="15.75" x14ac:dyDescent="0.25">
      <c r="A1909" s="834"/>
      <c r="B1909" s="835"/>
      <c r="C1909" s="835"/>
      <c r="D1909" s="835"/>
      <c r="E1909" s="835"/>
    </row>
    <row r="1910" spans="1:5" ht="15.75" x14ac:dyDescent="0.25">
      <c r="A1910" s="834"/>
      <c r="B1910" s="835"/>
      <c r="C1910" s="835"/>
      <c r="D1910" s="835"/>
      <c r="E1910" s="835"/>
    </row>
    <row r="1911" spans="1:5" ht="15.75" x14ac:dyDescent="0.25">
      <c r="A1911" s="834"/>
      <c r="B1911" s="835"/>
      <c r="C1911" s="835"/>
      <c r="D1911" s="835"/>
      <c r="E1911" s="835"/>
    </row>
    <row r="1912" spans="1:5" ht="15.75" x14ac:dyDescent="0.25">
      <c r="A1912" s="834"/>
      <c r="B1912" s="835"/>
      <c r="C1912" s="835"/>
      <c r="D1912" s="835"/>
      <c r="E1912" s="835"/>
    </row>
    <row r="1913" spans="1:5" ht="15.75" x14ac:dyDescent="0.25">
      <c r="A1913" s="834"/>
      <c r="B1913" s="835"/>
      <c r="C1913" s="835"/>
      <c r="D1913" s="835"/>
      <c r="E1913" s="835"/>
    </row>
    <row r="1914" spans="1:5" ht="15.75" x14ac:dyDescent="0.25">
      <c r="A1914" s="834"/>
      <c r="B1914" s="835"/>
      <c r="C1914" s="835"/>
      <c r="D1914" s="835"/>
      <c r="E1914" s="835"/>
    </row>
    <row r="1915" spans="1:5" ht="15.75" x14ac:dyDescent="0.25">
      <c r="A1915" s="834"/>
      <c r="B1915" s="835"/>
      <c r="C1915" s="835"/>
      <c r="D1915" s="835"/>
      <c r="E1915" s="835"/>
    </row>
    <row r="1916" spans="1:5" ht="15.75" x14ac:dyDescent="0.25">
      <c r="A1916" s="834"/>
      <c r="B1916" s="835"/>
      <c r="C1916" s="835"/>
      <c r="D1916" s="835"/>
      <c r="E1916" s="835"/>
    </row>
    <row r="1917" spans="1:5" ht="15.75" x14ac:dyDescent="0.25">
      <c r="A1917" s="834"/>
      <c r="B1917" s="835"/>
      <c r="C1917" s="835"/>
      <c r="D1917" s="835"/>
      <c r="E1917" s="835"/>
    </row>
    <row r="1918" spans="1:5" ht="15.75" x14ac:dyDescent="0.25">
      <c r="A1918" s="834"/>
      <c r="B1918" s="835"/>
      <c r="C1918" s="835"/>
      <c r="D1918" s="835"/>
      <c r="E1918" s="835"/>
    </row>
    <row r="1919" spans="1:5" ht="15.75" x14ac:dyDescent="0.25">
      <c r="A1919" s="834"/>
      <c r="B1919" s="835"/>
      <c r="C1919" s="835"/>
      <c r="D1919" s="835"/>
      <c r="E1919" s="835"/>
    </row>
    <row r="1920" spans="1:5" ht="15.75" x14ac:dyDescent="0.25">
      <c r="A1920" s="834"/>
      <c r="B1920" s="835"/>
      <c r="C1920" s="835"/>
      <c r="D1920" s="835"/>
      <c r="E1920" s="835"/>
    </row>
    <row r="1921" spans="1:5" ht="15.75" x14ac:dyDescent="0.25">
      <c r="A1921" s="834"/>
      <c r="B1921" s="835"/>
      <c r="C1921" s="835"/>
      <c r="D1921" s="835"/>
      <c r="E1921" s="835"/>
    </row>
    <row r="1922" spans="1:5" ht="15.75" x14ac:dyDescent="0.25">
      <c r="A1922" s="834"/>
      <c r="B1922" s="835"/>
      <c r="C1922" s="835"/>
      <c r="D1922" s="835"/>
      <c r="E1922" s="835"/>
    </row>
    <row r="1923" spans="1:5" ht="15.75" x14ac:dyDescent="0.25">
      <c r="A1923" s="834"/>
      <c r="B1923" s="835"/>
      <c r="C1923" s="835"/>
      <c r="D1923" s="835"/>
      <c r="E1923" s="835"/>
    </row>
    <row r="1924" spans="1:5" ht="15.75" x14ac:dyDescent="0.25">
      <c r="A1924" s="834"/>
      <c r="B1924" s="835"/>
      <c r="C1924" s="835"/>
      <c r="D1924" s="835"/>
      <c r="E1924" s="835"/>
    </row>
    <row r="1925" spans="1:5" ht="15.75" x14ac:dyDescent="0.25">
      <c r="A1925" s="834"/>
      <c r="B1925" s="835"/>
      <c r="C1925" s="835"/>
      <c r="D1925" s="835"/>
      <c r="E1925" s="835"/>
    </row>
    <row r="1926" spans="1:5" ht="15.75" x14ac:dyDescent="0.25">
      <c r="A1926" s="834"/>
      <c r="B1926" s="835"/>
      <c r="C1926" s="835"/>
      <c r="D1926" s="835"/>
      <c r="E1926" s="835"/>
    </row>
    <row r="1927" spans="1:5" ht="15.75" x14ac:dyDescent="0.25">
      <c r="A1927" s="834"/>
      <c r="B1927" s="835"/>
      <c r="C1927" s="835"/>
      <c r="D1927" s="835"/>
      <c r="E1927" s="835"/>
    </row>
    <row r="1928" spans="1:5" ht="15.75" x14ac:dyDescent="0.25">
      <c r="A1928" s="834"/>
      <c r="B1928" s="835"/>
      <c r="C1928" s="835"/>
      <c r="D1928" s="835"/>
      <c r="E1928" s="835"/>
    </row>
    <row r="1929" spans="1:5" ht="15.75" x14ac:dyDescent="0.25">
      <c r="A1929" s="834"/>
      <c r="B1929" s="835"/>
      <c r="C1929" s="835"/>
      <c r="D1929" s="835"/>
      <c r="E1929" s="835"/>
    </row>
    <row r="1930" spans="1:5" ht="15.75" x14ac:dyDescent="0.25">
      <c r="A1930" s="834"/>
      <c r="B1930" s="835"/>
      <c r="C1930" s="835"/>
      <c r="D1930" s="835"/>
      <c r="E1930" s="835"/>
    </row>
    <row r="1931" spans="1:5" ht="15.75" x14ac:dyDescent="0.25">
      <c r="A1931" s="834"/>
      <c r="B1931" s="835"/>
      <c r="C1931" s="835"/>
      <c r="D1931" s="835"/>
      <c r="E1931" s="835"/>
    </row>
    <row r="1932" spans="1:5" ht="15.75" x14ac:dyDescent="0.25">
      <c r="A1932" s="834"/>
      <c r="B1932" s="835"/>
      <c r="C1932" s="835"/>
      <c r="D1932" s="835"/>
      <c r="E1932" s="835"/>
    </row>
    <row r="1933" spans="1:5" ht="15.75" x14ac:dyDescent="0.25">
      <c r="A1933" s="834"/>
      <c r="B1933" s="835"/>
      <c r="C1933" s="835"/>
      <c r="D1933" s="835"/>
      <c r="E1933" s="835"/>
    </row>
    <row r="1934" spans="1:5" ht="15.75" x14ac:dyDescent="0.25">
      <c r="A1934" s="834"/>
      <c r="B1934" s="835"/>
      <c r="C1934" s="835"/>
      <c r="D1934" s="835"/>
      <c r="E1934" s="835"/>
    </row>
    <row r="1935" spans="1:5" ht="15.75" x14ac:dyDescent="0.25">
      <c r="A1935" s="834"/>
      <c r="B1935" s="835"/>
      <c r="C1935" s="835"/>
      <c r="D1935" s="835"/>
      <c r="E1935" s="835"/>
    </row>
    <row r="1936" spans="1:5" ht="15.75" x14ac:dyDescent="0.25">
      <c r="A1936" s="834"/>
      <c r="B1936" s="835"/>
      <c r="C1936" s="835"/>
      <c r="D1936" s="835"/>
      <c r="E1936" s="835"/>
    </row>
    <row r="1937" spans="1:5" ht="15.75" x14ac:dyDescent="0.25">
      <c r="A1937" s="834"/>
      <c r="B1937" s="835"/>
      <c r="C1937" s="835"/>
      <c r="D1937" s="835"/>
      <c r="E1937" s="835"/>
    </row>
    <row r="1938" spans="1:5" ht="15.75" x14ac:dyDescent="0.25">
      <c r="A1938" s="834"/>
      <c r="B1938" s="835"/>
      <c r="C1938" s="835"/>
      <c r="D1938" s="835"/>
      <c r="E1938" s="835"/>
    </row>
    <row r="1939" spans="1:5" ht="15.75" x14ac:dyDescent="0.25">
      <c r="A1939" s="834"/>
      <c r="B1939" s="835"/>
      <c r="C1939" s="835"/>
      <c r="D1939" s="835"/>
      <c r="E1939" s="835"/>
    </row>
    <row r="1940" spans="1:5" ht="15.75" x14ac:dyDescent="0.25">
      <c r="A1940" s="834"/>
      <c r="B1940" s="835"/>
      <c r="C1940" s="835"/>
      <c r="D1940" s="835"/>
      <c r="E1940" s="835"/>
    </row>
    <row r="1941" spans="1:5" ht="15.75" x14ac:dyDescent="0.25">
      <c r="A1941" s="834"/>
      <c r="B1941" s="835"/>
      <c r="C1941" s="835"/>
      <c r="D1941" s="835"/>
      <c r="E1941" s="835"/>
    </row>
    <row r="1942" spans="1:5" ht="15.75" x14ac:dyDescent="0.25">
      <c r="A1942" s="834"/>
      <c r="B1942" s="835"/>
      <c r="C1942" s="835"/>
      <c r="D1942" s="835"/>
      <c r="E1942" s="835"/>
    </row>
    <row r="1943" spans="1:5" ht="15.75" x14ac:dyDescent="0.25">
      <c r="A1943" s="834"/>
      <c r="B1943" s="835"/>
      <c r="C1943" s="835"/>
      <c r="D1943" s="835"/>
      <c r="E1943" s="835"/>
    </row>
    <row r="1944" spans="1:5" ht="15.75" x14ac:dyDescent="0.25">
      <c r="A1944" s="834"/>
      <c r="B1944" s="835"/>
      <c r="C1944" s="835"/>
      <c r="D1944" s="835"/>
      <c r="E1944" s="835"/>
    </row>
    <row r="1945" spans="1:5" ht="15.75" x14ac:dyDescent="0.25">
      <c r="A1945" s="834"/>
      <c r="B1945" s="835"/>
      <c r="C1945" s="835"/>
      <c r="D1945" s="835"/>
      <c r="E1945" s="835"/>
    </row>
    <row r="1946" spans="1:5" ht="15.75" x14ac:dyDescent="0.25">
      <c r="A1946" s="834"/>
      <c r="B1946" s="835"/>
      <c r="C1946" s="835"/>
      <c r="D1946" s="835"/>
      <c r="E1946" s="835"/>
    </row>
    <row r="1947" spans="1:5" ht="15.75" x14ac:dyDescent="0.25">
      <c r="A1947" s="834"/>
      <c r="B1947" s="835"/>
      <c r="C1947" s="835"/>
      <c r="D1947" s="835"/>
      <c r="E1947" s="835"/>
    </row>
    <row r="1948" spans="1:5" ht="15.75" x14ac:dyDescent="0.25">
      <c r="A1948" s="834"/>
      <c r="B1948" s="835"/>
      <c r="C1948" s="835"/>
      <c r="D1948" s="835"/>
      <c r="E1948" s="835"/>
    </row>
    <row r="1949" spans="1:5" ht="15.75" x14ac:dyDescent="0.25">
      <c r="A1949" s="834"/>
      <c r="B1949" s="835"/>
      <c r="C1949" s="835"/>
      <c r="D1949" s="835"/>
      <c r="E1949" s="835"/>
    </row>
    <row r="1950" spans="1:5" ht="15.75" x14ac:dyDescent="0.25">
      <c r="A1950" s="834"/>
      <c r="B1950" s="835"/>
      <c r="C1950" s="835"/>
      <c r="D1950" s="835"/>
      <c r="E1950" s="835"/>
    </row>
    <row r="1951" spans="1:5" ht="15.75" x14ac:dyDescent="0.25">
      <c r="A1951" s="834"/>
      <c r="B1951" s="835"/>
      <c r="C1951" s="835"/>
      <c r="D1951" s="835"/>
      <c r="E1951" s="835"/>
    </row>
    <row r="1952" spans="1:5" ht="15.75" x14ac:dyDescent="0.25">
      <c r="A1952" s="834"/>
      <c r="B1952" s="835"/>
      <c r="C1952" s="835"/>
      <c r="D1952" s="835"/>
      <c r="E1952" s="835"/>
    </row>
    <row r="1953" spans="1:5" ht="15.75" x14ac:dyDescent="0.25">
      <c r="A1953" s="834"/>
      <c r="B1953" s="835"/>
      <c r="C1953" s="835"/>
      <c r="D1953" s="835"/>
      <c r="E1953" s="835"/>
    </row>
    <row r="1954" spans="1:5" ht="15.75" x14ac:dyDescent="0.25">
      <c r="A1954" s="834"/>
      <c r="B1954" s="835"/>
      <c r="C1954" s="835"/>
      <c r="D1954" s="835"/>
      <c r="E1954" s="835"/>
    </row>
    <row r="1955" spans="1:5" ht="15.75" x14ac:dyDescent="0.25">
      <c r="A1955" s="834"/>
      <c r="B1955" s="835"/>
      <c r="C1955" s="835"/>
      <c r="D1955" s="835"/>
      <c r="E1955" s="835"/>
    </row>
    <row r="1956" spans="1:5" ht="15.75" x14ac:dyDescent="0.25">
      <c r="A1956" s="834"/>
      <c r="B1956" s="835"/>
      <c r="C1956" s="835"/>
      <c r="D1956" s="835"/>
      <c r="E1956" s="835"/>
    </row>
    <row r="1957" spans="1:5" ht="15.75" x14ac:dyDescent="0.25">
      <c r="A1957" s="834"/>
      <c r="B1957" s="835"/>
      <c r="C1957" s="835"/>
      <c r="D1957" s="835"/>
      <c r="E1957" s="835"/>
    </row>
    <row r="1958" spans="1:5" ht="15.75" x14ac:dyDescent="0.25">
      <c r="A1958" s="834"/>
      <c r="B1958" s="835"/>
      <c r="C1958" s="835"/>
      <c r="D1958" s="835"/>
      <c r="E1958" s="835"/>
    </row>
    <row r="1959" spans="1:5" ht="15.75" x14ac:dyDescent="0.25">
      <c r="A1959" s="834"/>
      <c r="B1959" s="835"/>
      <c r="C1959" s="835"/>
      <c r="D1959" s="835"/>
      <c r="E1959" s="835"/>
    </row>
    <row r="1960" spans="1:5" ht="15.75" x14ac:dyDescent="0.25">
      <c r="A1960" s="834"/>
      <c r="B1960" s="835"/>
      <c r="C1960" s="835"/>
      <c r="D1960" s="835"/>
      <c r="E1960" s="835"/>
    </row>
    <row r="1961" spans="1:5" ht="15.75" x14ac:dyDescent="0.25">
      <c r="A1961" s="834"/>
      <c r="B1961" s="835"/>
      <c r="C1961" s="835"/>
      <c r="D1961" s="835"/>
      <c r="E1961" s="835"/>
    </row>
    <row r="1962" spans="1:5" ht="15.75" x14ac:dyDescent="0.25">
      <c r="A1962" s="834"/>
      <c r="B1962" s="835"/>
      <c r="C1962" s="835"/>
      <c r="D1962" s="835"/>
      <c r="E1962" s="835"/>
    </row>
    <row r="1963" spans="1:5" ht="15.75" x14ac:dyDescent="0.25">
      <c r="A1963" s="834"/>
      <c r="B1963" s="835"/>
      <c r="C1963" s="835"/>
      <c r="D1963" s="835"/>
      <c r="E1963" s="835"/>
    </row>
    <row r="1964" spans="1:5" ht="15.75" x14ac:dyDescent="0.25">
      <c r="A1964" s="834"/>
      <c r="B1964" s="835"/>
      <c r="C1964" s="835"/>
      <c r="D1964" s="835"/>
      <c r="E1964" s="835"/>
    </row>
    <row r="1965" spans="1:5" ht="15.75" x14ac:dyDescent="0.25">
      <c r="A1965" s="834"/>
      <c r="B1965" s="835"/>
      <c r="C1965" s="835"/>
      <c r="D1965" s="835"/>
      <c r="E1965" s="835"/>
    </row>
    <row r="1966" spans="1:5" ht="15.75" x14ac:dyDescent="0.25">
      <c r="A1966" s="834"/>
      <c r="B1966" s="835"/>
      <c r="C1966" s="835"/>
      <c r="D1966" s="835"/>
      <c r="E1966" s="835"/>
    </row>
    <row r="1967" spans="1:5" ht="15.75" x14ac:dyDescent="0.25">
      <c r="A1967" s="834"/>
      <c r="B1967" s="835"/>
      <c r="C1967" s="835"/>
      <c r="D1967" s="835"/>
      <c r="E1967" s="835"/>
    </row>
    <row r="1968" spans="1:5" ht="15.75" x14ac:dyDescent="0.25">
      <c r="A1968" s="834"/>
      <c r="B1968" s="835"/>
      <c r="C1968" s="835"/>
      <c r="D1968" s="835"/>
      <c r="E1968" s="835"/>
    </row>
    <row r="1969" spans="1:5" ht="15.75" x14ac:dyDescent="0.25">
      <c r="A1969" s="834"/>
      <c r="B1969" s="835"/>
      <c r="C1969" s="835"/>
      <c r="D1969" s="835"/>
      <c r="E1969" s="835"/>
    </row>
    <row r="1970" spans="1:5" ht="15.75" x14ac:dyDescent="0.25">
      <c r="A1970" s="834"/>
      <c r="B1970" s="835"/>
      <c r="C1970" s="835"/>
      <c r="D1970" s="835"/>
      <c r="E1970" s="835"/>
    </row>
    <row r="1971" spans="1:5" ht="15.75" x14ac:dyDescent="0.25">
      <c r="A1971" s="834"/>
      <c r="B1971" s="835"/>
      <c r="C1971" s="835"/>
      <c r="D1971" s="835"/>
      <c r="E1971" s="835"/>
    </row>
    <row r="1972" spans="1:5" ht="15.75" x14ac:dyDescent="0.25">
      <c r="A1972" s="834"/>
      <c r="B1972" s="835"/>
      <c r="C1972" s="835"/>
      <c r="D1972" s="835"/>
      <c r="E1972" s="835"/>
    </row>
    <row r="1973" spans="1:5" ht="15.75" x14ac:dyDescent="0.25">
      <c r="A1973" s="834"/>
      <c r="B1973" s="835"/>
      <c r="C1973" s="835"/>
      <c r="D1973" s="835"/>
      <c r="E1973" s="835"/>
    </row>
    <row r="1974" spans="1:5" ht="15.75" x14ac:dyDescent="0.25">
      <c r="A1974" s="834"/>
      <c r="B1974" s="835"/>
      <c r="C1974" s="835"/>
      <c r="D1974" s="835"/>
      <c r="E1974" s="835"/>
    </row>
    <row r="1975" spans="1:5" ht="15.75" x14ac:dyDescent="0.25">
      <c r="A1975" s="834"/>
      <c r="B1975" s="835"/>
      <c r="C1975" s="835"/>
      <c r="D1975" s="835"/>
      <c r="E1975" s="835"/>
    </row>
    <row r="1976" spans="1:5" ht="15.75" x14ac:dyDescent="0.25">
      <c r="A1976" s="834"/>
      <c r="B1976" s="835"/>
      <c r="C1976" s="835"/>
      <c r="D1976" s="835"/>
      <c r="E1976" s="835"/>
    </row>
    <row r="1977" spans="1:5" ht="15.75" x14ac:dyDescent="0.25">
      <c r="A1977" s="834"/>
      <c r="B1977" s="835"/>
      <c r="C1977" s="835"/>
      <c r="D1977" s="835"/>
      <c r="E1977" s="835"/>
    </row>
    <row r="1978" spans="1:5" ht="15.75" x14ac:dyDescent="0.25">
      <c r="A1978" s="834"/>
      <c r="B1978" s="835"/>
      <c r="C1978" s="835"/>
      <c r="D1978" s="835"/>
      <c r="E1978" s="835"/>
    </row>
    <row r="1979" spans="1:5" ht="15.75" x14ac:dyDescent="0.25">
      <c r="A1979" s="834"/>
      <c r="B1979" s="835"/>
      <c r="C1979" s="835"/>
      <c r="D1979" s="835"/>
      <c r="E1979" s="835"/>
    </row>
    <row r="1980" spans="1:5" ht="15.75" x14ac:dyDescent="0.25">
      <c r="A1980" s="834"/>
      <c r="B1980" s="835"/>
      <c r="C1980" s="835"/>
      <c r="D1980" s="835"/>
      <c r="E1980" s="835"/>
    </row>
    <row r="1981" spans="1:5" ht="15.75" x14ac:dyDescent="0.25">
      <c r="A1981" s="834"/>
      <c r="B1981" s="835"/>
      <c r="C1981" s="835"/>
      <c r="D1981" s="835"/>
      <c r="E1981" s="835"/>
    </row>
    <row r="1982" spans="1:5" ht="15.75" x14ac:dyDescent="0.25">
      <c r="A1982" s="834"/>
      <c r="B1982" s="835"/>
      <c r="C1982" s="835"/>
      <c r="D1982" s="835"/>
      <c r="E1982" s="835"/>
    </row>
    <row r="1983" spans="1:5" ht="15.75" x14ac:dyDescent="0.25">
      <c r="A1983" s="834"/>
      <c r="B1983" s="835"/>
      <c r="C1983" s="835"/>
      <c r="D1983" s="835"/>
      <c r="E1983" s="835"/>
    </row>
    <row r="1984" spans="1:5" ht="15.75" x14ac:dyDescent="0.25">
      <c r="A1984" s="834"/>
      <c r="B1984" s="835"/>
      <c r="C1984" s="835"/>
      <c r="D1984" s="835"/>
      <c r="E1984" s="835"/>
    </row>
    <row r="1985" spans="1:5" ht="15.75" x14ac:dyDescent="0.25">
      <c r="A1985" s="834"/>
      <c r="B1985" s="835"/>
      <c r="C1985" s="835"/>
      <c r="D1985" s="835"/>
      <c r="E1985" s="835"/>
    </row>
    <row r="1986" spans="1:5" ht="15.75" x14ac:dyDescent="0.25">
      <c r="A1986" s="834"/>
      <c r="B1986" s="835"/>
      <c r="C1986" s="835"/>
      <c r="D1986" s="835"/>
      <c r="E1986" s="835"/>
    </row>
    <row r="1987" spans="1:5" ht="15.75" x14ac:dyDescent="0.25">
      <c r="A1987" s="834"/>
      <c r="B1987" s="835"/>
      <c r="C1987" s="835"/>
      <c r="D1987" s="835"/>
      <c r="E1987" s="835"/>
    </row>
    <row r="1988" spans="1:5" ht="15.75" x14ac:dyDescent="0.25">
      <c r="A1988" s="834"/>
      <c r="B1988" s="835"/>
      <c r="C1988" s="835"/>
      <c r="D1988" s="835"/>
      <c r="E1988" s="835"/>
    </row>
    <row r="1989" spans="1:5" ht="15.75" x14ac:dyDescent="0.25">
      <c r="A1989" s="834"/>
      <c r="B1989" s="835"/>
      <c r="C1989" s="835"/>
      <c r="D1989" s="835"/>
      <c r="E1989" s="835"/>
    </row>
    <row r="1990" spans="1:5" ht="15.75" x14ac:dyDescent="0.25">
      <c r="A1990" s="834"/>
      <c r="B1990" s="835"/>
      <c r="C1990" s="835"/>
      <c r="D1990" s="835"/>
      <c r="E1990" s="835"/>
    </row>
    <row r="1991" spans="1:5" ht="15.75" x14ac:dyDescent="0.25">
      <c r="A1991" s="834"/>
      <c r="B1991" s="835"/>
      <c r="C1991" s="835"/>
      <c r="D1991" s="835"/>
      <c r="E1991" s="835"/>
    </row>
    <row r="1992" spans="1:5" ht="15.75" x14ac:dyDescent="0.25">
      <c r="A1992" s="834"/>
      <c r="B1992" s="835"/>
      <c r="C1992" s="835"/>
      <c r="D1992" s="835"/>
      <c r="E1992" s="835"/>
    </row>
    <row r="1993" spans="1:5" ht="15.75" x14ac:dyDescent="0.25">
      <c r="A1993" s="834"/>
      <c r="B1993" s="835"/>
      <c r="C1993" s="835"/>
      <c r="D1993" s="835"/>
      <c r="E1993" s="835"/>
    </row>
    <row r="1994" spans="1:5" ht="15.75" x14ac:dyDescent="0.25">
      <c r="A1994" s="834"/>
      <c r="B1994" s="835"/>
      <c r="C1994" s="835"/>
      <c r="D1994" s="835"/>
      <c r="E1994" s="835"/>
    </row>
    <row r="1995" spans="1:5" ht="15.75" x14ac:dyDescent="0.25">
      <c r="A1995" s="834"/>
      <c r="B1995" s="835"/>
      <c r="C1995" s="835"/>
      <c r="D1995" s="835"/>
      <c r="E1995" s="835"/>
    </row>
    <row r="1996" spans="1:5" ht="15.75" x14ac:dyDescent="0.25">
      <c r="A1996" s="834"/>
      <c r="B1996" s="835"/>
      <c r="C1996" s="835"/>
      <c r="D1996" s="835"/>
      <c r="E1996" s="835"/>
    </row>
    <row r="1997" spans="1:5" ht="15.75" x14ac:dyDescent="0.25">
      <c r="A1997" s="834"/>
      <c r="B1997" s="835"/>
      <c r="C1997" s="835"/>
      <c r="D1997" s="835"/>
      <c r="E1997" s="835"/>
    </row>
    <row r="1998" spans="1:5" ht="15.75" x14ac:dyDescent="0.25">
      <c r="A1998" s="834"/>
      <c r="B1998" s="835"/>
      <c r="C1998" s="835"/>
      <c r="D1998" s="835"/>
      <c r="E1998" s="835"/>
    </row>
    <row r="1999" spans="1:5" ht="15.75" x14ac:dyDescent="0.25">
      <c r="A1999" s="834"/>
      <c r="B1999" s="835"/>
      <c r="C1999" s="835"/>
      <c r="D1999" s="835"/>
      <c r="E1999" s="835"/>
    </row>
    <row r="2000" spans="1:5" ht="15.75" x14ac:dyDescent="0.25">
      <c r="A2000" s="834"/>
      <c r="B2000" s="835"/>
      <c r="C2000" s="835"/>
      <c r="D2000" s="835"/>
      <c r="E2000" s="835"/>
    </row>
    <row r="2001" spans="1:5" ht="15.75" x14ac:dyDescent="0.25">
      <c r="A2001" s="834"/>
      <c r="B2001" s="835"/>
      <c r="C2001" s="835"/>
      <c r="D2001" s="835"/>
      <c r="E2001" s="835"/>
    </row>
    <row r="2002" spans="1:5" ht="15.75" x14ac:dyDescent="0.25">
      <c r="A2002" s="834"/>
      <c r="B2002" s="835"/>
      <c r="C2002" s="835"/>
      <c r="D2002" s="835"/>
      <c r="E2002" s="835"/>
    </row>
    <row r="2003" spans="1:5" ht="15.75" x14ac:dyDescent="0.25">
      <c r="A2003" s="834"/>
      <c r="B2003" s="835"/>
      <c r="C2003" s="835"/>
      <c r="D2003" s="835"/>
      <c r="E2003" s="835"/>
    </row>
    <row r="2004" spans="1:5" ht="15.75" x14ac:dyDescent="0.25">
      <c r="A2004" s="834"/>
      <c r="B2004" s="835"/>
      <c r="C2004" s="835"/>
      <c r="D2004" s="835"/>
      <c r="E2004" s="835"/>
    </row>
    <row r="2005" spans="1:5" ht="15.75" x14ac:dyDescent="0.25">
      <c r="A2005" s="834"/>
      <c r="B2005" s="835"/>
      <c r="C2005" s="835"/>
      <c r="D2005" s="835"/>
      <c r="E2005" s="835"/>
    </row>
    <row r="2006" spans="1:5" ht="15.75" x14ac:dyDescent="0.25">
      <c r="A2006" s="834"/>
      <c r="B2006" s="835"/>
      <c r="C2006" s="835"/>
      <c r="D2006" s="835"/>
      <c r="E2006" s="835"/>
    </row>
    <row r="2007" spans="1:5" ht="15.75" x14ac:dyDescent="0.25">
      <c r="A2007" s="834"/>
      <c r="B2007" s="835"/>
      <c r="C2007" s="835"/>
      <c r="D2007" s="835"/>
      <c r="E2007" s="835"/>
    </row>
    <row r="2008" spans="1:5" ht="15.75" x14ac:dyDescent="0.25">
      <c r="A2008" s="834"/>
      <c r="B2008" s="835"/>
      <c r="C2008" s="835"/>
      <c r="D2008" s="835"/>
      <c r="E2008" s="835"/>
    </row>
    <row r="2009" spans="1:5" ht="15.75" x14ac:dyDescent="0.25">
      <c r="A2009" s="834"/>
      <c r="B2009" s="835"/>
      <c r="C2009" s="835"/>
      <c r="D2009" s="835"/>
      <c r="E2009" s="835"/>
    </row>
    <row r="2010" spans="1:5" ht="15.75" x14ac:dyDescent="0.25">
      <c r="A2010" s="834"/>
      <c r="B2010" s="835"/>
      <c r="C2010" s="835"/>
      <c r="D2010" s="835"/>
      <c r="E2010" s="835"/>
    </row>
    <row r="2011" spans="1:5" ht="15.75" x14ac:dyDescent="0.25">
      <c r="A2011" s="834"/>
      <c r="B2011" s="835"/>
      <c r="C2011" s="835"/>
      <c r="D2011" s="835"/>
      <c r="E2011" s="835"/>
    </row>
    <row r="2012" spans="1:5" ht="15.75" x14ac:dyDescent="0.25">
      <c r="A2012" s="834"/>
      <c r="B2012" s="835"/>
      <c r="C2012" s="835"/>
      <c r="D2012" s="835"/>
      <c r="E2012" s="835"/>
    </row>
    <row r="2013" spans="1:5" ht="15.75" x14ac:dyDescent="0.25">
      <c r="A2013" s="834"/>
      <c r="B2013" s="835"/>
      <c r="C2013" s="835"/>
      <c r="D2013" s="835"/>
      <c r="E2013" s="835"/>
    </row>
    <row r="2014" spans="1:5" ht="15.75" x14ac:dyDescent="0.25">
      <c r="A2014" s="834"/>
      <c r="B2014" s="835"/>
      <c r="C2014" s="835"/>
      <c r="D2014" s="835"/>
      <c r="E2014" s="835"/>
    </row>
    <row r="2015" spans="1:5" ht="15.75" x14ac:dyDescent="0.25">
      <c r="A2015" s="834"/>
      <c r="B2015" s="835"/>
      <c r="C2015" s="835"/>
      <c r="D2015" s="835"/>
      <c r="E2015" s="835"/>
    </row>
    <row r="2016" spans="1:5" ht="15.75" x14ac:dyDescent="0.25">
      <c r="A2016" s="834"/>
      <c r="B2016" s="835"/>
      <c r="C2016" s="835"/>
      <c r="D2016" s="835"/>
      <c r="E2016" s="835"/>
    </row>
    <row r="2017" spans="1:5" ht="15.75" x14ac:dyDescent="0.25">
      <c r="A2017" s="834"/>
      <c r="B2017" s="835"/>
      <c r="C2017" s="835"/>
      <c r="D2017" s="835"/>
      <c r="E2017" s="835"/>
    </row>
    <row r="2018" spans="1:5" ht="15.75" x14ac:dyDescent="0.25">
      <c r="A2018" s="834"/>
      <c r="B2018" s="835"/>
      <c r="C2018" s="835"/>
      <c r="D2018" s="835"/>
      <c r="E2018" s="835"/>
    </row>
    <row r="2019" spans="1:5" ht="15.75" x14ac:dyDescent="0.25">
      <c r="A2019" s="834"/>
      <c r="B2019" s="835"/>
      <c r="C2019" s="835"/>
      <c r="D2019" s="835"/>
      <c r="E2019" s="835"/>
    </row>
    <row r="2020" spans="1:5" ht="15.75" x14ac:dyDescent="0.25">
      <c r="A2020" s="834"/>
      <c r="B2020" s="835"/>
      <c r="C2020" s="835"/>
      <c r="D2020" s="835"/>
      <c r="E2020" s="835"/>
    </row>
    <row r="2021" spans="1:5" ht="15.75" x14ac:dyDescent="0.25">
      <c r="A2021" s="834"/>
      <c r="B2021" s="835"/>
      <c r="C2021" s="835"/>
      <c r="D2021" s="835"/>
      <c r="E2021" s="835"/>
    </row>
    <row r="2022" spans="1:5" ht="15.75" x14ac:dyDescent="0.25">
      <c r="A2022" s="834"/>
      <c r="B2022" s="835"/>
      <c r="C2022" s="835"/>
      <c r="D2022" s="835"/>
      <c r="E2022" s="835"/>
    </row>
    <row r="2023" spans="1:5" ht="15.75" x14ac:dyDescent="0.25">
      <c r="A2023" s="834"/>
      <c r="B2023" s="835"/>
      <c r="C2023" s="835"/>
      <c r="D2023" s="835"/>
      <c r="E2023" s="835"/>
    </row>
    <row r="2024" spans="1:5" ht="15.75" x14ac:dyDescent="0.25">
      <c r="A2024" s="834"/>
      <c r="B2024" s="835"/>
      <c r="C2024" s="835"/>
      <c r="D2024" s="835"/>
      <c r="E2024" s="835"/>
    </row>
    <row r="2025" spans="1:5" ht="15.75" x14ac:dyDescent="0.25">
      <c r="A2025" s="834"/>
      <c r="B2025" s="835"/>
      <c r="C2025" s="835"/>
      <c r="D2025" s="835"/>
      <c r="E2025" s="835"/>
    </row>
    <row r="2026" spans="1:5" ht="15.75" x14ac:dyDescent="0.25">
      <c r="A2026" s="834"/>
      <c r="B2026" s="835"/>
      <c r="C2026" s="835"/>
      <c r="D2026" s="835"/>
      <c r="E2026" s="835"/>
    </row>
    <row r="2027" spans="1:5" ht="15.75" x14ac:dyDescent="0.25">
      <c r="A2027" s="834"/>
      <c r="B2027" s="835"/>
      <c r="C2027" s="835"/>
      <c r="D2027" s="835"/>
      <c r="E2027" s="835"/>
    </row>
    <row r="2028" spans="1:5" ht="15.75" x14ac:dyDescent="0.25">
      <c r="A2028" s="834"/>
      <c r="B2028" s="835"/>
      <c r="C2028" s="835"/>
      <c r="D2028" s="835"/>
      <c r="E2028" s="835"/>
    </row>
    <row r="2029" spans="1:5" ht="15.75" x14ac:dyDescent="0.25">
      <c r="A2029" s="834"/>
      <c r="B2029" s="835"/>
      <c r="C2029" s="835"/>
      <c r="D2029" s="835"/>
      <c r="E2029" s="835"/>
    </row>
    <row r="2030" spans="1:5" ht="15.75" x14ac:dyDescent="0.25">
      <c r="A2030" s="834"/>
      <c r="B2030" s="835"/>
      <c r="C2030" s="835"/>
      <c r="D2030" s="835"/>
      <c r="E2030" s="835"/>
    </row>
    <row r="2031" spans="1:5" ht="15.75" x14ac:dyDescent="0.25">
      <c r="A2031" s="834"/>
      <c r="B2031" s="835"/>
      <c r="C2031" s="835"/>
      <c r="D2031" s="835"/>
      <c r="E2031" s="835"/>
    </row>
    <row r="2032" spans="1:5" ht="15.75" x14ac:dyDescent="0.25">
      <c r="A2032" s="834"/>
      <c r="B2032" s="835"/>
      <c r="C2032" s="835"/>
      <c r="D2032" s="835"/>
      <c r="E2032" s="835"/>
    </row>
    <row r="2033" spans="1:5" ht="15.75" x14ac:dyDescent="0.25">
      <c r="A2033" s="834"/>
      <c r="B2033" s="835"/>
      <c r="C2033" s="835"/>
      <c r="D2033" s="835"/>
      <c r="E2033" s="835"/>
    </row>
    <row r="2034" spans="1:5" ht="15.75" x14ac:dyDescent="0.25">
      <c r="A2034" s="834"/>
      <c r="B2034" s="835"/>
      <c r="C2034" s="835"/>
      <c r="D2034" s="835"/>
      <c r="E2034" s="835"/>
    </row>
    <row r="2035" spans="1:5" ht="15.75" x14ac:dyDescent="0.25">
      <c r="A2035" s="834"/>
      <c r="B2035" s="835"/>
      <c r="C2035" s="835"/>
      <c r="D2035" s="835"/>
      <c r="E2035" s="835"/>
    </row>
    <row r="2036" spans="1:5" ht="15.75" x14ac:dyDescent="0.25">
      <c r="A2036" s="834"/>
      <c r="B2036" s="835"/>
      <c r="C2036" s="835"/>
      <c r="D2036" s="835"/>
      <c r="E2036" s="835"/>
    </row>
    <row r="2037" spans="1:5" ht="15.75" x14ac:dyDescent="0.25">
      <c r="A2037" s="834"/>
      <c r="B2037" s="835"/>
      <c r="C2037" s="835"/>
      <c r="D2037" s="835"/>
      <c r="E2037" s="835"/>
    </row>
    <row r="2038" spans="1:5" ht="15.75" x14ac:dyDescent="0.25">
      <c r="A2038" s="834"/>
      <c r="B2038" s="835"/>
      <c r="C2038" s="835"/>
      <c r="D2038" s="835"/>
      <c r="E2038" s="835"/>
    </row>
    <row r="2039" spans="1:5" ht="15.75" x14ac:dyDescent="0.25">
      <c r="A2039" s="834"/>
      <c r="B2039" s="835"/>
      <c r="C2039" s="835"/>
      <c r="D2039" s="835"/>
      <c r="E2039" s="835"/>
    </row>
    <row r="2040" spans="1:5" ht="15.75" x14ac:dyDescent="0.25">
      <c r="A2040" s="834"/>
      <c r="B2040" s="835"/>
      <c r="C2040" s="835"/>
      <c r="D2040" s="835"/>
      <c r="E2040" s="835"/>
    </row>
    <row r="2041" spans="1:5" ht="15.75" x14ac:dyDescent="0.25">
      <c r="A2041" s="834"/>
      <c r="B2041" s="835"/>
      <c r="C2041" s="835"/>
      <c r="D2041" s="835"/>
      <c r="E2041" s="835"/>
    </row>
    <row r="2042" spans="1:5" ht="15.75" x14ac:dyDescent="0.25">
      <c r="A2042" s="834"/>
      <c r="B2042" s="835"/>
      <c r="C2042" s="835"/>
      <c r="D2042" s="835"/>
      <c r="E2042" s="835"/>
    </row>
    <row r="2043" spans="1:5" ht="15.75" x14ac:dyDescent="0.25">
      <c r="A2043" s="834"/>
      <c r="B2043" s="835"/>
      <c r="C2043" s="835"/>
      <c r="D2043" s="835"/>
      <c r="E2043" s="835"/>
    </row>
    <row r="2044" spans="1:5" ht="15.75" x14ac:dyDescent="0.25">
      <c r="A2044" s="834"/>
      <c r="B2044" s="835"/>
      <c r="C2044" s="835"/>
      <c r="D2044" s="835"/>
      <c r="E2044" s="835"/>
    </row>
    <row r="2045" spans="1:5" ht="15.75" x14ac:dyDescent="0.25">
      <c r="A2045" s="834"/>
      <c r="B2045" s="835"/>
      <c r="C2045" s="835"/>
      <c r="D2045" s="835"/>
      <c r="E2045" s="835"/>
    </row>
    <row r="2046" spans="1:5" ht="15.75" x14ac:dyDescent="0.25">
      <c r="A2046" s="834"/>
      <c r="B2046" s="835"/>
      <c r="C2046" s="835"/>
      <c r="D2046" s="835"/>
      <c r="E2046" s="835"/>
    </row>
    <row r="2047" spans="1:5" ht="15.75" x14ac:dyDescent="0.25">
      <c r="A2047" s="834"/>
      <c r="B2047" s="835"/>
      <c r="C2047" s="835"/>
      <c r="D2047" s="835"/>
      <c r="E2047" s="835"/>
    </row>
    <row r="2048" spans="1:5" ht="15.75" x14ac:dyDescent="0.25">
      <c r="A2048" s="834"/>
      <c r="B2048" s="835"/>
      <c r="C2048" s="835"/>
      <c r="D2048" s="835"/>
      <c r="E2048" s="835"/>
    </row>
    <row r="2049" spans="1:5" ht="15.75" x14ac:dyDescent="0.25">
      <c r="A2049" s="834"/>
      <c r="B2049" s="835"/>
      <c r="C2049" s="835"/>
      <c r="D2049" s="835"/>
      <c r="E2049" s="835"/>
    </row>
    <row r="2050" spans="1:5" ht="15.75" x14ac:dyDescent="0.25">
      <c r="A2050" s="834"/>
      <c r="B2050" s="835"/>
      <c r="C2050" s="835"/>
      <c r="D2050" s="835"/>
      <c r="E2050" s="835"/>
    </row>
    <row r="2051" spans="1:5" ht="15.75" x14ac:dyDescent="0.25">
      <c r="A2051" s="834"/>
      <c r="B2051" s="835"/>
      <c r="C2051" s="835"/>
      <c r="D2051" s="835"/>
      <c r="E2051" s="835"/>
    </row>
    <row r="2052" spans="1:5" ht="15.75" x14ac:dyDescent="0.25">
      <c r="A2052" s="834"/>
      <c r="B2052" s="835"/>
      <c r="C2052" s="835"/>
      <c r="D2052" s="835"/>
      <c r="E2052" s="835"/>
    </row>
    <row r="2053" spans="1:5" ht="15.75" x14ac:dyDescent="0.25">
      <c r="A2053" s="834"/>
      <c r="B2053" s="835"/>
      <c r="C2053" s="835"/>
      <c r="D2053" s="835"/>
      <c r="E2053" s="835"/>
    </row>
    <row r="2054" spans="1:5" ht="15.75" x14ac:dyDescent="0.25">
      <c r="A2054" s="834"/>
      <c r="B2054" s="835"/>
      <c r="C2054" s="835"/>
      <c r="D2054" s="835"/>
      <c r="E2054" s="835"/>
    </row>
    <row r="2055" spans="1:5" ht="15.75" x14ac:dyDescent="0.25">
      <c r="A2055" s="834"/>
      <c r="B2055" s="835"/>
      <c r="C2055" s="835"/>
      <c r="D2055" s="835"/>
      <c r="E2055" s="835"/>
    </row>
    <row r="2056" spans="1:5" ht="15.75" x14ac:dyDescent="0.25">
      <c r="A2056" s="834"/>
      <c r="B2056" s="835"/>
      <c r="C2056" s="835"/>
      <c r="D2056" s="835"/>
      <c r="E2056" s="835"/>
    </row>
    <row r="2057" spans="1:5" ht="15.75" x14ac:dyDescent="0.25">
      <c r="A2057" s="834"/>
      <c r="B2057" s="835"/>
      <c r="C2057" s="835"/>
      <c r="D2057" s="835"/>
      <c r="E2057" s="835"/>
    </row>
    <row r="2058" spans="1:5" ht="15.75" x14ac:dyDescent="0.25">
      <c r="A2058" s="834"/>
      <c r="B2058" s="835"/>
      <c r="C2058" s="835"/>
      <c r="D2058" s="835"/>
      <c r="E2058" s="835"/>
    </row>
    <row r="2059" spans="1:5" ht="15.75" x14ac:dyDescent="0.25">
      <c r="A2059" s="834"/>
      <c r="B2059" s="835"/>
      <c r="C2059" s="835"/>
      <c r="D2059" s="835"/>
      <c r="E2059" s="835"/>
    </row>
    <row r="2060" spans="1:5" ht="15.75" x14ac:dyDescent="0.25">
      <c r="A2060" s="834"/>
      <c r="B2060" s="835"/>
      <c r="C2060" s="835"/>
      <c r="D2060" s="835"/>
      <c r="E2060" s="835"/>
    </row>
    <row r="2061" spans="1:5" ht="15.75" x14ac:dyDescent="0.25">
      <c r="A2061" s="834"/>
      <c r="B2061" s="835"/>
      <c r="C2061" s="835"/>
      <c r="D2061" s="835"/>
      <c r="E2061" s="835"/>
    </row>
    <row r="2062" spans="1:5" ht="15.75" x14ac:dyDescent="0.25">
      <c r="A2062" s="834"/>
      <c r="B2062" s="835"/>
      <c r="C2062" s="835"/>
      <c r="D2062" s="835"/>
      <c r="E2062" s="835"/>
    </row>
    <row r="2063" spans="1:5" ht="15.75" x14ac:dyDescent="0.25">
      <c r="A2063" s="834"/>
      <c r="B2063" s="835"/>
      <c r="C2063" s="835"/>
      <c r="D2063" s="835"/>
      <c r="E2063" s="835"/>
    </row>
    <row r="2064" spans="1:5" ht="15.75" x14ac:dyDescent="0.25">
      <c r="A2064" s="834"/>
      <c r="B2064" s="835"/>
      <c r="C2064" s="835"/>
      <c r="D2064" s="835"/>
      <c r="E2064" s="835"/>
    </row>
    <row r="2065" spans="1:5" ht="15.75" x14ac:dyDescent="0.25">
      <c r="A2065" s="834"/>
      <c r="B2065" s="835"/>
      <c r="C2065" s="835"/>
      <c r="D2065" s="835"/>
      <c r="E2065" s="835"/>
    </row>
    <row r="2066" spans="1:5" ht="15.75" x14ac:dyDescent="0.25">
      <c r="A2066" s="834"/>
      <c r="B2066" s="835"/>
      <c r="C2066" s="835"/>
      <c r="D2066" s="835"/>
      <c r="E2066" s="835"/>
    </row>
    <row r="2067" spans="1:5" ht="15.75" x14ac:dyDescent="0.25">
      <c r="A2067" s="834"/>
      <c r="B2067" s="835"/>
      <c r="C2067" s="835"/>
      <c r="D2067" s="835"/>
      <c r="E2067" s="835"/>
    </row>
    <row r="2068" spans="1:5" ht="15.75" x14ac:dyDescent="0.25">
      <c r="A2068" s="834"/>
      <c r="B2068" s="835"/>
      <c r="C2068" s="835"/>
      <c r="D2068" s="835"/>
      <c r="E2068" s="835"/>
    </row>
    <row r="2069" spans="1:5" ht="15.75" x14ac:dyDescent="0.25">
      <c r="A2069" s="834"/>
      <c r="B2069" s="835"/>
      <c r="C2069" s="835"/>
      <c r="D2069" s="835"/>
      <c r="E2069" s="835"/>
    </row>
    <row r="2070" spans="1:5" ht="15.75" x14ac:dyDescent="0.25">
      <c r="A2070" s="834"/>
      <c r="B2070" s="835"/>
      <c r="C2070" s="835"/>
      <c r="D2070" s="835"/>
      <c r="E2070" s="835"/>
    </row>
    <row r="2071" spans="1:5" ht="15.75" x14ac:dyDescent="0.25">
      <c r="A2071" s="834"/>
      <c r="B2071" s="835"/>
      <c r="C2071" s="835"/>
      <c r="D2071" s="835"/>
      <c r="E2071" s="835"/>
    </row>
    <row r="2072" spans="1:5" ht="15.75" x14ac:dyDescent="0.25">
      <c r="A2072" s="834"/>
      <c r="B2072" s="835"/>
      <c r="C2072" s="835"/>
      <c r="D2072" s="835"/>
      <c r="E2072" s="835"/>
    </row>
    <row r="2073" spans="1:5" ht="15.75" x14ac:dyDescent="0.25">
      <c r="A2073" s="834"/>
      <c r="B2073" s="835"/>
      <c r="C2073" s="835"/>
      <c r="D2073" s="835"/>
      <c r="E2073" s="835"/>
    </row>
    <row r="2074" spans="1:5" ht="15.75" x14ac:dyDescent="0.25">
      <c r="A2074" s="834"/>
      <c r="B2074" s="835"/>
      <c r="C2074" s="835"/>
      <c r="D2074" s="835"/>
      <c r="E2074" s="835"/>
    </row>
    <row r="2075" spans="1:5" ht="15.75" x14ac:dyDescent="0.25">
      <c r="A2075" s="834"/>
      <c r="B2075" s="835"/>
      <c r="C2075" s="835"/>
      <c r="D2075" s="835"/>
      <c r="E2075" s="835"/>
    </row>
    <row r="2076" spans="1:5" ht="15.75" x14ac:dyDescent="0.25">
      <c r="A2076" s="834"/>
      <c r="B2076" s="835"/>
      <c r="C2076" s="835"/>
      <c r="D2076" s="835"/>
      <c r="E2076" s="835"/>
    </row>
    <row r="2077" spans="1:5" ht="15.75" x14ac:dyDescent="0.25">
      <c r="A2077" s="834"/>
      <c r="B2077" s="835"/>
      <c r="C2077" s="835"/>
      <c r="D2077" s="835"/>
      <c r="E2077" s="835"/>
    </row>
    <row r="2078" spans="1:5" ht="15.75" x14ac:dyDescent="0.25">
      <c r="A2078" s="834"/>
      <c r="B2078" s="835"/>
      <c r="C2078" s="835"/>
      <c r="D2078" s="835"/>
      <c r="E2078" s="835"/>
    </row>
    <row r="2079" spans="1:5" ht="15.75" x14ac:dyDescent="0.25">
      <c r="A2079" s="834"/>
      <c r="B2079" s="835"/>
      <c r="C2079" s="835"/>
      <c r="D2079" s="835"/>
      <c r="E2079" s="835"/>
    </row>
    <row r="2080" spans="1:5" ht="15.75" x14ac:dyDescent="0.25">
      <c r="A2080" s="834"/>
      <c r="B2080" s="835"/>
      <c r="C2080" s="835"/>
      <c r="D2080" s="835"/>
      <c r="E2080" s="835"/>
    </row>
    <row r="2081" spans="1:5" ht="15.75" x14ac:dyDescent="0.25">
      <c r="A2081" s="834"/>
      <c r="B2081" s="835"/>
      <c r="C2081" s="835"/>
      <c r="D2081" s="835"/>
      <c r="E2081" s="835"/>
    </row>
    <row r="2082" spans="1:5" ht="15.75" x14ac:dyDescent="0.25">
      <c r="A2082" s="834"/>
      <c r="B2082" s="835"/>
      <c r="C2082" s="835"/>
      <c r="D2082" s="835"/>
      <c r="E2082" s="835"/>
    </row>
    <row r="2083" spans="1:5" ht="15.75" x14ac:dyDescent="0.25">
      <c r="A2083" s="834"/>
      <c r="B2083" s="835"/>
      <c r="C2083" s="835"/>
      <c r="D2083" s="835"/>
      <c r="E2083" s="835"/>
    </row>
    <row r="2084" spans="1:5" ht="15.75" x14ac:dyDescent="0.25">
      <c r="A2084" s="834"/>
      <c r="B2084" s="835"/>
      <c r="C2084" s="835"/>
      <c r="D2084" s="835"/>
      <c r="E2084" s="835"/>
    </row>
    <row r="2085" spans="1:5" ht="15.75" x14ac:dyDescent="0.25">
      <c r="A2085" s="834"/>
      <c r="B2085" s="835"/>
      <c r="C2085" s="835"/>
      <c r="D2085" s="835"/>
      <c r="E2085" s="835"/>
    </row>
    <row r="2086" spans="1:5" ht="15.75" x14ac:dyDescent="0.25">
      <c r="A2086" s="834"/>
      <c r="B2086" s="835"/>
      <c r="C2086" s="835"/>
      <c r="D2086" s="835"/>
      <c r="E2086" s="835"/>
    </row>
    <row r="2087" spans="1:5" ht="15.75" x14ac:dyDescent="0.25">
      <c r="A2087" s="834"/>
      <c r="B2087" s="835"/>
      <c r="C2087" s="835"/>
      <c r="D2087" s="835"/>
      <c r="E2087" s="835"/>
    </row>
    <row r="2088" spans="1:5" ht="15.75" x14ac:dyDescent="0.25">
      <c r="A2088" s="834"/>
      <c r="B2088" s="835"/>
      <c r="C2088" s="835"/>
      <c r="D2088" s="835"/>
      <c r="E2088" s="835"/>
    </row>
    <row r="2089" spans="1:5" ht="15.75" x14ac:dyDescent="0.25">
      <c r="A2089" s="834"/>
      <c r="B2089" s="835"/>
      <c r="C2089" s="835"/>
      <c r="D2089" s="835"/>
      <c r="E2089" s="835"/>
    </row>
    <row r="2090" spans="1:5" ht="15.75" x14ac:dyDescent="0.25">
      <c r="A2090" s="834"/>
      <c r="B2090" s="835"/>
      <c r="C2090" s="835"/>
      <c r="D2090" s="835"/>
      <c r="E2090" s="835"/>
    </row>
    <row r="2091" spans="1:5" ht="15.75" x14ac:dyDescent="0.25">
      <c r="A2091" s="834"/>
      <c r="B2091" s="835"/>
      <c r="C2091" s="835"/>
      <c r="D2091" s="835"/>
      <c r="E2091" s="835"/>
    </row>
    <row r="2092" spans="1:5" ht="15.75" x14ac:dyDescent="0.25">
      <c r="A2092" s="834"/>
      <c r="B2092" s="835"/>
      <c r="C2092" s="835"/>
      <c r="D2092" s="835"/>
      <c r="E2092" s="835"/>
    </row>
    <row r="2093" spans="1:5" ht="15.75" x14ac:dyDescent="0.25">
      <c r="A2093" s="834"/>
      <c r="B2093" s="835"/>
      <c r="C2093" s="835"/>
      <c r="D2093" s="835"/>
      <c r="E2093" s="835"/>
    </row>
    <row r="2094" spans="1:5" ht="15.75" x14ac:dyDescent="0.25">
      <c r="A2094" s="834"/>
      <c r="B2094" s="835"/>
      <c r="C2094" s="835"/>
      <c r="D2094" s="835"/>
      <c r="E2094" s="835"/>
    </row>
    <row r="2095" spans="1:5" ht="15.75" x14ac:dyDescent="0.25">
      <c r="A2095" s="834"/>
      <c r="B2095" s="835"/>
      <c r="C2095" s="835"/>
      <c r="D2095" s="835"/>
      <c r="E2095" s="835"/>
    </row>
    <row r="2096" spans="1:5" ht="15.75" x14ac:dyDescent="0.25">
      <c r="A2096" s="834"/>
      <c r="B2096" s="835"/>
      <c r="C2096" s="835"/>
      <c r="D2096" s="835"/>
      <c r="E2096" s="835"/>
    </row>
    <row r="2097" spans="1:5" ht="15.75" x14ac:dyDescent="0.25">
      <c r="A2097" s="834"/>
      <c r="B2097" s="835"/>
      <c r="C2097" s="835"/>
      <c r="D2097" s="835"/>
      <c r="E2097" s="835"/>
    </row>
    <row r="2098" spans="1:5" ht="15.75" x14ac:dyDescent="0.25">
      <c r="A2098" s="834"/>
      <c r="B2098" s="835"/>
      <c r="C2098" s="835"/>
      <c r="D2098" s="835"/>
      <c r="E2098" s="835"/>
    </row>
    <row r="2099" spans="1:5" ht="15.75" x14ac:dyDescent="0.25">
      <c r="A2099" s="834"/>
      <c r="B2099" s="835"/>
      <c r="C2099" s="835"/>
      <c r="D2099" s="835"/>
      <c r="E2099" s="835"/>
    </row>
    <row r="2100" spans="1:5" ht="15.75" x14ac:dyDescent="0.25">
      <c r="A2100" s="834"/>
      <c r="B2100" s="835"/>
      <c r="C2100" s="835"/>
      <c r="D2100" s="835"/>
      <c r="E2100" s="835"/>
    </row>
    <row r="2101" spans="1:5" ht="15.75" x14ac:dyDescent="0.25">
      <c r="A2101" s="834"/>
      <c r="B2101" s="835"/>
      <c r="C2101" s="835"/>
      <c r="D2101" s="835"/>
      <c r="E2101" s="835"/>
    </row>
    <row r="2102" spans="1:5" ht="15.75" x14ac:dyDescent="0.25">
      <c r="A2102" s="834"/>
      <c r="B2102" s="835"/>
      <c r="C2102" s="835"/>
      <c r="D2102" s="835"/>
      <c r="E2102" s="835"/>
    </row>
    <row r="2103" spans="1:5" ht="15.75" x14ac:dyDescent="0.25">
      <c r="A2103" s="834"/>
      <c r="B2103" s="835"/>
      <c r="C2103" s="835"/>
      <c r="D2103" s="835"/>
      <c r="E2103" s="835"/>
    </row>
    <row r="2104" spans="1:5" ht="15.75" x14ac:dyDescent="0.25">
      <c r="A2104" s="834"/>
      <c r="B2104" s="835"/>
      <c r="C2104" s="835"/>
      <c r="D2104" s="835"/>
      <c r="E2104" s="835"/>
    </row>
    <row r="2105" spans="1:5" ht="15.75" x14ac:dyDescent="0.25">
      <c r="A2105" s="834"/>
      <c r="B2105" s="835"/>
      <c r="C2105" s="835"/>
      <c r="D2105" s="835"/>
      <c r="E2105" s="835"/>
    </row>
    <row r="2106" spans="1:5" ht="15.75" x14ac:dyDescent="0.25">
      <c r="A2106" s="834"/>
      <c r="B2106" s="835"/>
      <c r="C2106" s="835"/>
      <c r="D2106" s="835"/>
      <c r="E2106" s="835"/>
    </row>
    <row r="2107" spans="1:5" ht="15.75" x14ac:dyDescent="0.25">
      <c r="A2107" s="834"/>
      <c r="B2107" s="835"/>
      <c r="C2107" s="835"/>
      <c r="D2107" s="835"/>
      <c r="E2107" s="835"/>
    </row>
    <row r="2108" spans="1:5" ht="15.75" x14ac:dyDescent="0.25">
      <c r="A2108" s="834"/>
      <c r="B2108" s="835"/>
      <c r="C2108" s="835"/>
      <c r="D2108" s="835"/>
      <c r="E2108" s="835"/>
    </row>
  </sheetData>
  <mergeCells count="3">
    <mergeCell ref="A1:E1"/>
    <mergeCell ref="A2:E2"/>
    <mergeCell ref="B47:C47"/>
  </mergeCells>
  <printOptions horizontalCentered="1"/>
  <pageMargins left="0.70866141732283472" right="0.70866141732283472" top="1.1417322834645669" bottom="0.74803149606299213" header="0.31496062992125984" footer="0.31496062992125984"/>
  <pageSetup paperSize="9" scale="90" orientation="portrait" r:id="rId1"/>
  <headerFooter>
    <oddHeader>&amp;R&amp;"Times New Roman CE,Félkövér"16. melléklet a 6/2019. (II.22.) önkormányzati rendelethez&amp;"Times New Roman CE,Normál"
21&amp;"Times New Roman CE,Dőlt". melléklet
a 3/2018.(II.8.) önkormányzati rendelethez</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C10"/>
  <sheetViews>
    <sheetView zoomScale="140" zoomScaleNormal="140" workbookViewId="0">
      <selection activeCell="D12" sqref="D12"/>
    </sheetView>
  </sheetViews>
  <sheetFormatPr defaultRowHeight="15.75" x14ac:dyDescent="0.25"/>
  <cols>
    <col min="1" max="1" width="47.625" style="812" customWidth="1"/>
    <col min="2" max="2" width="13.375" style="811" customWidth="1"/>
    <col min="3" max="256" width="9" style="798"/>
    <col min="257" max="257" width="42.125" style="798" customWidth="1"/>
    <col min="258" max="258" width="13.375" style="798" customWidth="1"/>
    <col min="259" max="512" width="9" style="798"/>
    <col min="513" max="513" width="42.125" style="798" customWidth="1"/>
    <col min="514" max="514" width="13.375" style="798" customWidth="1"/>
    <col min="515" max="768" width="9" style="798"/>
    <col min="769" max="769" width="42.125" style="798" customWidth="1"/>
    <col min="770" max="770" width="13.375" style="798" customWidth="1"/>
    <col min="771" max="1024" width="9" style="798"/>
    <col min="1025" max="1025" width="42.125" style="798" customWidth="1"/>
    <col min="1026" max="1026" width="13.375" style="798" customWidth="1"/>
    <col min="1027" max="1280" width="9" style="798"/>
    <col min="1281" max="1281" width="42.125" style="798" customWidth="1"/>
    <col min="1282" max="1282" width="13.375" style="798" customWidth="1"/>
    <col min="1283" max="1536" width="9" style="798"/>
    <col min="1537" max="1537" width="42.125" style="798" customWidth="1"/>
    <col min="1538" max="1538" width="13.375" style="798" customWidth="1"/>
    <col min="1539" max="1792" width="9" style="798"/>
    <col min="1793" max="1793" width="42.125" style="798" customWidth="1"/>
    <col min="1794" max="1794" width="13.375" style="798" customWidth="1"/>
    <col min="1795" max="2048" width="9" style="798"/>
    <col min="2049" max="2049" width="42.125" style="798" customWidth="1"/>
    <col min="2050" max="2050" width="13.375" style="798" customWidth="1"/>
    <col min="2051" max="2304" width="9" style="798"/>
    <col min="2305" max="2305" width="42.125" style="798" customWidth="1"/>
    <col min="2306" max="2306" width="13.375" style="798" customWidth="1"/>
    <col min="2307" max="2560" width="9" style="798"/>
    <col min="2561" max="2561" width="42.125" style="798" customWidth="1"/>
    <col min="2562" max="2562" width="13.375" style="798" customWidth="1"/>
    <col min="2563" max="2816" width="9" style="798"/>
    <col min="2817" max="2817" width="42.125" style="798" customWidth="1"/>
    <col min="2818" max="2818" width="13.375" style="798" customWidth="1"/>
    <col min="2819" max="3072" width="9" style="798"/>
    <col min="3073" max="3073" width="42.125" style="798" customWidth="1"/>
    <col min="3074" max="3074" width="13.375" style="798" customWidth="1"/>
    <col min="3075" max="3328" width="9" style="798"/>
    <col min="3329" max="3329" width="42.125" style="798" customWidth="1"/>
    <col min="3330" max="3330" width="13.375" style="798" customWidth="1"/>
    <col min="3331" max="3584" width="9" style="798"/>
    <col min="3585" max="3585" width="42.125" style="798" customWidth="1"/>
    <col min="3586" max="3586" width="13.375" style="798" customWidth="1"/>
    <col min="3587" max="3840" width="9" style="798"/>
    <col min="3841" max="3841" width="42.125" style="798" customWidth="1"/>
    <col min="3842" max="3842" width="13.375" style="798" customWidth="1"/>
    <col min="3843" max="4096" width="9" style="798"/>
    <col min="4097" max="4097" width="42.125" style="798" customWidth="1"/>
    <col min="4098" max="4098" width="13.375" style="798" customWidth="1"/>
    <col min="4099" max="4352" width="9" style="798"/>
    <col min="4353" max="4353" width="42.125" style="798" customWidth="1"/>
    <col min="4354" max="4354" width="13.375" style="798" customWidth="1"/>
    <col min="4355" max="4608" width="9" style="798"/>
    <col min="4609" max="4609" width="42.125" style="798" customWidth="1"/>
    <col min="4610" max="4610" width="13.375" style="798" customWidth="1"/>
    <col min="4611" max="4864" width="9" style="798"/>
    <col min="4865" max="4865" width="42.125" style="798" customWidth="1"/>
    <col min="4866" max="4866" width="13.375" style="798" customWidth="1"/>
    <col min="4867" max="5120" width="9" style="798"/>
    <col min="5121" max="5121" width="42.125" style="798" customWidth="1"/>
    <col min="5122" max="5122" width="13.375" style="798" customWidth="1"/>
    <col min="5123" max="5376" width="9" style="798"/>
    <col min="5377" max="5377" width="42.125" style="798" customWidth="1"/>
    <col min="5378" max="5378" width="13.375" style="798" customWidth="1"/>
    <col min="5379" max="5632" width="9" style="798"/>
    <col min="5633" max="5633" width="42.125" style="798" customWidth="1"/>
    <col min="5634" max="5634" width="13.375" style="798" customWidth="1"/>
    <col min="5635" max="5888" width="9" style="798"/>
    <col min="5889" max="5889" width="42.125" style="798" customWidth="1"/>
    <col min="5890" max="5890" width="13.375" style="798" customWidth="1"/>
    <col min="5891" max="6144" width="9" style="798"/>
    <col min="6145" max="6145" width="42.125" style="798" customWidth="1"/>
    <col min="6146" max="6146" width="13.375" style="798" customWidth="1"/>
    <col min="6147" max="6400" width="9" style="798"/>
    <col min="6401" max="6401" width="42.125" style="798" customWidth="1"/>
    <col min="6402" max="6402" width="13.375" style="798" customWidth="1"/>
    <col min="6403" max="6656" width="9" style="798"/>
    <col min="6657" max="6657" width="42.125" style="798" customWidth="1"/>
    <col min="6658" max="6658" width="13.375" style="798" customWidth="1"/>
    <col min="6659" max="6912" width="9" style="798"/>
    <col min="6913" max="6913" width="42.125" style="798" customWidth="1"/>
    <col min="6914" max="6914" width="13.375" style="798" customWidth="1"/>
    <col min="6915" max="7168" width="9" style="798"/>
    <col min="7169" max="7169" width="42.125" style="798" customWidth="1"/>
    <col min="7170" max="7170" width="13.375" style="798" customWidth="1"/>
    <col min="7171" max="7424" width="9" style="798"/>
    <col min="7425" max="7425" width="42.125" style="798" customWidth="1"/>
    <col min="7426" max="7426" width="13.375" style="798" customWidth="1"/>
    <col min="7427" max="7680" width="9" style="798"/>
    <col min="7681" max="7681" width="42.125" style="798" customWidth="1"/>
    <col min="7682" max="7682" width="13.375" style="798" customWidth="1"/>
    <col min="7683" max="7936" width="9" style="798"/>
    <col min="7937" max="7937" width="42.125" style="798" customWidth="1"/>
    <col min="7938" max="7938" width="13.375" style="798" customWidth="1"/>
    <col min="7939" max="8192" width="9" style="798"/>
    <col min="8193" max="8193" width="42.125" style="798" customWidth="1"/>
    <col min="8194" max="8194" width="13.375" style="798" customWidth="1"/>
    <col min="8195" max="8448" width="9" style="798"/>
    <col min="8449" max="8449" width="42.125" style="798" customWidth="1"/>
    <col min="8450" max="8450" width="13.375" style="798" customWidth="1"/>
    <col min="8451" max="8704" width="9" style="798"/>
    <col min="8705" max="8705" width="42.125" style="798" customWidth="1"/>
    <col min="8706" max="8706" width="13.375" style="798" customWidth="1"/>
    <col min="8707" max="8960" width="9" style="798"/>
    <col min="8961" max="8961" width="42.125" style="798" customWidth="1"/>
    <col min="8962" max="8962" width="13.375" style="798" customWidth="1"/>
    <col min="8963" max="9216" width="9" style="798"/>
    <col min="9217" max="9217" width="42.125" style="798" customWidth="1"/>
    <col min="9218" max="9218" width="13.375" style="798" customWidth="1"/>
    <col min="9219" max="9472" width="9" style="798"/>
    <col min="9473" max="9473" width="42.125" style="798" customWidth="1"/>
    <col min="9474" max="9474" width="13.375" style="798" customWidth="1"/>
    <col min="9475" max="9728" width="9" style="798"/>
    <col min="9729" max="9729" width="42.125" style="798" customWidth="1"/>
    <col min="9730" max="9730" width="13.375" style="798" customWidth="1"/>
    <col min="9731" max="9984" width="9" style="798"/>
    <col min="9985" max="9985" width="42.125" style="798" customWidth="1"/>
    <col min="9986" max="9986" width="13.375" style="798" customWidth="1"/>
    <col min="9987" max="10240" width="9" style="798"/>
    <col min="10241" max="10241" width="42.125" style="798" customWidth="1"/>
    <col min="10242" max="10242" width="13.375" style="798" customWidth="1"/>
    <col min="10243" max="10496" width="9" style="798"/>
    <col min="10497" max="10497" width="42.125" style="798" customWidth="1"/>
    <col min="10498" max="10498" width="13.375" style="798" customWidth="1"/>
    <col min="10499" max="10752" width="9" style="798"/>
    <col min="10753" max="10753" width="42.125" style="798" customWidth="1"/>
    <col min="10754" max="10754" width="13.375" style="798" customWidth="1"/>
    <col min="10755" max="11008" width="9" style="798"/>
    <col min="11009" max="11009" width="42.125" style="798" customWidth="1"/>
    <col min="11010" max="11010" width="13.375" style="798" customWidth="1"/>
    <col min="11011" max="11264" width="9" style="798"/>
    <col min="11265" max="11265" width="42.125" style="798" customWidth="1"/>
    <col min="11266" max="11266" width="13.375" style="798" customWidth="1"/>
    <col min="11267" max="11520" width="9" style="798"/>
    <col min="11521" max="11521" width="42.125" style="798" customWidth="1"/>
    <col min="11522" max="11522" width="13.375" style="798" customWidth="1"/>
    <col min="11523" max="11776" width="9" style="798"/>
    <col min="11777" max="11777" width="42.125" style="798" customWidth="1"/>
    <col min="11778" max="11778" width="13.375" style="798" customWidth="1"/>
    <col min="11779" max="12032" width="9" style="798"/>
    <col min="12033" max="12033" width="42.125" style="798" customWidth="1"/>
    <col min="12034" max="12034" width="13.375" style="798" customWidth="1"/>
    <col min="12035" max="12288" width="9" style="798"/>
    <col min="12289" max="12289" width="42.125" style="798" customWidth="1"/>
    <col min="12290" max="12290" width="13.375" style="798" customWidth="1"/>
    <col min="12291" max="12544" width="9" style="798"/>
    <col min="12545" max="12545" width="42.125" style="798" customWidth="1"/>
    <col min="12546" max="12546" width="13.375" style="798" customWidth="1"/>
    <col min="12547" max="12800" width="9" style="798"/>
    <col min="12801" max="12801" width="42.125" style="798" customWidth="1"/>
    <col min="12802" max="12802" width="13.375" style="798" customWidth="1"/>
    <col min="12803" max="13056" width="9" style="798"/>
    <col min="13057" max="13057" width="42.125" style="798" customWidth="1"/>
    <col min="13058" max="13058" width="13.375" style="798" customWidth="1"/>
    <col min="13059" max="13312" width="9" style="798"/>
    <col min="13313" max="13313" width="42.125" style="798" customWidth="1"/>
    <col min="13314" max="13314" width="13.375" style="798" customWidth="1"/>
    <col min="13315" max="13568" width="9" style="798"/>
    <col min="13569" max="13569" width="42.125" style="798" customWidth="1"/>
    <col min="13570" max="13570" width="13.375" style="798" customWidth="1"/>
    <col min="13571" max="13824" width="9" style="798"/>
    <col min="13825" max="13825" width="42.125" style="798" customWidth="1"/>
    <col min="13826" max="13826" width="13.375" style="798" customWidth="1"/>
    <col min="13827" max="14080" width="9" style="798"/>
    <col min="14081" max="14081" width="42.125" style="798" customWidth="1"/>
    <col min="14082" max="14082" width="13.375" style="798" customWidth="1"/>
    <col min="14083" max="14336" width="9" style="798"/>
    <col min="14337" max="14337" width="42.125" style="798" customWidth="1"/>
    <col min="14338" max="14338" width="13.375" style="798" customWidth="1"/>
    <col min="14339" max="14592" width="9" style="798"/>
    <col min="14593" max="14593" width="42.125" style="798" customWidth="1"/>
    <col min="14594" max="14594" width="13.375" style="798" customWidth="1"/>
    <col min="14595" max="14848" width="9" style="798"/>
    <col min="14849" max="14849" width="42.125" style="798" customWidth="1"/>
    <col min="14850" max="14850" width="13.375" style="798" customWidth="1"/>
    <col min="14851" max="15104" width="9" style="798"/>
    <col min="15105" max="15105" width="42.125" style="798" customWidth="1"/>
    <col min="15106" max="15106" width="13.375" style="798" customWidth="1"/>
    <col min="15107" max="15360" width="9" style="798"/>
    <col min="15361" max="15361" width="42.125" style="798" customWidth="1"/>
    <col min="15362" max="15362" width="13.375" style="798" customWidth="1"/>
    <col min="15363" max="15616" width="9" style="798"/>
    <col min="15617" max="15617" width="42.125" style="798" customWidth="1"/>
    <col min="15618" max="15618" width="13.375" style="798" customWidth="1"/>
    <col min="15619" max="15872" width="9" style="798"/>
    <col min="15873" max="15873" width="42.125" style="798" customWidth="1"/>
    <col min="15874" max="15874" width="13.375" style="798" customWidth="1"/>
    <col min="15875" max="16128" width="9" style="798"/>
    <col min="16129" max="16129" width="42.125" style="798" customWidth="1"/>
    <col min="16130" max="16130" width="13.375" style="798" customWidth="1"/>
    <col min="16131" max="16384" width="9" style="798"/>
  </cols>
  <sheetData>
    <row r="1" spans="1:3" ht="16.5" thickBot="1" x14ac:dyDescent="0.3">
      <c r="A1" s="796" t="s">
        <v>145</v>
      </c>
      <c r="B1" s="797" t="s">
        <v>916</v>
      </c>
    </row>
    <row r="2" spans="1:3" ht="47.25" x14ac:dyDescent="0.25">
      <c r="A2" s="799" t="s">
        <v>917</v>
      </c>
      <c r="B2" s="800">
        <v>10000</v>
      </c>
    </row>
    <row r="3" spans="1:3" x14ac:dyDescent="0.25">
      <c r="A3" s="801" t="s">
        <v>918</v>
      </c>
      <c r="B3" s="802">
        <v>20000</v>
      </c>
    </row>
    <row r="4" spans="1:3" x14ac:dyDescent="0.25">
      <c r="A4" s="803" t="s">
        <v>919</v>
      </c>
      <c r="B4" s="804">
        <v>2000</v>
      </c>
    </row>
    <row r="5" spans="1:3" ht="31.5" x14ac:dyDescent="0.25">
      <c r="A5" s="803" t="s">
        <v>920</v>
      </c>
      <c r="B5" s="804">
        <v>3000</v>
      </c>
    </row>
    <row r="6" spans="1:3" x14ac:dyDescent="0.25">
      <c r="A6" s="801" t="s">
        <v>921</v>
      </c>
      <c r="B6" s="804">
        <v>2000</v>
      </c>
    </row>
    <row r="7" spans="1:3" s="807" customFormat="1" ht="16.5" thickBot="1" x14ac:dyDescent="0.3">
      <c r="A7" s="805" t="s">
        <v>922</v>
      </c>
      <c r="B7" s="806">
        <f>15029+10336</f>
        <v>25365</v>
      </c>
    </row>
    <row r="8" spans="1:3" ht="16.5" thickBot="1" x14ac:dyDescent="0.3">
      <c r="A8" s="808" t="s">
        <v>410</v>
      </c>
      <c r="B8" s="809">
        <f>SUM(B2:B7)</f>
        <v>62365</v>
      </c>
    </row>
    <row r="10" spans="1:3" x14ac:dyDescent="0.25">
      <c r="A10" s="810"/>
      <c r="C10" s="811"/>
    </row>
  </sheetData>
  <printOptions horizontalCentered="1"/>
  <pageMargins left="0.70866141732283472" right="0.70866141732283472" top="1.5354330708661419" bottom="0.74803149606299213" header="0.31496062992125984" footer="0.31496062992125984"/>
  <pageSetup paperSize="9" orientation="portrait" r:id="rId1"/>
  <headerFooter>
    <oddHeader>&amp;C
&amp;"Times New Roman CE,Félkövér"
Környezetvédelmi Alap felosztása (eFt-ban)&amp;R&amp;"Times New Roman CE,Félkövér"17. melléklet a 6/2019. (II.22.) önkormányzati rendelethez
&amp;"Times New Roman CE,Dőlt"23. melléklet
a 3/2018.(II.8.) önkormányzati rendelethez</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L38"/>
  <sheetViews>
    <sheetView tabSelected="1" zoomScaleNormal="100" workbookViewId="0">
      <pane xSplit="2" ySplit="8" topLeftCell="S9" activePane="bottomRight" state="frozen"/>
      <selection activeCell="AD41" sqref="AD41"/>
      <selection pane="topRight" activeCell="AD41" sqref="AD41"/>
      <selection pane="bottomLeft" activeCell="AD41" sqref="AD41"/>
      <selection pane="bottomRight" activeCell="AD41" sqref="AD41"/>
    </sheetView>
  </sheetViews>
  <sheetFormatPr defaultColWidth="9" defaultRowHeight="15.75" x14ac:dyDescent="0.25"/>
  <cols>
    <col min="1" max="1" width="35.75" style="86" customWidth="1"/>
    <col min="2" max="2" width="10" style="86" customWidth="1"/>
    <col min="3" max="3" width="12.25" style="108" customWidth="1"/>
    <col min="4" max="4" width="13.125" style="108" customWidth="1"/>
    <col min="5" max="5" width="15" style="108" customWidth="1"/>
    <col min="6" max="8" width="13.75" style="108" customWidth="1"/>
    <col min="9" max="9" width="15.5" style="108" customWidth="1"/>
    <col min="10" max="12" width="13.75" style="108" customWidth="1"/>
    <col min="13" max="13" width="15.125" style="108" customWidth="1"/>
    <col min="14" max="15" width="13.75" style="108" customWidth="1"/>
    <col min="16" max="16" width="13" style="108" customWidth="1"/>
    <col min="17" max="17" width="15.25" style="108" customWidth="1"/>
    <col min="18" max="20" width="13.875" style="108" customWidth="1"/>
    <col min="21" max="21" width="15.125" style="108" customWidth="1"/>
    <col min="22" max="24" width="13.875" style="108" customWidth="1"/>
    <col min="25" max="25" width="15.25" style="108" customWidth="1"/>
    <col min="26" max="26" width="13.875" style="108" customWidth="1"/>
    <col min="27" max="27" width="12.875" style="108" customWidth="1"/>
    <col min="28" max="28" width="14.875" style="108" customWidth="1"/>
    <col min="29" max="29" width="15.375" style="108" customWidth="1"/>
    <col min="30" max="30" width="13.25" style="108" customWidth="1"/>
    <col min="31" max="31" width="12.625" style="108" customWidth="1"/>
    <col min="32" max="32" width="14.875" style="108" customWidth="1"/>
    <col min="33" max="33" width="15.375" style="108" customWidth="1"/>
    <col min="34" max="34" width="14.125" style="108" customWidth="1"/>
    <col min="35" max="35" width="13.875" style="108" customWidth="1"/>
    <col min="36" max="36" width="14.875" style="108" customWidth="1"/>
    <col min="37" max="37" width="15.375" style="108" customWidth="1"/>
    <col min="38" max="38" width="14.125" style="108" customWidth="1"/>
    <col min="39" max="16384" width="9" style="86"/>
  </cols>
  <sheetData>
    <row r="1" spans="1:38" x14ac:dyDescent="0.25">
      <c r="A1" s="384"/>
      <c r="B1" s="983" t="s">
        <v>234</v>
      </c>
      <c r="C1" s="983"/>
      <c r="D1" s="983"/>
      <c r="E1" s="983"/>
      <c r="F1" s="983"/>
      <c r="G1" s="983"/>
      <c r="H1" s="983"/>
      <c r="I1" s="983"/>
      <c r="J1" s="983"/>
      <c r="K1" s="983"/>
      <c r="L1" s="983"/>
      <c r="M1" s="983"/>
      <c r="N1" s="983"/>
      <c r="O1" s="983" t="s">
        <v>234</v>
      </c>
      <c r="P1" s="983"/>
      <c r="Q1" s="983"/>
      <c r="R1" s="983"/>
      <c r="S1" s="983"/>
      <c r="T1" s="983"/>
      <c r="U1" s="983"/>
      <c r="V1" s="983"/>
      <c r="W1" s="983"/>
      <c r="X1" s="983"/>
      <c r="Y1" s="983"/>
      <c r="Z1" s="983"/>
      <c r="AA1" s="983" t="s">
        <v>234</v>
      </c>
      <c r="AB1" s="983"/>
      <c r="AC1" s="983"/>
      <c r="AD1" s="983"/>
      <c r="AE1" s="983"/>
      <c r="AF1" s="983"/>
      <c r="AG1" s="983"/>
      <c r="AH1" s="983"/>
      <c r="AI1" s="983"/>
      <c r="AJ1" s="983"/>
      <c r="AK1" s="983"/>
      <c r="AL1" s="983"/>
    </row>
    <row r="2" spans="1:38" x14ac:dyDescent="0.25">
      <c r="A2" s="384"/>
      <c r="B2" s="983" t="s">
        <v>593</v>
      </c>
      <c r="C2" s="983"/>
      <c r="D2" s="983"/>
      <c r="E2" s="983"/>
      <c r="F2" s="983"/>
      <c r="G2" s="983"/>
      <c r="H2" s="983"/>
      <c r="I2" s="983"/>
      <c r="J2" s="983"/>
      <c r="K2" s="983"/>
      <c r="L2" s="983"/>
      <c r="M2" s="983"/>
      <c r="N2" s="983"/>
      <c r="O2" s="983" t="s">
        <v>593</v>
      </c>
      <c r="P2" s="983"/>
      <c r="Q2" s="983"/>
      <c r="R2" s="983"/>
      <c r="S2" s="983"/>
      <c r="T2" s="983"/>
      <c r="U2" s="983"/>
      <c r="V2" s="983"/>
      <c r="W2" s="983"/>
      <c r="X2" s="983"/>
      <c r="Y2" s="983"/>
      <c r="Z2" s="983"/>
      <c r="AA2" s="983" t="s">
        <v>593</v>
      </c>
      <c r="AB2" s="983"/>
      <c r="AC2" s="983"/>
      <c r="AD2" s="983"/>
      <c r="AE2" s="983"/>
      <c r="AF2" s="983"/>
      <c r="AG2" s="983"/>
      <c r="AH2" s="983"/>
      <c r="AI2" s="983"/>
      <c r="AJ2" s="983"/>
      <c r="AK2" s="983"/>
      <c r="AL2" s="983"/>
    </row>
    <row r="3" spans="1:38" x14ac:dyDescent="0.25">
      <c r="A3" s="384"/>
      <c r="B3" s="983" t="s">
        <v>850</v>
      </c>
      <c r="C3" s="983"/>
      <c r="D3" s="983"/>
      <c r="E3" s="983"/>
      <c r="F3" s="983"/>
      <c r="G3" s="983"/>
      <c r="H3" s="983"/>
      <c r="I3" s="983"/>
      <c r="J3" s="983"/>
      <c r="K3" s="983"/>
      <c r="L3" s="983"/>
      <c r="M3" s="983"/>
      <c r="N3" s="983"/>
      <c r="O3" s="983" t="s">
        <v>850</v>
      </c>
      <c r="P3" s="983"/>
      <c r="Q3" s="983"/>
      <c r="R3" s="983"/>
      <c r="S3" s="983"/>
      <c r="T3" s="983"/>
      <c r="U3" s="983"/>
      <c r="V3" s="983"/>
      <c r="W3" s="983"/>
      <c r="X3" s="983"/>
      <c r="Y3" s="983"/>
      <c r="Z3" s="983"/>
      <c r="AA3" s="983" t="s">
        <v>850</v>
      </c>
      <c r="AB3" s="983"/>
      <c r="AC3" s="983"/>
      <c r="AD3" s="983"/>
      <c r="AE3" s="983"/>
      <c r="AF3" s="983"/>
      <c r="AG3" s="983"/>
      <c r="AH3" s="983"/>
      <c r="AI3" s="983"/>
      <c r="AJ3" s="983"/>
      <c r="AK3" s="983"/>
      <c r="AL3" s="983"/>
    </row>
    <row r="4" spans="1:38" ht="16.5" thickBot="1" x14ac:dyDescent="0.3"/>
    <row r="5" spans="1:38" s="71" customFormat="1" ht="68.25" customHeight="1" thickTop="1" thickBot="1" x14ac:dyDescent="0.3">
      <c r="A5" s="69"/>
      <c r="B5" s="186"/>
      <c r="C5" s="974" t="s">
        <v>22</v>
      </c>
      <c r="D5" s="975"/>
      <c r="E5" s="975"/>
      <c r="F5" s="975"/>
      <c r="G5" s="975"/>
      <c r="H5" s="975"/>
      <c r="I5" s="975"/>
      <c r="J5" s="975"/>
      <c r="K5" s="975"/>
      <c r="L5" s="975"/>
      <c r="M5" s="975"/>
      <c r="N5" s="976"/>
      <c r="O5" s="70" t="s">
        <v>23</v>
      </c>
      <c r="P5" s="70"/>
      <c r="Q5" s="70"/>
      <c r="R5" s="70"/>
      <c r="S5" s="70"/>
      <c r="T5" s="70"/>
      <c r="U5" s="70"/>
      <c r="V5" s="70"/>
      <c r="W5" s="70"/>
      <c r="X5" s="70"/>
      <c r="Y5" s="70"/>
      <c r="Z5" s="70"/>
      <c r="AA5" s="987" t="s">
        <v>152</v>
      </c>
      <c r="AB5" s="987"/>
      <c r="AC5" s="987"/>
      <c r="AD5" s="987"/>
      <c r="AE5" s="987"/>
      <c r="AF5" s="987"/>
      <c r="AG5" s="987"/>
      <c r="AH5" s="987"/>
      <c r="AI5" s="987"/>
      <c r="AJ5" s="987"/>
      <c r="AK5" s="987"/>
      <c r="AL5" s="987"/>
    </row>
    <row r="6" spans="1:38" s="73" customFormat="1" ht="39" customHeight="1" thickTop="1" thickBot="1" x14ac:dyDescent="0.3">
      <c r="A6" s="192" t="s">
        <v>145</v>
      </c>
      <c r="B6" s="187" t="s">
        <v>162</v>
      </c>
      <c r="C6" s="984" t="s">
        <v>387</v>
      </c>
      <c r="D6" s="985"/>
      <c r="E6" s="985"/>
      <c r="F6" s="986"/>
      <c r="G6" s="72" t="s">
        <v>388</v>
      </c>
      <c r="H6" s="72"/>
      <c r="I6" s="72"/>
      <c r="J6" s="72"/>
      <c r="K6" s="382" t="s">
        <v>784</v>
      </c>
      <c r="L6" s="382"/>
      <c r="M6" s="382"/>
      <c r="N6" s="382"/>
      <c r="O6" s="382" t="s">
        <v>387</v>
      </c>
      <c r="P6" s="383"/>
      <c r="Q6" s="383"/>
      <c r="R6" s="383"/>
      <c r="S6" s="383" t="s">
        <v>388</v>
      </c>
      <c r="T6" s="383"/>
      <c r="U6" s="383"/>
      <c r="V6" s="383"/>
      <c r="W6" s="383" t="s">
        <v>784</v>
      </c>
      <c r="X6" s="383"/>
      <c r="Y6" s="383"/>
      <c r="Z6" s="383"/>
      <c r="AA6" s="988" t="s">
        <v>387</v>
      </c>
      <c r="AB6" s="988"/>
      <c r="AC6" s="988"/>
      <c r="AD6" s="988"/>
      <c r="AE6" s="988" t="s">
        <v>388</v>
      </c>
      <c r="AF6" s="988"/>
      <c r="AG6" s="988"/>
      <c r="AH6" s="988"/>
      <c r="AI6" s="988" t="s">
        <v>784</v>
      </c>
      <c r="AJ6" s="988"/>
      <c r="AK6" s="988"/>
      <c r="AL6" s="988"/>
    </row>
    <row r="7" spans="1:38" s="3" customFormat="1" ht="33" thickTop="1" thickBot="1" x14ac:dyDescent="0.3">
      <c r="A7" s="1"/>
      <c r="B7" s="188"/>
      <c r="C7" s="2" t="s">
        <v>139</v>
      </c>
      <c r="D7" s="4" t="s">
        <v>140</v>
      </c>
      <c r="E7" s="4" t="s">
        <v>367</v>
      </c>
      <c r="F7" s="4" t="s">
        <v>152</v>
      </c>
      <c r="G7" s="359" t="s">
        <v>139</v>
      </c>
      <c r="H7" s="359" t="s">
        <v>140</v>
      </c>
      <c r="I7" s="359" t="s">
        <v>367</v>
      </c>
      <c r="J7" s="359" t="s">
        <v>152</v>
      </c>
      <c r="K7" s="4" t="s">
        <v>139</v>
      </c>
      <c r="L7" s="4" t="s">
        <v>140</v>
      </c>
      <c r="M7" s="4" t="s">
        <v>367</v>
      </c>
      <c r="N7" s="4" t="s">
        <v>152</v>
      </c>
      <c r="O7" s="4" t="s">
        <v>139</v>
      </c>
      <c r="P7" s="4" t="s">
        <v>140</v>
      </c>
      <c r="Q7" s="4" t="s">
        <v>367</v>
      </c>
      <c r="R7" s="4" t="s">
        <v>152</v>
      </c>
      <c r="S7" s="4" t="s">
        <v>139</v>
      </c>
      <c r="T7" s="4" t="s">
        <v>140</v>
      </c>
      <c r="U7" s="4" t="s">
        <v>367</v>
      </c>
      <c r="V7" s="4" t="s">
        <v>152</v>
      </c>
      <c r="W7" s="4" t="s">
        <v>139</v>
      </c>
      <c r="X7" s="4" t="s">
        <v>140</v>
      </c>
      <c r="Y7" s="4" t="s">
        <v>367</v>
      </c>
      <c r="Z7" s="4" t="s">
        <v>152</v>
      </c>
      <c r="AA7" s="4" t="s">
        <v>139</v>
      </c>
      <c r="AB7" s="4" t="s">
        <v>140</v>
      </c>
      <c r="AC7" s="4" t="s">
        <v>367</v>
      </c>
      <c r="AD7" s="4" t="s">
        <v>152</v>
      </c>
      <c r="AE7" s="4" t="s">
        <v>139</v>
      </c>
      <c r="AF7" s="4" t="s">
        <v>140</v>
      </c>
      <c r="AG7" s="4" t="s">
        <v>367</v>
      </c>
      <c r="AH7" s="4" t="s">
        <v>152</v>
      </c>
      <c r="AI7" s="4" t="s">
        <v>139</v>
      </c>
      <c r="AJ7" s="4" t="s">
        <v>140</v>
      </c>
      <c r="AK7" s="4" t="s">
        <v>367</v>
      </c>
      <c r="AL7" s="4" t="s">
        <v>152</v>
      </c>
    </row>
    <row r="8" spans="1:38" s="73" customFormat="1" ht="17.25" thickTop="1" thickBot="1" x14ac:dyDescent="0.3">
      <c r="A8" s="74" t="s">
        <v>146</v>
      </c>
      <c r="B8" s="189"/>
      <c r="C8" s="75" t="s">
        <v>398</v>
      </c>
      <c r="D8" s="76"/>
      <c r="E8" s="76"/>
      <c r="F8" s="76"/>
      <c r="G8" s="377" t="s">
        <v>399</v>
      </c>
      <c r="H8" s="378"/>
      <c r="I8" s="378"/>
      <c r="J8" s="72"/>
      <c r="K8" s="383" t="s">
        <v>400</v>
      </c>
      <c r="L8" s="383"/>
      <c r="M8" s="383"/>
      <c r="N8" s="383"/>
      <c r="O8" s="981" t="s">
        <v>401</v>
      </c>
      <c r="P8" s="981"/>
      <c r="Q8" s="981"/>
      <c r="R8" s="981"/>
      <c r="S8" s="981" t="s">
        <v>402</v>
      </c>
      <c r="T8" s="981"/>
      <c r="U8" s="981"/>
      <c r="V8" s="981"/>
      <c r="W8" s="981" t="s">
        <v>403</v>
      </c>
      <c r="X8" s="981"/>
      <c r="Y8" s="981"/>
      <c r="Z8" s="981"/>
      <c r="AA8" s="981" t="s">
        <v>404</v>
      </c>
      <c r="AB8" s="981"/>
      <c r="AC8" s="981"/>
      <c r="AD8" s="981"/>
      <c r="AE8" s="981" t="s">
        <v>405</v>
      </c>
      <c r="AF8" s="981"/>
      <c r="AG8" s="981"/>
      <c r="AH8" s="981"/>
      <c r="AI8" s="981" t="s">
        <v>406</v>
      </c>
      <c r="AJ8" s="981"/>
      <c r="AK8" s="981"/>
      <c r="AL8" s="981"/>
    </row>
    <row r="9" spans="1:38" ht="16.5" thickTop="1" x14ac:dyDescent="0.25">
      <c r="A9" s="77" t="s">
        <v>27</v>
      </c>
      <c r="B9" s="77" t="s">
        <v>163</v>
      </c>
      <c r="C9" s="78">
        <v>286903</v>
      </c>
      <c r="D9" s="79">
        <v>195750</v>
      </c>
      <c r="E9" s="79">
        <v>0</v>
      </c>
      <c r="F9" s="80">
        <f>SUM(C9:E9)</f>
        <v>482653</v>
      </c>
      <c r="G9" s="80">
        <v>-53915</v>
      </c>
      <c r="H9" s="80">
        <v>-16494</v>
      </c>
      <c r="I9" s="80"/>
      <c r="J9" s="80">
        <f>SUM(G9:I9)</f>
        <v>-70409</v>
      </c>
      <c r="K9" s="80">
        <f>SUM(C9+G9)</f>
        <v>232988</v>
      </c>
      <c r="L9" s="80">
        <f>SUM(D9+H9)</f>
        <v>179256</v>
      </c>
      <c r="M9" s="80">
        <f>SUM(E9+I9)</f>
        <v>0</v>
      </c>
      <c r="N9" s="381">
        <f>SUM(K9:M9)</f>
        <v>412244</v>
      </c>
      <c r="O9" s="78">
        <v>5621725</v>
      </c>
      <c r="P9" s="81">
        <v>1484825</v>
      </c>
      <c r="Q9" s="81">
        <v>618574</v>
      </c>
      <c r="R9" s="81">
        <f>SUM(O9:Q9)</f>
        <v>7725124</v>
      </c>
      <c r="S9" s="81">
        <v>67062</v>
      </c>
      <c r="T9" s="81">
        <v>56514</v>
      </c>
      <c r="U9" s="81">
        <v>-1435</v>
      </c>
      <c r="V9" s="81">
        <f>SUM(S9:U9)</f>
        <v>122141</v>
      </c>
      <c r="W9" s="81">
        <f>SUM(O9+S9)</f>
        <v>5688787</v>
      </c>
      <c r="X9" s="81">
        <f t="shared" ref="W9:Y10" si="0">SUM(P9+T9)</f>
        <v>1541339</v>
      </c>
      <c r="Y9" s="81">
        <f t="shared" si="0"/>
        <v>617139</v>
      </c>
      <c r="Z9" s="380">
        <f>SUM(W9:Y9)</f>
        <v>7847265</v>
      </c>
      <c r="AA9" s="82">
        <f t="shared" ref="AA9:AB13" si="1">+C9+O9</f>
        <v>5908628</v>
      </c>
      <c r="AB9" s="83">
        <f t="shared" si="1"/>
        <v>1680575</v>
      </c>
      <c r="AC9" s="84">
        <f t="shared" ref="AC9:AC20" si="2">SUM(Q9+E9)</f>
        <v>618574</v>
      </c>
      <c r="AD9" s="85">
        <f>SUM(AA9:AC9)</f>
        <v>8207777</v>
      </c>
      <c r="AE9" s="82">
        <f>+G9+S9</f>
        <v>13147</v>
      </c>
      <c r="AF9" s="83">
        <f t="shared" ref="AE9:AF13" si="3">+H9+T9</f>
        <v>40020</v>
      </c>
      <c r="AG9" s="84">
        <f t="shared" ref="AG9:AG13" si="4">SUM(U9+I9)</f>
        <v>-1435</v>
      </c>
      <c r="AH9" s="85">
        <f t="shared" ref="AH9:AH13" si="5">SUM(AE9:AG9)</f>
        <v>51732</v>
      </c>
      <c r="AI9" s="82">
        <f>+K9+W9</f>
        <v>5921775</v>
      </c>
      <c r="AJ9" s="83">
        <f t="shared" ref="AI9:AJ13" si="6">+L9+X9</f>
        <v>1720595</v>
      </c>
      <c r="AK9" s="84">
        <f t="shared" ref="AK9:AK13" si="7">SUM(Y9+M9)</f>
        <v>617139</v>
      </c>
      <c r="AL9" s="85">
        <f t="shared" ref="AL9:AL13" si="8">SUM(AI9:AK9)</f>
        <v>8259509</v>
      </c>
    </row>
    <row r="10" spans="1:38" ht="31.5" x14ac:dyDescent="0.25">
      <c r="A10" s="87" t="s">
        <v>28</v>
      </c>
      <c r="B10" s="87" t="s">
        <v>164</v>
      </c>
      <c r="C10" s="88">
        <v>56699</v>
      </c>
      <c r="D10" s="89">
        <v>59618</v>
      </c>
      <c r="E10" s="89">
        <v>0</v>
      </c>
      <c r="F10" s="88">
        <f>SUM(C10:E10)</f>
        <v>116317</v>
      </c>
      <c r="G10" s="89">
        <v>-12968</v>
      </c>
      <c r="H10" s="89">
        <v>-6879</v>
      </c>
      <c r="I10" s="89"/>
      <c r="J10" s="89">
        <f>SUM(G10:I10)</f>
        <v>-19847</v>
      </c>
      <c r="K10" s="89">
        <f>SUM(C10+G10)</f>
        <v>43731</v>
      </c>
      <c r="L10" s="89">
        <f t="shared" ref="L10:M10" si="9">SUM(D10+H10)</f>
        <v>52739</v>
      </c>
      <c r="M10" s="89">
        <f t="shared" si="9"/>
        <v>0</v>
      </c>
      <c r="N10" s="88">
        <f>SUM(K10:M10)</f>
        <v>96470</v>
      </c>
      <c r="O10" s="88">
        <v>1171362</v>
      </c>
      <c r="P10" s="89">
        <v>319864</v>
      </c>
      <c r="Q10" s="89">
        <v>127189</v>
      </c>
      <c r="R10" s="88">
        <f>SUM(O10:Q10)</f>
        <v>1618415</v>
      </c>
      <c r="S10" s="89">
        <v>28440</v>
      </c>
      <c r="T10" s="89">
        <v>16841</v>
      </c>
      <c r="U10" s="89">
        <v>1924</v>
      </c>
      <c r="V10" s="89">
        <f>SUM(S10:U10)</f>
        <v>47205</v>
      </c>
      <c r="W10" s="89">
        <f t="shared" si="0"/>
        <v>1199802</v>
      </c>
      <c r="X10" s="89">
        <f t="shared" si="0"/>
        <v>336705</v>
      </c>
      <c r="Y10" s="89">
        <f t="shared" si="0"/>
        <v>129113</v>
      </c>
      <c r="Z10" s="88">
        <f>SUM(W10:Y10)</f>
        <v>1665620</v>
      </c>
      <c r="AA10" s="90">
        <f t="shared" si="1"/>
        <v>1228061</v>
      </c>
      <c r="AB10" s="91">
        <f t="shared" si="1"/>
        <v>379482</v>
      </c>
      <c r="AC10" s="92">
        <f t="shared" si="2"/>
        <v>127189</v>
      </c>
      <c r="AD10" s="93">
        <f>SUM(AA10:AC10)</f>
        <v>1734732</v>
      </c>
      <c r="AE10" s="90">
        <f t="shared" si="3"/>
        <v>15472</v>
      </c>
      <c r="AF10" s="91">
        <f t="shared" si="3"/>
        <v>9962</v>
      </c>
      <c r="AG10" s="92">
        <f t="shared" si="4"/>
        <v>1924</v>
      </c>
      <c r="AH10" s="93">
        <f t="shared" si="5"/>
        <v>27358</v>
      </c>
      <c r="AI10" s="90">
        <f t="shared" si="6"/>
        <v>1243533</v>
      </c>
      <c r="AJ10" s="91">
        <f t="shared" si="6"/>
        <v>389444</v>
      </c>
      <c r="AK10" s="92">
        <f t="shared" si="7"/>
        <v>129113</v>
      </c>
      <c r="AL10" s="93">
        <f t="shared" si="8"/>
        <v>1762090</v>
      </c>
    </row>
    <row r="11" spans="1:38" x14ac:dyDescent="0.25">
      <c r="A11" s="94" t="s">
        <v>29</v>
      </c>
      <c r="B11" s="94" t="s">
        <v>165</v>
      </c>
      <c r="C11" s="88">
        <v>3184246</v>
      </c>
      <c r="D11" s="89">
        <v>5696230</v>
      </c>
      <c r="E11" s="89">
        <v>0</v>
      </c>
      <c r="F11" s="88">
        <f>SUM(C11:E11)</f>
        <v>8880476</v>
      </c>
      <c r="G11" s="89">
        <v>-280071</v>
      </c>
      <c r="H11" s="89">
        <v>-712791</v>
      </c>
      <c r="I11" s="89"/>
      <c r="J11" s="88">
        <f t="shared" ref="J11:J20" si="10">SUM(G11:I11)</f>
        <v>-992862</v>
      </c>
      <c r="K11" s="89">
        <f t="shared" ref="K11:K13" si="11">SUM(C11+G11)</f>
        <v>2904175</v>
      </c>
      <c r="L11" s="89">
        <f t="shared" ref="L11:L13" si="12">SUM(D11+H11)</f>
        <v>4983439</v>
      </c>
      <c r="M11" s="89">
        <f t="shared" ref="M11:M13" si="13">SUM(E11+I11)</f>
        <v>0</v>
      </c>
      <c r="N11" s="88">
        <f t="shared" ref="N11:N13" si="14">SUM(K11:M11)</f>
        <v>7887614</v>
      </c>
      <c r="O11" s="88">
        <v>4022494</v>
      </c>
      <c r="P11" s="89">
        <v>1027353</v>
      </c>
      <c r="Q11" s="89">
        <v>171271</v>
      </c>
      <c r="R11" s="88">
        <f>SUM(O11:Q11)</f>
        <v>5221118</v>
      </c>
      <c r="S11" s="89">
        <v>153184</v>
      </c>
      <c r="T11" s="89">
        <v>50824</v>
      </c>
      <c r="U11" s="89">
        <v>-799</v>
      </c>
      <c r="V11" s="89">
        <f t="shared" ref="V11:V20" si="15">SUM(S11:U11)</f>
        <v>203209</v>
      </c>
      <c r="W11" s="89">
        <f t="shared" ref="W11:W13" si="16">SUM(O11+S11)</f>
        <v>4175678</v>
      </c>
      <c r="X11" s="89">
        <f t="shared" ref="X11:X13" si="17">SUM(P11+T11)</f>
        <v>1078177</v>
      </c>
      <c r="Y11" s="89">
        <f t="shared" ref="Y11:Y13" si="18">SUM(Q11+U11)</f>
        <v>170472</v>
      </c>
      <c r="Z11" s="88">
        <f t="shared" ref="Z11:Z13" si="19">SUM(W11:Y11)</f>
        <v>5424327</v>
      </c>
      <c r="AA11" s="90">
        <f t="shared" si="1"/>
        <v>7206740</v>
      </c>
      <c r="AB11" s="91">
        <f t="shared" si="1"/>
        <v>6723583</v>
      </c>
      <c r="AC11" s="92">
        <f t="shared" si="2"/>
        <v>171271</v>
      </c>
      <c r="AD11" s="93">
        <f>SUM(AA11:AC11)</f>
        <v>14101594</v>
      </c>
      <c r="AE11" s="90">
        <f t="shared" si="3"/>
        <v>-126887</v>
      </c>
      <c r="AF11" s="91">
        <f t="shared" si="3"/>
        <v>-661967</v>
      </c>
      <c r="AG11" s="92">
        <f t="shared" si="4"/>
        <v>-799</v>
      </c>
      <c r="AH11" s="93">
        <f t="shared" si="5"/>
        <v>-789653</v>
      </c>
      <c r="AI11" s="90">
        <f t="shared" si="6"/>
        <v>7079853</v>
      </c>
      <c r="AJ11" s="91">
        <f t="shared" si="6"/>
        <v>6061616</v>
      </c>
      <c r="AK11" s="92">
        <f t="shared" si="7"/>
        <v>170472</v>
      </c>
      <c r="AL11" s="93">
        <f t="shared" si="8"/>
        <v>13311941</v>
      </c>
    </row>
    <row r="12" spans="1:38" x14ac:dyDescent="0.25">
      <c r="A12" s="94" t="s">
        <v>500</v>
      </c>
      <c r="B12" s="94" t="s">
        <v>166</v>
      </c>
      <c r="C12" s="88">
        <v>41014</v>
      </c>
      <c r="D12" s="89">
        <v>0</v>
      </c>
      <c r="E12" s="89">
        <v>0</v>
      </c>
      <c r="F12" s="88">
        <f>SUM(C12:E12)</f>
        <v>41014</v>
      </c>
      <c r="G12" s="88">
        <v>3137</v>
      </c>
      <c r="H12" s="88"/>
      <c r="I12" s="88"/>
      <c r="J12" s="88">
        <f t="shared" si="10"/>
        <v>3137</v>
      </c>
      <c r="K12" s="89">
        <f t="shared" si="11"/>
        <v>44151</v>
      </c>
      <c r="L12" s="89">
        <f t="shared" si="12"/>
        <v>0</v>
      </c>
      <c r="M12" s="89">
        <f t="shared" si="13"/>
        <v>0</v>
      </c>
      <c r="N12" s="88">
        <f t="shared" si="14"/>
        <v>44151</v>
      </c>
      <c r="O12" s="88">
        <v>73244</v>
      </c>
      <c r="P12" s="95">
        <v>0</v>
      </c>
      <c r="Q12" s="95">
        <v>0</v>
      </c>
      <c r="R12" s="81">
        <f>SUM(O12:Q12)</f>
        <v>73244</v>
      </c>
      <c r="S12" s="81">
        <v>1126</v>
      </c>
      <c r="T12" s="81">
        <v>0</v>
      </c>
      <c r="U12" s="81">
        <v>0</v>
      </c>
      <c r="V12" s="89">
        <f t="shared" si="15"/>
        <v>1126</v>
      </c>
      <c r="W12" s="89">
        <f t="shared" si="16"/>
        <v>74370</v>
      </c>
      <c r="X12" s="89">
        <f t="shared" si="17"/>
        <v>0</v>
      </c>
      <c r="Y12" s="89">
        <f t="shared" si="18"/>
        <v>0</v>
      </c>
      <c r="Z12" s="88">
        <f t="shared" si="19"/>
        <v>74370</v>
      </c>
      <c r="AA12" s="96">
        <f t="shared" si="1"/>
        <v>114258</v>
      </c>
      <c r="AB12" s="97">
        <f t="shared" si="1"/>
        <v>0</v>
      </c>
      <c r="AC12" s="92">
        <f>SUM(Q12+E12)</f>
        <v>0</v>
      </c>
      <c r="AD12" s="98">
        <f>SUM(AA12:AC12)</f>
        <v>114258</v>
      </c>
      <c r="AE12" s="96">
        <f t="shared" si="3"/>
        <v>4263</v>
      </c>
      <c r="AF12" s="97">
        <f t="shared" si="3"/>
        <v>0</v>
      </c>
      <c r="AG12" s="92">
        <f t="shared" si="4"/>
        <v>0</v>
      </c>
      <c r="AH12" s="98">
        <f t="shared" si="5"/>
        <v>4263</v>
      </c>
      <c r="AI12" s="96">
        <f t="shared" si="6"/>
        <v>118521</v>
      </c>
      <c r="AJ12" s="97">
        <f t="shared" si="6"/>
        <v>0</v>
      </c>
      <c r="AK12" s="92">
        <f t="shared" si="7"/>
        <v>0</v>
      </c>
      <c r="AL12" s="98">
        <f t="shared" si="8"/>
        <v>118521</v>
      </c>
    </row>
    <row r="13" spans="1:38" ht="31.5" x14ac:dyDescent="0.25">
      <c r="A13" s="87" t="s">
        <v>190</v>
      </c>
      <c r="B13" s="87" t="s">
        <v>330</v>
      </c>
      <c r="C13" s="88">
        <v>11642845</v>
      </c>
      <c r="D13" s="89">
        <v>2835893</v>
      </c>
      <c r="E13" s="89">
        <v>0</v>
      </c>
      <c r="F13" s="88">
        <f>SUM(C13:E13)</f>
        <v>14478738</v>
      </c>
      <c r="G13" s="89">
        <v>39104</v>
      </c>
      <c r="H13" s="89">
        <v>46448</v>
      </c>
      <c r="I13" s="89"/>
      <c r="J13" s="88">
        <f t="shared" si="10"/>
        <v>85552</v>
      </c>
      <c r="K13" s="89">
        <f t="shared" si="11"/>
        <v>11681949</v>
      </c>
      <c r="L13" s="89">
        <f t="shared" si="12"/>
        <v>2882341</v>
      </c>
      <c r="M13" s="89">
        <f t="shared" si="13"/>
        <v>0</v>
      </c>
      <c r="N13" s="88">
        <f t="shared" si="14"/>
        <v>14564290</v>
      </c>
      <c r="O13" s="88">
        <v>134</v>
      </c>
      <c r="P13" s="89">
        <v>0</v>
      </c>
      <c r="Q13" s="89">
        <v>0</v>
      </c>
      <c r="R13" s="88">
        <f>SUM(O13:Q13)</f>
        <v>134</v>
      </c>
      <c r="S13" s="89">
        <v>19507</v>
      </c>
      <c r="T13" s="89">
        <v>0</v>
      </c>
      <c r="U13" s="89">
        <v>0</v>
      </c>
      <c r="V13" s="89">
        <f t="shared" si="15"/>
        <v>19507</v>
      </c>
      <c r="W13" s="89">
        <f t="shared" si="16"/>
        <v>19641</v>
      </c>
      <c r="X13" s="89">
        <f t="shared" si="17"/>
        <v>0</v>
      </c>
      <c r="Y13" s="89">
        <f t="shared" si="18"/>
        <v>0</v>
      </c>
      <c r="Z13" s="88">
        <f t="shared" si="19"/>
        <v>19641</v>
      </c>
      <c r="AA13" s="90">
        <f t="shared" si="1"/>
        <v>11642979</v>
      </c>
      <c r="AB13" s="91">
        <f t="shared" si="1"/>
        <v>2835893</v>
      </c>
      <c r="AC13" s="92">
        <f t="shared" si="2"/>
        <v>0</v>
      </c>
      <c r="AD13" s="93">
        <f>SUM(AA13:AC13)</f>
        <v>14478872</v>
      </c>
      <c r="AE13" s="90">
        <f t="shared" si="3"/>
        <v>58611</v>
      </c>
      <c r="AF13" s="91">
        <f t="shared" si="3"/>
        <v>46448</v>
      </c>
      <c r="AG13" s="92">
        <f t="shared" si="4"/>
        <v>0</v>
      </c>
      <c r="AH13" s="93">
        <f t="shared" si="5"/>
        <v>105059</v>
      </c>
      <c r="AI13" s="90">
        <f t="shared" si="6"/>
        <v>11701590</v>
      </c>
      <c r="AJ13" s="91">
        <f t="shared" si="6"/>
        <v>2882341</v>
      </c>
      <c r="AK13" s="92">
        <f t="shared" si="7"/>
        <v>0</v>
      </c>
      <c r="AL13" s="93">
        <f t="shared" si="8"/>
        <v>14583931</v>
      </c>
    </row>
    <row r="14" spans="1:38" ht="31.5" x14ac:dyDescent="0.25">
      <c r="A14" s="336" t="s">
        <v>372</v>
      </c>
      <c r="B14" s="99"/>
      <c r="C14" s="100">
        <f>SUM(C9:C13)</f>
        <v>15211707</v>
      </c>
      <c r="D14" s="100">
        <f t="shared" ref="D14:AD14" si="20">SUM(D9:D13)</f>
        <v>8787491</v>
      </c>
      <c r="E14" s="100">
        <f>SUM(E9:E13)</f>
        <v>0</v>
      </c>
      <c r="F14" s="100">
        <f t="shared" si="20"/>
        <v>23999198</v>
      </c>
      <c r="G14" s="100">
        <f t="shared" si="20"/>
        <v>-304713</v>
      </c>
      <c r="H14" s="100">
        <f t="shared" si="20"/>
        <v>-689716</v>
      </c>
      <c r="I14" s="100">
        <f t="shared" si="20"/>
        <v>0</v>
      </c>
      <c r="J14" s="100">
        <f t="shared" si="20"/>
        <v>-994429</v>
      </c>
      <c r="K14" s="100">
        <f t="shared" si="20"/>
        <v>14906994</v>
      </c>
      <c r="L14" s="100">
        <f t="shared" si="20"/>
        <v>8097775</v>
      </c>
      <c r="M14" s="100">
        <f t="shared" si="20"/>
        <v>0</v>
      </c>
      <c r="N14" s="100">
        <f t="shared" si="20"/>
        <v>23004769</v>
      </c>
      <c r="O14" s="100">
        <f t="shared" si="20"/>
        <v>10888959</v>
      </c>
      <c r="P14" s="100">
        <f t="shared" si="20"/>
        <v>2832042</v>
      </c>
      <c r="Q14" s="100">
        <f t="shared" si="20"/>
        <v>917034</v>
      </c>
      <c r="R14" s="100">
        <f t="shared" si="20"/>
        <v>14638035</v>
      </c>
      <c r="S14" s="100">
        <f t="shared" si="20"/>
        <v>269319</v>
      </c>
      <c r="T14" s="100">
        <f t="shared" si="20"/>
        <v>124179</v>
      </c>
      <c r="U14" s="100">
        <f t="shared" si="20"/>
        <v>-310</v>
      </c>
      <c r="V14" s="100">
        <f t="shared" si="20"/>
        <v>393188</v>
      </c>
      <c r="W14" s="100">
        <f t="shared" si="20"/>
        <v>11158278</v>
      </c>
      <c r="X14" s="100">
        <f t="shared" si="20"/>
        <v>2956221</v>
      </c>
      <c r="Y14" s="100">
        <f t="shared" si="20"/>
        <v>916724</v>
      </c>
      <c r="Z14" s="100">
        <f t="shared" si="20"/>
        <v>15031223</v>
      </c>
      <c r="AA14" s="100">
        <f t="shared" si="20"/>
        <v>26100666</v>
      </c>
      <c r="AB14" s="100">
        <f t="shared" si="20"/>
        <v>11619533</v>
      </c>
      <c r="AC14" s="100">
        <f t="shared" si="20"/>
        <v>917034</v>
      </c>
      <c r="AD14" s="100">
        <f t="shared" si="20"/>
        <v>38637233</v>
      </c>
      <c r="AE14" s="100">
        <f t="shared" ref="AE14:AL14" si="21">SUM(AE9:AE13)</f>
        <v>-35394</v>
      </c>
      <c r="AF14" s="100">
        <f t="shared" si="21"/>
        <v>-565537</v>
      </c>
      <c r="AG14" s="100">
        <f t="shared" si="21"/>
        <v>-310</v>
      </c>
      <c r="AH14" s="100">
        <f t="shared" si="21"/>
        <v>-601241</v>
      </c>
      <c r="AI14" s="100">
        <f t="shared" si="21"/>
        <v>26065272</v>
      </c>
      <c r="AJ14" s="100">
        <f t="shared" si="21"/>
        <v>11053996</v>
      </c>
      <c r="AK14" s="100">
        <f t="shared" si="21"/>
        <v>916724</v>
      </c>
      <c r="AL14" s="100">
        <f t="shared" si="21"/>
        <v>38035992</v>
      </c>
    </row>
    <row r="15" spans="1:38" x14ac:dyDescent="0.25">
      <c r="A15" s="94" t="s">
        <v>170</v>
      </c>
      <c r="B15" s="94" t="s">
        <v>167</v>
      </c>
      <c r="C15" s="88">
        <v>7607991</v>
      </c>
      <c r="D15" s="89">
        <v>21360972</v>
      </c>
      <c r="E15" s="89">
        <v>0</v>
      </c>
      <c r="F15" s="89">
        <f>SUM(C15:E15)</f>
        <v>28968963</v>
      </c>
      <c r="G15" s="89">
        <v>-574171</v>
      </c>
      <c r="H15" s="89">
        <v>-3331854</v>
      </c>
      <c r="I15" s="89"/>
      <c r="J15" s="88">
        <f t="shared" si="10"/>
        <v>-3906025</v>
      </c>
      <c r="K15" s="89">
        <f t="shared" ref="K15:K17" si="22">SUM(C15+G15)</f>
        <v>7033820</v>
      </c>
      <c r="L15" s="89">
        <f t="shared" ref="L15:L17" si="23">SUM(D15+H15)</f>
        <v>18029118</v>
      </c>
      <c r="M15" s="89">
        <f t="shared" ref="M15:M17" si="24">SUM(E15+I15)</f>
        <v>0</v>
      </c>
      <c r="N15" s="88">
        <f t="shared" ref="N15:N17" si="25">SUM(K15:M15)</f>
        <v>25062938</v>
      </c>
      <c r="O15" s="88">
        <v>186930</v>
      </c>
      <c r="P15" s="89">
        <v>38119</v>
      </c>
      <c r="Q15" s="89">
        <v>72656</v>
      </c>
      <c r="R15" s="89">
        <f>SUM(O15:Q15)</f>
        <v>297705</v>
      </c>
      <c r="S15" s="89">
        <v>79234</v>
      </c>
      <c r="T15" s="89">
        <v>26790</v>
      </c>
      <c r="U15" s="89">
        <v>310</v>
      </c>
      <c r="V15" s="89">
        <f t="shared" si="15"/>
        <v>106334</v>
      </c>
      <c r="W15" s="89">
        <f t="shared" ref="W15:W17" si="26">SUM(O15+S15)</f>
        <v>266164</v>
      </c>
      <c r="X15" s="89">
        <f t="shared" ref="X15:X17" si="27">SUM(P15+T15)</f>
        <v>64909</v>
      </c>
      <c r="Y15" s="89">
        <f t="shared" ref="Y15:Y17" si="28">SUM(Q15+U15)</f>
        <v>72966</v>
      </c>
      <c r="Z15" s="88">
        <f t="shared" ref="Z15:Z17" si="29">SUM(W15:Y15)</f>
        <v>404039</v>
      </c>
      <c r="AA15" s="90">
        <f t="shared" ref="AA15:AB17" si="30">+C15+O15</f>
        <v>7794921</v>
      </c>
      <c r="AB15" s="91">
        <f t="shared" si="30"/>
        <v>21399091</v>
      </c>
      <c r="AC15" s="92">
        <f t="shared" si="2"/>
        <v>72656</v>
      </c>
      <c r="AD15" s="93">
        <f>SUM(AA15:AC15)</f>
        <v>29266668</v>
      </c>
      <c r="AE15" s="90">
        <f t="shared" ref="AE15:AF17" si="31">+G15+S15</f>
        <v>-494937</v>
      </c>
      <c r="AF15" s="91">
        <f t="shared" si="31"/>
        <v>-3305064</v>
      </c>
      <c r="AG15" s="92">
        <f t="shared" ref="AG15:AG20" si="32">SUM(U15+I15)</f>
        <v>310</v>
      </c>
      <c r="AH15" s="93">
        <f t="shared" ref="AH15:AH17" si="33">SUM(AE15:AG15)</f>
        <v>-3799691</v>
      </c>
      <c r="AI15" s="90">
        <f t="shared" ref="AI15:AJ17" si="34">+K15+W15</f>
        <v>7299984</v>
      </c>
      <c r="AJ15" s="91">
        <f t="shared" si="34"/>
        <v>18094027</v>
      </c>
      <c r="AK15" s="92">
        <f t="shared" ref="AK15:AK20" si="35">SUM(Y15+M15)</f>
        <v>72966</v>
      </c>
      <c r="AL15" s="93">
        <f t="shared" ref="AL15:AL17" si="36">SUM(AI15:AK15)</f>
        <v>25466977</v>
      </c>
    </row>
    <row r="16" spans="1:38" x14ac:dyDescent="0.25">
      <c r="A16" s="94" t="s">
        <v>171</v>
      </c>
      <c r="B16" s="94" t="s">
        <v>168</v>
      </c>
      <c r="C16" s="88">
        <v>1588765</v>
      </c>
      <c r="D16" s="89">
        <v>2368725</v>
      </c>
      <c r="E16" s="89">
        <v>0</v>
      </c>
      <c r="F16" s="89">
        <f>SUM(C16:E16)</f>
        <v>3957490</v>
      </c>
      <c r="G16" s="89">
        <v>-724866</v>
      </c>
      <c r="H16" s="89">
        <v>-1714910</v>
      </c>
      <c r="I16" s="89"/>
      <c r="J16" s="89">
        <f t="shared" si="10"/>
        <v>-2439776</v>
      </c>
      <c r="K16" s="89">
        <f t="shared" si="22"/>
        <v>863899</v>
      </c>
      <c r="L16" s="89">
        <f t="shared" si="23"/>
        <v>653815</v>
      </c>
      <c r="M16" s="89">
        <f t="shared" si="24"/>
        <v>0</v>
      </c>
      <c r="N16" s="88">
        <f t="shared" si="25"/>
        <v>1517714</v>
      </c>
      <c r="O16" s="88">
        <v>16521</v>
      </c>
      <c r="P16" s="89">
        <v>14603</v>
      </c>
      <c r="Q16" s="89">
        <v>9381</v>
      </c>
      <c r="R16" s="89">
        <f>SUM(O16:Q16)</f>
        <v>40505</v>
      </c>
      <c r="S16" s="89">
        <v>176</v>
      </c>
      <c r="T16" s="89">
        <v>1333</v>
      </c>
      <c r="U16" s="89">
        <v>0</v>
      </c>
      <c r="V16" s="89">
        <f t="shared" si="15"/>
        <v>1509</v>
      </c>
      <c r="W16" s="89">
        <f t="shared" si="26"/>
        <v>16697</v>
      </c>
      <c r="X16" s="89">
        <f t="shared" si="27"/>
        <v>15936</v>
      </c>
      <c r="Y16" s="89">
        <f t="shared" si="28"/>
        <v>9381</v>
      </c>
      <c r="Z16" s="88">
        <f t="shared" si="29"/>
        <v>42014</v>
      </c>
      <c r="AA16" s="90">
        <f t="shared" si="30"/>
        <v>1605286</v>
      </c>
      <c r="AB16" s="91">
        <f t="shared" si="30"/>
        <v>2383328</v>
      </c>
      <c r="AC16" s="92">
        <f t="shared" si="2"/>
        <v>9381</v>
      </c>
      <c r="AD16" s="93">
        <f>SUM(AA16:AC16)</f>
        <v>3997995</v>
      </c>
      <c r="AE16" s="90">
        <f t="shared" si="31"/>
        <v>-724690</v>
      </c>
      <c r="AF16" s="91">
        <f t="shared" si="31"/>
        <v>-1713577</v>
      </c>
      <c r="AG16" s="92">
        <f t="shared" si="32"/>
        <v>0</v>
      </c>
      <c r="AH16" s="93">
        <f t="shared" si="33"/>
        <v>-2438267</v>
      </c>
      <c r="AI16" s="90">
        <f t="shared" si="34"/>
        <v>880596</v>
      </c>
      <c r="AJ16" s="91">
        <f t="shared" si="34"/>
        <v>669751</v>
      </c>
      <c r="AK16" s="92">
        <f t="shared" si="35"/>
        <v>9381</v>
      </c>
      <c r="AL16" s="93">
        <f t="shared" si="36"/>
        <v>1559728</v>
      </c>
    </row>
    <row r="17" spans="1:38" x14ac:dyDescent="0.25">
      <c r="A17" s="94" t="s">
        <v>281</v>
      </c>
      <c r="B17" s="94" t="s">
        <v>169</v>
      </c>
      <c r="C17" s="88">
        <v>205411</v>
      </c>
      <c r="D17" s="89">
        <v>1136274</v>
      </c>
      <c r="E17" s="89">
        <v>0</v>
      </c>
      <c r="F17" s="89">
        <f>SUM(C17:E17)</f>
        <v>1341685</v>
      </c>
      <c r="G17" s="89">
        <v>-830</v>
      </c>
      <c r="H17" s="89">
        <v>0</v>
      </c>
      <c r="I17" s="89"/>
      <c r="J17" s="89">
        <f t="shared" si="10"/>
        <v>-830</v>
      </c>
      <c r="K17" s="89">
        <f t="shared" si="22"/>
        <v>204581</v>
      </c>
      <c r="L17" s="89">
        <f t="shared" si="23"/>
        <v>1136274</v>
      </c>
      <c r="M17" s="89">
        <f t="shared" si="24"/>
        <v>0</v>
      </c>
      <c r="N17" s="88">
        <f t="shared" si="25"/>
        <v>1340855</v>
      </c>
      <c r="O17" s="88">
        <v>0</v>
      </c>
      <c r="P17" s="89">
        <v>0</v>
      </c>
      <c r="Q17" s="89">
        <v>0</v>
      </c>
      <c r="R17" s="89">
        <f>SUM(O17:Q17)</f>
        <v>0</v>
      </c>
      <c r="S17" s="89">
        <v>0</v>
      </c>
      <c r="T17" s="89">
        <v>0</v>
      </c>
      <c r="U17" s="89">
        <v>0</v>
      </c>
      <c r="V17" s="89">
        <f t="shared" si="15"/>
        <v>0</v>
      </c>
      <c r="W17" s="89">
        <f t="shared" si="26"/>
        <v>0</v>
      </c>
      <c r="X17" s="89">
        <f t="shared" si="27"/>
        <v>0</v>
      </c>
      <c r="Y17" s="89">
        <f t="shared" si="28"/>
        <v>0</v>
      </c>
      <c r="Z17" s="88">
        <f t="shared" si="29"/>
        <v>0</v>
      </c>
      <c r="AA17" s="90">
        <f t="shared" si="30"/>
        <v>205411</v>
      </c>
      <c r="AB17" s="91">
        <f t="shared" si="30"/>
        <v>1136274</v>
      </c>
      <c r="AC17" s="92">
        <f t="shared" si="2"/>
        <v>0</v>
      </c>
      <c r="AD17" s="93">
        <f>SUM(AA17:AC17)</f>
        <v>1341685</v>
      </c>
      <c r="AE17" s="90">
        <f t="shared" si="31"/>
        <v>-830</v>
      </c>
      <c r="AF17" s="91">
        <f t="shared" si="31"/>
        <v>0</v>
      </c>
      <c r="AG17" s="92">
        <f t="shared" si="32"/>
        <v>0</v>
      </c>
      <c r="AH17" s="93">
        <f t="shared" si="33"/>
        <v>-830</v>
      </c>
      <c r="AI17" s="90">
        <f t="shared" si="34"/>
        <v>204581</v>
      </c>
      <c r="AJ17" s="91">
        <f t="shared" si="34"/>
        <v>1136274</v>
      </c>
      <c r="AK17" s="92">
        <f t="shared" si="35"/>
        <v>0</v>
      </c>
      <c r="AL17" s="93">
        <f t="shared" si="36"/>
        <v>1340855</v>
      </c>
    </row>
    <row r="18" spans="1:38" ht="31.5" x14ac:dyDescent="0.25">
      <c r="A18" s="336" t="s">
        <v>373</v>
      </c>
      <c r="B18" s="190"/>
      <c r="C18" s="101">
        <f t="shared" ref="C18:AB18" si="37">SUM(C15:C17)</f>
        <v>9402167</v>
      </c>
      <c r="D18" s="101">
        <f t="shared" si="37"/>
        <v>24865971</v>
      </c>
      <c r="E18" s="101">
        <f t="shared" si="37"/>
        <v>0</v>
      </c>
      <c r="F18" s="101">
        <f t="shared" si="37"/>
        <v>34268138</v>
      </c>
      <c r="G18" s="101">
        <f t="shared" si="37"/>
        <v>-1299867</v>
      </c>
      <c r="H18" s="101">
        <f t="shared" si="37"/>
        <v>-5046764</v>
      </c>
      <c r="I18" s="101">
        <f t="shared" si="37"/>
        <v>0</v>
      </c>
      <c r="J18" s="101">
        <f t="shared" si="37"/>
        <v>-6346631</v>
      </c>
      <c r="K18" s="101">
        <f t="shared" si="37"/>
        <v>8102300</v>
      </c>
      <c r="L18" s="101">
        <f t="shared" si="37"/>
        <v>19819207</v>
      </c>
      <c r="M18" s="101">
        <f t="shared" si="37"/>
        <v>0</v>
      </c>
      <c r="N18" s="100">
        <f t="shared" si="37"/>
        <v>27921507</v>
      </c>
      <c r="O18" s="100">
        <f t="shared" si="37"/>
        <v>203451</v>
      </c>
      <c r="P18" s="101">
        <f t="shared" si="37"/>
        <v>52722</v>
      </c>
      <c r="Q18" s="101">
        <f t="shared" si="37"/>
        <v>82037</v>
      </c>
      <c r="R18" s="101">
        <f t="shared" si="37"/>
        <v>338210</v>
      </c>
      <c r="S18" s="101">
        <f t="shared" si="37"/>
        <v>79410</v>
      </c>
      <c r="T18" s="101">
        <f t="shared" si="37"/>
        <v>28123</v>
      </c>
      <c r="U18" s="101">
        <f t="shared" si="37"/>
        <v>310</v>
      </c>
      <c r="V18" s="101">
        <f t="shared" si="37"/>
        <v>107843</v>
      </c>
      <c r="W18" s="101">
        <f t="shared" si="37"/>
        <v>282861</v>
      </c>
      <c r="X18" s="101">
        <f t="shared" si="37"/>
        <v>80845</v>
      </c>
      <c r="Y18" s="101">
        <f t="shared" si="37"/>
        <v>82347</v>
      </c>
      <c r="Z18" s="100">
        <f t="shared" si="37"/>
        <v>446053</v>
      </c>
      <c r="AA18" s="101">
        <f t="shared" si="37"/>
        <v>9605618</v>
      </c>
      <c r="AB18" s="102">
        <f t="shared" si="37"/>
        <v>24918693</v>
      </c>
      <c r="AC18" s="92">
        <f t="shared" si="2"/>
        <v>82037</v>
      </c>
      <c r="AD18" s="103">
        <f>SUM(AD15:AD17)</f>
        <v>34606348</v>
      </c>
      <c r="AE18" s="101">
        <f t="shared" ref="AE18:AF18" si="38">SUM(AE15:AE17)</f>
        <v>-1220457</v>
      </c>
      <c r="AF18" s="102">
        <f t="shared" si="38"/>
        <v>-5018641</v>
      </c>
      <c r="AG18" s="92">
        <f t="shared" si="32"/>
        <v>310</v>
      </c>
      <c r="AH18" s="103">
        <f t="shared" ref="AH18:AJ18" si="39">SUM(AH15:AH17)</f>
        <v>-6238788</v>
      </c>
      <c r="AI18" s="101">
        <f t="shared" si="39"/>
        <v>8385161</v>
      </c>
      <c r="AJ18" s="102">
        <f t="shared" si="39"/>
        <v>19900052</v>
      </c>
      <c r="AK18" s="92">
        <f t="shared" si="35"/>
        <v>82347</v>
      </c>
      <c r="AL18" s="103">
        <f t="shared" ref="AL18" si="40">SUM(AL15:AL17)</f>
        <v>28367560</v>
      </c>
    </row>
    <row r="19" spans="1:38" x14ac:dyDescent="0.25">
      <c r="A19" s="211" t="s">
        <v>217</v>
      </c>
      <c r="B19" s="94"/>
      <c r="C19" s="88">
        <v>0</v>
      </c>
      <c r="D19" s="89">
        <v>40356</v>
      </c>
      <c r="E19" s="89"/>
      <c r="F19" s="89">
        <f>SUM(C19:E19)</f>
        <v>40356</v>
      </c>
      <c r="G19" s="89"/>
      <c r="H19" s="89"/>
      <c r="I19" s="89"/>
      <c r="J19" s="89">
        <f t="shared" si="10"/>
        <v>0</v>
      </c>
      <c r="K19" s="89">
        <f t="shared" ref="K19:K20" si="41">SUM(C19+G19)</f>
        <v>0</v>
      </c>
      <c r="L19" s="89">
        <f t="shared" ref="L19:L20" si="42">SUM(D19+H19)</f>
        <v>40356</v>
      </c>
      <c r="M19" s="89">
        <f t="shared" ref="M19:M20" si="43">SUM(E19+I19)</f>
        <v>0</v>
      </c>
      <c r="N19" s="88">
        <f t="shared" ref="N19:N20" si="44">SUM(K19:M19)</f>
        <v>40356</v>
      </c>
      <c r="O19" s="88">
        <v>0</v>
      </c>
      <c r="P19" s="89">
        <v>0</v>
      </c>
      <c r="Q19" s="89">
        <v>0</v>
      </c>
      <c r="R19" s="89">
        <f>SUM(O19:Q19)</f>
        <v>0</v>
      </c>
      <c r="S19" s="89">
        <v>0</v>
      </c>
      <c r="T19" s="89">
        <v>0</v>
      </c>
      <c r="U19" s="89">
        <v>0</v>
      </c>
      <c r="V19" s="89">
        <f t="shared" si="15"/>
        <v>0</v>
      </c>
      <c r="W19" s="89">
        <f t="shared" ref="W19:W20" si="45">SUM(O19+S19)</f>
        <v>0</v>
      </c>
      <c r="X19" s="89">
        <f t="shared" ref="X19:X20" si="46">SUM(P19+T19)</f>
        <v>0</v>
      </c>
      <c r="Y19" s="89">
        <f t="shared" ref="Y19:Y20" si="47">SUM(Q19+U19)</f>
        <v>0</v>
      </c>
      <c r="Z19" s="88">
        <f t="shared" ref="Z19:Z20" si="48">SUM(W19:Y19)</f>
        <v>0</v>
      </c>
      <c r="AA19" s="90">
        <f>+C19+O19</f>
        <v>0</v>
      </c>
      <c r="AB19" s="91">
        <f>+D19+P19</f>
        <v>40356</v>
      </c>
      <c r="AC19" s="92">
        <f t="shared" si="2"/>
        <v>0</v>
      </c>
      <c r="AD19" s="93">
        <f>SUM(AA19:AC19)</f>
        <v>40356</v>
      </c>
      <c r="AE19" s="90">
        <f t="shared" ref="AE19:AF20" si="49">+G19+S19</f>
        <v>0</v>
      </c>
      <c r="AF19" s="91">
        <f t="shared" si="49"/>
        <v>0</v>
      </c>
      <c r="AG19" s="92">
        <f t="shared" si="32"/>
        <v>0</v>
      </c>
      <c r="AH19" s="93">
        <f t="shared" ref="AH19:AH20" si="50">SUM(AE19:AG19)</f>
        <v>0</v>
      </c>
      <c r="AI19" s="90">
        <f t="shared" ref="AI19:AJ20" si="51">+K19+W19</f>
        <v>0</v>
      </c>
      <c r="AJ19" s="91">
        <f t="shared" si="51"/>
        <v>40356</v>
      </c>
      <c r="AK19" s="92">
        <f t="shared" si="35"/>
        <v>0</v>
      </c>
      <c r="AL19" s="93">
        <f t="shared" ref="AL19:AL20" si="52">SUM(AI19:AK19)</f>
        <v>40356</v>
      </c>
    </row>
    <row r="20" spans="1:38" x14ac:dyDescent="0.25">
      <c r="A20" s="211" t="s">
        <v>218</v>
      </c>
      <c r="B20" s="94"/>
      <c r="C20" s="88">
        <v>2119891</v>
      </c>
      <c r="D20" s="89">
        <v>51477</v>
      </c>
      <c r="E20" s="89">
        <v>0</v>
      </c>
      <c r="F20" s="89">
        <f>SUM(C20:E20)</f>
        <v>2171368</v>
      </c>
      <c r="G20" s="89">
        <v>2265772</v>
      </c>
      <c r="H20" s="89">
        <v>-37340</v>
      </c>
      <c r="I20" s="89"/>
      <c r="J20" s="89">
        <f t="shared" si="10"/>
        <v>2228432</v>
      </c>
      <c r="K20" s="89">
        <f t="shared" si="41"/>
        <v>4385663</v>
      </c>
      <c r="L20" s="89">
        <f t="shared" si="42"/>
        <v>14137</v>
      </c>
      <c r="M20" s="89">
        <f t="shared" si="43"/>
        <v>0</v>
      </c>
      <c r="N20" s="88">
        <f t="shared" si="44"/>
        <v>4399800</v>
      </c>
      <c r="O20" s="88">
        <v>0</v>
      </c>
      <c r="P20" s="89">
        <v>0</v>
      </c>
      <c r="Q20" s="89">
        <v>0</v>
      </c>
      <c r="R20" s="89">
        <f>SUM(O20:Q20)</f>
        <v>0</v>
      </c>
      <c r="S20" s="89">
        <v>0</v>
      </c>
      <c r="T20" s="89">
        <v>0</v>
      </c>
      <c r="U20" s="89">
        <v>0</v>
      </c>
      <c r="V20" s="89">
        <f t="shared" si="15"/>
        <v>0</v>
      </c>
      <c r="W20" s="89">
        <f t="shared" si="45"/>
        <v>0</v>
      </c>
      <c r="X20" s="89">
        <f t="shared" si="46"/>
        <v>0</v>
      </c>
      <c r="Y20" s="89">
        <f t="shared" si="47"/>
        <v>0</v>
      </c>
      <c r="Z20" s="88">
        <f t="shared" si="48"/>
        <v>0</v>
      </c>
      <c r="AA20" s="90">
        <f>+C20+O20</f>
        <v>2119891</v>
      </c>
      <c r="AB20" s="91">
        <f>+D20+P20</f>
        <v>51477</v>
      </c>
      <c r="AC20" s="92">
        <f t="shared" si="2"/>
        <v>0</v>
      </c>
      <c r="AD20" s="93">
        <f>SUM(AA20:AC20)</f>
        <v>2171368</v>
      </c>
      <c r="AE20" s="90">
        <f t="shared" si="49"/>
        <v>2265772</v>
      </c>
      <c r="AF20" s="91">
        <f t="shared" si="49"/>
        <v>-37340</v>
      </c>
      <c r="AG20" s="92">
        <f t="shared" si="32"/>
        <v>0</v>
      </c>
      <c r="AH20" s="93">
        <f t="shared" si="50"/>
        <v>2228432</v>
      </c>
      <c r="AI20" s="90">
        <f t="shared" si="51"/>
        <v>4385663</v>
      </c>
      <c r="AJ20" s="91">
        <f t="shared" si="51"/>
        <v>14137</v>
      </c>
      <c r="AK20" s="92">
        <f t="shared" si="35"/>
        <v>0</v>
      </c>
      <c r="AL20" s="93">
        <f t="shared" si="52"/>
        <v>4399800</v>
      </c>
    </row>
    <row r="21" spans="1:38" s="222" customFormat="1" ht="16.5" thickBot="1" x14ac:dyDescent="0.3">
      <c r="A21" s="216" t="s">
        <v>219</v>
      </c>
      <c r="B21" s="223" t="s">
        <v>331</v>
      </c>
      <c r="C21" s="224">
        <f>SUM(C19:C20)</f>
        <v>2119891</v>
      </c>
      <c r="D21" s="224">
        <f t="shared" ref="D21:AD21" si="53">SUM(D19:D20)</f>
        <v>91833</v>
      </c>
      <c r="E21" s="224">
        <f t="shared" si="53"/>
        <v>0</v>
      </c>
      <c r="F21" s="224">
        <f t="shared" si="53"/>
        <v>2211724</v>
      </c>
      <c r="G21" s="224">
        <f t="shared" ref="G21:N21" si="54">SUM(G19:G20)</f>
        <v>2265772</v>
      </c>
      <c r="H21" s="224">
        <f t="shared" si="54"/>
        <v>-37340</v>
      </c>
      <c r="I21" s="224">
        <f t="shared" si="54"/>
        <v>0</v>
      </c>
      <c r="J21" s="224">
        <f t="shared" si="54"/>
        <v>2228432</v>
      </c>
      <c r="K21" s="224">
        <f t="shared" si="54"/>
        <v>4385663</v>
      </c>
      <c r="L21" s="224">
        <f t="shared" si="54"/>
        <v>54493</v>
      </c>
      <c r="M21" s="224">
        <f t="shared" si="54"/>
        <v>0</v>
      </c>
      <c r="N21" s="224">
        <f t="shared" si="54"/>
        <v>4440156</v>
      </c>
      <c r="O21" s="224">
        <f t="shared" si="53"/>
        <v>0</v>
      </c>
      <c r="P21" s="224">
        <f t="shared" si="53"/>
        <v>0</v>
      </c>
      <c r="Q21" s="224">
        <f t="shared" si="53"/>
        <v>0</v>
      </c>
      <c r="R21" s="224">
        <f t="shared" si="53"/>
        <v>0</v>
      </c>
      <c r="S21" s="224">
        <f t="shared" ref="S21:Z21" si="55">SUM(S19:S20)</f>
        <v>0</v>
      </c>
      <c r="T21" s="224">
        <f t="shared" si="55"/>
        <v>0</v>
      </c>
      <c r="U21" s="224">
        <f t="shared" si="55"/>
        <v>0</v>
      </c>
      <c r="V21" s="224">
        <f t="shared" si="55"/>
        <v>0</v>
      </c>
      <c r="W21" s="224">
        <f t="shared" si="55"/>
        <v>0</v>
      </c>
      <c r="X21" s="224">
        <f t="shared" si="55"/>
        <v>0</v>
      </c>
      <c r="Y21" s="224">
        <f t="shared" si="55"/>
        <v>0</v>
      </c>
      <c r="Z21" s="224">
        <f t="shared" si="55"/>
        <v>0</v>
      </c>
      <c r="AA21" s="224">
        <f t="shared" si="53"/>
        <v>2119891</v>
      </c>
      <c r="AB21" s="224">
        <f t="shared" si="53"/>
        <v>91833</v>
      </c>
      <c r="AC21" s="224">
        <f t="shared" si="53"/>
        <v>0</v>
      </c>
      <c r="AD21" s="224">
        <f t="shared" si="53"/>
        <v>2211724</v>
      </c>
      <c r="AE21" s="224">
        <f t="shared" ref="AE21:AL21" si="56">SUM(AE19:AE20)</f>
        <v>2265772</v>
      </c>
      <c r="AF21" s="224">
        <f t="shared" si="56"/>
        <v>-37340</v>
      </c>
      <c r="AG21" s="224">
        <f t="shared" si="56"/>
        <v>0</v>
      </c>
      <c r="AH21" s="224">
        <f t="shared" si="56"/>
        <v>2228432</v>
      </c>
      <c r="AI21" s="224">
        <f t="shared" si="56"/>
        <v>4385663</v>
      </c>
      <c r="AJ21" s="224">
        <f t="shared" si="56"/>
        <v>54493</v>
      </c>
      <c r="AK21" s="224">
        <f t="shared" si="56"/>
        <v>0</v>
      </c>
      <c r="AL21" s="224">
        <f t="shared" si="56"/>
        <v>4440156</v>
      </c>
    </row>
    <row r="22" spans="1:38" ht="17.25" thickTop="1" thickBot="1" x14ac:dyDescent="0.3">
      <c r="A22" s="104" t="s">
        <v>220</v>
      </c>
      <c r="B22" s="193" t="s">
        <v>286</v>
      </c>
      <c r="C22" s="105">
        <f>+C21+C18+C14</f>
        <v>26733765</v>
      </c>
      <c r="D22" s="105">
        <f t="shared" ref="D22:AD22" si="57">+D21+D18+D14</f>
        <v>33745295</v>
      </c>
      <c r="E22" s="105">
        <f t="shared" si="57"/>
        <v>0</v>
      </c>
      <c r="F22" s="105">
        <f t="shared" si="57"/>
        <v>60479060</v>
      </c>
      <c r="G22" s="105">
        <f t="shared" ref="G22:N22" si="58">+G21+G18+G14</f>
        <v>661192</v>
      </c>
      <c r="H22" s="105">
        <f t="shared" si="58"/>
        <v>-5773820</v>
      </c>
      <c r="I22" s="105">
        <f t="shared" si="58"/>
        <v>0</v>
      </c>
      <c r="J22" s="105">
        <f t="shared" si="58"/>
        <v>-5112628</v>
      </c>
      <c r="K22" s="105">
        <f t="shared" si="58"/>
        <v>27394957</v>
      </c>
      <c r="L22" s="105">
        <f t="shared" si="58"/>
        <v>27971475</v>
      </c>
      <c r="M22" s="105">
        <f t="shared" si="58"/>
        <v>0</v>
      </c>
      <c r="N22" s="105">
        <f t="shared" si="58"/>
        <v>55366432</v>
      </c>
      <c r="O22" s="105">
        <f t="shared" si="57"/>
        <v>11092410</v>
      </c>
      <c r="P22" s="105">
        <f t="shared" si="57"/>
        <v>2884764</v>
      </c>
      <c r="Q22" s="105">
        <f t="shared" si="57"/>
        <v>999071</v>
      </c>
      <c r="R22" s="105">
        <f t="shared" si="57"/>
        <v>14976245</v>
      </c>
      <c r="S22" s="105">
        <f t="shared" ref="S22:Z22" si="59">+S21+S18+S14</f>
        <v>348729</v>
      </c>
      <c r="T22" s="105">
        <f t="shared" si="59"/>
        <v>152302</v>
      </c>
      <c r="U22" s="105">
        <f t="shared" si="59"/>
        <v>0</v>
      </c>
      <c r="V22" s="105">
        <f t="shared" si="59"/>
        <v>501031</v>
      </c>
      <c r="W22" s="105">
        <f t="shared" si="59"/>
        <v>11441139</v>
      </c>
      <c r="X22" s="105">
        <f t="shared" si="59"/>
        <v>3037066</v>
      </c>
      <c r="Y22" s="105">
        <f t="shared" si="59"/>
        <v>999071</v>
      </c>
      <c r="Z22" s="105">
        <f t="shared" si="59"/>
        <v>15477276</v>
      </c>
      <c r="AA22" s="105">
        <f t="shared" si="57"/>
        <v>37826175</v>
      </c>
      <c r="AB22" s="105">
        <f t="shared" si="57"/>
        <v>36630059</v>
      </c>
      <c r="AC22" s="105">
        <f t="shared" si="57"/>
        <v>999071</v>
      </c>
      <c r="AD22" s="105">
        <f t="shared" si="57"/>
        <v>75455305</v>
      </c>
      <c r="AE22" s="105">
        <f t="shared" ref="AE22:AL22" si="60">+AE21+AE18+AE14</f>
        <v>1009921</v>
      </c>
      <c r="AF22" s="105">
        <f t="shared" si="60"/>
        <v>-5621518</v>
      </c>
      <c r="AG22" s="105">
        <f t="shared" si="60"/>
        <v>0</v>
      </c>
      <c r="AH22" s="105">
        <f t="shared" si="60"/>
        <v>-4611597</v>
      </c>
      <c r="AI22" s="105">
        <f t="shared" si="60"/>
        <v>38836096</v>
      </c>
      <c r="AJ22" s="105">
        <f t="shared" si="60"/>
        <v>31008541</v>
      </c>
      <c r="AK22" s="105">
        <f t="shared" si="60"/>
        <v>999071</v>
      </c>
      <c r="AL22" s="105">
        <f t="shared" si="60"/>
        <v>70843708</v>
      </c>
    </row>
    <row r="23" spans="1:38" ht="32.25" thickTop="1" x14ac:dyDescent="0.25">
      <c r="A23" s="304" t="s">
        <v>501</v>
      </c>
      <c r="B23" s="305" t="s">
        <v>495</v>
      </c>
      <c r="C23" s="306">
        <v>0</v>
      </c>
      <c r="D23" s="306">
        <v>32805492</v>
      </c>
      <c r="E23" s="306">
        <v>0</v>
      </c>
      <c r="F23" s="306">
        <f>SUM(C23:E23)</f>
        <v>32805492</v>
      </c>
      <c r="G23" s="306"/>
      <c r="H23" s="306">
        <v>-9651412</v>
      </c>
      <c r="I23" s="306"/>
      <c r="J23" s="306">
        <f>SUM(G23:I23)</f>
        <v>-9651412</v>
      </c>
      <c r="K23" s="306">
        <f t="shared" ref="K23:K24" si="61">SUM(C23+G23)</f>
        <v>0</v>
      </c>
      <c r="L23" s="306">
        <f t="shared" ref="L23:L24" si="62">SUM(D23+H23)</f>
        <v>23154080</v>
      </c>
      <c r="M23" s="306">
        <f t="shared" ref="M23:M24" si="63">SUM(E23+I23)</f>
        <v>0</v>
      </c>
      <c r="N23" s="306">
        <f t="shared" ref="N23:N24" si="64">SUM(K23:M23)</f>
        <v>23154080</v>
      </c>
      <c r="O23" s="306"/>
      <c r="P23" s="306"/>
      <c r="Q23" s="306"/>
      <c r="R23" s="306">
        <f>SUM(O23:Q23)</f>
        <v>0</v>
      </c>
      <c r="S23" s="306"/>
      <c r="T23" s="306"/>
      <c r="U23" s="306"/>
      <c r="V23" s="306">
        <f>SUM(S23:U23)</f>
        <v>0</v>
      </c>
      <c r="W23" s="306">
        <f t="shared" ref="W23:W24" si="65">SUM(O23+S23)</f>
        <v>0</v>
      </c>
      <c r="X23" s="306">
        <f t="shared" ref="X23:X24" si="66">SUM(P23+T23)</f>
        <v>0</v>
      </c>
      <c r="Y23" s="306">
        <f t="shared" ref="Y23:Y24" si="67">SUM(Q23+U23)</f>
        <v>0</v>
      </c>
      <c r="Z23" s="306">
        <f t="shared" ref="Z23:Z24" si="68">SUM(W23:Y23)</f>
        <v>0</v>
      </c>
      <c r="AA23" s="306">
        <f t="shared" ref="AA23:AD24" si="69">SUM(O23+C23)</f>
        <v>0</v>
      </c>
      <c r="AB23" s="306">
        <f t="shared" si="69"/>
        <v>32805492</v>
      </c>
      <c r="AC23" s="306">
        <f t="shared" si="69"/>
        <v>0</v>
      </c>
      <c r="AD23" s="306">
        <f t="shared" si="69"/>
        <v>32805492</v>
      </c>
      <c r="AE23" s="306">
        <f t="shared" ref="AE23:AL24" si="70">SUM(S23+G23)</f>
        <v>0</v>
      </c>
      <c r="AF23" s="306">
        <f>SUM(T23+H23)</f>
        <v>-9651412</v>
      </c>
      <c r="AG23" s="306">
        <f t="shared" si="70"/>
        <v>0</v>
      </c>
      <c r="AH23" s="306">
        <f t="shared" si="70"/>
        <v>-9651412</v>
      </c>
      <c r="AI23" s="306">
        <f t="shared" si="70"/>
        <v>0</v>
      </c>
      <c r="AJ23" s="306">
        <f t="shared" si="70"/>
        <v>23154080</v>
      </c>
      <c r="AK23" s="306">
        <f t="shared" si="70"/>
        <v>0</v>
      </c>
      <c r="AL23" s="306">
        <f t="shared" si="70"/>
        <v>23154080</v>
      </c>
    </row>
    <row r="24" spans="1:38" ht="31.5" x14ac:dyDescent="0.25">
      <c r="A24" s="561" t="s">
        <v>804</v>
      </c>
      <c r="B24" s="562" t="s">
        <v>502</v>
      </c>
      <c r="C24" s="376">
        <v>130927</v>
      </c>
      <c r="D24" s="376">
        <v>0</v>
      </c>
      <c r="E24" s="376">
        <v>0</v>
      </c>
      <c r="F24" s="376">
        <f>SUM(C24:E24)</f>
        <v>130927</v>
      </c>
      <c r="G24" s="376">
        <v>328960</v>
      </c>
      <c r="H24" s="376"/>
      <c r="I24" s="376"/>
      <c r="J24" s="376">
        <f>SUM(G24:I24)</f>
        <v>328960</v>
      </c>
      <c r="K24" s="376">
        <f t="shared" si="61"/>
        <v>459887</v>
      </c>
      <c r="L24" s="376">
        <f t="shared" si="62"/>
        <v>0</v>
      </c>
      <c r="M24" s="376">
        <f t="shared" si="63"/>
        <v>0</v>
      </c>
      <c r="N24" s="376">
        <f t="shared" si="64"/>
        <v>459887</v>
      </c>
      <c r="O24" s="376"/>
      <c r="P24" s="376"/>
      <c r="Q24" s="376"/>
      <c r="R24" s="376">
        <f>SUM(O24:Q24)</f>
        <v>0</v>
      </c>
      <c r="S24" s="376"/>
      <c r="T24" s="376"/>
      <c r="U24" s="376"/>
      <c r="V24" s="376">
        <f>SUM(S24:U24)</f>
        <v>0</v>
      </c>
      <c r="W24" s="376">
        <f t="shared" si="65"/>
        <v>0</v>
      </c>
      <c r="X24" s="376">
        <f t="shared" si="66"/>
        <v>0</v>
      </c>
      <c r="Y24" s="376">
        <f t="shared" si="67"/>
        <v>0</v>
      </c>
      <c r="Z24" s="376">
        <f t="shared" si="68"/>
        <v>0</v>
      </c>
      <c r="AA24" s="376">
        <f t="shared" si="69"/>
        <v>130927</v>
      </c>
      <c r="AB24" s="376">
        <f t="shared" si="69"/>
        <v>0</v>
      </c>
      <c r="AC24" s="376">
        <f t="shared" si="69"/>
        <v>0</v>
      </c>
      <c r="AD24" s="376">
        <f t="shared" si="69"/>
        <v>130927</v>
      </c>
      <c r="AE24" s="376">
        <f t="shared" si="70"/>
        <v>328960</v>
      </c>
      <c r="AF24" s="376">
        <f t="shared" si="70"/>
        <v>0</v>
      </c>
      <c r="AG24" s="376">
        <f t="shared" si="70"/>
        <v>0</v>
      </c>
      <c r="AH24" s="376">
        <f t="shared" si="70"/>
        <v>328960</v>
      </c>
      <c r="AI24" s="376">
        <f t="shared" si="70"/>
        <v>459887</v>
      </c>
      <c r="AJ24" s="376">
        <f t="shared" si="70"/>
        <v>0</v>
      </c>
      <c r="AK24" s="376">
        <f t="shared" si="70"/>
        <v>0</v>
      </c>
      <c r="AL24" s="376">
        <f t="shared" si="70"/>
        <v>459887</v>
      </c>
    </row>
    <row r="25" spans="1:38" ht="16.5" thickBot="1" x14ac:dyDescent="0.3">
      <c r="A25" s="329" t="s">
        <v>503</v>
      </c>
      <c r="B25" s="560" t="s">
        <v>328</v>
      </c>
      <c r="C25" s="307">
        <v>8462844</v>
      </c>
      <c r="D25" s="307">
        <v>1931017</v>
      </c>
      <c r="E25" s="307">
        <v>913176</v>
      </c>
      <c r="F25" s="767">
        <f>SUM(C25:E25)</f>
        <v>11307037</v>
      </c>
      <c r="G25" s="307">
        <v>40949</v>
      </c>
      <c r="H25" s="307">
        <v>-559</v>
      </c>
      <c r="I25" s="307">
        <v>-1450</v>
      </c>
      <c r="J25" s="376">
        <f>SUM(G25:I25)</f>
        <v>38940</v>
      </c>
      <c r="K25" s="376">
        <f t="shared" ref="K25" si="71">SUM(C25+G25)</f>
        <v>8503793</v>
      </c>
      <c r="L25" s="376">
        <f t="shared" ref="L25" si="72">SUM(D25+H25)</f>
        <v>1930458</v>
      </c>
      <c r="M25" s="376">
        <f t="shared" ref="M25" si="73">SUM(E25+I25)</f>
        <v>911726</v>
      </c>
      <c r="N25" s="376">
        <f t="shared" ref="N25" si="74">SUM(K25:M25)</f>
        <v>11345977</v>
      </c>
      <c r="O25" s="307"/>
      <c r="P25" s="307"/>
      <c r="Q25" s="307"/>
      <c r="R25" s="376">
        <f>SUM(O25:Q25)</f>
        <v>0</v>
      </c>
      <c r="S25" s="307"/>
      <c r="T25" s="307"/>
      <c r="U25" s="307"/>
      <c r="V25" s="376">
        <f>SUM(S25:U25)</f>
        <v>0</v>
      </c>
      <c r="W25" s="376">
        <f t="shared" ref="W25" si="75">SUM(O25+S25)</f>
        <v>0</v>
      </c>
      <c r="X25" s="376">
        <f t="shared" ref="X25" si="76">SUM(P25+T25)</f>
        <v>0</v>
      </c>
      <c r="Y25" s="376">
        <f t="shared" ref="Y25" si="77">SUM(Q25+U25)</f>
        <v>0</v>
      </c>
      <c r="Z25" s="376">
        <f t="shared" ref="Z25" si="78">SUM(W25:Y25)</f>
        <v>0</v>
      </c>
      <c r="AA25" s="376">
        <f t="shared" ref="AA25" si="79">SUM(O25+C25)</f>
        <v>8462844</v>
      </c>
      <c r="AB25" s="376">
        <f t="shared" ref="AB25" si="80">SUM(P25+D25)</f>
        <v>1931017</v>
      </c>
      <c r="AC25" s="376">
        <f t="shared" ref="AC25" si="81">SUM(Q25+E25)</f>
        <v>913176</v>
      </c>
      <c r="AD25" s="376">
        <f t="shared" ref="AD25" si="82">SUM(R25+F25)</f>
        <v>11307037</v>
      </c>
      <c r="AE25" s="376">
        <f t="shared" ref="AE25" si="83">SUM(S25+G25)</f>
        <v>40949</v>
      </c>
      <c r="AF25" s="376">
        <f t="shared" ref="AF25" si="84">SUM(T25+H25)</f>
        <v>-559</v>
      </c>
      <c r="AG25" s="376">
        <f t="shared" ref="AG25" si="85">SUM(U25+I25)</f>
        <v>-1450</v>
      </c>
      <c r="AH25" s="376">
        <f t="shared" ref="AH25" si="86">SUM(V25+J25)</f>
        <v>38940</v>
      </c>
      <c r="AI25" s="376">
        <f t="shared" ref="AI25" si="87">SUM(W25+K25)</f>
        <v>8503793</v>
      </c>
      <c r="AJ25" s="376">
        <f t="shared" ref="AJ25" si="88">SUM(X25+L25)</f>
        <v>1930458</v>
      </c>
      <c r="AK25" s="376">
        <f t="shared" ref="AK25" si="89">SUM(Y25+M25)</f>
        <v>911726</v>
      </c>
      <c r="AL25" s="376">
        <f t="shared" ref="AL25" si="90">SUM(Z25+N25)</f>
        <v>11345977</v>
      </c>
    </row>
    <row r="26" spans="1:38" ht="17.25" thickTop="1" thickBot="1" x14ac:dyDescent="0.3">
      <c r="A26" s="106" t="s">
        <v>504</v>
      </c>
      <c r="B26" s="191" t="s">
        <v>221</v>
      </c>
      <c r="C26" s="258">
        <f>SUM(C23:C25)</f>
        <v>8593771</v>
      </c>
      <c r="D26" s="258">
        <f t="shared" ref="D26:AL26" si="91">SUM(D23:D25)</f>
        <v>34736509</v>
      </c>
      <c r="E26" s="258">
        <f t="shared" si="91"/>
        <v>913176</v>
      </c>
      <c r="F26" s="258">
        <f t="shared" si="91"/>
        <v>44243456</v>
      </c>
      <c r="G26" s="258">
        <f t="shared" si="91"/>
        <v>369909</v>
      </c>
      <c r="H26" s="258">
        <f t="shared" si="91"/>
        <v>-9651971</v>
      </c>
      <c r="I26" s="258">
        <f t="shared" si="91"/>
        <v>-1450</v>
      </c>
      <c r="J26" s="258">
        <f t="shared" si="91"/>
        <v>-9283512</v>
      </c>
      <c r="K26" s="258">
        <f t="shared" si="91"/>
        <v>8963680</v>
      </c>
      <c r="L26" s="258">
        <f t="shared" si="91"/>
        <v>25084538</v>
      </c>
      <c r="M26" s="258">
        <f t="shared" si="91"/>
        <v>911726</v>
      </c>
      <c r="N26" s="258">
        <f t="shared" si="91"/>
        <v>34959944</v>
      </c>
      <c r="O26" s="258">
        <f t="shared" si="91"/>
        <v>0</v>
      </c>
      <c r="P26" s="258">
        <f t="shared" si="91"/>
        <v>0</v>
      </c>
      <c r="Q26" s="258">
        <f t="shared" si="91"/>
        <v>0</v>
      </c>
      <c r="R26" s="258">
        <f t="shared" si="91"/>
        <v>0</v>
      </c>
      <c r="S26" s="258">
        <f t="shared" si="91"/>
        <v>0</v>
      </c>
      <c r="T26" s="258">
        <f t="shared" si="91"/>
        <v>0</v>
      </c>
      <c r="U26" s="258">
        <f t="shared" si="91"/>
        <v>0</v>
      </c>
      <c r="V26" s="258">
        <f t="shared" si="91"/>
        <v>0</v>
      </c>
      <c r="W26" s="258">
        <f t="shared" si="91"/>
        <v>0</v>
      </c>
      <c r="X26" s="258">
        <f t="shared" si="91"/>
        <v>0</v>
      </c>
      <c r="Y26" s="258">
        <f t="shared" si="91"/>
        <v>0</v>
      </c>
      <c r="Z26" s="258">
        <f t="shared" si="91"/>
        <v>0</v>
      </c>
      <c r="AA26" s="258">
        <f t="shared" si="91"/>
        <v>8593771</v>
      </c>
      <c r="AB26" s="258">
        <f t="shared" si="91"/>
        <v>34736509</v>
      </c>
      <c r="AC26" s="258">
        <f t="shared" si="91"/>
        <v>913176</v>
      </c>
      <c r="AD26" s="258">
        <f t="shared" si="91"/>
        <v>44243456</v>
      </c>
      <c r="AE26" s="258">
        <f t="shared" si="91"/>
        <v>369909</v>
      </c>
      <c r="AF26" s="258">
        <f t="shared" si="91"/>
        <v>-9651971</v>
      </c>
      <c r="AG26" s="258">
        <f t="shared" si="91"/>
        <v>-1450</v>
      </c>
      <c r="AH26" s="258">
        <f t="shared" si="91"/>
        <v>-9283512</v>
      </c>
      <c r="AI26" s="258">
        <f t="shared" si="91"/>
        <v>8963680</v>
      </c>
      <c r="AJ26" s="258">
        <f t="shared" si="91"/>
        <v>25084538</v>
      </c>
      <c r="AK26" s="258">
        <f t="shared" si="91"/>
        <v>911726</v>
      </c>
      <c r="AL26" s="258">
        <f t="shared" si="91"/>
        <v>34959944</v>
      </c>
    </row>
    <row r="27" spans="1:38" s="214" customFormat="1" ht="17.25" thickTop="1" thickBot="1" x14ac:dyDescent="0.3">
      <c r="A27" s="770" t="s">
        <v>371</v>
      </c>
      <c r="B27" s="771"/>
      <c r="C27" s="772"/>
      <c r="D27" s="772"/>
      <c r="E27" s="772"/>
      <c r="F27" s="772"/>
      <c r="G27" s="772"/>
      <c r="H27" s="772"/>
      <c r="I27" s="772"/>
      <c r="J27" s="772"/>
      <c r="K27" s="772"/>
      <c r="L27" s="772"/>
      <c r="M27" s="772"/>
      <c r="N27" s="772"/>
      <c r="O27" s="772"/>
      <c r="P27" s="772"/>
      <c r="Q27" s="772"/>
      <c r="R27" s="773">
        <v>1921.93</v>
      </c>
      <c r="S27" s="773"/>
      <c r="T27" s="773"/>
      <c r="U27" s="773"/>
      <c r="V27" s="773">
        <v>0</v>
      </c>
      <c r="W27" s="773"/>
      <c r="X27" s="773"/>
      <c r="Y27" s="773"/>
      <c r="Z27" s="773">
        <f>SUM(R27+V27)</f>
        <v>1921.93</v>
      </c>
      <c r="AA27" s="772"/>
      <c r="AB27" s="772"/>
      <c r="AC27" s="772"/>
      <c r="AD27" s="773">
        <f>SUM(R27)</f>
        <v>1921.93</v>
      </c>
      <c r="AE27" s="772"/>
      <c r="AF27" s="772"/>
      <c r="AG27" s="772"/>
      <c r="AH27" s="773">
        <f>SUM(V27)</f>
        <v>0</v>
      </c>
      <c r="AI27" s="772"/>
      <c r="AJ27" s="772"/>
      <c r="AK27" s="772"/>
      <c r="AL27" s="773">
        <f t="shared" ref="AL27" si="92">SUM(Z27)</f>
        <v>1921.93</v>
      </c>
    </row>
    <row r="28" spans="1:38" ht="16.5" thickTop="1" x14ac:dyDescent="0.25">
      <c r="A28" s="108"/>
      <c r="B28" s="108"/>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row>
    <row r="29" spans="1:38" x14ac:dyDescent="0.25">
      <c r="A29" s="108"/>
      <c r="B29" s="108"/>
      <c r="C29" s="86"/>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row>
    <row r="30" spans="1:38" x14ac:dyDescent="0.25">
      <c r="A30" s="108"/>
      <c r="B30" s="108"/>
      <c r="C30" s="86"/>
      <c r="D30" s="86"/>
      <c r="E30" s="86"/>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row>
    <row r="31" spans="1:38" x14ac:dyDescent="0.25">
      <c r="A31" s="108"/>
      <c r="B31" s="108"/>
      <c r="C31" s="86"/>
      <c r="D31" s="86"/>
      <c r="E31" s="86"/>
      <c r="F31" s="86"/>
      <c r="G31" s="86"/>
      <c r="H31" s="86"/>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row>
    <row r="32" spans="1:38" x14ac:dyDescent="0.25">
      <c r="A32" s="108"/>
      <c r="B32" s="108"/>
      <c r="C32" s="86"/>
      <c r="D32" s="86"/>
      <c r="E32" s="86"/>
      <c r="F32" s="86"/>
      <c r="G32" s="86"/>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86"/>
    </row>
    <row r="33" spans="1:38" x14ac:dyDescent="0.25">
      <c r="A33" s="108"/>
      <c r="B33" s="108"/>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row>
    <row r="34" spans="1:38" x14ac:dyDescent="0.25">
      <c r="A34" s="108"/>
      <c r="B34" s="108"/>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row>
    <row r="35" spans="1:38" x14ac:dyDescent="0.25">
      <c r="A35" s="108"/>
      <c r="B35" s="108"/>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row>
    <row r="36" spans="1:38" x14ac:dyDescent="0.25">
      <c r="A36" s="108"/>
      <c r="B36" s="108"/>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row>
    <row r="37" spans="1:38" x14ac:dyDescent="0.25">
      <c r="A37" s="108"/>
      <c r="B37" s="108"/>
      <c r="C37" s="86"/>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row>
    <row r="38" spans="1:38" x14ac:dyDescent="0.25">
      <c r="A38" s="61"/>
      <c r="B38" s="61"/>
      <c r="C38" s="57"/>
      <c r="D38" s="57"/>
      <c r="E38" s="57"/>
      <c r="F38" s="57"/>
      <c r="G38" s="57"/>
      <c r="H38" s="57"/>
      <c r="I38" s="57"/>
      <c r="J38" s="57"/>
      <c r="K38" s="57"/>
      <c r="L38" s="57"/>
      <c r="M38" s="57"/>
      <c r="N38" s="57"/>
    </row>
  </sheetData>
  <mergeCells count="21">
    <mergeCell ref="B3:N3"/>
    <mergeCell ref="O3:Z3"/>
    <mergeCell ref="AA3:AL3"/>
    <mergeCell ref="AE6:AH6"/>
    <mergeCell ref="AI6:AL6"/>
    <mergeCell ref="AE8:AH8"/>
    <mergeCell ref="AI8:AL8"/>
    <mergeCell ref="AA5:AL5"/>
    <mergeCell ref="AA6:AD6"/>
    <mergeCell ref="AA8:AD8"/>
    <mergeCell ref="O8:R8"/>
    <mergeCell ref="C5:N5"/>
    <mergeCell ref="C6:F6"/>
    <mergeCell ref="S8:V8"/>
    <mergeCell ref="W8:Z8"/>
    <mergeCell ref="B1:N1"/>
    <mergeCell ref="B2:N2"/>
    <mergeCell ref="O1:Z1"/>
    <mergeCell ref="O2:Z2"/>
    <mergeCell ref="AA1:AL1"/>
    <mergeCell ref="AA2:AL2"/>
  </mergeCells>
  <phoneticPr fontId="0" type="noConversion"/>
  <pageMargins left="0.31496062992125984" right="0.27559055118110237" top="0.94488188976377963" bottom="0.39370078740157483" header="0.43307086614173229" footer="0.19685039370078741"/>
  <pageSetup paperSize="9" scale="61" orientation="landscape" r:id="rId1"/>
  <headerFooter alignWithMargins="0">
    <oddHeader>&amp;R&amp;"Times New Roman CE,Félkövér"&amp;11 2. melléklet a 6/2019. (II.22.) önkormányzati rendelethez&amp;"Times New Roman CE,Dőlt"&amp;10
2. melléklet
 a 3/2018.(II.8.) önkormányzati rendelethez</oddHeader>
  </headerFooter>
  <colBreaks count="1" manualBreakCount="1">
    <brk id="2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H4949"/>
  <sheetViews>
    <sheetView zoomScaleNormal="100" workbookViewId="0">
      <pane xSplit="2" ySplit="8" topLeftCell="E48" activePane="bottomRight" state="frozen"/>
      <selection activeCell="AD41" sqref="AD41"/>
      <selection pane="topRight" activeCell="AD41" sqref="AD41"/>
      <selection pane="bottomLeft" activeCell="AD41" sqref="AD41"/>
      <selection pane="bottomRight" activeCell="AD41" sqref="AD41"/>
    </sheetView>
  </sheetViews>
  <sheetFormatPr defaultColWidth="9.25" defaultRowHeight="15.75" x14ac:dyDescent="0.25"/>
  <cols>
    <col min="1" max="1" width="37.5" style="68" customWidth="1"/>
    <col min="2" max="2" width="11.625" style="68" customWidth="1"/>
    <col min="3" max="3" width="15" style="3" customWidth="1"/>
    <col min="4" max="4" width="14.5" style="3" customWidth="1"/>
    <col min="5" max="5" width="15.25" style="3" customWidth="1"/>
    <col min="6" max="6" width="14.25" style="3" customWidth="1"/>
    <col min="7" max="7" width="14.5" style="3" customWidth="1"/>
    <col min="8" max="8" width="14.75" style="3" customWidth="1"/>
    <col min="9" max="11" width="14.875" style="3" customWidth="1"/>
    <col min="12" max="12" width="9" style="3" customWidth="1"/>
    <col min="13" max="16384" width="9.25" style="3"/>
  </cols>
  <sheetData>
    <row r="1" spans="1:242" customFormat="1" x14ac:dyDescent="0.25">
      <c r="A1" s="983" t="s">
        <v>192</v>
      </c>
      <c r="B1" s="983"/>
      <c r="C1" s="983"/>
      <c r="D1" s="983"/>
      <c r="E1" s="983"/>
      <c r="F1" s="983"/>
      <c r="G1" s="983"/>
      <c r="H1" s="983"/>
      <c r="I1" s="983"/>
      <c r="J1" s="983"/>
      <c r="K1" s="983"/>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c r="AP1" s="86"/>
      <c r="AQ1" s="86"/>
      <c r="AR1" s="86"/>
      <c r="AS1" s="86"/>
      <c r="AT1" s="86"/>
      <c r="AU1" s="86"/>
      <c r="AV1" s="86"/>
      <c r="AW1" s="86"/>
      <c r="AX1" s="86"/>
      <c r="AY1" s="86"/>
      <c r="AZ1" s="86"/>
      <c r="BA1" s="86"/>
      <c r="BB1" s="86"/>
      <c r="BC1" s="86"/>
      <c r="BD1" s="86"/>
      <c r="BE1" s="86"/>
      <c r="BF1" s="86"/>
      <c r="BG1" s="86"/>
      <c r="BH1" s="86"/>
      <c r="BI1" s="86"/>
      <c r="BJ1" s="86"/>
      <c r="BK1" s="86"/>
      <c r="BL1" s="86"/>
      <c r="BM1" s="86"/>
      <c r="BN1" s="86"/>
      <c r="BO1" s="86"/>
      <c r="BP1" s="86"/>
      <c r="BQ1" s="86"/>
      <c r="BR1" s="86"/>
      <c r="BS1" s="86"/>
      <c r="BT1" s="86"/>
      <c r="BU1" s="86"/>
      <c r="BV1" s="86"/>
      <c r="BW1" s="86"/>
      <c r="BX1" s="86"/>
      <c r="BY1" s="86"/>
      <c r="BZ1" s="86"/>
      <c r="CA1" s="86"/>
      <c r="CB1" s="86"/>
      <c r="CC1" s="86"/>
      <c r="CD1" s="86"/>
      <c r="CE1" s="86"/>
      <c r="CF1" s="86"/>
      <c r="CG1" s="86"/>
      <c r="CH1" s="86"/>
      <c r="CI1" s="86"/>
      <c r="CJ1" s="86"/>
      <c r="CK1" s="86"/>
      <c r="CL1" s="86"/>
      <c r="CM1" s="86"/>
      <c r="CN1" s="86"/>
      <c r="CO1" s="86"/>
      <c r="CP1" s="86"/>
      <c r="CQ1" s="86"/>
      <c r="CR1" s="86"/>
      <c r="CS1" s="86"/>
      <c r="CT1" s="86"/>
      <c r="CU1" s="86"/>
      <c r="CV1" s="86"/>
      <c r="CW1" s="86"/>
      <c r="CX1" s="86"/>
      <c r="CY1" s="86"/>
      <c r="CZ1" s="86"/>
      <c r="DA1" s="86"/>
      <c r="DB1" s="86"/>
      <c r="DC1" s="86"/>
      <c r="DD1" s="86"/>
      <c r="DE1" s="86"/>
      <c r="DF1" s="86"/>
      <c r="DG1" s="86"/>
      <c r="DH1" s="86"/>
      <c r="DI1" s="86"/>
      <c r="DJ1" s="86"/>
      <c r="DK1" s="86"/>
      <c r="DL1" s="86"/>
      <c r="DM1" s="86"/>
      <c r="DN1" s="86"/>
      <c r="DO1" s="86"/>
      <c r="DP1" s="86"/>
      <c r="DQ1" s="86"/>
      <c r="DR1" s="86"/>
      <c r="DS1" s="86"/>
      <c r="DT1" s="86"/>
      <c r="DU1" s="86"/>
      <c r="DV1" s="86"/>
      <c r="DW1" s="86"/>
      <c r="DX1" s="86"/>
      <c r="DY1" s="86"/>
      <c r="DZ1" s="86"/>
      <c r="EA1" s="86"/>
      <c r="EB1" s="86"/>
      <c r="EC1" s="86"/>
      <c r="ED1" s="86"/>
      <c r="EE1" s="86"/>
      <c r="EF1" s="86"/>
      <c r="EG1" s="86"/>
      <c r="EH1" s="86"/>
      <c r="EI1" s="86"/>
      <c r="EJ1" s="86"/>
      <c r="EK1" s="86"/>
      <c r="EL1" s="86"/>
      <c r="EM1" s="86"/>
      <c r="EN1" s="86"/>
      <c r="EO1" s="86"/>
      <c r="EP1" s="86"/>
      <c r="EQ1" s="86"/>
      <c r="ER1" s="86"/>
      <c r="ES1" s="86"/>
      <c r="ET1" s="86"/>
      <c r="EU1" s="86"/>
      <c r="EV1" s="86"/>
      <c r="EW1" s="86"/>
      <c r="EX1" s="86"/>
      <c r="EY1" s="86"/>
      <c r="EZ1" s="86"/>
      <c r="FA1" s="86"/>
      <c r="FB1" s="86"/>
      <c r="FC1" s="86"/>
      <c r="FD1" s="86"/>
      <c r="FE1" s="86"/>
      <c r="FF1" s="86"/>
      <c r="FG1" s="86"/>
      <c r="FH1" s="86"/>
      <c r="FI1" s="86"/>
      <c r="FJ1" s="86"/>
      <c r="FK1" s="86"/>
      <c r="FL1" s="86"/>
      <c r="FM1" s="86"/>
      <c r="FN1" s="86"/>
      <c r="FO1" s="86"/>
      <c r="FP1" s="86"/>
      <c r="FQ1" s="86"/>
      <c r="FR1" s="86"/>
      <c r="FS1" s="86"/>
      <c r="FT1" s="86"/>
      <c r="FU1" s="86"/>
      <c r="FV1" s="86"/>
      <c r="FW1" s="86"/>
      <c r="FX1" s="86"/>
      <c r="FY1" s="86"/>
      <c r="FZ1" s="86"/>
      <c r="GA1" s="86"/>
      <c r="GB1" s="86"/>
      <c r="GC1" s="86"/>
      <c r="GD1" s="86"/>
      <c r="GE1" s="86"/>
      <c r="GF1" s="86"/>
      <c r="GG1" s="86"/>
      <c r="GH1" s="86"/>
      <c r="GI1" s="86"/>
      <c r="GJ1" s="86"/>
      <c r="GK1" s="86"/>
      <c r="GL1" s="86"/>
      <c r="GM1" s="86"/>
      <c r="GN1" s="86"/>
      <c r="GO1" s="86"/>
      <c r="GP1" s="86"/>
      <c r="GQ1" s="86"/>
      <c r="GR1" s="86"/>
      <c r="GS1" s="86"/>
      <c r="GT1" s="86"/>
      <c r="GU1" s="86"/>
      <c r="GV1" s="86"/>
      <c r="GW1" s="86"/>
      <c r="GX1" s="86"/>
      <c r="GY1" s="86"/>
      <c r="GZ1" s="86"/>
      <c r="HA1" s="86"/>
      <c r="HB1" s="86"/>
      <c r="HC1" s="86"/>
      <c r="HD1" s="86"/>
      <c r="HE1" s="86"/>
      <c r="HF1" s="86"/>
      <c r="HG1" s="86"/>
      <c r="HH1" s="86"/>
      <c r="HI1" s="86"/>
      <c r="HJ1" s="86"/>
      <c r="HK1" s="86"/>
      <c r="HL1" s="86"/>
      <c r="HM1" s="86"/>
      <c r="HN1" s="86"/>
      <c r="HO1" s="86"/>
      <c r="HP1" s="86"/>
      <c r="HQ1" s="86"/>
      <c r="HR1" s="86"/>
      <c r="HS1" s="86"/>
      <c r="HT1" s="86"/>
      <c r="HU1" s="86"/>
      <c r="HV1" s="86"/>
      <c r="HW1" s="86"/>
      <c r="HX1" s="86"/>
      <c r="HY1" s="86"/>
      <c r="HZ1" s="86"/>
      <c r="IA1" s="86"/>
      <c r="IB1" s="86"/>
      <c r="IC1" s="86"/>
      <c r="ID1" s="86"/>
      <c r="IE1" s="86"/>
      <c r="IF1" s="86"/>
      <c r="IG1" s="86"/>
      <c r="IH1" s="86"/>
    </row>
    <row r="2" spans="1:242" customFormat="1" x14ac:dyDescent="0.25">
      <c r="A2" s="983" t="s">
        <v>596</v>
      </c>
      <c r="B2" s="983"/>
      <c r="C2" s="983"/>
      <c r="D2" s="983"/>
      <c r="E2" s="983"/>
      <c r="F2" s="983"/>
      <c r="G2" s="983"/>
      <c r="H2" s="983"/>
      <c r="I2" s="983"/>
      <c r="J2" s="983"/>
      <c r="K2" s="983"/>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c r="AX2" s="86"/>
      <c r="AY2" s="86"/>
      <c r="AZ2" s="86"/>
      <c r="BA2" s="86"/>
      <c r="BB2" s="86"/>
      <c r="BC2" s="86"/>
      <c r="BD2" s="86"/>
      <c r="BE2" s="86"/>
      <c r="BF2" s="86"/>
      <c r="BG2" s="86"/>
      <c r="BH2" s="86"/>
      <c r="BI2" s="86"/>
      <c r="BJ2" s="86"/>
      <c r="BK2" s="86"/>
      <c r="BL2" s="86"/>
      <c r="BM2" s="86"/>
      <c r="BN2" s="86"/>
      <c r="BO2" s="86"/>
      <c r="BP2" s="86"/>
      <c r="BQ2" s="86"/>
      <c r="BR2" s="86"/>
      <c r="BS2" s="86"/>
      <c r="BT2" s="86"/>
      <c r="BU2" s="86"/>
      <c r="BV2" s="86"/>
      <c r="BW2" s="86"/>
      <c r="BX2" s="86"/>
      <c r="BY2" s="86"/>
      <c r="BZ2" s="86"/>
      <c r="CA2" s="86"/>
      <c r="CB2" s="86"/>
      <c r="CC2" s="86"/>
      <c r="CD2" s="86"/>
      <c r="CE2" s="86"/>
      <c r="CF2" s="86"/>
      <c r="CG2" s="86"/>
      <c r="CH2" s="86"/>
      <c r="CI2" s="86"/>
      <c r="CJ2" s="86"/>
      <c r="CK2" s="86"/>
      <c r="CL2" s="86"/>
      <c r="CM2" s="86"/>
      <c r="CN2" s="86"/>
      <c r="CO2" s="86"/>
      <c r="CP2" s="86"/>
      <c r="CQ2" s="86"/>
      <c r="CR2" s="86"/>
      <c r="CS2" s="86"/>
      <c r="CT2" s="86"/>
      <c r="CU2" s="86"/>
      <c r="CV2" s="86"/>
      <c r="CW2" s="86"/>
      <c r="CX2" s="86"/>
      <c r="CY2" s="86"/>
      <c r="CZ2" s="86"/>
      <c r="DA2" s="86"/>
      <c r="DB2" s="86"/>
      <c r="DC2" s="86"/>
      <c r="DD2" s="86"/>
      <c r="DE2" s="86"/>
      <c r="DF2" s="86"/>
      <c r="DG2" s="86"/>
      <c r="DH2" s="86"/>
      <c r="DI2" s="86"/>
      <c r="DJ2" s="86"/>
      <c r="DK2" s="86"/>
      <c r="DL2" s="86"/>
      <c r="DM2" s="86"/>
      <c r="DN2" s="86"/>
      <c r="DO2" s="86"/>
      <c r="DP2" s="86"/>
      <c r="DQ2" s="86"/>
      <c r="DR2" s="86"/>
      <c r="DS2" s="86"/>
      <c r="DT2" s="86"/>
      <c r="DU2" s="86"/>
      <c r="DV2" s="86"/>
      <c r="DW2" s="86"/>
      <c r="DX2" s="86"/>
      <c r="DY2" s="86"/>
      <c r="DZ2" s="86"/>
      <c r="EA2" s="86"/>
      <c r="EB2" s="86"/>
      <c r="EC2" s="86"/>
      <c r="ED2" s="86"/>
      <c r="EE2" s="86"/>
      <c r="EF2" s="86"/>
      <c r="EG2" s="86"/>
      <c r="EH2" s="86"/>
      <c r="EI2" s="86"/>
      <c r="EJ2" s="86"/>
      <c r="EK2" s="86"/>
      <c r="EL2" s="86"/>
      <c r="EM2" s="86"/>
      <c r="EN2" s="86"/>
      <c r="EO2" s="86"/>
      <c r="EP2" s="86"/>
      <c r="EQ2" s="86"/>
      <c r="ER2" s="86"/>
      <c r="ES2" s="86"/>
      <c r="ET2" s="86"/>
      <c r="EU2" s="86"/>
      <c r="EV2" s="86"/>
      <c r="EW2" s="86"/>
      <c r="EX2" s="86"/>
      <c r="EY2" s="86"/>
      <c r="EZ2" s="86"/>
      <c r="FA2" s="86"/>
      <c r="FB2" s="86"/>
      <c r="FC2" s="86"/>
      <c r="FD2" s="86"/>
      <c r="FE2" s="86"/>
      <c r="FF2" s="86"/>
      <c r="FG2" s="86"/>
      <c r="FH2" s="86"/>
      <c r="FI2" s="86"/>
      <c r="FJ2" s="86"/>
      <c r="FK2" s="86"/>
      <c r="FL2" s="86"/>
      <c r="FM2" s="86"/>
      <c r="FN2" s="86"/>
      <c r="FO2" s="86"/>
      <c r="FP2" s="86"/>
      <c r="FQ2" s="86"/>
      <c r="FR2" s="86"/>
      <c r="FS2" s="86"/>
      <c r="FT2" s="86"/>
      <c r="FU2" s="86"/>
      <c r="FV2" s="86"/>
      <c r="FW2" s="86"/>
      <c r="FX2" s="86"/>
      <c r="FY2" s="86"/>
      <c r="FZ2" s="86"/>
      <c r="GA2" s="86"/>
      <c r="GB2" s="86"/>
      <c r="GC2" s="86"/>
      <c r="GD2" s="86"/>
      <c r="GE2" s="86"/>
      <c r="GF2" s="86"/>
      <c r="GG2" s="86"/>
      <c r="GH2" s="86"/>
      <c r="GI2" s="86"/>
      <c r="GJ2" s="86"/>
      <c r="GK2" s="86"/>
      <c r="GL2" s="86"/>
      <c r="GM2" s="86"/>
      <c r="GN2" s="86"/>
      <c r="GO2" s="86"/>
      <c r="GP2" s="86"/>
      <c r="GQ2" s="86"/>
      <c r="GR2" s="86"/>
      <c r="GS2" s="86"/>
      <c r="GT2" s="86"/>
      <c r="GU2" s="86"/>
      <c r="GV2" s="86"/>
      <c r="GW2" s="86"/>
      <c r="GX2" s="86"/>
      <c r="GY2" s="86"/>
      <c r="GZ2" s="86"/>
      <c r="HA2" s="86"/>
      <c r="HB2" s="86"/>
      <c r="HC2" s="86"/>
      <c r="HD2" s="86"/>
      <c r="HE2" s="86"/>
      <c r="HF2" s="86"/>
      <c r="HG2" s="86"/>
      <c r="HH2" s="86"/>
      <c r="HI2" s="86"/>
      <c r="HJ2" s="86"/>
      <c r="HK2" s="86"/>
      <c r="HL2" s="86"/>
      <c r="HM2" s="86"/>
      <c r="HN2" s="86"/>
      <c r="HO2" s="86"/>
      <c r="HP2" s="86"/>
      <c r="HQ2" s="86"/>
      <c r="HR2" s="86"/>
      <c r="HS2" s="86"/>
      <c r="HT2" s="86"/>
      <c r="HU2" s="86"/>
      <c r="HV2" s="86"/>
      <c r="HW2" s="86"/>
      <c r="HX2" s="86"/>
      <c r="HY2" s="86"/>
      <c r="HZ2" s="86"/>
      <c r="IA2" s="86"/>
      <c r="IB2" s="86"/>
      <c r="IC2" s="86"/>
      <c r="ID2" s="86"/>
      <c r="IE2" s="86"/>
      <c r="IF2" s="86"/>
      <c r="IG2" s="86"/>
      <c r="IH2" s="86"/>
    </row>
    <row r="3" spans="1:242" customFormat="1" x14ac:dyDescent="0.25">
      <c r="A3" s="983" t="s">
        <v>850</v>
      </c>
      <c r="B3" s="983"/>
      <c r="C3" s="983"/>
      <c r="D3" s="983"/>
      <c r="E3" s="983"/>
      <c r="F3" s="983"/>
      <c r="G3" s="983"/>
      <c r="H3" s="983"/>
      <c r="I3" s="983"/>
      <c r="J3" s="983"/>
      <c r="K3" s="983"/>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c r="EO3" s="86"/>
      <c r="EP3" s="86"/>
      <c r="EQ3" s="86"/>
      <c r="ER3" s="86"/>
      <c r="ES3" s="86"/>
      <c r="ET3" s="86"/>
      <c r="EU3" s="86"/>
      <c r="EV3" s="86"/>
      <c r="EW3" s="86"/>
      <c r="EX3" s="86"/>
      <c r="EY3" s="86"/>
      <c r="EZ3" s="86"/>
      <c r="FA3" s="86"/>
      <c r="FB3" s="86"/>
      <c r="FC3" s="86"/>
      <c r="FD3" s="86"/>
      <c r="FE3" s="86"/>
      <c r="FF3" s="86"/>
      <c r="FG3" s="86"/>
      <c r="FH3" s="86"/>
      <c r="FI3" s="86"/>
      <c r="FJ3" s="86"/>
      <c r="FK3" s="86"/>
      <c r="FL3" s="86"/>
      <c r="FM3" s="86"/>
      <c r="FN3" s="86"/>
      <c r="FO3" s="86"/>
      <c r="FP3" s="86"/>
      <c r="FQ3" s="86"/>
      <c r="FR3" s="86"/>
      <c r="FS3" s="86"/>
      <c r="FT3" s="86"/>
      <c r="FU3" s="86"/>
      <c r="FV3" s="86"/>
      <c r="FW3" s="86"/>
      <c r="FX3" s="86"/>
      <c r="FY3" s="86"/>
      <c r="FZ3" s="86"/>
      <c r="GA3" s="86"/>
      <c r="GB3" s="86"/>
      <c r="GC3" s="86"/>
      <c r="GD3" s="86"/>
      <c r="GE3" s="86"/>
      <c r="GF3" s="86"/>
      <c r="GG3" s="86"/>
      <c r="GH3" s="86"/>
      <c r="GI3" s="86"/>
      <c r="GJ3" s="86"/>
      <c r="GK3" s="86"/>
      <c r="GL3" s="86"/>
      <c r="GM3" s="86"/>
      <c r="GN3" s="86"/>
      <c r="GO3" s="86"/>
      <c r="GP3" s="86"/>
      <c r="GQ3" s="86"/>
      <c r="GR3" s="86"/>
      <c r="GS3" s="86"/>
      <c r="GT3" s="86"/>
      <c r="GU3" s="86"/>
      <c r="GV3" s="86"/>
      <c r="GW3" s="86"/>
      <c r="GX3" s="86"/>
      <c r="GY3" s="86"/>
      <c r="GZ3" s="86"/>
      <c r="HA3" s="86"/>
      <c r="HB3" s="86"/>
      <c r="HC3" s="86"/>
      <c r="HD3" s="86"/>
      <c r="HE3" s="86"/>
      <c r="HF3" s="86"/>
      <c r="HG3" s="86"/>
      <c r="HH3" s="86"/>
      <c r="HI3" s="86"/>
      <c r="HJ3" s="86"/>
      <c r="HK3" s="86"/>
      <c r="HL3" s="86"/>
      <c r="HM3" s="86"/>
      <c r="HN3" s="86"/>
      <c r="HO3" s="86"/>
      <c r="HP3" s="86"/>
      <c r="HQ3" s="86"/>
      <c r="HR3" s="86"/>
      <c r="HS3" s="86"/>
      <c r="HT3" s="86"/>
      <c r="HU3" s="86"/>
      <c r="HV3" s="86"/>
      <c r="HW3" s="86"/>
      <c r="HX3" s="86"/>
      <c r="HY3" s="86"/>
      <c r="HZ3" s="86"/>
      <c r="IA3" s="86"/>
      <c r="IB3" s="86"/>
      <c r="IC3" s="86"/>
      <c r="ID3" s="86"/>
      <c r="IE3" s="86"/>
      <c r="IF3" s="86"/>
      <c r="IG3" s="86"/>
      <c r="IH3" s="86"/>
    </row>
    <row r="5" spans="1:242" ht="16.5" thickBot="1" x14ac:dyDescent="0.3"/>
    <row r="6" spans="1:242" ht="87" customHeight="1" thickTop="1" thickBot="1" x14ac:dyDescent="0.3">
      <c r="A6" s="989" t="s">
        <v>145</v>
      </c>
      <c r="B6" s="989" t="s">
        <v>162</v>
      </c>
      <c r="C6" s="974" t="s">
        <v>22</v>
      </c>
      <c r="D6" s="975"/>
      <c r="E6" s="976"/>
      <c r="F6" s="978" t="s">
        <v>23</v>
      </c>
      <c r="G6" s="979"/>
      <c r="H6" s="980"/>
      <c r="I6" s="971" t="s">
        <v>152</v>
      </c>
      <c r="J6" s="972"/>
      <c r="K6" s="973"/>
    </row>
    <row r="7" spans="1:242" ht="33" customHeight="1" thickTop="1" thickBot="1" x14ac:dyDescent="0.3">
      <c r="A7" s="990"/>
      <c r="B7" s="990"/>
      <c r="C7" s="4" t="s">
        <v>387</v>
      </c>
      <c r="D7" s="4" t="s">
        <v>388</v>
      </c>
      <c r="E7" s="4" t="s">
        <v>784</v>
      </c>
      <c r="F7" s="4" t="s">
        <v>387</v>
      </c>
      <c r="G7" s="4" t="s">
        <v>388</v>
      </c>
      <c r="H7" s="4" t="s">
        <v>784</v>
      </c>
      <c r="I7" s="4" t="s">
        <v>387</v>
      </c>
      <c r="J7" s="4" t="s">
        <v>388</v>
      </c>
      <c r="K7" s="4" t="s">
        <v>784</v>
      </c>
    </row>
    <row r="8" spans="1:242" ht="17.25" thickTop="1" thickBot="1" x14ac:dyDescent="0.3">
      <c r="A8" s="1" t="s">
        <v>146</v>
      </c>
      <c r="B8" s="188"/>
      <c r="C8" s="2" t="s">
        <v>194</v>
      </c>
      <c r="D8" s="337" t="s">
        <v>389</v>
      </c>
      <c r="E8" s="337" t="s">
        <v>390</v>
      </c>
      <c r="F8" s="185" t="s">
        <v>195</v>
      </c>
      <c r="G8" s="338" t="s">
        <v>391</v>
      </c>
      <c r="H8" s="338" t="s">
        <v>392</v>
      </c>
      <c r="I8" s="202" t="s">
        <v>395</v>
      </c>
      <c r="J8" s="202" t="s">
        <v>396</v>
      </c>
      <c r="K8" s="202" t="s">
        <v>397</v>
      </c>
    </row>
    <row r="9" spans="1:242" s="27" customFormat="1" ht="32.25" thickTop="1" x14ac:dyDescent="0.25">
      <c r="A9" s="26" t="s">
        <v>197</v>
      </c>
      <c r="B9" s="206" t="s">
        <v>201</v>
      </c>
      <c r="C9" s="207">
        <v>3967</v>
      </c>
      <c r="D9" s="195"/>
      <c r="E9" s="195">
        <f>SUM(C9:D9)</f>
        <v>3967</v>
      </c>
      <c r="F9" s="13">
        <v>0</v>
      </c>
      <c r="G9" s="13"/>
      <c r="H9" s="13">
        <f>SUM(F9:G9)</f>
        <v>0</v>
      </c>
      <c r="I9" s="7">
        <f>SUM(F9+C9)</f>
        <v>3967</v>
      </c>
      <c r="J9" s="7">
        <f t="shared" ref="J9:K11" si="0">SUM(G9+D9)</f>
        <v>0</v>
      </c>
      <c r="K9" s="7">
        <f t="shared" si="0"/>
        <v>3967</v>
      </c>
    </row>
    <row r="10" spans="1:242" s="27" customFormat="1" ht="31.5" x14ac:dyDescent="0.25">
      <c r="A10" s="26" t="s">
        <v>332</v>
      </c>
      <c r="B10" s="26" t="s">
        <v>202</v>
      </c>
      <c r="C10" s="13">
        <v>1867433</v>
      </c>
      <c r="D10" s="13">
        <v>17396</v>
      </c>
      <c r="E10" s="13">
        <f>SUM(C10:D10)</f>
        <v>1884829</v>
      </c>
      <c r="F10" s="13">
        <v>0</v>
      </c>
      <c r="G10" s="13"/>
      <c r="H10" s="13">
        <f>SUM(F10:G10)</f>
        <v>0</v>
      </c>
      <c r="I10" s="7">
        <f>SUM(F10+C10)</f>
        <v>1867433</v>
      </c>
      <c r="J10" s="7">
        <f t="shared" si="0"/>
        <v>17396</v>
      </c>
      <c r="K10" s="7">
        <f t="shared" si="0"/>
        <v>1884829</v>
      </c>
    </row>
    <row r="11" spans="1:242" s="27" customFormat="1" ht="47.25" x14ac:dyDescent="0.25">
      <c r="A11" s="303" t="s">
        <v>327</v>
      </c>
      <c r="B11" s="26" t="s">
        <v>203</v>
      </c>
      <c r="C11" s="13">
        <v>1720015</v>
      </c>
      <c r="D11" s="13">
        <v>83493</v>
      </c>
      <c r="E11" s="13">
        <f t="shared" ref="E11:E16" si="1">SUM(C11:D11)</f>
        <v>1803508</v>
      </c>
      <c r="F11" s="13">
        <v>0</v>
      </c>
      <c r="G11" s="13"/>
      <c r="H11" s="13">
        <f t="shared" ref="H11:H16" si="2">SUM(F11:G11)</f>
        <v>0</v>
      </c>
      <c r="I11" s="7">
        <f>SUM(F11+C11)</f>
        <v>1720015</v>
      </c>
      <c r="J11" s="7">
        <f t="shared" si="0"/>
        <v>83493</v>
      </c>
      <c r="K11" s="7">
        <f t="shared" si="0"/>
        <v>1803508</v>
      </c>
    </row>
    <row r="12" spans="1:242" s="27" customFormat="1" ht="31.5" x14ac:dyDescent="0.25">
      <c r="A12" s="26" t="s">
        <v>198</v>
      </c>
      <c r="B12" s="26" t="s">
        <v>204</v>
      </c>
      <c r="C12" s="13">
        <v>904327</v>
      </c>
      <c r="D12" s="13">
        <v>10311</v>
      </c>
      <c r="E12" s="13">
        <f t="shared" si="1"/>
        <v>914638</v>
      </c>
      <c r="F12" s="13">
        <v>0</v>
      </c>
      <c r="G12" s="13"/>
      <c r="H12" s="13">
        <f t="shared" si="2"/>
        <v>0</v>
      </c>
      <c r="I12" s="7">
        <f>SUM(C12+F12)</f>
        <v>904327</v>
      </c>
      <c r="J12" s="7">
        <f t="shared" ref="J12:K16" si="3">SUM(D12+G12)</f>
        <v>10311</v>
      </c>
      <c r="K12" s="7">
        <f t="shared" si="3"/>
        <v>914638</v>
      </c>
    </row>
    <row r="13" spans="1:242" s="28" customFormat="1" ht="31.5" x14ac:dyDescent="0.25">
      <c r="A13" s="26" t="s">
        <v>24</v>
      </c>
      <c r="B13" s="26"/>
      <c r="C13" s="13">
        <v>233300</v>
      </c>
      <c r="D13" s="13">
        <v>0</v>
      </c>
      <c r="E13" s="13">
        <f t="shared" si="1"/>
        <v>233300</v>
      </c>
      <c r="F13" s="13">
        <v>0</v>
      </c>
      <c r="G13" s="13"/>
      <c r="H13" s="13">
        <f t="shared" si="2"/>
        <v>0</v>
      </c>
      <c r="I13" s="7">
        <f>SUM(C13+F13)</f>
        <v>233300</v>
      </c>
      <c r="J13" s="7">
        <f t="shared" si="3"/>
        <v>0</v>
      </c>
      <c r="K13" s="7">
        <f t="shared" si="3"/>
        <v>233300</v>
      </c>
    </row>
    <row r="14" spans="1:242" s="28" customFormat="1" ht="31.5" x14ac:dyDescent="0.25">
      <c r="A14" s="26" t="s">
        <v>25</v>
      </c>
      <c r="B14" s="26"/>
      <c r="C14" s="13">
        <v>176100</v>
      </c>
      <c r="D14" s="13">
        <v>0</v>
      </c>
      <c r="E14" s="13">
        <f t="shared" si="1"/>
        <v>176100</v>
      </c>
      <c r="F14" s="13">
        <v>0</v>
      </c>
      <c r="G14" s="13"/>
      <c r="H14" s="13">
        <f t="shared" si="2"/>
        <v>0</v>
      </c>
      <c r="I14" s="7">
        <f>SUM(C14+F14)</f>
        <v>176100</v>
      </c>
      <c r="J14" s="7">
        <f t="shared" si="3"/>
        <v>0</v>
      </c>
      <c r="K14" s="7">
        <f t="shared" si="3"/>
        <v>176100</v>
      </c>
    </row>
    <row r="15" spans="1:242" s="28" customFormat="1" x14ac:dyDescent="0.25">
      <c r="A15" s="26" t="s">
        <v>26</v>
      </c>
      <c r="B15" s="26"/>
      <c r="C15" s="13">
        <v>301800</v>
      </c>
      <c r="D15" s="13">
        <v>0</v>
      </c>
      <c r="E15" s="13">
        <f t="shared" si="1"/>
        <v>301800</v>
      </c>
      <c r="F15" s="13">
        <v>0</v>
      </c>
      <c r="G15" s="13"/>
      <c r="H15" s="13">
        <f t="shared" si="2"/>
        <v>0</v>
      </c>
      <c r="I15" s="7">
        <f>SUM(C15+F15)</f>
        <v>301800</v>
      </c>
      <c r="J15" s="7">
        <f t="shared" si="3"/>
        <v>0</v>
      </c>
      <c r="K15" s="7">
        <f t="shared" si="3"/>
        <v>301800</v>
      </c>
    </row>
    <row r="16" spans="1:242" s="28" customFormat="1" ht="42" customHeight="1" x14ac:dyDescent="0.25">
      <c r="A16" s="26" t="s">
        <v>333</v>
      </c>
      <c r="B16" s="26" t="s">
        <v>205</v>
      </c>
      <c r="C16" s="13">
        <v>292488</v>
      </c>
      <c r="D16" s="13">
        <v>2425</v>
      </c>
      <c r="E16" s="13">
        <f t="shared" si="1"/>
        <v>294913</v>
      </c>
      <c r="F16" s="13">
        <v>0</v>
      </c>
      <c r="G16" s="13"/>
      <c r="H16" s="13">
        <f t="shared" si="2"/>
        <v>0</v>
      </c>
      <c r="I16" s="7">
        <f>SUM(C16+F16)</f>
        <v>292488</v>
      </c>
      <c r="J16" s="7">
        <f t="shared" si="3"/>
        <v>2425</v>
      </c>
      <c r="K16" s="7">
        <f t="shared" si="3"/>
        <v>294913</v>
      </c>
    </row>
    <row r="17" spans="1:11" s="20" customFormat="1" ht="31.5" x14ac:dyDescent="0.25">
      <c r="A17" s="17" t="s">
        <v>200</v>
      </c>
      <c r="B17" s="17" t="s">
        <v>206</v>
      </c>
      <c r="C17" s="18">
        <f>SUM(C9:C11,C12,C16)</f>
        <v>4788230</v>
      </c>
      <c r="D17" s="18">
        <f t="shared" ref="D17:H17" si="4">SUM(D9:D11,D12,D16)</f>
        <v>113625</v>
      </c>
      <c r="E17" s="18">
        <f t="shared" si="4"/>
        <v>4901855</v>
      </c>
      <c r="F17" s="18">
        <f t="shared" si="4"/>
        <v>0</v>
      </c>
      <c r="G17" s="18">
        <f t="shared" si="4"/>
        <v>0</v>
      </c>
      <c r="H17" s="18">
        <f t="shared" si="4"/>
        <v>0</v>
      </c>
      <c r="I17" s="18">
        <f>SUM(I9:I11,I12,I16)</f>
        <v>4788230</v>
      </c>
      <c r="J17" s="18">
        <f t="shared" ref="J17:K17" si="5">SUM(J9:J11,J12,J16)</f>
        <v>113625</v>
      </c>
      <c r="K17" s="18">
        <f t="shared" si="5"/>
        <v>4901855</v>
      </c>
    </row>
    <row r="18" spans="1:11" s="20" customFormat="1" ht="31.5" x14ac:dyDescent="0.25">
      <c r="A18" s="17" t="s">
        <v>238</v>
      </c>
      <c r="B18" s="17" t="s">
        <v>239</v>
      </c>
      <c r="C18" s="18">
        <v>79598</v>
      </c>
      <c r="D18" s="18">
        <v>195747</v>
      </c>
      <c r="E18" s="18">
        <f>SUM(C18:D18)</f>
        <v>275345</v>
      </c>
      <c r="F18" s="18">
        <v>1525763</v>
      </c>
      <c r="G18" s="18">
        <v>195986</v>
      </c>
      <c r="H18" s="18">
        <f>SUM(F18:G18)</f>
        <v>1721749</v>
      </c>
      <c r="I18" s="18">
        <f>SUM(C18+F18)</f>
        <v>1605361</v>
      </c>
      <c r="J18" s="18">
        <f>SUM(D18+G18)</f>
        <v>391733</v>
      </c>
      <c r="K18" s="18">
        <f>SUM(E18+H18)</f>
        <v>1997094</v>
      </c>
    </row>
    <row r="19" spans="1:11" s="10" customFormat="1" ht="31.5" x14ac:dyDescent="0.25">
      <c r="A19" s="8" t="s">
        <v>240</v>
      </c>
      <c r="B19" s="8" t="s">
        <v>173</v>
      </c>
      <c r="C19" s="7">
        <f>SUM(C17+C18)</f>
        <v>4867828</v>
      </c>
      <c r="D19" s="7">
        <f t="shared" ref="D19:H19" si="6">SUM(D17+D18)</f>
        <v>309372</v>
      </c>
      <c r="E19" s="7">
        <f t="shared" si="6"/>
        <v>5177200</v>
      </c>
      <c r="F19" s="7">
        <f t="shared" si="6"/>
        <v>1525763</v>
      </c>
      <c r="G19" s="7">
        <f t="shared" si="6"/>
        <v>195986</v>
      </c>
      <c r="H19" s="7">
        <f t="shared" si="6"/>
        <v>1721749</v>
      </c>
      <c r="I19" s="7">
        <f>SUM(I17+I18)</f>
        <v>6393591</v>
      </c>
      <c r="J19" s="7">
        <f t="shared" ref="J19:K19" si="7">SUM(J17+J18)</f>
        <v>505358</v>
      </c>
      <c r="K19" s="7">
        <f t="shared" si="7"/>
        <v>6898949</v>
      </c>
    </row>
    <row r="20" spans="1:11" s="37" customFormat="1" ht="31.5" x14ac:dyDescent="0.25">
      <c r="A20" s="17" t="s">
        <v>241</v>
      </c>
      <c r="B20" s="208" t="s">
        <v>207</v>
      </c>
      <c r="C20" s="256">
        <v>488480</v>
      </c>
      <c r="D20" s="256">
        <v>447230</v>
      </c>
      <c r="E20" s="256">
        <f>SUM(C20:D20)</f>
        <v>935710</v>
      </c>
      <c r="F20" s="256">
        <v>0</v>
      </c>
      <c r="G20" s="256"/>
      <c r="H20" s="256">
        <f>SUM(F20:G20)</f>
        <v>0</v>
      </c>
      <c r="I20" s="18">
        <f>SUM(C20+F20)</f>
        <v>488480</v>
      </c>
      <c r="J20" s="18">
        <f t="shared" ref="J20:K21" si="8">SUM(D20+G20)</f>
        <v>447230</v>
      </c>
      <c r="K20" s="18">
        <f t="shared" si="8"/>
        <v>935710</v>
      </c>
    </row>
    <row r="21" spans="1:11" s="37" customFormat="1" ht="31.5" x14ac:dyDescent="0.25">
      <c r="A21" s="17" t="s">
        <v>243</v>
      </c>
      <c r="B21" s="208" t="s">
        <v>242</v>
      </c>
      <c r="C21" s="256">
        <v>14915550</v>
      </c>
      <c r="D21" s="256">
        <v>-7040783</v>
      </c>
      <c r="E21" s="256">
        <f>SUM(C21:D21)</f>
        <v>7874767</v>
      </c>
      <c r="F21" s="256">
        <v>9123</v>
      </c>
      <c r="G21" s="256"/>
      <c r="H21" s="256">
        <f>SUM(F21:G21)</f>
        <v>9123</v>
      </c>
      <c r="I21" s="18">
        <f>SUM(C21+F21)</f>
        <v>14924673</v>
      </c>
      <c r="J21" s="18">
        <f t="shared" si="8"/>
        <v>-7040783</v>
      </c>
      <c r="K21" s="18">
        <f t="shared" si="8"/>
        <v>7883890</v>
      </c>
    </row>
    <row r="22" spans="1:11" s="40" customFormat="1" ht="31.5" x14ac:dyDescent="0.25">
      <c r="A22" s="8" t="s">
        <v>244</v>
      </c>
      <c r="B22" s="42" t="s">
        <v>174</v>
      </c>
      <c r="C22" s="41">
        <f>SUM(C20+C21)</f>
        <v>15404030</v>
      </c>
      <c r="D22" s="41">
        <f t="shared" ref="D22:H22" si="9">SUM(D20+D21)</f>
        <v>-6593553</v>
      </c>
      <c r="E22" s="41">
        <f t="shared" si="9"/>
        <v>8810477</v>
      </c>
      <c r="F22" s="41">
        <f t="shared" si="9"/>
        <v>9123</v>
      </c>
      <c r="G22" s="41">
        <f t="shared" si="9"/>
        <v>0</v>
      </c>
      <c r="H22" s="41">
        <f t="shared" si="9"/>
        <v>9123</v>
      </c>
      <c r="I22" s="41">
        <f>SUM(I20+I21)</f>
        <v>15413153</v>
      </c>
      <c r="J22" s="41">
        <f t="shared" ref="J22:K22" si="10">SUM(J20+J21)</f>
        <v>-6593553</v>
      </c>
      <c r="K22" s="41">
        <f t="shared" si="10"/>
        <v>8819600</v>
      </c>
    </row>
    <row r="23" spans="1:11" ht="31.5" x14ac:dyDescent="0.25">
      <c r="A23" s="26" t="s">
        <v>1018</v>
      </c>
      <c r="B23" s="11" t="s">
        <v>1019</v>
      </c>
      <c r="C23" s="16"/>
      <c r="D23" s="16">
        <v>239</v>
      </c>
      <c r="E23" s="16">
        <f>SUM(C23:D23)</f>
        <v>239</v>
      </c>
      <c r="F23" s="16">
        <v>0</v>
      </c>
      <c r="G23" s="16"/>
      <c r="H23" s="16">
        <f>SUM(F23:G23)</f>
        <v>0</v>
      </c>
      <c r="I23" s="7">
        <f>SUM(F23+C23)</f>
        <v>0</v>
      </c>
      <c r="J23" s="7">
        <f t="shared" ref="J23" si="11">SUM(G23+D23)</f>
        <v>239</v>
      </c>
      <c r="K23" s="7">
        <f t="shared" ref="K23" si="12">SUM(H23+E23)</f>
        <v>239</v>
      </c>
    </row>
    <row r="24" spans="1:11" x14ac:dyDescent="0.25">
      <c r="A24" s="26" t="s">
        <v>575</v>
      </c>
      <c r="B24" s="11" t="s">
        <v>208</v>
      </c>
      <c r="C24" s="16">
        <v>1875000</v>
      </c>
      <c r="D24" s="16">
        <v>75227</v>
      </c>
      <c r="E24" s="16">
        <f>SUM(C24:D24)</f>
        <v>1950227</v>
      </c>
      <c r="F24" s="16">
        <v>0</v>
      </c>
      <c r="G24" s="16"/>
      <c r="H24" s="16">
        <f>SUM(F24:G24)</f>
        <v>0</v>
      </c>
      <c r="I24" s="7">
        <f>SUM(F24+C24)</f>
        <v>1875000</v>
      </c>
      <c r="J24" s="7">
        <f t="shared" ref="J24:K24" si="13">SUM(G24+D24)</f>
        <v>75227</v>
      </c>
      <c r="K24" s="7">
        <f t="shared" si="13"/>
        <v>1950227</v>
      </c>
    </row>
    <row r="25" spans="1:11" x14ac:dyDescent="0.25">
      <c r="A25" s="26" t="s">
        <v>1020</v>
      </c>
      <c r="B25" s="11" t="s">
        <v>208</v>
      </c>
      <c r="C25" s="16"/>
      <c r="D25" s="16">
        <v>61</v>
      </c>
      <c r="E25" s="16">
        <f>SUM(C25:D25)</f>
        <v>61</v>
      </c>
      <c r="F25" s="16">
        <v>0</v>
      </c>
      <c r="G25" s="16"/>
      <c r="H25" s="16">
        <f>SUM(F25:G25)</f>
        <v>0</v>
      </c>
      <c r="I25" s="7">
        <f>SUM(F25+C25)</f>
        <v>0</v>
      </c>
      <c r="J25" s="7">
        <f t="shared" ref="J25" si="14">SUM(G25+D25)</f>
        <v>61</v>
      </c>
      <c r="K25" s="7">
        <f t="shared" ref="K25" si="15">SUM(H25+E25)</f>
        <v>61</v>
      </c>
    </row>
    <row r="26" spans="1:11" s="20" customFormat="1" ht="31.5" x14ac:dyDescent="0.25">
      <c r="A26" s="826" t="s">
        <v>1027</v>
      </c>
      <c r="B26" s="17" t="s">
        <v>208</v>
      </c>
      <c r="C26" s="18">
        <f t="shared" ref="C26:K26" si="16">SUM(C24:C25)</f>
        <v>1875000</v>
      </c>
      <c r="D26" s="18">
        <f t="shared" si="16"/>
        <v>75288</v>
      </c>
      <c r="E26" s="18">
        <f t="shared" si="16"/>
        <v>1950288</v>
      </c>
      <c r="F26" s="18">
        <f t="shared" si="16"/>
        <v>0</v>
      </c>
      <c r="G26" s="18">
        <f t="shared" si="16"/>
        <v>0</v>
      </c>
      <c r="H26" s="18">
        <f t="shared" si="16"/>
        <v>0</v>
      </c>
      <c r="I26" s="18">
        <f t="shared" si="16"/>
        <v>1875000</v>
      </c>
      <c r="J26" s="18">
        <f t="shared" si="16"/>
        <v>75288</v>
      </c>
      <c r="K26" s="18">
        <f t="shared" si="16"/>
        <v>1950288</v>
      </c>
    </row>
    <row r="27" spans="1:11" x14ac:dyDescent="0.25">
      <c r="A27" s="26" t="s">
        <v>576</v>
      </c>
      <c r="B27" s="11" t="s">
        <v>209</v>
      </c>
      <c r="C27" s="16">
        <v>16000000</v>
      </c>
      <c r="D27" s="16">
        <v>2105794</v>
      </c>
      <c r="E27" s="16">
        <f>SUM(C27:D27)</f>
        <v>18105794</v>
      </c>
      <c r="F27" s="16">
        <v>0</v>
      </c>
      <c r="G27" s="16"/>
      <c r="H27" s="16">
        <f>SUM(F27:G27)</f>
        <v>0</v>
      </c>
      <c r="I27" s="7">
        <f>SUM(F27+C27)</f>
        <v>16000000</v>
      </c>
      <c r="J27" s="7">
        <f t="shared" ref="J27:K27" si="17">SUM(G27+D27)</f>
        <v>2105794</v>
      </c>
      <c r="K27" s="7">
        <f t="shared" si="17"/>
        <v>18105794</v>
      </c>
    </row>
    <row r="28" spans="1:11" s="37" customFormat="1" x14ac:dyDescent="0.25">
      <c r="A28" s="826" t="s">
        <v>577</v>
      </c>
      <c r="B28" s="17" t="s">
        <v>209</v>
      </c>
      <c r="C28" s="18">
        <f>SUM(C27)</f>
        <v>16000000</v>
      </c>
      <c r="D28" s="18">
        <f t="shared" ref="D28:H28" si="18">SUM(D27)</f>
        <v>2105794</v>
      </c>
      <c r="E28" s="18">
        <f t="shared" si="18"/>
        <v>18105794</v>
      </c>
      <c r="F28" s="18">
        <f t="shared" si="18"/>
        <v>0</v>
      </c>
      <c r="G28" s="18">
        <f t="shared" si="18"/>
        <v>0</v>
      </c>
      <c r="H28" s="18">
        <f t="shared" si="18"/>
        <v>0</v>
      </c>
      <c r="I28" s="18">
        <f>SUM(I27)</f>
        <v>16000000</v>
      </c>
      <c r="J28" s="18">
        <f t="shared" ref="J28:K28" si="19">SUM(J27)</f>
        <v>2105794</v>
      </c>
      <c r="K28" s="18">
        <f t="shared" si="19"/>
        <v>18105794</v>
      </c>
    </row>
    <row r="29" spans="1:11" s="37" customFormat="1" x14ac:dyDescent="0.25">
      <c r="A29" s="826" t="s">
        <v>578</v>
      </c>
      <c r="B29" s="17" t="s">
        <v>210</v>
      </c>
      <c r="C29" s="18">
        <v>360000</v>
      </c>
      <c r="D29" s="18">
        <v>39651</v>
      </c>
      <c r="E29" s="18">
        <f>SUM(C29:D29)</f>
        <v>399651</v>
      </c>
      <c r="F29" s="25">
        <v>0</v>
      </c>
      <c r="G29" s="25"/>
      <c r="H29" s="25">
        <f>SUM(F29:G29)</f>
        <v>0</v>
      </c>
      <c r="I29" s="18">
        <f>SUM(F29+C29)</f>
        <v>360000</v>
      </c>
      <c r="J29" s="18">
        <f t="shared" ref="J29:K30" si="20">SUM(G29+D29)</f>
        <v>39651</v>
      </c>
      <c r="K29" s="18">
        <f t="shared" si="20"/>
        <v>399651</v>
      </c>
    </row>
    <row r="30" spans="1:11" x14ac:dyDescent="0.25">
      <c r="A30" s="26" t="s">
        <v>579</v>
      </c>
      <c r="B30" s="11" t="s">
        <v>211</v>
      </c>
      <c r="C30" s="16">
        <v>60000</v>
      </c>
      <c r="D30" s="16">
        <v>7246</v>
      </c>
      <c r="E30" s="6">
        <f>SUM(C30:D30)</f>
        <v>67246</v>
      </c>
      <c r="F30" s="16">
        <v>0</v>
      </c>
      <c r="G30" s="16"/>
      <c r="H30" s="16">
        <f>SUM(F30:G30)</f>
        <v>0</v>
      </c>
      <c r="I30" s="7">
        <f>SUM(F30+C30)</f>
        <v>60000</v>
      </c>
      <c r="J30" s="7">
        <f t="shared" si="20"/>
        <v>7246</v>
      </c>
      <c r="K30" s="7">
        <f t="shared" si="20"/>
        <v>67246</v>
      </c>
    </row>
    <row r="31" spans="1:11" s="37" customFormat="1" ht="31.5" x14ac:dyDescent="0.25">
      <c r="A31" s="826" t="s">
        <v>580</v>
      </c>
      <c r="B31" s="17" t="s">
        <v>211</v>
      </c>
      <c r="C31" s="18">
        <f t="shared" ref="C31:K31" si="21">SUM(C30:C30)</f>
        <v>60000</v>
      </c>
      <c r="D31" s="18">
        <f t="shared" si="21"/>
        <v>7246</v>
      </c>
      <c r="E31" s="18">
        <f t="shared" si="21"/>
        <v>67246</v>
      </c>
      <c r="F31" s="18">
        <f t="shared" si="21"/>
        <v>0</v>
      </c>
      <c r="G31" s="18">
        <f t="shared" si="21"/>
        <v>0</v>
      </c>
      <c r="H31" s="18">
        <f t="shared" si="21"/>
        <v>0</v>
      </c>
      <c r="I31" s="18">
        <f t="shared" si="21"/>
        <v>60000</v>
      </c>
      <c r="J31" s="18">
        <f t="shared" si="21"/>
        <v>7246</v>
      </c>
      <c r="K31" s="18">
        <f t="shared" si="21"/>
        <v>67246</v>
      </c>
    </row>
    <row r="32" spans="1:11" s="37" customFormat="1" ht="31.5" x14ac:dyDescent="0.25">
      <c r="A32" s="826" t="s">
        <v>581</v>
      </c>
      <c r="B32" s="17" t="s">
        <v>212</v>
      </c>
      <c r="C32" s="18">
        <f t="shared" ref="C32:K32" si="22">SUM(C31+C29+C28)</f>
        <v>16420000</v>
      </c>
      <c r="D32" s="18">
        <f t="shared" si="22"/>
        <v>2152691</v>
      </c>
      <c r="E32" s="18">
        <f t="shared" si="22"/>
        <v>18572691</v>
      </c>
      <c r="F32" s="18">
        <f t="shared" si="22"/>
        <v>0</v>
      </c>
      <c r="G32" s="18">
        <f t="shared" si="22"/>
        <v>0</v>
      </c>
      <c r="H32" s="18">
        <f t="shared" si="22"/>
        <v>0</v>
      </c>
      <c r="I32" s="18">
        <f t="shared" si="22"/>
        <v>16420000</v>
      </c>
      <c r="J32" s="18">
        <f t="shared" si="22"/>
        <v>2152691</v>
      </c>
      <c r="K32" s="18">
        <f t="shared" si="22"/>
        <v>18572691</v>
      </c>
    </row>
    <row r="33" spans="1:11" s="10" customFormat="1" x14ac:dyDescent="0.25">
      <c r="A33" s="11" t="s">
        <v>582</v>
      </c>
      <c r="B33" s="11" t="s">
        <v>213</v>
      </c>
      <c r="C33" s="13">
        <v>10000</v>
      </c>
      <c r="D33" s="13"/>
      <c r="E33" s="13">
        <f>SUM(C33:D33)</f>
        <v>10000</v>
      </c>
      <c r="F33" s="13">
        <v>0</v>
      </c>
      <c r="G33" s="13"/>
      <c r="H33" s="13">
        <f>SUM(F33:G33)</f>
        <v>0</v>
      </c>
      <c r="I33" s="6">
        <f t="shared" ref="I33:I36" si="23">SUM(F33+C33)</f>
        <v>10000</v>
      </c>
      <c r="J33" s="6">
        <f t="shared" ref="J33:J36" si="24">SUM(G33+D33)</f>
        <v>0</v>
      </c>
      <c r="K33" s="6">
        <f t="shared" ref="K33:K36" si="25">SUM(H33+E33)</f>
        <v>10000</v>
      </c>
    </row>
    <row r="34" spans="1:11" s="10" customFormat="1" x14ac:dyDescent="0.25">
      <c r="A34" s="11" t="s">
        <v>583</v>
      </c>
      <c r="B34" s="11" t="s">
        <v>213</v>
      </c>
      <c r="C34" s="197">
        <v>50000</v>
      </c>
      <c r="D34" s="197"/>
      <c r="E34" s="13">
        <f t="shared" ref="E34:E37" si="26">SUM(C34:D34)</f>
        <v>50000</v>
      </c>
      <c r="F34" s="6">
        <v>0</v>
      </c>
      <c r="G34" s="6"/>
      <c r="H34" s="13">
        <f t="shared" ref="H34:H37" si="27">SUM(F34:G34)</f>
        <v>0</v>
      </c>
      <c r="I34" s="6">
        <f t="shared" si="23"/>
        <v>50000</v>
      </c>
      <c r="J34" s="6">
        <f t="shared" si="24"/>
        <v>0</v>
      </c>
      <c r="K34" s="6">
        <f t="shared" si="25"/>
        <v>50000</v>
      </c>
    </row>
    <row r="35" spans="1:11" s="10" customFormat="1" ht="31.5" x14ac:dyDescent="0.25">
      <c r="A35" s="11" t="s">
        <v>584</v>
      </c>
      <c r="B35" s="11" t="s">
        <v>213</v>
      </c>
      <c r="C35" s="197">
        <v>27500</v>
      </c>
      <c r="D35" s="197">
        <v>-7017</v>
      </c>
      <c r="E35" s="13">
        <f t="shared" si="26"/>
        <v>20483</v>
      </c>
      <c r="F35" s="6">
        <v>0</v>
      </c>
      <c r="G35" s="6"/>
      <c r="H35" s="13">
        <f t="shared" si="27"/>
        <v>0</v>
      </c>
      <c r="I35" s="6">
        <f t="shared" si="23"/>
        <v>27500</v>
      </c>
      <c r="J35" s="6">
        <f t="shared" si="24"/>
        <v>-7017</v>
      </c>
      <c r="K35" s="6">
        <f t="shared" si="25"/>
        <v>20483</v>
      </c>
    </row>
    <row r="36" spans="1:11" s="10" customFormat="1" x14ac:dyDescent="0.25">
      <c r="A36" s="11" t="s">
        <v>585</v>
      </c>
      <c r="B36" s="11" t="s">
        <v>213</v>
      </c>
      <c r="C36" s="197">
        <v>5000</v>
      </c>
      <c r="D36" s="197"/>
      <c r="E36" s="13">
        <f t="shared" si="26"/>
        <v>5000</v>
      </c>
      <c r="F36" s="6">
        <v>200</v>
      </c>
      <c r="G36" s="6">
        <v>1450</v>
      </c>
      <c r="H36" s="13">
        <f t="shared" si="27"/>
        <v>1650</v>
      </c>
      <c r="I36" s="6">
        <f t="shared" si="23"/>
        <v>5200</v>
      </c>
      <c r="J36" s="6">
        <f t="shared" si="24"/>
        <v>1450</v>
      </c>
      <c r="K36" s="6">
        <f t="shared" si="25"/>
        <v>6650</v>
      </c>
    </row>
    <row r="37" spans="1:11" s="10" customFormat="1" x14ac:dyDescent="0.25">
      <c r="A37" s="11" t="s">
        <v>1026</v>
      </c>
      <c r="B37" s="11" t="s">
        <v>213</v>
      </c>
      <c r="C37" s="197"/>
      <c r="D37" s="197">
        <v>444</v>
      </c>
      <c r="E37" s="13">
        <f t="shared" si="26"/>
        <v>444</v>
      </c>
      <c r="F37" s="6"/>
      <c r="G37" s="6"/>
      <c r="H37" s="13">
        <f t="shared" si="27"/>
        <v>0</v>
      </c>
      <c r="I37" s="6">
        <f t="shared" ref="I37" si="28">SUM(F37+C37)</f>
        <v>0</v>
      </c>
      <c r="J37" s="6">
        <f t="shared" ref="J37" si="29">SUM(G37+D37)</f>
        <v>444</v>
      </c>
      <c r="K37" s="6">
        <f t="shared" ref="K37" si="30">SUM(H37+E37)</f>
        <v>444</v>
      </c>
    </row>
    <row r="38" spans="1:11" s="37" customFormat="1" ht="31.5" x14ac:dyDescent="0.25">
      <c r="A38" s="17" t="s">
        <v>1173</v>
      </c>
      <c r="B38" s="17" t="s">
        <v>213</v>
      </c>
      <c r="C38" s="18">
        <f>SUM(C33:C37)</f>
        <v>92500</v>
      </c>
      <c r="D38" s="18">
        <f t="shared" ref="D38:K38" si="31">SUM(D33:D37)</f>
        <v>-6573</v>
      </c>
      <c r="E38" s="18">
        <f t="shared" si="31"/>
        <v>85927</v>
      </c>
      <c r="F38" s="18">
        <f t="shared" si="31"/>
        <v>200</v>
      </c>
      <c r="G38" s="18">
        <f t="shared" si="31"/>
        <v>1450</v>
      </c>
      <c r="H38" s="18">
        <f t="shared" si="31"/>
        <v>1650</v>
      </c>
      <c r="I38" s="18">
        <f t="shared" si="31"/>
        <v>92700</v>
      </c>
      <c r="J38" s="18">
        <f t="shared" si="31"/>
        <v>-5123</v>
      </c>
      <c r="K38" s="18">
        <f t="shared" si="31"/>
        <v>87577</v>
      </c>
    </row>
    <row r="39" spans="1:11" s="10" customFormat="1" ht="31.5" x14ac:dyDescent="0.25">
      <c r="A39" s="8" t="s">
        <v>1028</v>
      </c>
      <c r="B39" s="8" t="s">
        <v>175</v>
      </c>
      <c r="C39" s="9">
        <f t="shared" ref="C39:K39" si="32">SUM(C26+C32+C38+C23)</f>
        <v>18387500</v>
      </c>
      <c r="D39" s="9">
        <f t="shared" si="32"/>
        <v>2221645</v>
      </c>
      <c r="E39" s="9">
        <f t="shared" si="32"/>
        <v>20609145</v>
      </c>
      <c r="F39" s="9">
        <f t="shared" si="32"/>
        <v>200</v>
      </c>
      <c r="G39" s="9">
        <f t="shared" si="32"/>
        <v>1450</v>
      </c>
      <c r="H39" s="9">
        <f t="shared" si="32"/>
        <v>1650</v>
      </c>
      <c r="I39" s="9">
        <f t="shared" si="32"/>
        <v>18387700</v>
      </c>
      <c r="J39" s="9">
        <f t="shared" si="32"/>
        <v>2223095</v>
      </c>
      <c r="K39" s="9">
        <f t="shared" si="32"/>
        <v>20610795</v>
      </c>
    </row>
    <row r="40" spans="1:11" s="10" customFormat="1" x14ac:dyDescent="0.25">
      <c r="A40" s="8" t="s">
        <v>586</v>
      </c>
      <c r="B40" s="8" t="s">
        <v>176</v>
      </c>
      <c r="C40" s="9">
        <v>5271125</v>
      </c>
      <c r="D40" s="9">
        <v>-653912</v>
      </c>
      <c r="E40" s="9">
        <f>SUM(C40:D40)</f>
        <v>4617213</v>
      </c>
      <c r="F40" s="9">
        <v>1409842</v>
      </c>
      <c r="G40" s="9">
        <v>263823</v>
      </c>
      <c r="H40" s="9">
        <f>SUM(F40:G40)</f>
        <v>1673665</v>
      </c>
      <c r="I40" s="9">
        <f t="shared" ref="I40:K41" si="33">SUM(C40+F40)</f>
        <v>6680967</v>
      </c>
      <c r="J40" s="9">
        <f t="shared" si="33"/>
        <v>-390089</v>
      </c>
      <c r="K40" s="9">
        <f t="shared" si="33"/>
        <v>6290878</v>
      </c>
    </row>
    <row r="41" spans="1:11" s="10" customFormat="1" x14ac:dyDescent="0.25">
      <c r="A41" s="11" t="s">
        <v>222</v>
      </c>
      <c r="B41" s="11" t="s">
        <v>214</v>
      </c>
      <c r="C41" s="13">
        <v>393785</v>
      </c>
      <c r="D41" s="13">
        <v>-1476</v>
      </c>
      <c r="E41" s="13">
        <f>SUM(C41:D41)</f>
        <v>392309</v>
      </c>
      <c r="F41" s="374">
        <v>0</v>
      </c>
      <c r="G41" s="375"/>
      <c r="H41" s="375">
        <f>SUM(F41:G41)</f>
        <v>0</v>
      </c>
      <c r="I41" s="14">
        <f t="shared" si="33"/>
        <v>393785</v>
      </c>
      <c r="J41" s="14">
        <f t="shared" si="33"/>
        <v>-1476</v>
      </c>
      <c r="K41" s="14">
        <f t="shared" si="33"/>
        <v>392309</v>
      </c>
    </row>
    <row r="42" spans="1:11" s="10" customFormat="1" ht="31.5" x14ac:dyDescent="0.25">
      <c r="A42" s="198" t="s">
        <v>223</v>
      </c>
      <c r="B42" s="11" t="s">
        <v>224</v>
      </c>
      <c r="C42" s="197">
        <v>3046819</v>
      </c>
      <c r="D42" s="197">
        <v>-760816</v>
      </c>
      <c r="E42" s="13">
        <f t="shared" ref="E42:E46" si="34">SUM(C42:D42)</f>
        <v>2286003</v>
      </c>
      <c r="F42" s="197">
        <v>378872</v>
      </c>
      <c r="G42" s="362">
        <f>39420+275</f>
        <v>39695</v>
      </c>
      <c r="H42" s="375">
        <f t="shared" ref="H42:H46" si="35">SUM(F42:G42)</f>
        <v>418567</v>
      </c>
      <c r="I42" s="14">
        <f t="shared" ref="I42:I46" si="36">SUM(C42+F42)</f>
        <v>3425691</v>
      </c>
      <c r="J42" s="14">
        <f t="shared" ref="J42:J46" si="37">SUM(D42+G42)</f>
        <v>-721121</v>
      </c>
      <c r="K42" s="14">
        <f t="shared" ref="K42:K46" si="38">SUM(E42+H42)</f>
        <v>2704570</v>
      </c>
    </row>
    <row r="43" spans="1:11" x14ac:dyDescent="0.25">
      <c r="A43" s="196" t="s">
        <v>225</v>
      </c>
      <c r="B43" s="11" t="s">
        <v>215</v>
      </c>
      <c r="C43" s="6">
        <v>116000</v>
      </c>
      <c r="D43" s="6">
        <v>16108</v>
      </c>
      <c r="E43" s="13">
        <f t="shared" si="34"/>
        <v>132108</v>
      </c>
      <c r="F43" s="6">
        <v>0</v>
      </c>
      <c r="G43" s="5">
        <v>56</v>
      </c>
      <c r="H43" s="375">
        <f t="shared" si="35"/>
        <v>56</v>
      </c>
      <c r="I43" s="14">
        <f t="shared" si="36"/>
        <v>116000</v>
      </c>
      <c r="J43" s="14">
        <f t="shared" si="37"/>
        <v>16164</v>
      </c>
      <c r="K43" s="14">
        <f t="shared" si="38"/>
        <v>132164</v>
      </c>
    </row>
    <row r="44" spans="1:11" ht="30.75" customHeight="1" x14ac:dyDescent="0.25">
      <c r="A44" s="34" t="s">
        <v>587</v>
      </c>
      <c r="B44" s="34" t="s">
        <v>216</v>
      </c>
      <c r="C44" s="35">
        <v>278800</v>
      </c>
      <c r="D44" s="35">
        <v>37881</v>
      </c>
      <c r="E44" s="13">
        <f t="shared" si="34"/>
        <v>316681</v>
      </c>
      <c r="F44" s="35">
        <v>0</v>
      </c>
      <c r="G44" s="35"/>
      <c r="H44" s="375">
        <f t="shared" si="35"/>
        <v>0</v>
      </c>
      <c r="I44" s="14">
        <f t="shared" si="36"/>
        <v>278800</v>
      </c>
      <c r="J44" s="14">
        <f t="shared" si="37"/>
        <v>37881</v>
      </c>
      <c r="K44" s="14">
        <f t="shared" si="38"/>
        <v>316681</v>
      </c>
    </row>
    <row r="45" spans="1:11" s="27" customFormat="1" x14ac:dyDescent="0.25">
      <c r="A45" s="764" t="s">
        <v>819</v>
      </c>
      <c r="B45" s="764" t="s">
        <v>817</v>
      </c>
      <c r="C45" s="35">
        <v>1200</v>
      </c>
      <c r="D45" s="35"/>
      <c r="E45" s="13">
        <f t="shared" si="34"/>
        <v>1200</v>
      </c>
      <c r="F45" s="35">
        <v>0</v>
      </c>
      <c r="G45" s="35">
        <v>786</v>
      </c>
      <c r="H45" s="375">
        <f t="shared" si="35"/>
        <v>786</v>
      </c>
      <c r="I45" s="14">
        <f t="shared" si="36"/>
        <v>1200</v>
      </c>
      <c r="J45" s="14">
        <f t="shared" si="37"/>
        <v>786</v>
      </c>
      <c r="K45" s="14">
        <f t="shared" si="38"/>
        <v>1986</v>
      </c>
    </row>
    <row r="46" spans="1:11" s="27" customFormat="1" x14ac:dyDescent="0.25">
      <c r="A46" s="764" t="s">
        <v>820</v>
      </c>
      <c r="B46" s="764" t="s">
        <v>818</v>
      </c>
      <c r="C46" s="35">
        <v>2860</v>
      </c>
      <c r="D46" s="35">
        <v>-1</v>
      </c>
      <c r="E46" s="13">
        <f t="shared" si="34"/>
        <v>2859</v>
      </c>
      <c r="F46" s="35">
        <v>0</v>
      </c>
      <c r="G46" s="35"/>
      <c r="H46" s="375">
        <f t="shared" si="35"/>
        <v>0</v>
      </c>
      <c r="I46" s="14">
        <f t="shared" si="36"/>
        <v>2860</v>
      </c>
      <c r="J46" s="14">
        <f t="shared" si="37"/>
        <v>-1</v>
      </c>
      <c r="K46" s="14">
        <f t="shared" si="38"/>
        <v>2859</v>
      </c>
    </row>
    <row r="47" spans="1:11" ht="30.75" customHeight="1" x14ac:dyDescent="0.25">
      <c r="A47" s="34" t="s">
        <v>1021</v>
      </c>
      <c r="B47" s="34" t="s">
        <v>1022</v>
      </c>
      <c r="C47" s="35"/>
      <c r="D47" s="35">
        <v>285</v>
      </c>
      <c r="E47" s="13">
        <f t="shared" ref="E47" si="39">SUM(C47:D47)</f>
        <v>285</v>
      </c>
      <c r="F47" s="35">
        <v>0</v>
      </c>
      <c r="G47" s="35"/>
      <c r="H47" s="375">
        <f t="shared" ref="H47" si="40">SUM(F47:G47)</f>
        <v>0</v>
      </c>
      <c r="I47" s="14">
        <f t="shared" ref="I47" si="41">SUM(C47+F47)</f>
        <v>0</v>
      </c>
      <c r="J47" s="14">
        <f t="shared" ref="J47" si="42">SUM(D47+G47)</f>
        <v>285</v>
      </c>
      <c r="K47" s="14">
        <f t="shared" ref="K47" si="43">SUM(E47+H47)</f>
        <v>285</v>
      </c>
    </row>
    <row r="48" spans="1:11" s="28" customFormat="1" ht="31.5" x14ac:dyDescent="0.25">
      <c r="A48" s="765" t="s">
        <v>1029</v>
      </c>
      <c r="B48" s="765" t="s">
        <v>177</v>
      </c>
      <c r="C48" s="7">
        <f>SUM(C44:C47)</f>
        <v>282860</v>
      </c>
      <c r="D48" s="7">
        <f t="shared" ref="D48:K48" si="44">SUM(D44:D47)</f>
        <v>38165</v>
      </c>
      <c r="E48" s="7">
        <f t="shared" si="44"/>
        <v>321025</v>
      </c>
      <c r="F48" s="7">
        <f t="shared" si="44"/>
        <v>0</v>
      </c>
      <c r="G48" s="7">
        <f t="shared" si="44"/>
        <v>786</v>
      </c>
      <c r="H48" s="7">
        <f t="shared" si="44"/>
        <v>786</v>
      </c>
      <c r="I48" s="7">
        <f t="shared" si="44"/>
        <v>282860</v>
      </c>
      <c r="J48" s="7">
        <f t="shared" si="44"/>
        <v>38951</v>
      </c>
      <c r="K48" s="7">
        <f t="shared" si="44"/>
        <v>321811</v>
      </c>
    </row>
    <row r="49" spans="1:11" s="10" customFormat="1" x14ac:dyDescent="0.25">
      <c r="A49" s="29" t="s">
        <v>588</v>
      </c>
      <c r="B49" s="29" t="s">
        <v>178</v>
      </c>
      <c r="C49" s="31">
        <v>421362</v>
      </c>
      <c r="D49" s="31">
        <v>-377440</v>
      </c>
      <c r="E49" s="31">
        <f>SUM(C49:D49)</f>
        <v>43922</v>
      </c>
      <c r="F49" s="31">
        <v>143763</v>
      </c>
      <c r="G49" s="31">
        <v>-114</v>
      </c>
      <c r="H49" s="31">
        <f>SUM(F49:G49)</f>
        <v>143649</v>
      </c>
      <c r="I49" s="7">
        <f>SUM(C49+F49)</f>
        <v>565125</v>
      </c>
      <c r="J49" s="7">
        <f t="shared" ref="J49:K50" si="45">SUM(D49+G49)</f>
        <v>-377554</v>
      </c>
      <c r="K49" s="7">
        <f t="shared" si="45"/>
        <v>187571</v>
      </c>
    </row>
    <row r="50" spans="1:11" s="10" customFormat="1" ht="16.5" thickBot="1" x14ac:dyDescent="0.3">
      <c r="A50" s="42" t="s">
        <v>589</v>
      </c>
      <c r="B50" s="42" t="s">
        <v>179</v>
      </c>
      <c r="C50" s="225">
        <v>120375</v>
      </c>
      <c r="D50" s="225">
        <v>-17965</v>
      </c>
      <c r="E50" s="31">
        <f>SUM(C50:D50)</f>
        <v>102410</v>
      </c>
      <c r="F50" s="225">
        <v>486</v>
      </c>
      <c r="G50" s="225">
        <v>144</v>
      </c>
      <c r="H50" s="31">
        <f>SUM(F50:G50)</f>
        <v>630</v>
      </c>
      <c r="I50" s="41">
        <f>SUM(C50+F50)</f>
        <v>120861</v>
      </c>
      <c r="J50" s="41">
        <f t="shared" si="45"/>
        <v>-17821</v>
      </c>
      <c r="K50" s="41">
        <f t="shared" si="45"/>
        <v>103040</v>
      </c>
    </row>
    <row r="51" spans="1:11" s="10" customFormat="1" ht="33" thickTop="1" thickBot="1" x14ac:dyDescent="0.3">
      <c r="A51" s="43" t="s">
        <v>590</v>
      </c>
      <c r="B51" s="43"/>
      <c r="C51" s="46">
        <f t="shared" ref="C51:K51" si="46">SUM(C49+C40+C39+C19)</f>
        <v>28947815</v>
      </c>
      <c r="D51" s="46">
        <f t="shared" si="46"/>
        <v>1499665</v>
      </c>
      <c r="E51" s="46">
        <f t="shared" si="46"/>
        <v>30447480</v>
      </c>
      <c r="F51" s="46">
        <f t="shared" si="46"/>
        <v>3079568</v>
      </c>
      <c r="G51" s="46">
        <f t="shared" si="46"/>
        <v>461145</v>
      </c>
      <c r="H51" s="46">
        <f t="shared" si="46"/>
        <v>3540713</v>
      </c>
      <c r="I51" s="46">
        <f t="shared" si="46"/>
        <v>32027383</v>
      </c>
      <c r="J51" s="46">
        <f t="shared" si="46"/>
        <v>1960810</v>
      </c>
      <c r="K51" s="46">
        <f t="shared" si="46"/>
        <v>33988193</v>
      </c>
    </row>
    <row r="52" spans="1:11" s="10" customFormat="1" ht="33" thickTop="1" thickBot="1" x14ac:dyDescent="0.3">
      <c r="A52" s="43" t="s">
        <v>591</v>
      </c>
      <c r="B52" s="43"/>
      <c r="C52" s="46">
        <f t="shared" ref="C52:K52" si="47">SUM(C22+C50+C48)</f>
        <v>15807265</v>
      </c>
      <c r="D52" s="46">
        <f t="shared" si="47"/>
        <v>-6573353</v>
      </c>
      <c r="E52" s="46">
        <f t="shared" si="47"/>
        <v>9233912</v>
      </c>
      <c r="F52" s="46">
        <f t="shared" si="47"/>
        <v>9609</v>
      </c>
      <c r="G52" s="46">
        <f t="shared" si="47"/>
        <v>930</v>
      </c>
      <c r="H52" s="46">
        <f t="shared" si="47"/>
        <v>10539</v>
      </c>
      <c r="I52" s="46">
        <f t="shared" si="47"/>
        <v>15816874</v>
      </c>
      <c r="J52" s="46">
        <f t="shared" si="47"/>
        <v>-6572423</v>
      </c>
      <c r="K52" s="46">
        <f t="shared" si="47"/>
        <v>9244451</v>
      </c>
    </row>
    <row r="53" spans="1:11" ht="33" thickTop="1" thickBot="1" x14ac:dyDescent="0.3">
      <c r="A53" s="43" t="s">
        <v>592</v>
      </c>
      <c r="B53" s="43" t="s">
        <v>287</v>
      </c>
      <c r="C53" s="33">
        <f>SUM(C51+C52)</f>
        <v>44755080</v>
      </c>
      <c r="D53" s="33">
        <f t="shared" ref="D53:H53" si="48">SUM(D51+D52)</f>
        <v>-5073688</v>
      </c>
      <c r="E53" s="33">
        <f t="shared" si="48"/>
        <v>39681392</v>
      </c>
      <c r="F53" s="33">
        <f t="shared" si="48"/>
        <v>3089177</v>
      </c>
      <c r="G53" s="33">
        <f t="shared" si="48"/>
        <v>462075</v>
      </c>
      <c r="H53" s="33">
        <f t="shared" si="48"/>
        <v>3551252</v>
      </c>
      <c r="I53" s="33">
        <f>SUM(I51+I52)</f>
        <v>47844257</v>
      </c>
      <c r="J53" s="33">
        <f t="shared" ref="J53:K53" si="49">SUM(J51+J52)</f>
        <v>-4611613</v>
      </c>
      <c r="K53" s="33">
        <f t="shared" si="49"/>
        <v>43232644</v>
      </c>
    </row>
    <row r="54" spans="1:11" ht="15.75" customHeight="1" thickTop="1" thickBot="1" x14ac:dyDescent="0.3">
      <c r="A54" s="48"/>
      <c r="B54" s="194"/>
      <c r="C54" s="49"/>
      <c r="D54" s="49"/>
      <c r="E54" s="49"/>
      <c r="F54" s="49"/>
      <c r="G54" s="49"/>
      <c r="H54" s="49"/>
      <c r="I54" s="50"/>
      <c r="J54" s="50"/>
      <c r="K54" s="50"/>
    </row>
    <row r="55" spans="1:11" ht="32.25" thickTop="1" x14ac:dyDescent="0.25">
      <c r="A55" s="51" t="s">
        <v>323</v>
      </c>
      <c r="B55" s="51"/>
      <c r="C55" s="309">
        <f>SUM(C56-C57)</f>
        <v>-15723980</v>
      </c>
      <c r="D55" s="310">
        <f t="shared" ref="D55:H55" si="50">SUM(D56-D57)</f>
        <v>38940</v>
      </c>
      <c r="E55" s="309">
        <f t="shared" si="50"/>
        <v>-15685040</v>
      </c>
      <c r="F55" s="373">
        <f t="shared" si="50"/>
        <v>-11887068</v>
      </c>
      <c r="G55" s="310">
        <f t="shared" si="50"/>
        <v>-38956</v>
      </c>
      <c r="H55" s="318">
        <f t="shared" si="50"/>
        <v>-11926024</v>
      </c>
      <c r="I55" s="368">
        <f>SUM(I56-I57)</f>
        <v>-27611048</v>
      </c>
      <c r="J55" s="318">
        <f t="shared" ref="J55:K55" si="51">SUM(J56-J57)</f>
        <v>-16</v>
      </c>
      <c r="K55" s="318">
        <f t="shared" si="51"/>
        <v>-27611064</v>
      </c>
    </row>
    <row r="56" spans="1:11" s="20" customFormat="1" x14ac:dyDescent="0.25">
      <c r="A56" s="284" t="s">
        <v>227</v>
      </c>
      <c r="B56" s="284" t="s">
        <v>287</v>
      </c>
      <c r="C56" s="311">
        <f>SUM(C53)</f>
        <v>44755080</v>
      </c>
      <c r="D56" s="312">
        <f t="shared" ref="D56:H56" si="52">SUM(D53)</f>
        <v>-5073688</v>
      </c>
      <c r="E56" s="319">
        <f t="shared" si="52"/>
        <v>39681392</v>
      </c>
      <c r="F56" s="311">
        <f t="shared" si="52"/>
        <v>3089177</v>
      </c>
      <c r="G56" s="312">
        <f t="shared" si="52"/>
        <v>462075</v>
      </c>
      <c r="H56" s="319">
        <f t="shared" si="52"/>
        <v>3551252</v>
      </c>
      <c r="I56" s="369">
        <f>SUM(I53)</f>
        <v>47844257</v>
      </c>
      <c r="J56" s="319">
        <f t="shared" ref="J56:K56" si="53">SUM(J53)</f>
        <v>-4611613</v>
      </c>
      <c r="K56" s="319">
        <f t="shared" si="53"/>
        <v>43232644</v>
      </c>
    </row>
    <row r="57" spans="1:11" s="20" customFormat="1" x14ac:dyDescent="0.25">
      <c r="A57" s="284" t="s">
        <v>228</v>
      </c>
      <c r="B57" s="284" t="s">
        <v>283</v>
      </c>
      <c r="C57" s="313">
        <f>'4 kiadás(szűkített)'!C22</f>
        <v>60479060</v>
      </c>
      <c r="D57" s="314">
        <f>'4 kiadás(szűkített)'!D22</f>
        <v>-5112628</v>
      </c>
      <c r="E57" s="320">
        <f>'4 kiadás(szűkített)'!E22</f>
        <v>55366432</v>
      </c>
      <c r="F57" s="361">
        <f>'4 kiadás(szűkített)'!F22</f>
        <v>14976245</v>
      </c>
      <c r="G57" s="314">
        <f>'4 kiadás(szűkített)'!G22</f>
        <v>501031</v>
      </c>
      <c r="H57" s="320">
        <f>'4 kiadás(szűkített)'!H22</f>
        <v>15477276</v>
      </c>
      <c r="I57" s="370">
        <f>SUM(C57+F57)</f>
        <v>75455305</v>
      </c>
      <c r="J57" s="320">
        <f>SUM(D57+G57)</f>
        <v>-4611597</v>
      </c>
      <c r="K57" s="320">
        <f>SUM(E57+H57)</f>
        <v>70843708</v>
      </c>
    </row>
    <row r="58" spans="1:11" s="20" customFormat="1" x14ac:dyDescent="0.25">
      <c r="A58" s="284"/>
      <c r="B58" s="284"/>
      <c r="C58" s="361"/>
      <c r="D58" s="314"/>
      <c r="E58" s="320"/>
      <c r="F58" s="361"/>
      <c r="G58" s="564"/>
      <c r="H58" s="320"/>
      <c r="I58" s="370"/>
      <c r="J58" s="320"/>
      <c r="K58" s="320"/>
    </row>
    <row r="59" spans="1:11" x14ac:dyDescent="0.25">
      <c r="A59" s="55" t="s">
        <v>505</v>
      </c>
      <c r="B59" s="55"/>
      <c r="C59" s="230">
        <f>SUM(C66-C67)</f>
        <v>15723980</v>
      </c>
      <c r="D59" s="363">
        <f t="shared" ref="D59:K59" si="54">SUM(D66-D67)</f>
        <v>-38940</v>
      </c>
      <c r="E59" s="321">
        <f t="shared" si="54"/>
        <v>15685040</v>
      </c>
      <c r="F59" s="363">
        <f t="shared" si="54"/>
        <v>11887068</v>
      </c>
      <c r="G59" s="315">
        <f t="shared" si="54"/>
        <v>38956</v>
      </c>
      <c r="H59" s="371">
        <f t="shared" si="54"/>
        <v>11926024</v>
      </c>
      <c r="I59" s="321">
        <f t="shared" si="54"/>
        <v>27611048</v>
      </c>
      <c r="J59" s="321">
        <f t="shared" si="54"/>
        <v>16</v>
      </c>
      <c r="K59" s="321">
        <f t="shared" si="54"/>
        <v>27611064</v>
      </c>
    </row>
    <row r="60" spans="1:11" ht="31.5" x14ac:dyDescent="0.25">
      <c r="A60" s="56" t="s">
        <v>191</v>
      </c>
      <c r="B60" s="56"/>
      <c r="C60" s="229">
        <v>2002703</v>
      </c>
      <c r="D60" s="53"/>
      <c r="E60" s="287">
        <f>SUM(C60:D60)</f>
        <v>2002703</v>
      </c>
      <c r="F60" s="366">
        <v>580031</v>
      </c>
      <c r="G60" s="364">
        <v>16</v>
      </c>
      <c r="H60" s="287">
        <f>SUM(F60:G60)</f>
        <v>580047</v>
      </c>
      <c r="I60" s="288">
        <f>SUM(C60)+F60</f>
        <v>2582734</v>
      </c>
      <c r="J60" s="287">
        <f t="shared" ref="J60:K63" si="55">SUM(D60+G60)</f>
        <v>16</v>
      </c>
      <c r="K60" s="287">
        <f t="shared" si="55"/>
        <v>2582750</v>
      </c>
    </row>
    <row r="61" spans="1:11" ht="31.5" x14ac:dyDescent="0.25">
      <c r="A61" s="56" t="s">
        <v>180</v>
      </c>
      <c r="B61" s="56"/>
      <c r="C61" s="229">
        <v>10814733</v>
      </c>
      <c r="D61" s="53"/>
      <c r="E61" s="287">
        <f>SUM(C61:D61)</f>
        <v>10814733</v>
      </c>
      <c r="F61" s="366">
        <v>0</v>
      </c>
      <c r="G61" s="364"/>
      <c r="H61" s="287">
        <f>SUM(F61:G61)</f>
        <v>0</v>
      </c>
      <c r="I61" s="288">
        <f>SUM(C61)+F61</f>
        <v>10814733</v>
      </c>
      <c r="J61" s="287">
        <f t="shared" si="55"/>
        <v>0</v>
      </c>
      <c r="K61" s="287">
        <f t="shared" si="55"/>
        <v>10814733</v>
      </c>
    </row>
    <row r="62" spans="1:11" x14ac:dyDescent="0.25">
      <c r="A62" s="52" t="s">
        <v>181</v>
      </c>
      <c r="B62" s="52" t="s">
        <v>226</v>
      </c>
      <c r="C62" s="229">
        <f t="shared" ref="C62:H62" si="56">SUM(C60:C61)</f>
        <v>12817436</v>
      </c>
      <c r="D62" s="53">
        <f t="shared" si="56"/>
        <v>0</v>
      </c>
      <c r="E62" s="287">
        <f t="shared" si="56"/>
        <v>12817436</v>
      </c>
      <c r="F62" s="366">
        <f t="shared" si="56"/>
        <v>580031</v>
      </c>
      <c r="G62" s="364">
        <f t="shared" si="56"/>
        <v>16</v>
      </c>
      <c r="H62" s="287">
        <f t="shared" si="56"/>
        <v>580047</v>
      </c>
      <c r="I62" s="288">
        <f>SUM(C62+F62)</f>
        <v>13397467</v>
      </c>
      <c r="J62" s="287">
        <f t="shared" si="55"/>
        <v>16</v>
      </c>
      <c r="K62" s="287">
        <f t="shared" si="55"/>
        <v>13397483</v>
      </c>
    </row>
    <row r="63" spans="1:11" x14ac:dyDescent="0.25">
      <c r="A63" s="289" t="s">
        <v>1024</v>
      </c>
      <c r="B63" s="289" t="s">
        <v>1023</v>
      </c>
      <c r="C63" s="316"/>
      <c r="D63" s="317">
        <v>328960</v>
      </c>
      <c r="E63" s="287">
        <f>SUM(C63:D63)</f>
        <v>328960</v>
      </c>
      <c r="F63" s="367"/>
      <c r="G63" s="365"/>
      <c r="H63" s="322">
        <f>SUM(F63:G63)</f>
        <v>0</v>
      </c>
      <c r="I63" s="372">
        <f t="shared" ref="I63" si="57">SUM(C63+F63)</f>
        <v>0</v>
      </c>
      <c r="J63" s="322">
        <f t="shared" si="55"/>
        <v>328960</v>
      </c>
      <c r="K63" s="322">
        <f t="shared" si="55"/>
        <v>328960</v>
      </c>
    </row>
    <row r="64" spans="1:11" x14ac:dyDescent="0.25">
      <c r="A64" s="289" t="s">
        <v>324</v>
      </c>
      <c r="B64" s="289" t="s">
        <v>325</v>
      </c>
      <c r="C64" s="316"/>
      <c r="D64" s="317"/>
      <c r="E64" s="287">
        <f>SUM(C64:D64)</f>
        <v>0</v>
      </c>
      <c r="F64" s="367">
        <v>11307037</v>
      </c>
      <c r="G64" s="365">
        <v>38940</v>
      </c>
      <c r="H64" s="322">
        <f>SUM(F64:G64)</f>
        <v>11345977</v>
      </c>
      <c r="I64" s="372">
        <f t="shared" ref="I64:K64" si="58">SUM(C64+F64)</f>
        <v>11307037</v>
      </c>
      <c r="J64" s="322">
        <f t="shared" si="58"/>
        <v>38940</v>
      </c>
      <c r="K64" s="322">
        <f t="shared" si="58"/>
        <v>11345977</v>
      </c>
    </row>
    <row r="65" spans="1:11" ht="31.5" x14ac:dyDescent="0.25">
      <c r="A65" s="289" t="s">
        <v>499</v>
      </c>
      <c r="B65" s="289" t="s">
        <v>496</v>
      </c>
      <c r="C65" s="316">
        <v>47150000</v>
      </c>
      <c r="D65" s="317">
        <v>-9651412</v>
      </c>
      <c r="E65" s="322">
        <f>SUM(C65:D65)</f>
        <v>37498588</v>
      </c>
      <c r="F65" s="367"/>
      <c r="G65" s="365"/>
      <c r="H65" s="322"/>
      <c r="I65" s="372">
        <f t="shared" ref="I65" si="59">SUM(C65+F65)</f>
        <v>47150000</v>
      </c>
      <c r="J65" s="322">
        <f t="shared" ref="J65" si="60">SUM(D65+G65)</f>
        <v>-9651412</v>
      </c>
      <c r="K65" s="322">
        <f t="shared" ref="K65" si="61">SUM(E65+H65)</f>
        <v>37498588</v>
      </c>
    </row>
    <row r="66" spans="1:11" s="20" customFormat="1" ht="31.5" x14ac:dyDescent="0.25">
      <c r="A66" s="295" t="s">
        <v>1025</v>
      </c>
      <c r="B66" s="295" t="s">
        <v>182</v>
      </c>
      <c r="C66" s="565">
        <f>SUM(C62+C63+C64+C65)</f>
        <v>59967436</v>
      </c>
      <c r="D66" s="312">
        <f>SUM(D62+D63+D64+D65)</f>
        <v>-9322452</v>
      </c>
      <c r="E66" s="319">
        <f t="shared" ref="E66:K66" si="62">SUM(E62+E63+E64+E65)</f>
        <v>50644984</v>
      </c>
      <c r="F66" s="311">
        <f t="shared" si="62"/>
        <v>11887068</v>
      </c>
      <c r="G66" s="312">
        <f t="shared" si="62"/>
        <v>38956</v>
      </c>
      <c r="H66" s="319">
        <f t="shared" si="62"/>
        <v>11926024</v>
      </c>
      <c r="I66" s="369">
        <f t="shared" si="62"/>
        <v>71854504</v>
      </c>
      <c r="J66" s="319">
        <f t="shared" si="62"/>
        <v>-9283496</v>
      </c>
      <c r="K66" s="319">
        <f t="shared" si="62"/>
        <v>62571008</v>
      </c>
    </row>
    <row r="67" spans="1:11" s="20" customFormat="1" x14ac:dyDescent="0.25">
      <c r="A67" s="295" t="s">
        <v>326</v>
      </c>
      <c r="B67" s="295" t="s">
        <v>221</v>
      </c>
      <c r="C67" s="565">
        <f>'4 kiadás(szűkített)'!C26</f>
        <v>44243456</v>
      </c>
      <c r="D67" s="312">
        <f>'4 kiadás(szűkített)'!D26</f>
        <v>-9283512</v>
      </c>
      <c r="E67" s="319">
        <f>'4 kiadás(szűkített)'!E26</f>
        <v>34959944</v>
      </c>
      <c r="F67" s="311">
        <f>'4 kiadás(szűkített)'!F26</f>
        <v>0</v>
      </c>
      <c r="G67" s="312">
        <f>'4 kiadás(szűkített)'!G26</f>
        <v>0</v>
      </c>
      <c r="H67" s="319">
        <f>'4 kiadás(szűkített)'!H26</f>
        <v>0</v>
      </c>
      <c r="I67" s="369">
        <f>SUM(C67+F67)</f>
        <v>44243456</v>
      </c>
      <c r="J67" s="319">
        <f>SUM(D67+G67)</f>
        <v>-9283512</v>
      </c>
      <c r="K67" s="319">
        <f t="shared" ref="K67" si="63">SUM(E67:H67)</f>
        <v>34959944</v>
      </c>
    </row>
    <row r="68" spans="1:11" s="57" customFormat="1" ht="16.5" thickBot="1" x14ac:dyDescent="0.3">
      <c r="A68" s="58" t="s">
        <v>506</v>
      </c>
      <c r="B68" s="58"/>
      <c r="C68" s="400">
        <f>SUM(C55+C59)</f>
        <v>0</v>
      </c>
      <c r="D68" s="238">
        <f t="shared" ref="D68:K68" si="64">SUM(D55+D59)</f>
        <v>0</v>
      </c>
      <c r="E68" s="302">
        <f t="shared" si="64"/>
        <v>0</v>
      </c>
      <c r="F68" s="400">
        <f t="shared" si="64"/>
        <v>0</v>
      </c>
      <c r="G68" s="238">
        <f t="shared" si="64"/>
        <v>0</v>
      </c>
      <c r="H68" s="302">
        <f t="shared" si="64"/>
        <v>0</v>
      </c>
      <c r="I68" s="400">
        <f t="shared" si="64"/>
        <v>0</v>
      </c>
      <c r="J68" s="400">
        <f t="shared" si="64"/>
        <v>0</v>
      </c>
      <c r="K68" s="58">
        <f t="shared" si="64"/>
        <v>0</v>
      </c>
    </row>
    <row r="69" spans="1:11" s="57" customFormat="1" ht="16.5" thickTop="1" x14ac:dyDescent="0.25"/>
    <row r="70" spans="1:11" s="57" customFormat="1" x14ac:dyDescent="0.25"/>
    <row r="71" spans="1:11" s="57" customFormat="1" x14ac:dyDescent="0.25"/>
    <row r="72" spans="1:11" s="57" customFormat="1" x14ac:dyDescent="0.25">
      <c r="A72" s="60"/>
      <c r="B72" s="60"/>
    </row>
    <row r="73" spans="1:11" s="62" customFormat="1" x14ac:dyDescent="0.25">
      <c r="A73" s="61"/>
      <c r="B73" s="61"/>
      <c r="C73" s="57"/>
      <c r="D73" s="57"/>
      <c r="E73" s="57"/>
      <c r="F73" s="57"/>
      <c r="G73" s="57"/>
      <c r="H73" s="57"/>
      <c r="I73" s="57"/>
      <c r="J73" s="57"/>
      <c r="K73" s="57"/>
    </row>
    <row r="74" spans="1:11" s="62" customFormat="1" x14ac:dyDescent="0.25">
      <c r="A74" s="63"/>
      <c r="B74" s="63"/>
      <c r="C74" s="57"/>
      <c r="D74" s="57"/>
      <c r="E74" s="57"/>
      <c r="F74" s="57"/>
      <c r="G74" s="57"/>
      <c r="H74" s="57"/>
      <c r="I74" s="57"/>
      <c r="J74" s="57"/>
      <c r="K74" s="57"/>
    </row>
    <row r="75" spans="1:11" s="62" customFormat="1" x14ac:dyDescent="0.25">
      <c r="A75" s="64"/>
      <c r="B75" s="64"/>
    </row>
    <row r="76" spans="1:11" s="62" customFormat="1" x14ac:dyDescent="0.25">
      <c r="A76" s="65"/>
      <c r="B76" s="65"/>
    </row>
    <row r="77" spans="1:11" s="62" customFormat="1" x14ac:dyDescent="0.25">
      <c r="A77" s="66"/>
      <c r="B77" s="66"/>
    </row>
    <row r="78" spans="1:11" s="62" customFormat="1" x14ac:dyDescent="0.25">
      <c r="A78" s="64"/>
      <c r="B78" s="64"/>
    </row>
    <row r="79" spans="1:11" s="62" customFormat="1" x14ac:dyDescent="0.25">
      <c r="A79" s="65"/>
      <c r="B79" s="65"/>
    </row>
    <row r="80" spans="1:11" s="62" customFormat="1" x14ac:dyDescent="0.25">
      <c r="A80" s="65"/>
      <c r="B80" s="65"/>
    </row>
    <row r="81" spans="1:11" s="62" customFormat="1" x14ac:dyDescent="0.25">
      <c r="A81" s="64"/>
      <c r="B81" s="64"/>
    </row>
    <row r="82" spans="1:11" s="62" customFormat="1" x14ac:dyDescent="0.25">
      <c r="A82" s="65"/>
      <c r="B82" s="65"/>
    </row>
    <row r="83" spans="1:11" s="62" customFormat="1" x14ac:dyDescent="0.25">
      <c r="A83" s="65"/>
      <c r="B83" s="65"/>
    </row>
    <row r="84" spans="1:11" s="62" customFormat="1" x14ac:dyDescent="0.25">
      <c r="A84" s="65"/>
      <c r="B84" s="65"/>
    </row>
    <row r="85" spans="1:11" s="62" customFormat="1" x14ac:dyDescent="0.25">
      <c r="A85" s="65"/>
      <c r="B85" s="65"/>
    </row>
    <row r="86" spans="1:11" s="62" customFormat="1" x14ac:dyDescent="0.25">
      <c r="A86" s="64"/>
      <c r="B86" s="64"/>
    </row>
    <row r="87" spans="1:11" s="62" customFormat="1" x14ac:dyDescent="0.25">
      <c r="A87" s="65"/>
      <c r="B87" s="65"/>
    </row>
    <row r="88" spans="1:11" s="62" customFormat="1" x14ac:dyDescent="0.25">
      <c r="A88" s="65"/>
      <c r="B88" s="65"/>
    </row>
    <row r="89" spans="1:11" s="62" customFormat="1" x14ac:dyDescent="0.25">
      <c r="A89" s="65"/>
      <c r="B89" s="65"/>
    </row>
    <row r="90" spans="1:11" s="62" customFormat="1" x14ac:dyDescent="0.25">
      <c r="A90" s="65"/>
      <c r="B90" s="65"/>
    </row>
    <row r="91" spans="1:11" s="62" customFormat="1" x14ac:dyDescent="0.25">
      <c r="A91" s="65"/>
      <c r="B91" s="65"/>
    </row>
    <row r="92" spans="1:11" x14ac:dyDescent="0.25">
      <c r="A92" s="65"/>
      <c r="B92" s="65"/>
      <c r="C92" s="62"/>
      <c r="D92" s="62"/>
      <c r="E92" s="62"/>
      <c r="F92" s="62"/>
      <c r="G92" s="62"/>
      <c r="H92" s="62"/>
      <c r="I92" s="62"/>
      <c r="J92" s="62"/>
      <c r="K92" s="62"/>
    </row>
    <row r="93" spans="1:11" x14ac:dyDescent="0.25">
      <c r="A93" s="65"/>
      <c r="B93" s="65"/>
      <c r="C93" s="62"/>
      <c r="D93" s="62"/>
      <c r="E93" s="62"/>
      <c r="F93" s="62"/>
      <c r="G93" s="62"/>
      <c r="H93" s="62"/>
      <c r="I93" s="62"/>
      <c r="J93" s="62"/>
      <c r="K93" s="62"/>
    </row>
    <row r="94" spans="1:11" x14ac:dyDescent="0.25">
      <c r="A94" s="67"/>
      <c r="B94" s="67"/>
    </row>
    <row r="95" spans="1:11" x14ac:dyDescent="0.25">
      <c r="A95" s="67"/>
      <c r="B95" s="67"/>
    </row>
    <row r="96" spans="1:11" x14ac:dyDescent="0.25">
      <c r="A96" s="67"/>
      <c r="B96" s="67"/>
    </row>
    <row r="97" spans="1:2" x14ac:dyDescent="0.25">
      <c r="A97" s="67"/>
      <c r="B97" s="67"/>
    </row>
    <row r="98" spans="1:2" x14ac:dyDescent="0.25">
      <c r="A98" s="67"/>
      <c r="B98" s="67"/>
    </row>
    <row r="99" spans="1:2" x14ac:dyDescent="0.25">
      <c r="A99" s="67"/>
      <c r="B99" s="67"/>
    </row>
    <row r="100" spans="1:2" x14ac:dyDescent="0.25">
      <c r="A100" s="67"/>
      <c r="B100" s="67"/>
    </row>
    <row r="101" spans="1:2" x14ac:dyDescent="0.25">
      <c r="A101" s="67"/>
      <c r="B101" s="67"/>
    </row>
    <row r="102" spans="1:2" x14ac:dyDescent="0.25">
      <c r="A102" s="67"/>
      <c r="B102" s="67"/>
    </row>
    <row r="103" spans="1:2" x14ac:dyDescent="0.25">
      <c r="A103" s="67"/>
      <c r="B103" s="67"/>
    </row>
    <row r="104" spans="1:2" x14ac:dyDescent="0.25">
      <c r="A104" s="67"/>
      <c r="B104" s="67"/>
    </row>
    <row r="105" spans="1:2" x14ac:dyDescent="0.25">
      <c r="A105" s="67"/>
      <c r="B105" s="67"/>
    </row>
    <row r="106" spans="1:2" x14ac:dyDescent="0.25">
      <c r="A106" s="67"/>
      <c r="B106" s="67"/>
    </row>
    <row r="107" spans="1:2" x14ac:dyDescent="0.25">
      <c r="A107" s="67"/>
      <c r="B107" s="67"/>
    </row>
    <row r="108" spans="1:2" x14ac:dyDescent="0.25">
      <c r="A108" s="67"/>
      <c r="B108" s="67"/>
    </row>
    <row r="109" spans="1:2" x14ac:dyDescent="0.25">
      <c r="A109" s="67"/>
      <c r="B109" s="67"/>
    </row>
    <row r="110" spans="1:2" x14ac:dyDescent="0.25">
      <c r="A110" s="67"/>
      <c r="B110" s="67"/>
    </row>
    <row r="111" spans="1:2" x14ac:dyDescent="0.25">
      <c r="A111" s="67"/>
      <c r="B111" s="67"/>
    </row>
    <row r="112" spans="1:2" x14ac:dyDescent="0.25">
      <c r="A112" s="67"/>
      <c r="B112" s="67"/>
    </row>
    <row r="113" spans="1:2" x14ac:dyDescent="0.25">
      <c r="A113" s="67"/>
      <c r="B113" s="67"/>
    </row>
    <row r="114" spans="1:2" x14ac:dyDescent="0.25">
      <c r="A114" s="67"/>
      <c r="B114" s="67"/>
    </row>
    <row r="115" spans="1:2" x14ac:dyDescent="0.25">
      <c r="A115" s="67"/>
      <c r="B115" s="67"/>
    </row>
    <row r="116" spans="1:2" x14ac:dyDescent="0.25">
      <c r="A116" s="67"/>
      <c r="B116" s="67"/>
    </row>
    <row r="117" spans="1:2" x14ac:dyDescent="0.25">
      <c r="A117" s="67"/>
      <c r="B117" s="67"/>
    </row>
    <row r="118" spans="1:2" x14ac:dyDescent="0.25">
      <c r="A118" s="67"/>
      <c r="B118" s="67"/>
    </row>
    <row r="119" spans="1:2" x14ac:dyDescent="0.25">
      <c r="A119" s="67"/>
      <c r="B119" s="67"/>
    </row>
    <row r="120" spans="1:2" x14ac:dyDescent="0.25">
      <c r="A120" s="67"/>
      <c r="B120" s="67"/>
    </row>
    <row r="121" spans="1:2" x14ac:dyDescent="0.25">
      <c r="A121" s="67"/>
      <c r="B121" s="67"/>
    </row>
    <row r="122" spans="1:2" x14ac:dyDescent="0.25">
      <c r="A122" s="67"/>
      <c r="B122" s="67"/>
    </row>
    <row r="123" spans="1:2" x14ac:dyDescent="0.25">
      <c r="A123" s="67"/>
      <c r="B123" s="67"/>
    </row>
    <row r="124" spans="1:2" x14ac:dyDescent="0.25">
      <c r="A124" s="67"/>
      <c r="B124" s="67"/>
    </row>
    <row r="125" spans="1:2" x14ac:dyDescent="0.25">
      <c r="A125" s="67"/>
      <c r="B125" s="67"/>
    </row>
    <row r="126" spans="1:2" x14ac:dyDescent="0.25">
      <c r="A126" s="67"/>
      <c r="B126" s="67"/>
    </row>
    <row r="127" spans="1:2" x14ac:dyDescent="0.25">
      <c r="A127" s="67"/>
      <c r="B127" s="67"/>
    </row>
    <row r="128" spans="1:2" x14ac:dyDescent="0.25">
      <c r="A128" s="67"/>
      <c r="B128" s="67"/>
    </row>
    <row r="129" spans="1:2" x14ac:dyDescent="0.25">
      <c r="A129" s="67"/>
      <c r="B129" s="67"/>
    </row>
    <row r="130" spans="1:2" x14ac:dyDescent="0.25">
      <c r="A130" s="67"/>
      <c r="B130" s="67"/>
    </row>
    <row r="131" spans="1:2" x14ac:dyDescent="0.25">
      <c r="A131" s="67"/>
      <c r="B131" s="67"/>
    </row>
    <row r="132" spans="1:2" x14ac:dyDescent="0.25">
      <c r="A132" s="67"/>
      <c r="B132" s="67"/>
    </row>
    <row r="133" spans="1:2" x14ac:dyDescent="0.25">
      <c r="A133" s="67"/>
      <c r="B133" s="67"/>
    </row>
    <row r="134" spans="1:2" x14ac:dyDescent="0.25">
      <c r="A134" s="67"/>
      <c r="B134" s="67"/>
    </row>
    <row r="135" spans="1:2" x14ac:dyDescent="0.25">
      <c r="A135" s="67"/>
      <c r="B135" s="67"/>
    </row>
    <row r="136" spans="1:2" x14ac:dyDescent="0.25">
      <c r="A136" s="67"/>
      <c r="B136" s="67"/>
    </row>
    <row r="137" spans="1:2" x14ac:dyDescent="0.25">
      <c r="A137" s="67"/>
      <c r="B137" s="67"/>
    </row>
    <row r="138" spans="1:2" x14ac:dyDescent="0.25">
      <c r="A138" s="67"/>
      <c r="B138" s="67"/>
    </row>
    <row r="139" spans="1:2" x14ac:dyDescent="0.25">
      <c r="A139" s="67"/>
      <c r="B139" s="67"/>
    </row>
    <row r="140" spans="1:2" x14ac:dyDescent="0.25">
      <c r="A140" s="67"/>
      <c r="B140" s="67"/>
    </row>
    <row r="141" spans="1:2" x14ac:dyDescent="0.25">
      <c r="A141" s="67"/>
      <c r="B141" s="67"/>
    </row>
    <row r="142" spans="1:2" x14ac:dyDescent="0.25">
      <c r="A142" s="67"/>
      <c r="B142" s="67"/>
    </row>
    <row r="143" spans="1:2" x14ac:dyDescent="0.25">
      <c r="A143" s="67"/>
      <c r="B143" s="67"/>
    </row>
    <row r="144" spans="1:2" x14ac:dyDescent="0.25">
      <c r="A144" s="67"/>
      <c r="B144" s="67"/>
    </row>
    <row r="145" spans="1:2" x14ac:dyDescent="0.25">
      <c r="A145" s="67"/>
      <c r="B145" s="67"/>
    </row>
    <row r="146" spans="1:2" x14ac:dyDescent="0.25">
      <c r="A146" s="67"/>
      <c r="B146" s="67"/>
    </row>
    <row r="147" spans="1:2" x14ac:dyDescent="0.25">
      <c r="A147" s="67"/>
      <c r="B147" s="67"/>
    </row>
    <row r="148" spans="1:2" x14ac:dyDescent="0.25">
      <c r="A148" s="67"/>
      <c r="B148" s="67"/>
    </row>
    <row r="149" spans="1:2" x14ac:dyDescent="0.25">
      <c r="A149" s="67"/>
      <c r="B149" s="67"/>
    </row>
    <row r="150" spans="1:2" x14ac:dyDescent="0.25">
      <c r="A150" s="67"/>
      <c r="B150" s="67"/>
    </row>
    <row r="151" spans="1:2" x14ac:dyDescent="0.25">
      <c r="A151" s="67"/>
      <c r="B151" s="67"/>
    </row>
    <row r="152" spans="1:2" x14ac:dyDescent="0.25">
      <c r="A152" s="67"/>
      <c r="B152" s="67"/>
    </row>
    <row r="153" spans="1:2" x14ac:dyDescent="0.25">
      <c r="A153" s="67"/>
      <c r="B153" s="67"/>
    </row>
    <row r="154" spans="1:2" x14ac:dyDescent="0.25">
      <c r="A154" s="67"/>
      <c r="B154" s="67"/>
    </row>
    <row r="155" spans="1:2" x14ac:dyDescent="0.25">
      <c r="A155" s="67"/>
      <c r="B155" s="67"/>
    </row>
    <row r="156" spans="1:2" x14ac:dyDescent="0.25">
      <c r="A156" s="67"/>
      <c r="B156" s="67"/>
    </row>
    <row r="157" spans="1:2" x14ac:dyDescent="0.25">
      <c r="A157" s="67"/>
      <c r="B157" s="67"/>
    </row>
    <row r="158" spans="1:2" x14ac:dyDescent="0.25">
      <c r="A158" s="67"/>
      <c r="B158" s="67"/>
    </row>
    <row r="159" spans="1:2" x14ac:dyDescent="0.25">
      <c r="A159" s="67"/>
      <c r="B159" s="67"/>
    </row>
    <row r="160" spans="1:2" x14ac:dyDescent="0.25">
      <c r="A160" s="67"/>
      <c r="B160" s="67"/>
    </row>
    <row r="161" spans="1:2" x14ac:dyDescent="0.25">
      <c r="A161" s="67"/>
      <c r="B161" s="67"/>
    </row>
    <row r="162" spans="1:2" x14ac:dyDescent="0.25">
      <c r="A162" s="67"/>
      <c r="B162" s="67"/>
    </row>
    <row r="163" spans="1:2" x14ac:dyDescent="0.25">
      <c r="A163" s="67"/>
      <c r="B163" s="67"/>
    </row>
    <row r="164" spans="1:2" x14ac:dyDescent="0.25">
      <c r="A164" s="67"/>
      <c r="B164" s="67"/>
    </row>
    <row r="165" spans="1:2" x14ac:dyDescent="0.25">
      <c r="A165" s="67"/>
      <c r="B165" s="67"/>
    </row>
    <row r="166" spans="1:2" x14ac:dyDescent="0.25">
      <c r="A166" s="67"/>
      <c r="B166" s="67"/>
    </row>
    <row r="167" spans="1:2" x14ac:dyDescent="0.25">
      <c r="A167" s="67"/>
      <c r="B167" s="67"/>
    </row>
    <row r="168" spans="1:2" x14ac:dyDescent="0.25">
      <c r="A168" s="67"/>
      <c r="B168" s="67"/>
    </row>
    <row r="169" spans="1:2" x14ac:dyDescent="0.25">
      <c r="A169" s="67"/>
      <c r="B169" s="67"/>
    </row>
    <row r="170" spans="1:2" x14ac:dyDescent="0.25">
      <c r="A170" s="67"/>
      <c r="B170" s="67"/>
    </row>
    <row r="171" spans="1:2" x14ac:dyDescent="0.25">
      <c r="A171" s="67"/>
      <c r="B171" s="67"/>
    </row>
    <row r="172" spans="1:2" x14ac:dyDescent="0.25">
      <c r="A172" s="67"/>
      <c r="B172" s="67"/>
    </row>
    <row r="173" spans="1:2" x14ac:dyDescent="0.25">
      <c r="A173" s="67"/>
      <c r="B173" s="67"/>
    </row>
    <row r="174" spans="1:2" x14ac:dyDescent="0.25">
      <c r="A174" s="67"/>
      <c r="B174" s="67"/>
    </row>
    <row r="175" spans="1:2" x14ac:dyDescent="0.25">
      <c r="A175" s="67"/>
      <c r="B175" s="67"/>
    </row>
    <row r="176" spans="1:2" x14ac:dyDescent="0.25">
      <c r="A176" s="67"/>
      <c r="B176" s="67"/>
    </row>
    <row r="177" spans="1:2" x14ac:dyDescent="0.25">
      <c r="A177" s="67"/>
      <c r="B177" s="67"/>
    </row>
    <row r="178" spans="1:2" x14ac:dyDescent="0.25">
      <c r="A178" s="67"/>
      <c r="B178" s="67"/>
    </row>
    <row r="179" spans="1:2" x14ac:dyDescent="0.25">
      <c r="A179" s="67"/>
      <c r="B179" s="67"/>
    </row>
    <row r="180" spans="1:2" x14ac:dyDescent="0.25">
      <c r="A180" s="67"/>
      <c r="B180" s="67"/>
    </row>
    <row r="181" spans="1:2" x14ac:dyDescent="0.25">
      <c r="A181" s="67"/>
      <c r="B181" s="67"/>
    </row>
    <row r="182" spans="1:2" x14ac:dyDescent="0.25">
      <c r="A182" s="67"/>
      <c r="B182" s="67"/>
    </row>
    <row r="183" spans="1:2" x14ac:dyDescent="0.25">
      <c r="A183" s="67"/>
      <c r="B183" s="67"/>
    </row>
    <row r="184" spans="1:2" x14ac:dyDescent="0.25">
      <c r="A184" s="67"/>
      <c r="B184" s="67"/>
    </row>
    <row r="185" spans="1:2" x14ac:dyDescent="0.25">
      <c r="A185" s="67"/>
      <c r="B185" s="67"/>
    </row>
    <row r="186" spans="1:2" x14ac:dyDescent="0.25">
      <c r="A186" s="67"/>
      <c r="B186" s="67"/>
    </row>
    <row r="187" spans="1:2" x14ac:dyDescent="0.25">
      <c r="A187" s="67"/>
      <c r="B187" s="67"/>
    </row>
    <row r="188" spans="1:2" x14ac:dyDescent="0.25">
      <c r="A188" s="67"/>
      <c r="B188" s="67"/>
    </row>
    <row r="189" spans="1:2" x14ac:dyDescent="0.25">
      <c r="A189" s="67"/>
      <c r="B189" s="67"/>
    </row>
    <row r="190" spans="1:2" x14ac:dyDescent="0.25">
      <c r="A190" s="67"/>
      <c r="B190" s="67"/>
    </row>
    <row r="191" spans="1:2" x14ac:dyDescent="0.25">
      <c r="A191" s="67"/>
      <c r="B191" s="67"/>
    </row>
    <row r="192" spans="1:2" x14ac:dyDescent="0.25">
      <c r="A192" s="67"/>
      <c r="B192" s="67"/>
    </row>
    <row r="193" spans="1:2" x14ac:dyDescent="0.25">
      <c r="A193" s="67"/>
      <c r="B193" s="67"/>
    </row>
    <row r="194" spans="1:2" x14ac:dyDescent="0.25">
      <c r="A194" s="67"/>
      <c r="B194" s="67"/>
    </row>
    <row r="195" spans="1:2" x14ac:dyDescent="0.25">
      <c r="A195" s="67"/>
      <c r="B195" s="67"/>
    </row>
    <row r="196" spans="1:2" x14ac:dyDescent="0.25">
      <c r="A196" s="67"/>
      <c r="B196" s="67"/>
    </row>
    <row r="197" spans="1:2" x14ac:dyDescent="0.25">
      <c r="A197" s="67"/>
      <c r="B197" s="67"/>
    </row>
    <row r="198" spans="1:2" x14ac:dyDescent="0.25">
      <c r="A198" s="67"/>
      <c r="B198" s="67"/>
    </row>
    <row r="199" spans="1:2" x14ac:dyDescent="0.25">
      <c r="A199" s="67"/>
      <c r="B199" s="67"/>
    </row>
    <row r="200" spans="1:2" x14ac:dyDescent="0.25">
      <c r="A200" s="67"/>
      <c r="B200" s="67"/>
    </row>
    <row r="201" spans="1:2" x14ac:dyDescent="0.25">
      <c r="A201" s="67"/>
      <c r="B201" s="67"/>
    </row>
    <row r="202" spans="1:2" x14ac:dyDescent="0.25">
      <c r="A202" s="67"/>
      <c r="B202" s="67"/>
    </row>
    <row r="203" spans="1:2" x14ac:dyDescent="0.25">
      <c r="A203" s="67"/>
      <c r="B203" s="67"/>
    </row>
    <row r="204" spans="1:2" x14ac:dyDescent="0.25">
      <c r="A204" s="67"/>
      <c r="B204" s="67"/>
    </row>
    <row r="205" spans="1:2" x14ac:dyDescent="0.25">
      <c r="A205" s="67"/>
      <c r="B205" s="67"/>
    </row>
    <row r="206" spans="1:2" x14ac:dyDescent="0.25">
      <c r="A206" s="67"/>
      <c r="B206" s="67"/>
    </row>
    <row r="207" spans="1:2" x14ac:dyDescent="0.25">
      <c r="A207" s="67"/>
      <c r="B207" s="67"/>
    </row>
    <row r="208" spans="1:2" x14ac:dyDescent="0.25">
      <c r="A208" s="67"/>
      <c r="B208" s="67"/>
    </row>
    <row r="209" spans="1:2" x14ac:dyDescent="0.25">
      <c r="A209" s="67"/>
      <c r="B209" s="67"/>
    </row>
    <row r="210" spans="1:2" x14ac:dyDescent="0.25">
      <c r="A210" s="67"/>
      <c r="B210" s="67"/>
    </row>
    <row r="211" spans="1:2" x14ac:dyDescent="0.25">
      <c r="A211" s="67"/>
      <c r="B211" s="67"/>
    </row>
    <row r="212" spans="1:2" x14ac:dyDescent="0.25">
      <c r="A212" s="67"/>
      <c r="B212" s="67"/>
    </row>
    <row r="213" spans="1:2" x14ac:dyDescent="0.25">
      <c r="A213" s="67"/>
      <c r="B213" s="67"/>
    </row>
    <row r="214" spans="1:2" x14ac:dyDescent="0.25">
      <c r="A214" s="67"/>
      <c r="B214" s="67"/>
    </row>
    <row r="215" spans="1:2" x14ac:dyDescent="0.25">
      <c r="A215" s="67"/>
      <c r="B215" s="67"/>
    </row>
    <row r="216" spans="1:2" x14ac:dyDescent="0.25">
      <c r="A216" s="67"/>
      <c r="B216" s="67"/>
    </row>
    <row r="217" spans="1:2" x14ac:dyDescent="0.25">
      <c r="A217" s="67"/>
      <c r="B217" s="67"/>
    </row>
    <row r="218" spans="1:2" x14ac:dyDescent="0.25">
      <c r="A218" s="67"/>
      <c r="B218" s="67"/>
    </row>
    <row r="219" spans="1:2" x14ac:dyDescent="0.25">
      <c r="A219" s="67"/>
      <c r="B219" s="67"/>
    </row>
    <row r="220" spans="1:2" x14ac:dyDescent="0.25">
      <c r="A220" s="67"/>
      <c r="B220" s="67"/>
    </row>
    <row r="221" spans="1:2" x14ac:dyDescent="0.25">
      <c r="A221" s="67"/>
      <c r="B221" s="67"/>
    </row>
    <row r="222" spans="1:2" x14ac:dyDescent="0.25">
      <c r="A222" s="67"/>
      <c r="B222" s="67"/>
    </row>
    <row r="223" spans="1:2" x14ac:dyDescent="0.25">
      <c r="A223" s="67"/>
      <c r="B223" s="67"/>
    </row>
    <row r="224" spans="1:2" x14ac:dyDescent="0.25">
      <c r="A224" s="67"/>
      <c r="B224" s="67"/>
    </row>
    <row r="225" spans="1:2" x14ac:dyDescent="0.25">
      <c r="A225" s="67"/>
      <c r="B225" s="67"/>
    </row>
    <row r="226" spans="1:2" x14ac:dyDescent="0.25">
      <c r="A226" s="67"/>
      <c r="B226" s="67"/>
    </row>
    <row r="227" spans="1:2" x14ac:dyDescent="0.25">
      <c r="A227" s="67"/>
      <c r="B227" s="67"/>
    </row>
    <row r="228" spans="1:2" x14ac:dyDescent="0.25">
      <c r="A228" s="67"/>
      <c r="B228" s="67"/>
    </row>
    <row r="229" spans="1:2" x14ac:dyDescent="0.25">
      <c r="A229" s="67"/>
      <c r="B229" s="67"/>
    </row>
    <row r="230" spans="1:2" x14ac:dyDescent="0.25">
      <c r="A230" s="67"/>
      <c r="B230" s="67"/>
    </row>
    <row r="231" spans="1:2" x14ac:dyDescent="0.25">
      <c r="A231" s="67"/>
      <c r="B231" s="67"/>
    </row>
    <row r="232" spans="1:2" x14ac:dyDescent="0.25">
      <c r="A232" s="67"/>
      <c r="B232" s="67"/>
    </row>
    <row r="233" spans="1:2" x14ac:dyDescent="0.25">
      <c r="A233" s="67"/>
      <c r="B233" s="67"/>
    </row>
    <row r="234" spans="1:2" x14ac:dyDescent="0.25">
      <c r="A234" s="67"/>
      <c r="B234" s="67"/>
    </row>
    <row r="235" spans="1:2" x14ac:dyDescent="0.25">
      <c r="A235" s="67"/>
      <c r="B235" s="67"/>
    </row>
    <row r="236" spans="1:2" x14ac:dyDescent="0.25">
      <c r="A236" s="67"/>
      <c r="B236" s="67"/>
    </row>
    <row r="237" spans="1:2" x14ac:dyDescent="0.25">
      <c r="A237" s="67"/>
      <c r="B237" s="67"/>
    </row>
    <row r="238" spans="1:2" x14ac:dyDescent="0.25">
      <c r="A238" s="67"/>
      <c r="B238" s="67"/>
    </row>
    <row r="239" spans="1:2" x14ac:dyDescent="0.25">
      <c r="A239" s="67"/>
      <c r="B239" s="67"/>
    </row>
    <row r="240" spans="1:2" x14ac:dyDescent="0.25">
      <c r="A240" s="67"/>
      <c r="B240" s="67"/>
    </row>
    <row r="241" spans="1:2" x14ac:dyDescent="0.25">
      <c r="A241" s="67"/>
      <c r="B241" s="67"/>
    </row>
    <row r="242" spans="1:2" x14ac:dyDescent="0.25">
      <c r="A242" s="67"/>
      <c r="B242" s="67"/>
    </row>
    <row r="243" spans="1:2" x14ac:dyDescent="0.25">
      <c r="A243" s="67"/>
      <c r="B243" s="67"/>
    </row>
    <row r="244" spans="1:2" x14ac:dyDescent="0.25">
      <c r="A244" s="67"/>
      <c r="B244" s="67"/>
    </row>
    <row r="245" spans="1:2" x14ac:dyDescent="0.25">
      <c r="A245" s="67"/>
      <c r="B245" s="67"/>
    </row>
    <row r="246" spans="1:2" x14ac:dyDescent="0.25">
      <c r="A246" s="67"/>
      <c r="B246" s="67"/>
    </row>
    <row r="247" spans="1:2" x14ac:dyDescent="0.25">
      <c r="A247" s="67"/>
      <c r="B247" s="67"/>
    </row>
    <row r="248" spans="1:2" x14ac:dyDescent="0.25">
      <c r="A248" s="67"/>
      <c r="B248" s="67"/>
    </row>
    <row r="249" spans="1:2" x14ac:dyDescent="0.25">
      <c r="A249" s="67"/>
      <c r="B249" s="67"/>
    </row>
    <row r="250" spans="1:2" x14ac:dyDescent="0.25">
      <c r="A250" s="67"/>
      <c r="B250" s="67"/>
    </row>
    <row r="251" spans="1:2" x14ac:dyDescent="0.25">
      <c r="A251" s="67"/>
      <c r="B251" s="67"/>
    </row>
    <row r="252" spans="1:2" x14ac:dyDescent="0.25">
      <c r="A252" s="67"/>
      <c r="B252" s="67"/>
    </row>
    <row r="253" spans="1:2" x14ac:dyDescent="0.25">
      <c r="A253" s="67"/>
      <c r="B253" s="67"/>
    </row>
    <row r="254" spans="1:2" x14ac:dyDescent="0.25">
      <c r="A254" s="67"/>
      <c r="B254" s="67"/>
    </row>
    <row r="255" spans="1:2" x14ac:dyDescent="0.25">
      <c r="A255" s="67"/>
      <c r="B255" s="67"/>
    </row>
    <row r="256" spans="1:2" x14ac:dyDescent="0.25">
      <c r="A256" s="67"/>
      <c r="B256" s="67"/>
    </row>
    <row r="257" spans="1:2" x14ac:dyDescent="0.25">
      <c r="A257" s="67"/>
      <c r="B257" s="67"/>
    </row>
    <row r="258" spans="1:2" x14ac:dyDescent="0.25">
      <c r="A258" s="67"/>
      <c r="B258" s="67"/>
    </row>
    <row r="259" spans="1:2" x14ac:dyDescent="0.25">
      <c r="A259" s="67"/>
      <c r="B259" s="67"/>
    </row>
    <row r="260" spans="1:2" x14ac:dyDescent="0.25">
      <c r="A260" s="67"/>
      <c r="B260" s="67"/>
    </row>
    <row r="261" spans="1:2" x14ac:dyDescent="0.25">
      <c r="A261" s="67"/>
      <c r="B261" s="67"/>
    </row>
    <row r="262" spans="1:2" x14ac:dyDescent="0.25">
      <c r="A262" s="67"/>
      <c r="B262" s="67"/>
    </row>
    <row r="263" spans="1:2" x14ac:dyDescent="0.25">
      <c r="A263" s="67"/>
      <c r="B263" s="67"/>
    </row>
    <row r="264" spans="1:2" x14ac:dyDescent="0.25">
      <c r="A264" s="67"/>
      <c r="B264" s="67"/>
    </row>
    <row r="265" spans="1:2" x14ac:dyDescent="0.25">
      <c r="A265" s="67"/>
      <c r="B265" s="67"/>
    </row>
    <row r="266" spans="1:2" x14ac:dyDescent="0.25">
      <c r="A266" s="67"/>
      <c r="B266" s="67"/>
    </row>
    <row r="267" spans="1:2" x14ac:dyDescent="0.25">
      <c r="A267" s="67"/>
      <c r="B267" s="67"/>
    </row>
    <row r="268" spans="1:2" x14ac:dyDescent="0.25">
      <c r="A268" s="67"/>
      <c r="B268" s="67"/>
    </row>
    <row r="269" spans="1:2" x14ac:dyDescent="0.25">
      <c r="A269" s="67"/>
      <c r="B269" s="67"/>
    </row>
    <row r="270" spans="1:2" x14ac:dyDescent="0.25">
      <c r="A270" s="67"/>
      <c r="B270" s="67"/>
    </row>
    <row r="271" spans="1:2" x14ac:dyDescent="0.25">
      <c r="A271" s="67"/>
      <c r="B271" s="67"/>
    </row>
    <row r="272" spans="1:2" x14ac:dyDescent="0.25">
      <c r="A272" s="67"/>
      <c r="B272" s="67"/>
    </row>
    <row r="273" spans="1:2" x14ac:dyDescent="0.25">
      <c r="A273" s="67"/>
      <c r="B273" s="67"/>
    </row>
    <row r="274" spans="1:2" x14ac:dyDescent="0.25">
      <c r="A274" s="67"/>
      <c r="B274" s="67"/>
    </row>
    <row r="275" spans="1:2" x14ac:dyDescent="0.25">
      <c r="A275" s="67"/>
      <c r="B275" s="67"/>
    </row>
    <row r="276" spans="1:2" x14ac:dyDescent="0.25">
      <c r="A276" s="67"/>
      <c r="B276" s="67"/>
    </row>
    <row r="277" spans="1:2" x14ac:dyDescent="0.25">
      <c r="A277" s="67"/>
      <c r="B277" s="67"/>
    </row>
    <row r="278" spans="1:2" x14ac:dyDescent="0.25">
      <c r="A278" s="67"/>
      <c r="B278" s="67"/>
    </row>
    <row r="279" spans="1:2" x14ac:dyDescent="0.25">
      <c r="A279" s="67"/>
      <c r="B279" s="67"/>
    </row>
    <row r="280" spans="1:2" x14ac:dyDescent="0.25">
      <c r="A280" s="67"/>
      <c r="B280" s="67"/>
    </row>
    <row r="281" spans="1:2" x14ac:dyDescent="0.25">
      <c r="A281" s="67"/>
      <c r="B281" s="67"/>
    </row>
    <row r="282" spans="1:2" x14ac:dyDescent="0.25">
      <c r="A282" s="67"/>
      <c r="B282" s="67"/>
    </row>
    <row r="283" spans="1:2" x14ac:dyDescent="0.25">
      <c r="A283" s="67"/>
      <c r="B283" s="67"/>
    </row>
    <row r="284" spans="1:2" x14ac:dyDescent="0.25">
      <c r="A284" s="67"/>
      <c r="B284" s="67"/>
    </row>
    <row r="285" spans="1:2" x14ac:dyDescent="0.25">
      <c r="A285" s="67"/>
      <c r="B285" s="67"/>
    </row>
    <row r="286" spans="1:2" x14ac:dyDescent="0.25">
      <c r="A286" s="67"/>
      <c r="B286" s="67"/>
    </row>
    <row r="287" spans="1:2" x14ac:dyDescent="0.25">
      <c r="A287" s="67"/>
      <c r="B287" s="67"/>
    </row>
    <row r="288" spans="1:2" x14ac:dyDescent="0.25">
      <c r="A288" s="67"/>
      <c r="B288" s="67"/>
    </row>
    <row r="289" spans="1:2" x14ac:dyDescent="0.25">
      <c r="A289" s="67"/>
      <c r="B289" s="67"/>
    </row>
    <row r="290" spans="1:2" x14ac:dyDescent="0.25">
      <c r="A290" s="67"/>
      <c r="B290" s="67"/>
    </row>
    <row r="291" spans="1:2" x14ac:dyDescent="0.25">
      <c r="A291" s="67"/>
      <c r="B291" s="67"/>
    </row>
    <row r="292" spans="1:2" x14ac:dyDescent="0.25">
      <c r="A292" s="67"/>
      <c r="B292" s="67"/>
    </row>
    <row r="293" spans="1:2" x14ac:dyDescent="0.25">
      <c r="A293" s="67"/>
      <c r="B293" s="67"/>
    </row>
    <row r="294" spans="1:2" x14ac:dyDescent="0.25">
      <c r="A294" s="67"/>
      <c r="B294" s="67"/>
    </row>
    <row r="295" spans="1:2" x14ac:dyDescent="0.25">
      <c r="A295" s="67"/>
      <c r="B295" s="67"/>
    </row>
    <row r="296" spans="1:2" x14ac:dyDescent="0.25">
      <c r="A296" s="67"/>
      <c r="B296" s="67"/>
    </row>
    <row r="297" spans="1:2" x14ac:dyDescent="0.25">
      <c r="A297" s="67"/>
      <c r="B297" s="67"/>
    </row>
    <row r="298" spans="1:2" x14ac:dyDescent="0.25">
      <c r="A298" s="67"/>
      <c r="B298" s="67"/>
    </row>
    <row r="299" spans="1:2" x14ac:dyDescent="0.25">
      <c r="A299" s="67"/>
      <c r="B299" s="67"/>
    </row>
    <row r="300" spans="1:2" x14ac:dyDescent="0.25">
      <c r="A300" s="67"/>
      <c r="B300" s="67"/>
    </row>
    <row r="301" spans="1:2" x14ac:dyDescent="0.25">
      <c r="A301" s="67"/>
      <c r="B301" s="67"/>
    </row>
    <row r="302" spans="1:2" x14ac:dyDescent="0.25">
      <c r="A302" s="67"/>
      <c r="B302" s="67"/>
    </row>
    <row r="303" spans="1:2" x14ac:dyDescent="0.25">
      <c r="A303" s="67"/>
      <c r="B303" s="67"/>
    </row>
    <row r="304" spans="1:2" x14ac:dyDescent="0.25">
      <c r="A304" s="67"/>
      <c r="B304" s="67"/>
    </row>
    <row r="305" spans="1:2" x14ac:dyDescent="0.25">
      <c r="A305" s="67"/>
      <c r="B305" s="67"/>
    </row>
    <row r="306" spans="1:2" x14ac:dyDescent="0.25">
      <c r="A306" s="67"/>
      <c r="B306" s="67"/>
    </row>
    <row r="307" spans="1:2" x14ac:dyDescent="0.25">
      <c r="A307" s="67"/>
      <c r="B307" s="67"/>
    </row>
    <row r="308" spans="1:2" x14ac:dyDescent="0.25">
      <c r="A308" s="67"/>
      <c r="B308" s="67"/>
    </row>
    <row r="309" spans="1:2" x14ac:dyDescent="0.25">
      <c r="A309" s="67"/>
      <c r="B309" s="67"/>
    </row>
    <row r="310" spans="1:2" x14ac:dyDescent="0.25">
      <c r="A310" s="67"/>
      <c r="B310" s="67"/>
    </row>
    <row r="311" spans="1:2" x14ac:dyDescent="0.25">
      <c r="A311" s="67"/>
      <c r="B311" s="67"/>
    </row>
    <row r="312" spans="1:2" x14ac:dyDescent="0.25">
      <c r="A312" s="67"/>
      <c r="B312" s="67"/>
    </row>
    <row r="313" spans="1:2" x14ac:dyDescent="0.25">
      <c r="A313" s="67"/>
      <c r="B313" s="67"/>
    </row>
    <row r="314" spans="1:2" x14ac:dyDescent="0.25">
      <c r="A314" s="67"/>
      <c r="B314" s="67"/>
    </row>
    <row r="315" spans="1:2" x14ac:dyDescent="0.25">
      <c r="A315" s="67"/>
      <c r="B315" s="67"/>
    </row>
    <row r="316" spans="1:2" x14ac:dyDescent="0.25">
      <c r="A316" s="67"/>
      <c r="B316" s="67"/>
    </row>
    <row r="317" spans="1:2" x14ac:dyDescent="0.25">
      <c r="A317" s="67"/>
      <c r="B317" s="67"/>
    </row>
    <row r="318" spans="1:2" x14ac:dyDescent="0.25">
      <c r="A318" s="67"/>
      <c r="B318" s="67"/>
    </row>
    <row r="319" spans="1:2" x14ac:dyDescent="0.25">
      <c r="A319" s="67"/>
      <c r="B319" s="67"/>
    </row>
    <row r="320" spans="1:2" x14ac:dyDescent="0.25">
      <c r="A320" s="67"/>
      <c r="B320" s="67"/>
    </row>
    <row r="321" spans="1:2" x14ac:dyDescent="0.25">
      <c r="A321" s="67"/>
      <c r="B321" s="67"/>
    </row>
    <row r="322" spans="1:2" x14ac:dyDescent="0.25">
      <c r="A322" s="67"/>
      <c r="B322" s="67"/>
    </row>
    <row r="323" spans="1:2" x14ac:dyDescent="0.25">
      <c r="A323" s="67"/>
      <c r="B323" s="67"/>
    </row>
    <row r="324" spans="1:2" x14ac:dyDescent="0.25">
      <c r="A324" s="67"/>
      <c r="B324" s="67"/>
    </row>
    <row r="325" spans="1:2" x14ac:dyDescent="0.25">
      <c r="A325" s="67"/>
      <c r="B325" s="67"/>
    </row>
    <row r="326" spans="1:2" x14ac:dyDescent="0.25">
      <c r="A326" s="67"/>
      <c r="B326" s="67"/>
    </row>
    <row r="327" spans="1:2" x14ac:dyDescent="0.25">
      <c r="A327" s="67"/>
      <c r="B327" s="67"/>
    </row>
    <row r="328" spans="1:2" x14ac:dyDescent="0.25">
      <c r="A328" s="67"/>
      <c r="B328" s="67"/>
    </row>
    <row r="329" spans="1:2" x14ac:dyDescent="0.25">
      <c r="A329" s="67"/>
      <c r="B329" s="67"/>
    </row>
    <row r="330" spans="1:2" x14ac:dyDescent="0.25">
      <c r="A330" s="67"/>
      <c r="B330" s="67"/>
    </row>
    <row r="331" spans="1:2" x14ac:dyDescent="0.25">
      <c r="A331" s="67"/>
      <c r="B331" s="67"/>
    </row>
    <row r="332" spans="1:2" x14ac:dyDescent="0.25">
      <c r="A332" s="67"/>
      <c r="B332" s="67"/>
    </row>
    <row r="333" spans="1:2" x14ac:dyDescent="0.25">
      <c r="A333" s="67"/>
      <c r="B333" s="67"/>
    </row>
    <row r="334" spans="1:2" x14ac:dyDescent="0.25">
      <c r="A334" s="67"/>
      <c r="B334" s="67"/>
    </row>
    <row r="335" spans="1:2" x14ac:dyDescent="0.25">
      <c r="A335" s="67"/>
      <c r="B335" s="67"/>
    </row>
    <row r="336" spans="1:2" x14ac:dyDescent="0.25">
      <c r="A336" s="67"/>
      <c r="B336" s="67"/>
    </row>
    <row r="337" spans="1:2" x14ac:dyDescent="0.25">
      <c r="A337" s="67"/>
      <c r="B337" s="67"/>
    </row>
    <row r="338" spans="1:2" x14ac:dyDescent="0.25">
      <c r="A338" s="67"/>
      <c r="B338" s="67"/>
    </row>
    <row r="339" spans="1:2" x14ac:dyDescent="0.25">
      <c r="A339" s="67"/>
      <c r="B339" s="67"/>
    </row>
    <row r="340" spans="1:2" x14ac:dyDescent="0.25">
      <c r="A340" s="67"/>
      <c r="B340" s="67"/>
    </row>
    <row r="341" spans="1:2" x14ac:dyDescent="0.25">
      <c r="A341" s="67"/>
      <c r="B341" s="67"/>
    </row>
    <row r="342" spans="1:2" x14ac:dyDescent="0.25">
      <c r="A342" s="67"/>
      <c r="B342" s="67"/>
    </row>
    <row r="343" spans="1:2" x14ac:dyDescent="0.25">
      <c r="A343" s="67"/>
      <c r="B343" s="67"/>
    </row>
    <row r="344" spans="1:2" x14ac:dyDescent="0.25">
      <c r="A344" s="67"/>
      <c r="B344" s="67"/>
    </row>
    <row r="345" spans="1:2" x14ac:dyDescent="0.25">
      <c r="A345" s="67"/>
      <c r="B345" s="67"/>
    </row>
    <row r="346" spans="1:2" x14ac:dyDescent="0.25">
      <c r="A346" s="67"/>
      <c r="B346" s="67"/>
    </row>
    <row r="347" spans="1:2" x14ac:dyDescent="0.25">
      <c r="A347" s="67"/>
      <c r="B347" s="67"/>
    </row>
    <row r="348" spans="1:2" x14ac:dyDescent="0.25">
      <c r="A348" s="67"/>
      <c r="B348" s="67"/>
    </row>
    <row r="349" spans="1:2" x14ac:dyDescent="0.25">
      <c r="A349" s="67"/>
      <c r="B349" s="67"/>
    </row>
    <row r="350" spans="1:2" x14ac:dyDescent="0.25">
      <c r="A350" s="67"/>
      <c r="B350" s="67"/>
    </row>
    <row r="351" spans="1:2" x14ac:dyDescent="0.25">
      <c r="A351" s="67"/>
      <c r="B351" s="67"/>
    </row>
    <row r="352" spans="1:2" x14ac:dyDescent="0.25">
      <c r="A352" s="67"/>
      <c r="B352" s="67"/>
    </row>
    <row r="353" spans="1:2" x14ac:dyDescent="0.25">
      <c r="A353" s="67"/>
      <c r="B353" s="67"/>
    </row>
    <row r="354" spans="1:2" x14ac:dyDescent="0.25">
      <c r="A354" s="67"/>
      <c r="B354" s="67"/>
    </row>
    <row r="355" spans="1:2" x14ac:dyDescent="0.25">
      <c r="A355" s="67"/>
      <c r="B355" s="67"/>
    </row>
    <row r="356" spans="1:2" x14ac:dyDescent="0.25">
      <c r="A356" s="67"/>
      <c r="B356" s="67"/>
    </row>
    <row r="357" spans="1:2" x14ac:dyDescent="0.25">
      <c r="A357" s="67"/>
      <c r="B357" s="67"/>
    </row>
    <row r="358" spans="1:2" x14ac:dyDescent="0.25">
      <c r="A358" s="67"/>
      <c r="B358" s="67"/>
    </row>
    <row r="359" spans="1:2" x14ac:dyDescent="0.25">
      <c r="A359" s="67"/>
      <c r="B359" s="67"/>
    </row>
    <row r="360" spans="1:2" x14ac:dyDescent="0.25">
      <c r="A360" s="67"/>
      <c r="B360" s="67"/>
    </row>
    <row r="361" spans="1:2" x14ac:dyDescent="0.25">
      <c r="A361" s="67"/>
      <c r="B361" s="67"/>
    </row>
    <row r="362" spans="1:2" x14ac:dyDescent="0.25">
      <c r="A362" s="67"/>
      <c r="B362" s="67"/>
    </row>
    <row r="363" spans="1:2" x14ac:dyDescent="0.25">
      <c r="A363" s="67"/>
      <c r="B363" s="67"/>
    </row>
    <row r="364" spans="1:2" x14ac:dyDescent="0.25">
      <c r="A364" s="67"/>
      <c r="B364" s="67"/>
    </row>
    <row r="365" spans="1:2" x14ac:dyDescent="0.25">
      <c r="A365" s="67"/>
      <c r="B365" s="67"/>
    </row>
    <row r="366" spans="1:2" x14ac:dyDescent="0.25">
      <c r="A366" s="67"/>
      <c r="B366" s="67"/>
    </row>
    <row r="367" spans="1:2" x14ac:dyDescent="0.25">
      <c r="A367" s="67"/>
      <c r="B367" s="67"/>
    </row>
    <row r="368" spans="1:2" x14ac:dyDescent="0.25">
      <c r="A368" s="67"/>
      <c r="B368" s="67"/>
    </row>
    <row r="369" spans="1:2" x14ac:dyDescent="0.25">
      <c r="A369" s="67"/>
      <c r="B369" s="67"/>
    </row>
    <row r="370" spans="1:2" x14ac:dyDescent="0.25">
      <c r="A370" s="67"/>
      <c r="B370" s="67"/>
    </row>
    <row r="371" spans="1:2" x14ac:dyDescent="0.25">
      <c r="A371" s="67"/>
      <c r="B371" s="67"/>
    </row>
    <row r="372" spans="1:2" x14ac:dyDescent="0.25">
      <c r="A372" s="67"/>
      <c r="B372" s="67"/>
    </row>
    <row r="373" spans="1:2" x14ac:dyDescent="0.25">
      <c r="A373" s="67"/>
      <c r="B373" s="67"/>
    </row>
    <row r="374" spans="1:2" x14ac:dyDescent="0.25">
      <c r="A374" s="67"/>
      <c r="B374" s="67"/>
    </row>
    <row r="375" spans="1:2" x14ac:dyDescent="0.25">
      <c r="A375" s="67"/>
      <c r="B375" s="67"/>
    </row>
    <row r="376" spans="1:2" x14ac:dyDescent="0.25">
      <c r="A376" s="67"/>
      <c r="B376" s="67"/>
    </row>
    <row r="377" spans="1:2" x14ac:dyDescent="0.25">
      <c r="A377" s="67"/>
      <c r="B377" s="67"/>
    </row>
    <row r="378" spans="1:2" x14ac:dyDescent="0.25">
      <c r="A378" s="67"/>
      <c r="B378" s="67"/>
    </row>
    <row r="379" spans="1:2" x14ac:dyDescent="0.25">
      <c r="A379" s="67"/>
      <c r="B379" s="67"/>
    </row>
    <row r="380" spans="1:2" x14ac:dyDescent="0.25">
      <c r="A380" s="67"/>
      <c r="B380" s="67"/>
    </row>
    <row r="381" spans="1:2" x14ac:dyDescent="0.25">
      <c r="A381" s="67"/>
      <c r="B381" s="67"/>
    </row>
    <row r="382" spans="1:2" x14ac:dyDescent="0.25">
      <c r="A382" s="67"/>
      <c r="B382" s="67"/>
    </row>
    <row r="383" spans="1:2" x14ac:dyDescent="0.25">
      <c r="A383" s="67"/>
      <c r="B383" s="67"/>
    </row>
    <row r="384" spans="1:2" x14ac:dyDescent="0.25">
      <c r="A384" s="67"/>
      <c r="B384" s="67"/>
    </row>
    <row r="385" spans="1:2" x14ac:dyDescent="0.25">
      <c r="A385" s="67"/>
      <c r="B385" s="67"/>
    </row>
    <row r="386" spans="1:2" x14ac:dyDescent="0.25">
      <c r="A386" s="67"/>
      <c r="B386" s="67"/>
    </row>
    <row r="387" spans="1:2" x14ac:dyDescent="0.25">
      <c r="A387" s="67"/>
      <c r="B387" s="67"/>
    </row>
    <row r="388" spans="1:2" x14ac:dyDescent="0.25">
      <c r="A388" s="67"/>
      <c r="B388" s="67"/>
    </row>
    <row r="389" spans="1:2" x14ac:dyDescent="0.25">
      <c r="A389" s="67"/>
      <c r="B389" s="67"/>
    </row>
    <row r="390" spans="1:2" x14ac:dyDescent="0.25">
      <c r="A390" s="67"/>
      <c r="B390" s="67"/>
    </row>
    <row r="391" spans="1:2" x14ac:dyDescent="0.25">
      <c r="A391" s="67"/>
      <c r="B391" s="67"/>
    </row>
    <row r="392" spans="1:2" x14ac:dyDescent="0.25">
      <c r="A392" s="67"/>
      <c r="B392" s="67"/>
    </row>
    <row r="393" spans="1:2" x14ac:dyDescent="0.25">
      <c r="A393" s="67"/>
      <c r="B393" s="67"/>
    </row>
    <row r="394" spans="1:2" x14ac:dyDescent="0.25">
      <c r="A394" s="67"/>
      <c r="B394" s="67"/>
    </row>
    <row r="395" spans="1:2" x14ac:dyDescent="0.25">
      <c r="A395" s="67"/>
      <c r="B395" s="67"/>
    </row>
    <row r="396" spans="1:2" x14ac:dyDescent="0.25">
      <c r="A396" s="67"/>
      <c r="B396" s="67"/>
    </row>
    <row r="397" spans="1:2" x14ac:dyDescent="0.25">
      <c r="A397" s="67"/>
      <c r="B397" s="67"/>
    </row>
    <row r="398" spans="1:2" x14ac:dyDescent="0.25">
      <c r="A398" s="67"/>
      <c r="B398" s="67"/>
    </row>
    <row r="399" spans="1:2" x14ac:dyDescent="0.25">
      <c r="A399" s="67"/>
      <c r="B399" s="67"/>
    </row>
    <row r="400" spans="1:2" x14ac:dyDescent="0.25">
      <c r="A400" s="67"/>
      <c r="B400" s="67"/>
    </row>
    <row r="401" spans="1:2" x14ac:dyDescent="0.25">
      <c r="A401" s="67"/>
      <c r="B401" s="67"/>
    </row>
    <row r="402" spans="1:2" x14ac:dyDescent="0.25">
      <c r="A402" s="67"/>
      <c r="B402" s="67"/>
    </row>
    <row r="403" spans="1:2" x14ac:dyDescent="0.25">
      <c r="A403" s="67"/>
      <c r="B403" s="67"/>
    </row>
    <row r="404" spans="1:2" x14ac:dyDescent="0.25">
      <c r="A404" s="67"/>
      <c r="B404" s="67"/>
    </row>
    <row r="405" spans="1:2" x14ac:dyDescent="0.25">
      <c r="A405" s="67"/>
      <c r="B405" s="67"/>
    </row>
    <row r="406" spans="1:2" x14ac:dyDescent="0.25">
      <c r="A406" s="67"/>
      <c r="B406" s="67"/>
    </row>
    <row r="407" spans="1:2" x14ac:dyDescent="0.25">
      <c r="A407" s="67"/>
      <c r="B407" s="67"/>
    </row>
    <row r="408" spans="1:2" x14ac:dyDescent="0.25">
      <c r="A408" s="67"/>
      <c r="B408" s="67"/>
    </row>
    <row r="409" spans="1:2" x14ac:dyDescent="0.25">
      <c r="A409" s="67"/>
      <c r="B409" s="67"/>
    </row>
    <row r="410" spans="1:2" x14ac:dyDescent="0.25">
      <c r="A410" s="67"/>
      <c r="B410" s="67"/>
    </row>
    <row r="411" spans="1:2" x14ac:dyDescent="0.25">
      <c r="A411" s="67"/>
      <c r="B411" s="67"/>
    </row>
    <row r="412" spans="1:2" x14ac:dyDescent="0.25">
      <c r="A412" s="67"/>
      <c r="B412" s="67"/>
    </row>
    <row r="413" spans="1:2" x14ac:dyDescent="0.25">
      <c r="A413" s="67"/>
      <c r="B413" s="67"/>
    </row>
    <row r="414" spans="1:2" x14ac:dyDescent="0.25">
      <c r="A414" s="67"/>
      <c r="B414" s="67"/>
    </row>
    <row r="415" spans="1:2" x14ac:dyDescent="0.25">
      <c r="A415" s="67"/>
      <c r="B415" s="67"/>
    </row>
    <row r="416" spans="1:2" x14ac:dyDescent="0.25">
      <c r="A416" s="67"/>
      <c r="B416" s="67"/>
    </row>
    <row r="417" spans="1:2" x14ac:dyDescent="0.25">
      <c r="A417" s="67"/>
      <c r="B417" s="67"/>
    </row>
    <row r="418" spans="1:2" x14ac:dyDescent="0.25">
      <c r="A418" s="67"/>
      <c r="B418" s="67"/>
    </row>
    <row r="419" spans="1:2" x14ac:dyDescent="0.25">
      <c r="A419" s="67"/>
      <c r="B419" s="67"/>
    </row>
    <row r="420" spans="1:2" x14ac:dyDescent="0.25">
      <c r="A420" s="67"/>
      <c r="B420" s="67"/>
    </row>
    <row r="421" spans="1:2" x14ac:dyDescent="0.25">
      <c r="A421" s="67"/>
      <c r="B421" s="67"/>
    </row>
    <row r="422" spans="1:2" x14ac:dyDescent="0.25">
      <c r="A422" s="67"/>
      <c r="B422" s="67"/>
    </row>
    <row r="423" spans="1:2" x14ac:dyDescent="0.25">
      <c r="A423" s="67"/>
      <c r="B423" s="67"/>
    </row>
    <row r="424" spans="1:2" x14ac:dyDescent="0.25">
      <c r="A424" s="67"/>
      <c r="B424" s="67"/>
    </row>
    <row r="425" spans="1:2" x14ac:dyDescent="0.25">
      <c r="A425" s="67"/>
      <c r="B425" s="67"/>
    </row>
    <row r="426" spans="1:2" x14ac:dyDescent="0.25">
      <c r="A426" s="67"/>
      <c r="B426" s="67"/>
    </row>
    <row r="427" spans="1:2" x14ac:dyDescent="0.25">
      <c r="A427" s="67"/>
      <c r="B427" s="67"/>
    </row>
    <row r="428" spans="1:2" x14ac:dyDescent="0.25">
      <c r="A428" s="67"/>
      <c r="B428" s="67"/>
    </row>
    <row r="429" spans="1:2" x14ac:dyDescent="0.25">
      <c r="A429" s="67"/>
      <c r="B429" s="67"/>
    </row>
    <row r="430" spans="1:2" x14ac:dyDescent="0.25">
      <c r="A430" s="67"/>
      <c r="B430" s="67"/>
    </row>
    <row r="431" spans="1:2" x14ac:dyDescent="0.25">
      <c r="A431" s="67"/>
      <c r="B431" s="67"/>
    </row>
    <row r="432" spans="1:2" x14ac:dyDescent="0.25">
      <c r="A432" s="67"/>
      <c r="B432" s="67"/>
    </row>
    <row r="433" spans="1:2" x14ac:dyDescent="0.25">
      <c r="A433" s="67"/>
      <c r="B433" s="67"/>
    </row>
    <row r="434" spans="1:2" x14ac:dyDescent="0.25">
      <c r="A434" s="67"/>
      <c r="B434" s="67"/>
    </row>
    <row r="435" spans="1:2" x14ac:dyDescent="0.25">
      <c r="A435" s="67"/>
      <c r="B435" s="67"/>
    </row>
    <row r="436" spans="1:2" x14ac:dyDescent="0.25">
      <c r="A436" s="67"/>
      <c r="B436" s="67"/>
    </row>
    <row r="437" spans="1:2" x14ac:dyDescent="0.25">
      <c r="A437" s="67"/>
      <c r="B437" s="67"/>
    </row>
    <row r="438" spans="1:2" x14ac:dyDescent="0.25">
      <c r="A438" s="67"/>
      <c r="B438" s="67"/>
    </row>
    <row r="439" spans="1:2" x14ac:dyDescent="0.25">
      <c r="A439" s="67"/>
      <c r="B439" s="67"/>
    </row>
    <row r="440" spans="1:2" x14ac:dyDescent="0.25">
      <c r="A440" s="67"/>
      <c r="B440" s="67"/>
    </row>
    <row r="441" spans="1:2" x14ac:dyDescent="0.25">
      <c r="A441" s="67"/>
      <c r="B441" s="67"/>
    </row>
    <row r="442" spans="1:2" x14ac:dyDescent="0.25">
      <c r="A442" s="67"/>
      <c r="B442" s="67"/>
    </row>
    <row r="443" spans="1:2" x14ac:dyDescent="0.25">
      <c r="A443" s="67"/>
      <c r="B443" s="67"/>
    </row>
    <row r="444" spans="1:2" x14ac:dyDescent="0.25">
      <c r="A444" s="67"/>
      <c r="B444" s="67"/>
    </row>
    <row r="445" spans="1:2" x14ac:dyDescent="0.25">
      <c r="A445" s="67"/>
      <c r="B445" s="67"/>
    </row>
    <row r="446" spans="1:2" x14ac:dyDescent="0.25">
      <c r="A446" s="67"/>
      <c r="B446" s="67"/>
    </row>
    <row r="447" spans="1:2" x14ac:dyDescent="0.25">
      <c r="A447" s="67"/>
      <c r="B447" s="67"/>
    </row>
    <row r="448" spans="1:2" x14ac:dyDescent="0.25">
      <c r="A448" s="67"/>
      <c r="B448" s="67"/>
    </row>
    <row r="449" spans="1:2" x14ac:dyDescent="0.25">
      <c r="A449" s="67"/>
      <c r="B449" s="67"/>
    </row>
    <row r="450" spans="1:2" x14ac:dyDescent="0.25">
      <c r="A450" s="67"/>
      <c r="B450" s="67"/>
    </row>
    <row r="451" spans="1:2" x14ac:dyDescent="0.25">
      <c r="A451" s="67"/>
      <c r="B451" s="67"/>
    </row>
    <row r="452" spans="1:2" x14ac:dyDescent="0.25">
      <c r="A452" s="67"/>
      <c r="B452" s="67"/>
    </row>
    <row r="453" spans="1:2" x14ac:dyDescent="0.25">
      <c r="A453" s="67"/>
      <c r="B453" s="67"/>
    </row>
    <row r="454" spans="1:2" x14ac:dyDescent="0.25">
      <c r="A454" s="67"/>
      <c r="B454" s="67"/>
    </row>
    <row r="455" spans="1:2" x14ac:dyDescent="0.25">
      <c r="A455" s="67"/>
      <c r="B455" s="67"/>
    </row>
    <row r="456" spans="1:2" x14ac:dyDescent="0.25">
      <c r="A456" s="67"/>
      <c r="B456" s="67"/>
    </row>
    <row r="457" spans="1:2" x14ac:dyDescent="0.25">
      <c r="A457" s="67"/>
      <c r="B457" s="67"/>
    </row>
    <row r="458" spans="1:2" x14ac:dyDescent="0.25">
      <c r="A458" s="67"/>
      <c r="B458" s="67"/>
    </row>
    <row r="459" spans="1:2" x14ac:dyDescent="0.25">
      <c r="A459" s="67"/>
      <c r="B459" s="67"/>
    </row>
    <row r="460" spans="1:2" x14ac:dyDescent="0.25">
      <c r="A460" s="67"/>
      <c r="B460" s="67"/>
    </row>
    <row r="461" spans="1:2" x14ac:dyDescent="0.25">
      <c r="A461" s="67"/>
      <c r="B461" s="67"/>
    </row>
    <row r="462" spans="1:2" x14ac:dyDescent="0.25">
      <c r="A462" s="67"/>
      <c r="B462" s="67"/>
    </row>
    <row r="463" spans="1:2" x14ac:dyDescent="0.25">
      <c r="A463" s="67"/>
      <c r="B463" s="67"/>
    </row>
    <row r="464" spans="1:2" x14ac:dyDescent="0.25">
      <c r="A464" s="67"/>
      <c r="B464" s="67"/>
    </row>
    <row r="465" spans="1:2" x14ac:dyDescent="0.25">
      <c r="A465" s="67"/>
      <c r="B465" s="67"/>
    </row>
    <row r="466" spans="1:2" x14ac:dyDescent="0.25">
      <c r="A466" s="67"/>
      <c r="B466" s="67"/>
    </row>
    <row r="467" spans="1:2" x14ac:dyDescent="0.25">
      <c r="A467" s="67"/>
      <c r="B467" s="67"/>
    </row>
    <row r="468" spans="1:2" x14ac:dyDescent="0.25">
      <c r="A468" s="67"/>
      <c r="B468" s="67"/>
    </row>
    <row r="469" spans="1:2" x14ac:dyDescent="0.25">
      <c r="A469" s="67"/>
      <c r="B469" s="67"/>
    </row>
    <row r="470" spans="1:2" x14ac:dyDescent="0.25">
      <c r="A470" s="67"/>
      <c r="B470" s="67"/>
    </row>
    <row r="471" spans="1:2" x14ac:dyDescent="0.25">
      <c r="A471" s="67"/>
      <c r="B471" s="67"/>
    </row>
    <row r="472" spans="1:2" x14ac:dyDescent="0.25">
      <c r="A472" s="67"/>
      <c r="B472" s="67"/>
    </row>
    <row r="473" spans="1:2" x14ac:dyDescent="0.25">
      <c r="A473" s="67"/>
      <c r="B473" s="67"/>
    </row>
    <row r="474" spans="1:2" x14ac:dyDescent="0.25">
      <c r="A474" s="67"/>
      <c r="B474" s="67"/>
    </row>
    <row r="475" spans="1:2" x14ac:dyDescent="0.25">
      <c r="A475" s="67"/>
      <c r="B475" s="67"/>
    </row>
    <row r="476" spans="1:2" x14ac:dyDescent="0.25">
      <c r="A476" s="67"/>
      <c r="B476" s="67"/>
    </row>
    <row r="477" spans="1:2" x14ac:dyDescent="0.25">
      <c r="A477" s="67"/>
      <c r="B477" s="67"/>
    </row>
    <row r="478" spans="1:2" x14ac:dyDescent="0.25">
      <c r="A478" s="67"/>
      <c r="B478" s="67"/>
    </row>
    <row r="479" spans="1:2" x14ac:dyDescent="0.25">
      <c r="A479" s="67"/>
      <c r="B479" s="67"/>
    </row>
    <row r="480" spans="1:2" x14ac:dyDescent="0.25">
      <c r="A480" s="67"/>
      <c r="B480" s="67"/>
    </row>
    <row r="481" spans="1:2" x14ac:dyDescent="0.25">
      <c r="A481" s="67"/>
      <c r="B481" s="67"/>
    </row>
    <row r="482" spans="1:2" x14ac:dyDescent="0.25">
      <c r="A482" s="67"/>
      <c r="B482" s="67"/>
    </row>
    <row r="483" spans="1:2" x14ac:dyDescent="0.25">
      <c r="A483" s="67"/>
      <c r="B483" s="67"/>
    </row>
    <row r="484" spans="1:2" x14ac:dyDescent="0.25">
      <c r="A484" s="67"/>
      <c r="B484" s="67"/>
    </row>
    <row r="485" spans="1:2" x14ac:dyDescent="0.25">
      <c r="A485" s="67"/>
      <c r="B485" s="67"/>
    </row>
    <row r="486" spans="1:2" x14ac:dyDescent="0.25">
      <c r="A486" s="67"/>
      <c r="B486" s="67"/>
    </row>
    <row r="487" spans="1:2" x14ac:dyDescent="0.25">
      <c r="A487" s="67"/>
      <c r="B487" s="67"/>
    </row>
    <row r="488" spans="1:2" x14ac:dyDescent="0.25">
      <c r="A488" s="67"/>
      <c r="B488" s="67"/>
    </row>
    <row r="489" spans="1:2" x14ac:dyDescent="0.25">
      <c r="A489" s="67"/>
      <c r="B489" s="67"/>
    </row>
    <row r="490" spans="1:2" x14ac:dyDescent="0.25">
      <c r="A490" s="67"/>
      <c r="B490" s="67"/>
    </row>
    <row r="491" spans="1:2" x14ac:dyDescent="0.25">
      <c r="A491" s="67"/>
      <c r="B491" s="67"/>
    </row>
    <row r="492" spans="1:2" x14ac:dyDescent="0.25">
      <c r="A492" s="67"/>
      <c r="B492" s="67"/>
    </row>
    <row r="493" spans="1:2" x14ac:dyDescent="0.25">
      <c r="A493" s="67"/>
      <c r="B493" s="67"/>
    </row>
    <row r="494" spans="1:2" x14ac:dyDescent="0.25">
      <c r="A494" s="67"/>
      <c r="B494" s="67"/>
    </row>
    <row r="495" spans="1:2" x14ac:dyDescent="0.25">
      <c r="A495" s="67"/>
      <c r="B495" s="67"/>
    </row>
    <row r="496" spans="1:2" x14ac:dyDescent="0.25">
      <c r="A496" s="67"/>
      <c r="B496" s="67"/>
    </row>
    <row r="497" spans="1:2" x14ac:dyDescent="0.25">
      <c r="A497" s="67"/>
      <c r="B497" s="67"/>
    </row>
    <row r="498" spans="1:2" x14ac:dyDescent="0.25">
      <c r="A498" s="67"/>
      <c r="B498" s="67"/>
    </row>
    <row r="499" spans="1:2" x14ac:dyDescent="0.25">
      <c r="A499" s="67"/>
      <c r="B499" s="67"/>
    </row>
    <row r="500" spans="1:2" x14ac:dyDescent="0.25">
      <c r="A500" s="67"/>
      <c r="B500" s="67"/>
    </row>
    <row r="501" spans="1:2" x14ac:dyDescent="0.25">
      <c r="A501" s="67"/>
      <c r="B501" s="67"/>
    </row>
    <row r="502" spans="1:2" x14ac:dyDescent="0.25">
      <c r="A502" s="67"/>
      <c r="B502" s="67"/>
    </row>
    <row r="503" spans="1:2" x14ac:dyDescent="0.25">
      <c r="A503" s="67"/>
      <c r="B503" s="67"/>
    </row>
    <row r="504" spans="1:2" x14ac:dyDescent="0.25">
      <c r="A504" s="67"/>
      <c r="B504" s="67"/>
    </row>
    <row r="505" spans="1:2" x14ac:dyDescent="0.25">
      <c r="A505" s="67"/>
      <c r="B505" s="67"/>
    </row>
    <row r="506" spans="1:2" x14ac:dyDescent="0.25">
      <c r="A506" s="67"/>
      <c r="B506" s="67"/>
    </row>
    <row r="507" spans="1:2" x14ac:dyDescent="0.25">
      <c r="A507" s="67"/>
      <c r="B507" s="67"/>
    </row>
    <row r="508" spans="1:2" x14ac:dyDescent="0.25">
      <c r="A508" s="67"/>
      <c r="B508" s="67"/>
    </row>
    <row r="509" spans="1:2" x14ac:dyDescent="0.25">
      <c r="A509" s="67"/>
      <c r="B509" s="67"/>
    </row>
    <row r="510" spans="1:2" x14ac:dyDescent="0.25">
      <c r="A510" s="67"/>
      <c r="B510" s="67"/>
    </row>
    <row r="511" spans="1:2" x14ac:dyDescent="0.25">
      <c r="A511" s="67"/>
      <c r="B511" s="67"/>
    </row>
    <row r="512" spans="1:2" x14ac:dyDescent="0.25">
      <c r="A512" s="67"/>
      <c r="B512" s="67"/>
    </row>
    <row r="513" spans="1:2" x14ac:dyDescent="0.25">
      <c r="A513" s="67"/>
      <c r="B513" s="67"/>
    </row>
    <row r="514" spans="1:2" x14ac:dyDescent="0.25">
      <c r="A514" s="67"/>
      <c r="B514" s="67"/>
    </row>
    <row r="515" spans="1:2" x14ac:dyDescent="0.25">
      <c r="A515" s="67"/>
      <c r="B515" s="67"/>
    </row>
    <row r="516" spans="1:2" x14ac:dyDescent="0.25">
      <c r="A516" s="67"/>
      <c r="B516" s="67"/>
    </row>
    <row r="517" spans="1:2" x14ac:dyDescent="0.25">
      <c r="A517" s="67"/>
      <c r="B517" s="67"/>
    </row>
    <row r="518" spans="1:2" x14ac:dyDescent="0.25">
      <c r="A518" s="67"/>
      <c r="B518" s="67"/>
    </row>
    <row r="519" spans="1:2" x14ac:dyDescent="0.25">
      <c r="A519" s="67"/>
      <c r="B519" s="67"/>
    </row>
    <row r="520" spans="1:2" x14ac:dyDescent="0.25">
      <c r="A520" s="67"/>
      <c r="B520" s="67"/>
    </row>
    <row r="521" spans="1:2" x14ac:dyDescent="0.25">
      <c r="A521" s="67"/>
      <c r="B521" s="67"/>
    </row>
    <row r="522" spans="1:2" x14ac:dyDescent="0.25">
      <c r="A522" s="67"/>
      <c r="B522" s="67"/>
    </row>
    <row r="523" spans="1:2" x14ac:dyDescent="0.25">
      <c r="A523" s="67"/>
      <c r="B523" s="67"/>
    </row>
    <row r="524" spans="1:2" x14ac:dyDescent="0.25">
      <c r="A524" s="67"/>
      <c r="B524" s="67"/>
    </row>
    <row r="525" spans="1:2" x14ac:dyDescent="0.25">
      <c r="A525" s="67"/>
      <c r="B525" s="67"/>
    </row>
    <row r="526" spans="1:2" x14ac:dyDescent="0.25">
      <c r="A526" s="67"/>
      <c r="B526" s="67"/>
    </row>
    <row r="527" spans="1:2" x14ac:dyDescent="0.25">
      <c r="A527" s="67"/>
      <c r="B527" s="67"/>
    </row>
    <row r="528" spans="1:2" x14ac:dyDescent="0.25">
      <c r="A528" s="67"/>
      <c r="B528" s="67"/>
    </row>
    <row r="529" spans="1:2" x14ac:dyDescent="0.25">
      <c r="A529" s="67"/>
      <c r="B529" s="67"/>
    </row>
    <row r="530" spans="1:2" x14ac:dyDescent="0.25">
      <c r="A530" s="67"/>
      <c r="B530" s="67"/>
    </row>
    <row r="531" spans="1:2" x14ac:dyDescent="0.25">
      <c r="A531" s="67"/>
      <c r="B531" s="67"/>
    </row>
    <row r="532" spans="1:2" x14ac:dyDescent="0.25">
      <c r="A532" s="67"/>
      <c r="B532" s="67"/>
    </row>
    <row r="533" spans="1:2" x14ac:dyDescent="0.25">
      <c r="A533" s="67"/>
      <c r="B533" s="67"/>
    </row>
    <row r="534" spans="1:2" x14ac:dyDescent="0.25">
      <c r="A534" s="67"/>
      <c r="B534" s="67"/>
    </row>
    <row r="535" spans="1:2" x14ac:dyDescent="0.25">
      <c r="A535" s="67"/>
      <c r="B535" s="67"/>
    </row>
    <row r="536" spans="1:2" x14ac:dyDescent="0.25">
      <c r="A536" s="67"/>
      <c r="B536" s="67"/>
    </row>
    <row r="537" spans="1:2" x14ac:dyDescent="0.25">
      <c r="A537" s="67"/>
      <c r="B537" s="67"/>
    </row>
    <row r="538" spans="1:2" x14ac:dyDescent="0.25">
      <c r="A538" s="67"/>
      <c r="B538" s="67"/>
    </row>
    <row r="539" spans="1:2" x14ac:dyDescent="0.25">
      <c r="A539" s="67"/>
      <c r="B539" s="67"/>
    </row>
    <row r="540" spans="1:2" x14ac:dyDescent="0.25">
      <c r="A540" s="67"/>
      <c r="B540" s="67"/>
    </row>
    <row r="541" spans="1:2" x14ac:dyDescent="0.25">
      <c r="A541" s="67"/>
      <c r="B541" s="67"/>
    </row>
    <row r="542" spans="1:2" x14ac:dyDescent="0.25">
      <c r="A542" s="67"/>
      <c r="B542" s="67"/>
    </row>
    <row r="543" spans="1:2" x14ac:dyDescent="0.25">
      <c r="A543" s="67"/>
      <c r="B543" s="67"/>
    </row>
    <row r="544" spans="1:2" x14ac:dyDescent="0.25">
      <c r="A544" s="67"/>
      <c r="B544" s="67"/>
    </row>
    <row r="545" spans="1:2" x14ac:dyDescent="0.25">
      <c r="A545" s="67"/>
      <c r="B545" s="67"/>
    </row>
    <row r="546" spans="1:2" x14ac:dyDescent="0.25">
      <c r="A546" s="67"/>
      <c r="B546" s="67"/>
    </row>
    <row r="547" spans="1:2" x14ac:dyDescent="0.25">
      <c r="A547" s="67"/>
      <c r="B547" s="67"/>
    </row>
    <row r="548" spans="1:2" x14ac:dyDescent="0.25">
      <c r="A548" s="67"/>
      <c r="B548" s="67"/>
    </row>
    <row r="549" spans="1:2" x14ac:dyDescent="0.25">
      <c r="A549" s="67"/>
      <c r="B549" s="67"/>
    </row>
    <row r="550" spans="1:2" x14ac:dyDescent="0.25">
      <c r="A550" s="67"/>
      <c r="B550" s="67"/>
    </row>
    <row r="551" spans="1:2" x14ac:dyDescent="0.25">
      <c r="A551" s="67"/>
      <c r="B551" s="67"/>
    </row>
    <row r="552" spans="1:2" x14ac:dyDescent="0.25">
      <c r="A552" s="67"/>
      <c r="B552" s="67"/>
    </row>
    <row r="553" spans="1:2" x14ac:dyDescent="0.25">
      <c r="A553" s="67"/>
      <c r="B553" s="67"/>
    </row>
    <row r="554" spans="1:2" x14ac:dyDescent="0.25">
      <c r="A554" s="67"/>
      <c r="B554" s="67"/>
    </row>
    <row r="555" spans="1:2" x14ac:dyDescent="0.25">
      <c r="A555" s="67"/>
      <c r="B555" s="67"/>
    </row>
    <row r="556" spans="1:2" x14ac:dyDescent="0.25">
      <c r="A556" s="67"/>
      <c r="B556" s="67"/>
    </row>
    <row r="557" spans="1:2" x14ac:dyDescent="0.25">
      <c r="A557" s="67"/>
      <c r="B557" s="67"/>
    </row>
    <row r="558" spans="1:2" x14ac:dyDescent="0.25">
      <c r="A558" s="67"/>
      <c r="B558" s="67"/>
    </row>
    <row r="559" spans="1:2" x14ac:dyDescent="0.25">
      <c r="A559" s="67"/>
      <c r="B559" s="67"/>
    </row>
    <row r="560" spans="1:2" x14ac:dyDescent="0.25">
      <c r="A560" s="67"/>
      <c r="B560" s="67"/>
    </row>
    <row r="561" spans="1:2" x14ac:dyDescent="0.25">
      <c r="A561" s="67"/>
      <c r="B561" s="67"/>
    </row>
    <row r="562" spans="1:2" x14ac:dyDescent="0.25">
      <c r="A562" s="67"/>
      <c r="B562" s="67"/>
    </row>
    <row r="563" spans="1:2" x14ac:dyDescent="0.25">
      <c r="A563" s="67"/>
      <c r="B563" s="67"/>
    </row>
    <row r="564" spans="1:2" x14ac:dyDescent="0.25">
      <c r="A564" s="67"/>
      <c r="B564" s="67"/>
    </row>
    <row r="565" spans="1:2" x14ac:dyDescent="0.25">
      <c r="A565" s="67"/>
      <c r="B565" s="67"/>
    </row>
    <row r="566" spans="1:2" x14ac:dyDescent="0.25">
      <c r="A566" s="67"/>
      <c r="B566" s="67"/>
    </row>
    <row r="567" spans="1:2" x14ac:dyDescent="0.25">
      <c r="A567" s="67"/>
      <c r="B567" s="67"/>
    </row>
    <row r="568" spans="1:2" x14ac:dyDescent="0.25">
      <c r="A568" s="67"/>
      <c r="B568" s="67"/>
    </row>
    <row r="569" spans="1:2" x14ac:dyDescent="0.25">
      <c r="A569" s="67"/>
      <c r="B569" s="67"/>
    </row>
    <row r="570" spans="1:2" x14ac:dyDescent="0.25">
      <c r="A570" s="67"/>
      <c r="B570" s="67"/>
    </row>
    <row r="571" spans="1:2" x14ac:dyDescent="0.25">
      <c r="A571" s="67"/>
      <c r="B571" s="67"/>
    </row>
    <row r="572" spans="1:2" x14ac:dyDescent="0.25">
      <c r="A572" s="67"/>
      <c r="B572" s="67"/>
    </row>
    <row r="573" spans="1:2" x14ac:dyDescent="0.25">
      <c r="A573" s="67"/>
      <c r="B573" s="67"/>
    </row>
    <row r="574" spans="1:2" x14ac:dyDescent="0.25">
      <c r="A574" s="67"/>
      <c r="B574" s="67"/>
    </row>
    <row r="575" spans="1:2" x14ac:dyDescent="0.25">
      <c r="A575" s="67"/>
      <c r="B575" s="67"/>
    </row>
    <row r="576" spans="1:2" x14ac:dyDescent="0.25">
      <c r="A576" s="67"/>
      <c r="B576" s="67"/>
    </row>
    <row r="577" spans="1:2" x14ac:dyDescent="0.25">
      <c r="A577" s="67"/>
      <c r="B577" s="67"/>
    </row>
    <row r="578" spans="1:2" x14ac:dyDescent="0.25">
      <c r="A578" s="67"/>
      <c r="B578" s="67"/>
    </row>
    <row r="579" spans="1:2" x14ac:dyDescent="0.25">
      <c r="A579" s="67"/>
      <c r="B579" s="67"/>
    </row>
    <row r="580" spans="1:2" x14ac:dyDescent="0.25">
      <c r="A580" s="67"/>
      <c r="B580" s="67"/>
    </row>
    <row r="581" spans="1:2" x14ac:dyDescent="0.25">
      <c r="A581" s="67"/>
      <c r="B581" s="67"/>
    </row>
    <row r="582" spans="1:2" x14ac:dyDescent="0.25">
      <c r="A582" s="67"/>
      <c r="B582" s="67"/>
    </row>
    <row r="583" spans="1:2" x14ac:dyDescent="0.25">
      <c r="A583" s="67"/>
      <c r="B583" s="67"/>
    </row>
    <row r="584" spans="1:2" x14ac:dyDescent="0.25">
      <c r="A584" s="67"/>
      <c r="B584" s="67"/>
    </row>
    <row r="585" spans="1:2" x14ac:dyDescent="0.25">
      <c r="A585" s="67"/>
      <c r="B585" s="67"/>
    </row>
    <row r="586" spans="1:2" x14ac:dyDescent="0.25">
      <c r="A586" s="67"/>
      <c r="B586" s="67"/>
    </row>
    <row r="587" spans="1:2" x14ac:dyDescent="0.25">
      <c r="A587" s="67"/>
      <c r="B587" s="67"/>
    </row>
    <row r="588" spans="1:2" x14ac:dyDescent="0.25">
      <c r="A588" s="67"/>
      <c r="B588" s="67"/>
    </row>
    <row r="589" spans="1:2" x14ac:dyDescent="0.25">
      <c r="A589" s="67"/>
      <c r="B589" s="67"/>
    </row>
    <row r="590" spans="1:2" x14ac:dyDescent="0.25">
      <c r="A590" s="67"/>
      <c r="B590" s="67"/>
    </row>
    <row r="591" spans="1:2" x14ac:dyDescent="0.25">
      <c r="A591" s="67"/>
      <c r="B591" s="67"/>
    </row>
    <row r="592" spans="1:2" x14ac:dyDescent="0.25">
      <c r="A592" s="67"/>
      <c r="B592" s="67"/>
    </row>
    <row r="593" spans="1:2" x14ac:dyDescent="0.25">
      <c r="A593" s="67"/>
      <c r="B593" s="67"/>
    </row>
    <row r="594" spans="1:2" x14ac:dyDescent="0.25">
      <c r="A594" s="67"/>
      <c r="B594" s="67"/>
    </row>
    <row r="595" spans="1:2" x14ac:dyDescent="0.25">
      <c r="A595" s="67"/>
      <c r="B595" s="67"/>
    </row>
    <row r="596" spans="1:2" x14ac:dyDescent="0.25">
      <c r="A596" s="67"/>
      <c r="B596" s="67"/>
    </row>
    <row r="597" spans="1:2" x14ac:dyDescent="0.25">
      <c r="A597" s="67"/>
      <c r="B597" s="67"/>
    </row>
    <row r="598" spans="1:2" x14ac:dyDescent="0.25">
      <c r="A598" s="67"/>
      <c r="B598" s="67"/>
    </row>
    <row r="599" spans="1:2" x14ac:dyDescent="0.25">
      <c r="A599" s="67"/>
      <c r="B599" s="67"/>
    </row>
    <row r="600" spans="1:2" x14ac:dyDescent="0.25">
      <c r="A600" s="67"/>
      <c r="B600" s="67"/>
    </row>
    <row r="601" spans="1:2" x14ac:dyDescent="0.25">
      <c r="A601" s="67"/>
      <c r="B601" s="67"/>
    </row>
    <row r="602" spans="1:2" x14ac:dyDescent="0.25">
      <c r="A602" s="67"/>
      <c r="B602" s="67"/>
    </row>
    <row r="603" spans="1:2" x14ac:dyDescent="0.25">
      <c r="A603" s="67"/>
      <c r="B603" s="67"/>
    </row>
    <row r="604" spans="1:2" x14ac:dyDescent="0.25">
      <c r="A604" s="67"/>
      <c r="B604" s="67"/>
    </row>
    <row r="605" spans="1:2" x14ac:dyDescent="0.25">
      <c r="A605" s="67"/>
      <c r="B605" s="67"/>
    </row>
    <row r="606" spans="1:2" x14ac:dyDescent="0.25">
      <c r="A606" s="67"/>
      <c r="B606" s="67"/>
    </row>
    <row r="607" spans="1:2" x14ac:dyDescent="0.25">
      <c r="A607" s="67"/>
      <c r="B607" s="67"/>
    </row>
    <row r="608" spans="1:2" x14ac:dyDescent="0.25">
      <c r="A608" s="67"/>
      <c r="B608" s="67"/>
    </row>
    <row r="609" spans="1:2" x14ac:dyDescent="0.25">
      <c r="A609" s="67"/>
      <c r="B609" s="67"/>
    </row>
    <row r="610" spans="1:2" x14ac:dyDescent="0.25">
      <c r="A610" s="67"/>
      <c r="B610" s="67"/>
    </row>
    <row r="611" spans="1:2" x14ac:dyDescent="0.25">
      <c r="A611" s="67"/>
      <c r="B611" s="67"/>
    </row>
    <row r="612" spans="1:2" x14ac:dyDescent="0.25">
      <c r="A612" s="67"/>
      <c r="B612" s="67"/>
    </row>
    <row r="613" spans="1:2" x14ac:dyDescent="0.25">
      <c r="A613" s="67"/>
      <c r="B613" s="67"/>
    </row>
    <row r="614" spans="1:2" x14ac:dyDescent="0.25">
      <c r="A614" s="67"/>
      <c r="B614" s="67"/>
    </row>
    <row r="615" spans="1:2" x14ac:dyDescent="0.25">
      <c r="A615" s="67"/>
      <c r="B615" s="67"/>
    </row>
    <row r="616" spans="1:2" x14ac:dyDescent="0.25">
      <c r="A616" s="67"/>
      <c r="B616" s="67"/>
    </row>
    <row r="617" spans="1:2" x14ac:dyDescent="0.25">
      <c r="A617" s="67"/>
      <c r="B617" s="67"/>
    </row>
    <row r="618" spans="1:2" x14ac:dyDescent="0.25">
      <c r="A618" s="67"/>
      <c r="B618" s="67"/>
    </row>
    <row r="619" spans="1:2" x14ac:dyDescent="0.25">
      <c r="A619" s="67"/>
      <c r="B619" s="67"/>
    </row>
    <row r="620" spans="1:2" x14ac:dyDescent="0.25">
      <c r="A620" s="67"/>
      <c r="B620" s="67"/>
    </row>
    <row r="621" spans="1:2" x14ac:dyDescent="0.25">
      <c r="A621" s="67"/>
      <c r="B621" s="67"/>
    </row>
    <row r="622" spans="1:2" x14ac:dyDescent="0.25">
      <c r="A622" s="67"/>
      <c r="B622" s="67"/>
    </row>
    <row r="623" spans="1:2" x14ac:dyDescent="0.25">
      <c r="A623" s="67"/>
      <c r="B623" s="67"/>
    </row>
    <row r="624" spans="1:2" x14ac:dyDescent="0.25">
      <c r="A624" s="67"/>
      <c r="B624" s="67"/>
    </row>
    <row r="625" spans="1:2" x14ac:dyDescent="0.25">
      <c r="A625" s="67"/>
      <c r="B625" s="67"/>
    </row>
    <row r="626" spans="1:2" x14ac:dyDescent="0.25">
      <c r="A626" s="67"/>
      <c r="B626" s="67"/>
    </row>
    <row r="627" spans="1:2" x14ac:dyDescent="0.25">
      <c r="A627" s="67"/>
      <c r="B627" s="67"/>
    </row>
    <row r="628" spans="1:2" x14ac:dyDescent="0.25">
      <c r="A628" s="67"/>
      <c r="B628" s="67"/>
    </row>
    <row r="629" spans="1:2" x14ac:dyDescent="0.25">
      <c r="A629" s="67"/>
      <c r="B629" s="67"/>
    </row>
    <row r="630" spans="1:2" x14ac:dyDescent="0.25">
      <c r="A630" s="67"/>
      <c r="B630" s="67"/>
    </row>
    <row r="631" spans="1:2" x14ac:dyDescent="0.25">
      <c r="A631" s="67"/>
      <c r="B631" s="67"/>
    </row>
    <row r="632" spans="1:2" x14ac:dyDescent="0.25">
      <c r="A632" s="67"/>
      <c r="B632" s="67"/>
    </row>
    <row r="633" spans="1:2" x14ac:dyDescent="0.25">
      <c r="A633" s="67"/>
      <c r="B633" s="67"/>
    </row>
    <row r="634" spans="1:2" x14ac:dyDescent="0.25">
      <c r="A634" s="67"/>
      <c r="B634" s="67"/>
    </row>
    <row r="635" spans="1:2" x14ac:dyDescent="0.25">
      <c r="A635" s="67"/>
      <c r="B635" s="67"/>
    </row>
    <row r="636" spans="1:2" x14ac:dyDescent="0.25">
      <c r="A636" s="67"/>
      <c r="B636" s="67"/>
    </row>
    <row r="637" spans="1:2" x14ac:dyDescent="0.25">
      <c r="A637" s="67"/>
      <c r="B637" s="67"/>
    </row>
    <row r="638" spans="1:2" x14ac:dyDescent="0.25">
      <c r="A638" s="67"/>
      <c r="B638" s="67"/>
    </row>
    <row r="639" spans="1:2" x14ac:dyDescent="0.25">
      <c r="A639" s="67"/>
      <c r="B639" s="67"/>
    </row>
    <row r="640" spans="1:2" x14ac:dyDescent="0.25">
      <c r="A640" s="67"/>
      <c r="B640" s="67"/>
    </row>
    <row r="641" spans="1:2" x14ac:dyDescent="0.25">
      <c r="A641" s="67"/>
      <c r="B641" s="67"/>
    </row>
    <row r="642" spans="1:2" x14ac:dyDescent="0.25">
      <c r="A642" s="67"/>
      <c r="B642" s="67"/>
    </row>
    <row r="643" spans="1:2" x14ac:dyDescent="0.25">
      <c r="A643" s="67"/>
      <c r="B643" s="67"/>
    </row>
    <row r="644" spans="1:2" x14ac:dyDescent="0.25">
      <c r="A644" s="67"/>
      <c r="B644" s="67"/>
    </row>
    <row r="645" spans="1:2" x14ac:dyDescent="0.25">
      <c r="A645" s="67"/>
      <c r="B645" s="67"/>
    </row>
    <row r="646" spans="1:2" x14ac:dyDescent="0.25">
      <c r="A646" s="67"/>
      <c r="B646" s="67"/>
    </row>
    <row r="647" spans="1:2" x14ac:dyDescent="0.25">
      <c r="A647" s="67"/>
      <c r="B647" s="67"/>
    </row>
    <row r="648" spans="1:2" x14ac:dyDescent="0.25">
      <c r="A648" s="67"/>
      <c r="B648" s="67"/>
    </row>
    <row r="649" spans="1:2" x14ac:dyDescent="0.25">
      <c r="A649" s="67"/>
      <c r="B649" s="67"/>
    </row>
    <row r="650" spans="1:2" x14ac:dyDescent="0.25">
      <c r="A650" s="67"/>
      <c r="B650" s="67"/>
    </row>
    <row r="651" spans="1:2" x14ac:dyDescent="0.25">
      <c r="A651" s="67"/>
      <c r="B651" s="67"/>
    </row>
    <row r="652" spans="1:2" x14ac:dyDescent="0.25">
      <c r="A652" s="67"/>
      <c r="B652" s="67"/>
    </row>
    <row r="653" spans="1:2" x14ac:dyDescent="0.25">
      <c r="A653" s="67"/>
      <c r="B653" s="67"/>
    </row>
    <row r="654" spans="1:2" x14ac:dyDescent="0.25">
      <c r="A654" s="67"/>
      <c r="B654" s="67"/>
    </row>
    <row r="655" spans="1:2" x14ac:dyDescent="0.25">
      <c r="A655" s="67"/>
      <c r="B655" s="67"/>
    </row>
    <row r="656" spans="1:2" x14ac:dyDescent="0.25">
      <c r="A656" s="67"/>
      <c r="B656" s="67"/>
    </row>
    <row r="657" spans="1:2" x14ac:dyDescent="0.25">
      <c r="A657" s="67"/>
      <c r="B657" s="67"/>
    </row>
    <row r="658" spans="1:2" x14ac:dyDescent="0.25">
      <c r="A658" s="67"/>
      <c r="B658" s="67"/>
    </row>
    <row r="659" spans="1:2" x14ac:dyDescent="0.25">
      <c r="A659" s="67"/>
      <c r="B659" s="67"/>
    </row>
    <row r="660" spans="1:2" x14ac:dyDescent="0.25">
      <c r="A660" s="67"/>
      <c r="B660" s="67"/>
    </row>
    <row r="661" spans="1:2" x14ac:dyDescent="0.25">
      <c r="A661" s="67"/>
      <c r="B661" s="67"/>
    </row>
    <row r="662" spans="1:2" x14ac:dyDescent="0.25">
      <c r="A662" s="67"/>
      <c r="B662" s="67"/>
    </row>
    <row r="663" spans="1:2" x14ac:dyDescent="0.25">
      <c r="A663" s="67"/>
      <c r="B663" s="67"/>
    </row>
    <row r="664" spans="1:2" x14ac:dyDescent="0.25">
      <c r="A664" s="67"/>
      <c r="B664" s="67"/>
    </row>
    <row r="665" spans="1:2" x14ac:dyDescent="0.25">
      <c r="A665" s="67"/>
      <c r="B665" s="67"/>
    </row>
    <row r="666" spans="1:2" x14ac:dyDescent="0.25">
      <c r="A666" s="67"/>
      <c r="B666" s="67"/>
    </row>
    <row r="667" spans="1:2" x14ac:dyDescent="0.25">
      <c r="A667" s="67"/>
      <c r="B667" s="67"/>
    </row>
    <row r="668" spans="1:2" x14ac:dyDescent="0.25">
      <c r="A668" s="67"/>
      <c r="B668" s="67"/>
    </row>
    <row r="669" spans="1:2" x14ac:dyDescent="0.25">
      <c r="A669" s="67"/>
      <c r="B669" s="67"/>
    </row>
    <row r="670" spans="1:2" x14ac:dyDescent="0.25">
      <c r="A670" s="67"/>
      <c r="B670" s="67"/>
    </row>
    <row r="671" spans="1:2" x14ac:dyDescent="0.25">
      <c r="A671" s="67"/>
      <c r="B671" s="67"/>
    </row>
    <row r="672" spans="1:2" x14ac:dyDescent="0.25">
      <c r="A672" s="67"/>
      <c r="B672" s="67"/>
    </row>
    <row r="673" spans="1:2" x14ac:dyDescent="0.25">
      <c r="A673" s="67"/>
      <c r="B673" s="67"/>
    </row>
    <row r="674" spans="1:2" x14ac:dyDescent="0.25">
      <c r="A674" s="67"/>
      <c r="B674" s="67"/>
    </row>
    <row r="675" spans="1:2" x14ac:dyDescent="0.25">
      <c r="A675" s="67"/>
      <c r="B675" s="67"/>
    </row>
    <row r="676" spans="1:2" x14ac:dyDescent="0.25">
      <c r="A676" s="67"/>
      <c r="B676" s="67"/>
    </row>
    <row r="677" spans="1:2" x14ac:dyDescent="0.25">
      <c r="A677" s="67"/>
      <c r="B677" s="67"/>
    </row>
    <row r="678" spans="1:2" x14ac:dyDescent="0.25">
      <c r="A678" s="67"/>
      <c r="B678" s="67"/>
    </row>
    <row r="679" spans="1:2" x14ac:dyDescent="0.25">
      <c r="A679" s="67"/>
      <c r="B679" s="67"/>
    </row>
    <row r="680" spans="1:2" x14ac:dyDescent="0.25">
      <c r="A680" s="67"/>
      <c r="B680" s="67"/>
    </row>
    <row r="681" spans="1:2" x14ac:dyDescent="0.25">
      <c r="A681" s="67"/>
      <c r="B681" s="67"/>
    </row>
    <row r="682" spans="1:2" x14ac:dyDescent="0.25">
      <c r="A682" s="67"/>
      <c r="B682" s="67"/>
    </row>
    <row r="683" spans="1:2" x14ac:dyDescent="0.25">
      <c r="A683" s="67"/>
      <c r="B683" s="67"/>
    </row>
    <row r="684" spans="1:2" x14ac:dyDescent="0.25">
      <c r="A684" s="67"/>
      <c r="B684" s="67"/>
    </row>
    <row r="685" spans="1:2" x14ac:dyDescent="0.25">
      <c r="A685" s="67"/>
      <c r="B685" s="67"/>
    </row>
    <row r="686" spans="1:2" x14ac:dyDescent="0.25">
      <c r="A686" s="67"/>
      <c r="B686" s="67"/>
    </row>
    <row r="687" spans="1:2" x14ac:dyDescent="0.25">
      <c r="A687" s="67"/>
      <c r="B687" s="67"/>
    </row>
    <row r="688" spans="1:2" x14ac:dyDescent="0.25">
      <c r="A688" s="67"/>
      <c r="B688" s="67"/>
    </row>
    <row r="689" spans="1:2" x14ac:dyDescent="0.25">
      <c r="A689" s="67"/>
      <c r="B689" s="67"/>
    </row>
    <row r="690" spans="1:2" x14ac:dyDescent="0.25">
      <c r="A690" s="67"/>
      <c r="B690" s="67"/>
    </row>
    <row r="691" spans="1:2" x14ac:dyDescent="0.25">
      <c r="A691" s="67"/>
      <c r="B691" s="67"/>
    </row>
    <row r="692" spans="1:2" x14ac:dyDescent="0.25">
      <c r="A692" s="67"/>
      <c r="B692" s="67"/>
    </row>
    <row r="693" spans="1:2" x14ac:dyDescent="0.25">
      <c r="A693" s="67"/>
      <c r="B693" s="67"/>
    </row>
    <row r="694" spans="1:2" x14ac:dyDescent="0.25">
      <c r="A694" s="67"/>
      <c r="B694" s="67"/>
    </row>
    <row r="695" spans="1:2" x14ac:dyDescent="0.25">
      <c r="A695" s="67"/>
      <c r="B695" s="67"/>
    </row>
    <row r="696" spans="1:2" x14ac:dyDescent="0.25">
      <c r="A696" s="67"/>
      <c r="B696" s="67"/>
    </row>
    <row r="697" spans="1:2" x14ac:dyDescent="0.25">
      <c r="A697" s="67"/>
      <c r="B697" s="67"/>
    </row>
    <row r="698" spans="1:2" x14ac:dyDescent="0.25">
      <c r="A698" s="67"/>
      <c r="B698" s="67"/>
    </row>
    <row r="699" spans="1:2" x14ac:dyDescent="0.25">
      <c r="A699" s="67"/>
      <c r="B699" s="67"/>
    </row>
    <row r="700" spans="1:2" x14ac:dyDescent="0.25">
      <c r="A700" s="67"/>
      <c r="B700" s="67"/>
    </row>
    <row r="701" spans="1:2" x14ac:dyDescent="0.25">
      <c r="A701" s="67"/>
      <c r="B701" s="67"/>
    </row>
    <row r="702" spans="1:2" x14ac:dyDescent="0.25">
      <c r="A702" s="67"/>
      <c r="B702" s="67"/>
    </row>
    <row r="703" spans="1:2" x14ac:dyDescent="0.25">
      <c r="A703" s="67"/>
      <c r="B703" s="67"/>
    </row>
    <row r="704" spans="1:2" x14ac:dyDescent="0.25">
      <c r="A704" s="67"/>
      <c r="B704" s="67"/>
    </row>
    <row r="705" spans="1:2" x14ac:dyDescent="0.25">
      <c r="A705" s="67"/>
      <c r="B705" s="67"/>
    </row>
    <row r="706" spans="1:2" x14ac:dyDescent="0.25">
      <c r="A706" s="67"/>
      <c r="B706" s="67"/>
    </row>
    <row r="707" spans="1:2" x14ac:dyDescent="0.25">
      <c r="A707" s="67"/>
      <c r="B707" s="67"/>
    </row>
    <row r="708" spans="1:2" x14ac:dyDescent="0.25">
      <c r="A708" s="67"/>
      <c r="B708" s="67"/>
    </row>
    <row r="709" spans="1:2" x14ac:dyDescent="0.25">
      <c r="A709" s="67"/>
      <c r="B709" s="67"/>
    </row>
    <row r="710" spans="1:2" x14ac:dyDescent="0.25">
      <c r="A710" s="67"/>
      <c r="B710" s="67"/>
    </row>
    <row r="711" spans="1:2" x14ac:dyDescent="0.25">
      <c r="A711" s="67"/>
      <c r="B711" s="67"/>
    </row>
    <row r="712" spans="1:2" x14ac:dyDescent="0.25">
      <c r="A712" s="67"/>
      <c r="B712" s="67"/>
    </row>
    <row r="713" spans="1:2" x14ac:dyDescent="0.25">
      <c r="A713" s="67"/>
      <c r="B713" s="67"/>
    </row>
    <row r="714" spans="1:2" x14ac:dyDescent="0.25">
      <c r="A714" s="67"/>
      <c r="B714" s="67"/>
    </row>
    <row r="715" spans="1:2" x14ac:dyDescent="0.25">
      <c r="A715" s="67"/>
      <c r="B715" s="67"/>
    </row>
    <row r="716" spans="1:2" x14ac:dyDescent="0.25">
      <c r="A716" s="67"/>
      <c r="B716" s="67"/>
    </row>
    <row r="717" spans="1:2" x14ac:dyDescent="0.25">
      <c r="A717" s="67"/>
      <c r="B717" s="67"/>
    </row>
    <row r="718" spans="1:2" x14ac:dyDescent="0.25">
      <c r="A718" s="67"/>
      <c r="B718" s="67"/>
    </row>
    <row r="719" spans="1:2" x14ac:dyDescent="0.25">
      <c r="A719" s="67"/>
      <c r="B719" s="67"/>
    </row>
    <row r="720" spans="1:2" x14ac:dyDescent="0.25">
      <c r="A720" s="67"/>
      <c r="B720" s="67"/>
    </row>
    <row r="721" spans="1:2" x14ac:dyDescent="0.25">
      <c r="A721" s="67"/>
      <c r="B721" s="67"/>
    </row>
    <row r="722" spans="1:2" x14ac:dyDescent="0.25">
      <c r="A722" s="67"/>
      <c r="B722" s="67"/>
    </row>
    <row r="723" spans="1:2" x14ac:dyDescent="0.25">
      <c r="A723" s="67"/>
      <c r="B723" s="67"/>
    </row>
    <row r="724" spans="1:2" x14ac:dyDescent="0.25">
      <c r="A724" s="67"/>
      <c r="B724" s="67"/>
    </row>
    <row r="725" spans="1:2" x14ac:dyDescent="0.25">
      <c r="A725" s="67"/>
      <c r="B725" s="67"/>
    </row>
    <row r="726" spans="1:2" x14ac:dyDescent="0.25">
      <c r="A726" s="67"/>
      <c r="B726" s="67"/>
    </row>
    <row r="727" spans="1:2" x14ac:dyDescent="0.25">
      <c r="A727" s="67"/>
      <c r="B727" s="67"/>
    </row>
    <row r="728" spans="1:2" x14ac:dyDescent="0.25">
      <c r="A728" s="67"/>
      <c r="B728" s="67"/>
    </row>
    <row r="729" spans="1:2" x14ac:dyDescent="0.25">
      <c r="A729" s="67"/>
      <c r="B729" s="67"/>
    </row>
    <row r="730" spans="1:2" x14ac:dyDescent="0.25">
      <c r="A730" s="67"/>
      <c r="B730" s="67"/>
    </row>
    <row r="731" spans="1:2" x14ac:dyDescent="0.25">
      <c r="A731" s="67"/>
      <c r="B731" s="67"/>
    </row>
    <row r="732" spans="1:2" x14ac:dyDescent="0.25">
      <c r="A732" s="67"/>
      <c r="B732" s="67"/>
    </row>
    <row r="733" spans="1:2" x14ac:dyDescent="0.25">
      <c r="A733" s="67"/>
      <c r="B733" s="67"/>
    </row>
    <row r="734" spans="1:2" x14ac:dyDescent="0.25">
      <c r="A734" s="67"/>
      <c r="B734" s="67"/>
    </row>
    <row r="735" spans="1:2" x14ac:dyDescent="0.25">
      <c r="A735" s="67"/>
      <c r="B735" s="67"/>
    </row>
    <row r="736" spans="1:2" x14ac:dyDescent="0.25">
      <c r="A736" s="67"/>
      <c r="B736" s="67"/>
    </row>
    <row r="737" spans="1:2" x14ac:dyDescent="0.25">
      <c r="A737" s="67"/>
      <c r="B737" s="67"/>
    </row>
    <row r="738" spans="1:2" x14ac:dyDescent="0.25">
      <c r="A738" s="67"/>
      <c r="B738" s="67"/>
    </row>
    <row r="739" spans="1:2" x14ac:dyDescent="0.25">
      <c r="A739" s="67"/>
      <c r="B739" s="67"/>
    </row>
    <row r="740" spans="1:2" x14ac:dyDescent="0.25">
      <c r="A740" s="67"/>
      <c r="B740" s="67"/>
    </row>
    <row r="741" spans="1:2" x14ac:dyDescent="0.25">
      <c r="A741" s="67"/>
      <c r="B741" s="67"/>
    </row>
    <row r="742" spans="1:2" x14ac:dyDescent="0.25">
      <c r="A742" s="67"/>
      <c r="B742" s="67"/>
    </row>
    <row r="743" spans="1:2" x14ac:dyDescent="0.25">
      <c r="A743" s="67"/>
      <c r="B743" s="67"/>
    </row>
    <row r="744" spans="1:2" x14ac:dyDescent="0.25">
      <c r="A744" s="67"/>
      <c r="B744" s="67"/>
    </row>
    <row r="745" spans="1:2" x14ac:dyDescent="0.25">
      <c r="A745" s="67"/>
      <c r="B745" s="67"/>
    </row>
    <row r="746" spans="1:2" x14ac:dyDescent="0.25">
      <c r="A746" s="67"/>
      <c r="B746" s="67"/>
    </row>
    <row r="747" spans="1:2" x14ac:dyDescent="0.25">
      <c r="A747" s="67"/>
      <c r="B747" s="67"/>
    </row>
    <row r="748" spans="1:2" x14ac:dyDescent="0.25">
      <c r="A748" s="67"/>
      <c r="B748" s="67"/>
    </row>
    <row r="749" spans="1:2" x14ac:dyDescent="0.25">
      <c r="A749" s="67"/>
      <c r="B749" s="67"/>
    </row>
    <row r="750" spans="1:2" x14ac:dyDescent="0.25">
      <c r="A750" s="67"/>
      <c r="B750" s="67"/>
    </row>
    <row r="751" spans="1:2" x14ac:dyDescent="0.25">
      <c r="A751" s="67"/>
      <c r="B751" s="67"/>
    </row>
    <row r="752" spans="1:2" x14ac:dyDescent="0.25">
      <c r="A752" s="67"/>
      <c r="B752" s="67"/>
    </row>
    <row r="753" spans="1:2" x14ac:dyDescent="0.25">
      <c r="A753" s="67"/>
      <c r="B753" s="67"/>
    </row>
    <row r="754" spans="1:2" x14ac:dyDescent="0.25">
      <c r="A754" s="67"/>
      <c r="B754" s="67"/>
    </row>
    <row r="755" spans="1:2" x14ac:dyDescent="0.25">
      <c r="A755" s="67"/>
      <c r="B755" s="67"/>
    </row>
    <row r="756" spans="1:2" x14ac:dyDescent="0.25">
      <c r="A756" s="67"/>
      <c r="B756" s="67"/>
    </row>
    <row r="757" spans="1:2" x14ac:dyDescent="0.25">
      <c r="A757" s="67"/>
      <c r="B757" s="67"/>
    </row>
    <row r="758" spans="1:2" x14ac:dyDescent="0.25">
      <c r="A758" s="67"/>
      <c r="B758" s="67"/>
    </row>
    <row r="759" spans="1:2" x14ac:dyDescent="0.25">
      <c r="A759" s="67"/>
      <c r="B759" s="67"/>
    </row>
    <row r="760" spans="1:2" x14ac:dyDescent="0.25">
      <c r="A760" s="67"/>
      <c r="B760" s="67"/>
    </row>
    <row r="761" spans="1:2" x14ac:dyDescent="0.25">
      <c r="A761" s="67"/>
      <c r="B761" s="67"/>
    </row>
    <row r="762" spans="1:2" x14ac:dyDescent="0.25">
      <c r="A762" s="67"/>
      <c r="B762" s="67"/>
    </row>
    <row r="763" spans="1:2" x14ac:dyDescent="0.25">
      <c r="A763" s="67"/>
      <c r="B763" s="67"/>
    </row>
    <row r="764" spans="1:2" x14ac:dyDescent="0.25">
      <c r="A764" s="67"/>
      <c r="B764" s="67"/>
    </row>
    <row r="765" spans="1:2" x14ac:dyDescent="0.25">
      <c r="A765" s="67"/>
      <c r="B765" s="67"/>
    </row>
    <row r="766" spans="1:2" x14ac:dyDescent="0.25">
      <c r="A766" s="67"/>
      <c r="B766" s="67"/>
    </row>
    <row r="767" spans="1:2" x14ac:dyDescent="0.25">
      <c r="A767" s="67"/>
      <c r="B767" s="67"/>
    </row>
    <row r="768" spans="1:2" x14ac:dyDescent="0.25">
      <c r="A768" s="67"/>
      <c r="B768" s="67"/>
    </row>
    <row r="769" spans="1:2" x14ac:dyDescent="0.25">
      <c r="A769" s="67"/>
      <c r="B769" s="67"/>
    </row>
    <row r="770" spans="1:2" x14ac:dyDescent="0.25">
      <c r="A770" s="67"/>
      <c r="B770" s="67"/>
    </row>
    <row r="771" spans="1:2" x14ac:dyDescent="0.25">
      <c r="A771" s="67"/>
      <c r="B771" s="67"/>
    </row>
    <row r="772" spans="1:2" x14ac:dyDescent="0.25">
      <c r="A772" s="67"/>
      <c r="B772" s="67"/>
    </row>
    <row r="773" spans="1:2" x14ac:dyDescent="0.25">
      <c r="A773" s="67"/>
      <c r="B773" s="67"/>
    </row>
    <row r="774" spans="1:2" x14ac:dyDescent="0.25">
      <c r="A774" s="67"/>
      <c r="B774" s="67"/>
    </row>
    <row r="775" spans="1:2" x14ac:dyDescent="0.25">
      <c r="A775" s="67"/>
      <c r="B775" s="67"/>
    </row>
    <row r="776" spans="1:2" x14ac:dyDescent="0.25">
      <c r="A776" s="67"/>
      <c r="B776" s="67"/>
    </row>
    <row r="777" spans="1:2" x14ac:dyDescent="0.25">
      <c r="A777" s="67"/>
      <c r="B777" s="67"/>
    </row>
    <row r="778" spans="1:2" x14ac:dyDescent="0.25">
      <c r="A778" s="67"/>
      <c r="B778" s="67"/>
    </row>
    <row r="779" spans="1:2" x14ac:dyDescent="0.25">
      <c r="A779" s="67"/>
      <c r="B779" s="67"/>
    </row>
    <row r="780" spans="1:2" x14ac:dyDescent="0.25">
      <c r="A780" s="67"/>
      <c r="B780" s="67"/>
    </row>
    <row r="781" spans="1:2" x14ac:dyDescent="0.25">
      <c r="A781" s="67"/>
      <c r="B781" s="67"/>
    </row>
    <row r="782" spans="1:2" x14ac:dyDescent="0.25">
      <c r="A782" s="67"/>
      <c r="B782" s="67"/>
    </row>
    <row r="783" spans="1:2" x14ac:dyDescent="0.25">
      <c r="A783" s="67"/>
      <c r="B783" s="67"/>
    </row>
    <row r="784" spans="1:2" x14ac:dyDescent="0.25">
      <c r="A784" s="67"/>
      <c r="B784" s="67"/>
    </row>
    <row r="785" spans="1:2" x14ac:dyDescent="0.25">
      <c r="A785" s="67"/>
      <c r="B785" s="67"/>
    </row>
    <row r="786" spans="1:2" x14ac:dyDescent="0.25">
      <c r="A786" s="67"/>
      <c r="B786" s="67"/>
    </row>
    <row r="787" spans="1:2" x14ac:dyDescent="0.25">
      <c r="A787" s="67"/>
      <c r="B787" s="67"/>
    </row>
    <row r="788" spans="1:2" x14ac:dyDescent="0.25">
      <c r="A788" s="67"/>
      <c r="B788" s="67"/>
    </row>
    <row r="789" spans="1:2" x14ac:dyDescent="0.25">
      <c r="A789" s="67"/>
      <c r="B789" s="67"/>
    </row>
    <row r="790" spans="1:2" x14ac:dyDescent="0.25">
      <c r="A790" s="67"/>
      <c r="B790" s="67"/>
    </row>
    <row r="791" spans="1:2" x14ac:dyDescent="0.25">
      <c r="A791" s="67"/>
      <c r="B791" s="67"/>
    </row>
    <row r="792" spans="1:2" x14ac:dyDescent="0.25">
      <c r="A792" s="67"/>
      <c r="B792" s="67"/>
    </row>
    <row r="793" spans="1:2" x14ac:dyDescent="0.25">
      <c r="A793" s="67"/>
      <c r="B793" s="67"/>
    </row>
    <row r="794" spans="1:2" x14ac:dyDescent="0.25">
      <c r="A794" s="67"/>
      <c r="B794" s="67"/>
    </row>
    <row r="795" spans="1:2" x14ac:dyDescent="0.25">
      <c r="A795" s="67"/>
      <c r="B795" s="67"/>
    </row>
    <row r="796" spans="1:2" x14ac:dyDescent="0.25">
      <c r="A796" s="67"/>
      <c r="B796" s="67"/>
    </row>
    <row r="797" spans="1:2" x14ac:dyDescent="0.25">
      <c r="A797" s="67"/>
      <c r="B797" s="67"/>
    </row>
    <row r="798" spans="1:2" x14ac:dyDescent="0.25">
      <c r="A798" s="67"/>
      <c r="B798" s="67"/>
    </row>
    <row r="799" spans="1:2" x14ac:dyDescent="0.25">
      <c r="A799" s="67"/>
      <c r="B799" s="67"/>
    </row>
    <row r="800" spans="1:2" x14ac:dyDescent="0.25">
      <c r="A800" s="67"/>
      <c r="B800" s="67"/>
    </row>
    <row r="801" spans="1:2" x14ac:dyDescent="0.25">
      <c r="A801" s="67"/>
      <c r="B801" s="67"/>
    </row>
    <row r="802" spans="1:2" x14ac:dyDescent="0.25">
      <c r="A802" s="67"/>
      <c r="B802" s="67"/>
    </row>
    <row r="803" spans="1:2" x14ac:dyDescent="0.25">
      <c r="A803" s="67"/>
      <c r="B803" s="67"/>
    </row>
    <row r="804" spans="1:2" x14ac:dyDescent="0.25">
      <c r="A804" s="67"/>
      <c r="B804" s="67"/>
    </row>
    <row r="805" spans="1:2" x14ac:dyDescent="0.25">
      <c r="A805" s="67"/>
      <c r="B805" s="67"/>
    </row>
    <row r="806" spans="1:2" x14ac:dyDescent="0.25">
      <c r="A806" s="67"/>
      <c r="B806" s="67"/>
    </row>
    <row r="807" spans="1:2" x14ac:dyDescent="0.25">
      <c r="A807" s="67"/>
      <c r="B807" s="67"/>
    </row>
    <row r="808" spans="1:2" x14ac:dyDescent="0.25">
      <c r="A808" s="67"/>
      <c r="B808" s="67"/>
    </row>
    <row r="809" spans="1:2" x14ac:dyDescent="0.25">
      <c r="A809" s="67"/>
      <c r="B809" s="67"/>
    </row>
    <row r="810" spans="1:2" x14ac:dyDescent="0.25">
      <c r="A810" s="67"/>
      <c r="B810" s="67"/>
    </row>
    <row r="811" spans="1:2" x14ac:dyDescent="0.25">
      <c r="A811" s="67"/>
      <c r="B811" s="67"/>
    </row>
    <row r="812" spans="1:2" x14ac:dyDescent="0.25">
      <c r="A812" s="67"/>
      <c r="B812" s="67"/>
    </row>
    <row r="813" spans="1:2" x14ac:dyDescent="0.25">
      <c r="A813" s="67"/>
      <c r="B813" s="67"/>
    </row>
    <row r="814" spans="1:2" x14ac:dyDescent="0.25">
      <c r="A814" s="67"/>
      <c r="B814" s="67"/>
    </row>
    <row r="815" spans="1:2" x14ac:dyDescent="0.25">
      <c r="A815" s="67"/>
      <c r="B815" s="67"/>
    </row>
    <row r="816" spans="1:2" x14ac:dyDescent="0.25">
      <c r="A816" s="67"/>
      <c r="B816" s="67"/>
    </row>
    <row r="817" spans="1:2" x14ac:dyDescent="0.25">
      <c r="A817" s="67"/>
      <c r="B817" s="67"/>
    </row>
    <row r="818" spans="1:2" x14ac:dyDescent="0.25">
      <c r="A818" s="67"/>
      <c r="B818" s="67"/>
    </row>
    <row r="819" spans="1:2" x14ac:dyDescent="0.25">
      <c r="A819" s="67"/>
      <c r="B819" s="67"/>
    </row>
    <row r="820" spans="1:2" x14ac:dyDescent="0.25">
      <c r="A820" s="67"/>
      <c r="B820" s="67"/>
    </row>
    <row r="821" spans="1:2" x14ac:dyDescent="0.25">
      <c r="A821" s="67"/>
      <c r="B821" s="67"/>
    </row>
    <row r="822" spans="1:2" x14ac:dyDescent="0.25">
      <c r="A822" s="67"/>
      <c r="B822" s="67"/>
    </row>
    <row r="823" spans="1:2" x14ac:dyDescent="0.25">
      <c r="A823" s="67"/>
      <c r="B823" s="67"/>
    </row>
    <row r="824" spans="1:2" x14ac:dyDescent="0.25">
      <c r="A824" s="67"/>
      <c r="B824" s="67"/>
    </row>
    <row r="825" spans="1:2" x14ac:dyDescent="0.25">
      <c r="A825" s="67"/>
      <c r="B825" s="67"/>
    </row>
    <row r="826" spans="1:2" x14ac:dyDescent="0.25">
      <c r="A826" s="67"/>
      <c r="B826" s="67"/>
    </row>
    <row r="827" spans="1:2" x14ac:dyDescent="0.25">
      <c r="A827" s="67"/>
      <c r="B827" s="67"/>
    </row>
    <row r="828" spans="1:2" x14ac:dyDescent="0.25">
      <c r="A828" s="67"/>
      <c r="B828" s="67"/>
    </row>
    <row r="829" spans="1:2" x14ac:dyDescent="0.25">
      <c r="A829" s="67"/>
      <c r="B829" s="67"/>
    </row>
    <row r="830" spans="1:2" x14ac:dyDescent="0.25">
      <c r="A830" s="67"/>
      <c r="B830" s="67"/>
    </row>
    <row r="831" spans="1:2" x14ac:dyDescent="0.25">
      <c r="A831" s="67"/>
      <c r="B831" s="67"/>
    </row>
    <row r="832" spans="1:2" x14ac:dyDescent="0.25">
      <c r="A832" s="67"/>
      <c r="B832" s="67"/>
    </row>
    <row r="833" spans="1:2" x14ac:dyDescent="0.25">
      <c r="A833" s="67"/>
      <c r="B833" s="67"/>
    </row>
    <row r="834" spans="1:2" x14ac:dyDescent="0.25">
      <c r="A834" s="67"/>
      <c r="B834" s="67"/>
    </row>
    <row r="835" spans="1:2" x14ac:dyDescent="0.25">
      <c r="A835" s="67"/>
      <c r="B835" s="67"/>
    </row>
    <row r="836" spans="1:2" x14ac:dyDescent="0.25">
      <c r="A836" s="67"/>
      <c r="B836" s="67"/>
    </row>
    <row r="837" spans="1:2" x14ac:dyDescent="0.25">
      <c r="A837" s="67"/>
      <c r="B837" s="67"/>
    </row>
    <row r="838" spans="1:2" x14ac:dyDescent="0.25">
      <c r="A838" s="67"/>
      <c r="B838" s="67"/>
    </row>
    <row r="839" spans="1:2" x14ac:dyDescent="0.25">
      <c r="A839" s="67"/>
      <c r="B839" s="67"/>
    </row>
    <row r="840" spans="1:2" x14ac:dyDescent="0.25">
      <c r="A840" s="67"/>
      <c r="B840" s="67"/>
    </row>
    <row r="841" spans="1:2" x14ac:dyDescent="0.25">
      <c r="A841" s="67"/>
      <c r="B841" s="67"/>
    </row>
    <row r="842" spans="1:2" x14ac:dyDescent="0.25">
      <c r="A842" s="67"/>
      <c r="B842" s="67"/>
    </row>
    <row r="843" spans="1:2" x14ac:dyDescent="0.25">
      <c r="A843" s="67"/>
      <c r="B843" s="67"/>
    </row>
    <row r="844" spans="1:2" x14ac:dyDescent="0.25">
      <c r="A844" s="67"/>
      <c r="B844" s="67"/>
    </row>
    <row r="845" spans="1:2" x14ac:dyDescent="0.25">
      <c r="A845" s="67"/>
      <c r="B845" s="67"/>
    </row>
    <row r="846" spans="1:2" x14ac:dyDescent="0.25">
      <c r="A846" s="67"/>
      <c r="B846" s="67"/>
    </row>
    <row r="847" spans="1:2" x14ac:dyDescent="0.25">
      <c r="A847" s="67"/>
      <c r="B847" s="67"/>
    </row>
    <row r="848" spans="1:2" x14ac:dyDescent="0.25">
      <c r="A848" s="67"/>
      <c r="B848" s="67"/>
    </row>
    <row r="849" spans="1:2" x14ac:dyDescent="0.25">
      <c r="A849" s="67"/>
      <c r="B849" s="67"/>
    </row>
    <row r="850" spans="1:2" x14ac:dyDescent="0.25">
      <c r="A850" s="67"/>
      <c r="B850" s="67"/>
    </row>
    <row r="851" spans="1:2" x14ac:dyDescent="0.25">
      <c r="A851" s="67"/>
      <c r="B851" s="67"/>
    </row>
    <row r="852" spans="1:2" x14ac:dyDescent="0.25">
      <c r="A852" s="67"/>
      <c r="B852" s="67"/>
    </row>
    <row r="853" spans="1:2" x14ac:dyDescent="0.25">
      <c r="A853" s="67"/>
      <c r="B853" s="67"/>
    </row>
    <row r="854" spans="1:2" x14ac:dyDescent="0.25">
      <c r="A854" s="67"/>
      <c r="B854" s="67"/>
    </row>
    <row r="855" spans="1:2" x14ac:dyDescent="0.25">
      <c r="A855" s="67"/>
      <c r="B855" s="67"/>
    </row>
    <row r="856" spans="1:2" x14ac:dyDescent="0.25">
      <c r="A856" s="67"/>
      <c r="B856" s="67"/>
    </row>
    <row r="857" spans="1:2" x14ac:dyDescent="0.25">
      <c r="A857" s="67"/>
      <c r="B857" s="67"/>
    </row>
    <row r="858" spans="1:2" x14ac:dyDescent="0.25">
      <c r="A858" s="67"/>
      <c r="B858" s="67"/>
    </row>
    <row r="859" spans="1:2" x14ac:dyDescent="0.25">
      <c r="A859" s="67"/>
      <c r="B859" s="67"/>
    </row>
    <row r="860" spans="1:2" x14ac:dyDescent="0.25">
      <c r="A860" s="67"/>
      <c r="B860" s="67"/>
    </row>
    <row r="861" spans="1:2" x14ac:dyDescent="0.25">
      <c r="A861" s="67"/>
      <c r="B861" s="67"/>
    </row>
    <row r="862" spans="1:2" x14ac:dyDescent="0.25">
      <c r="A862" s="67"/>
      <c r="B862" s="67"/>
    </row>
    <row r="863" spans="1:2" x14ac:dyDescent="0.25">
      <c r="A863" s="67"/>
      <c r="B863" s="67"/>
    </row>
    <row r="864" spans="1:2" x14ac:dyDescent="0.25">
      <c r="A864" s="67"/>
      <c r="B864" s="67"/>
    </row>
    <row r="865" spans="1:2" x14ac:dyDescent="0.25">
      <c r="A865" s="67"/>
      <c r="B865" s="67"/>
    </row>
    <row r="866" spans="1:2" x14ac:dyDescent="0.25">
      <c r="A866" s="67"/>
      <c r="B866" s="67"/>
    </row>
    <row r="867" spans="1:2" x14ac:dyDescent="0.25">
      <c r="A867" s="67"/>
      <c r="B867" s="67"/>
    </row>
    <row r="868" spans="1:2" x14ac:dyDescent="0.25">
      <c r="A868" s="67"/>
      <c r="B868" s="67"/>
    </row>
    <row r="869" spans="1:2" x14ac:dyDescent="0.25">
      <c r="A869" s="67"/>
      <c r="B869" s="67"/>
    </row>
    <row r="870" spans="1:2" x14ac:dyDescent="0.25">
      <c r="A870" s="67"/>
      <c r="B870" s="67"/>
    </row>
    <row r="871" spans="1:2" x14ac:dyDescent="0.25">
      <c r="A871" s="67"/>
      <c r="B871" s="67"/>
    </row>
    <row r="872" spans="1:2" x14ac:dyDescent="0.25">
      <c r="A872" s="67"/>
      <c r="B872" s="67"/>
    </row>
    <row r="873" spans="1:2" x14ac:dyDescent="0.25">
      <c r="A873" s="67"/>
      <c r="B873" s="67"/>
    </row>
    <row r="874" spans="1:2" x14ac:dyDescent="0.25">
      <c r="A874" s="67"/>
      <c r="B874" s="67"/>
    </row>
    <row r="875" spans="1:2" x14ac:dyDescent="0.25">
      <c r="A875" s="67"/>
      <c r="B875" s="67"/>
    </row>
    <row r="876" spans="1:2" x14ac:dyDescent="0.25">
      <c r="A876" s="67"/>
      <c r="B876" s="67"/>
    </row>
    <row r="877" spans="1:2" x14ac:dyDescent="0.25">
      <c r="A877" s="67"/>
      <c r="B877" s="67"/>
    </row>
    <row r="878" spans="1:2" x14ac:dyDescent="0.25">
      <c r="A878" s="67"/>
      <c r="B878" s="67"/>
    </row>
    <row r="879" spans="1:2" x14ac:dyDescent="0.25">
      <c r="A879" s="67"/>
      <c r="B879" s="67"/>
    </row>
    <row r="880" spans="1:2" x14ac:dyDescent="0.25">
      <c r="A880" s="67"/>
      <c r="B880" s="67"/>
    </row>
    <row r="881" spans="1:2" x14ac:dyDescent="0.25">
      <c r="A881" s="67"/>
      <c r="B881" s="67"/>
    </row>
    <row r="882" spans="1:2" x14ac:dyDescent="0.25">
      <c r="A882" s="67"/>
      <c r="B882" s="67"/>
    </row>
    <row r="883" spans="1:2" x14ac:dyDescent="0.25">
      <c r="A883" s="67"/>
      <c r="B883" s="67"/>
    </row>
    <row r="884" spans="1:2" x14ac:dyDescent="0.25">
      <c r="A884" s="67"/>
      <c r="B884" s="67"/>
    </row>
    <row r="885" spans="1:2" x14ac:dyDescent="0.25">
      <c r="A885" s="67"/>
      <c r="B885" s="67"/>
    </row>
    <row r="886" spans="1:2" x14ac:dyDescent="0.25">
      <c r="A886" s="67"/>
      <c r="B886" s="67"/>
    </row>
    <row r="887" spans="1:2" x14ac:dyDescent="0.25">
      <c r="A887" s="67"/>
      <c r="B887" s="67"/>
    </row>
    <row r="888" spans="1:2" x14ac:dyDescent="0.25">
      <c r="A888" s="67"/>
      <c r="B888" s="67"/>
    </row>
    <row r="889" spans="1:2" x14ac:dyDescent="0.25">
      <c r="A889" s="67"/>
      <c r="B889" s="67"/>
    </row>
    <row r="890" spans="1:2" x14ac:dyDescent="0.25">
      <c r="A890" s="67"/>
      <c r="B890" s="67"/>
    </row>
    <row r="891" spans="1:2" x14ac:dyDescent="0.25">
      <c r="A891" s="67"/>
      <c r="B891" s="67"/>
    </row>
    <row r="892" spans="1:2" x14ac:dyDescent="0.25">
      <c r="A892" s="67"/>
      <c r="B892" s="67"/>
    </row>
    <row r="893" spans="1:2" x14ac:dyDescent="0.25">
      <c r="A893" s="67"/>
      <c r="B893" s="67"/>
    </row>
    <row r="894" spans="1:2" x14ac:dyDescent="0.25">
      <c r="A894" s="67"/>
      <c r="B894" s="67"/>
    </row>
    <row r="895" spans="1:2" x14ac:dyDescent="0.25">
      <c r="A895" s="67"/>
      <c r="B895" s="67"/>
    </row>
    <row r="896" spans="1:2" x14ac:dyDescent="0.25">
      <c r="A896" s="67"/>
      <c r="B896" s="67"/>
    </row>
    <row r="897" spans="1:2" x14ac:dyDescent="0.25">
      <c r="A897" s="67"/>
      <c r="B897" s="67"/>
    </row>
    <row r="898" spans="1:2" x14ac:dyDescent="0.25">
      <c r="A898" s="67"/>
      <c r="B898" s="67"/>
    </row>
    <row r="899" spans="1:2" x14ac:dyDescent="0.25">
      <c r="A899" s="67"/>
      <c r="B899" s="67"/>
    </row>
    <row r="900" spans="1:2" x14ac:dyDescent="0.25">
      <c r="A900" s="67"/>
      <c r="B900" s="67"/>
    </row>
    <row r="901" spans="1:2" x14ac:dyDescent="0.25">
      <c r="A901" s="67"/>
      <c r="B901" s="67"/>
    </row>
    <row r="902" spans="1:2" x14ac:dyDescent="0.25">
      <c r="A902" s="67"/>
      <c r="B902" s="67"/>
    </row>
    <row r="903" spans="1:2" x14ac:dyDescent="0.25">
      <c r="A903" s="67"/>
      <c r="B903" s="67"/>
    </row>
    <row r="904" spans="1:2" x14ac:dyDescent="0.25">
      <c r="A904" s="67"/>
      <c r="B904" s="67"/>
    </row>
    <row r="905" spans="1:2" x14ac:dyDescent="0.25">
      <c r="A905" s="67"/>
      <c r="B905" s="67"/>
    </row>
    <row r="906" spans="1:2" x14ac:dyDescent="0.25">
      <c r="A906" s="67"/>
      <c r="B906" s="67"/>
    </row>
    <row r="907" spans="1:2" x14ac:dyDescent="0.25">
      <c r="A907" s="67"/>
      <c r="B907" s="67"/>
    </row>
    <row r="908" spans="1:2" x14ac:dyDescent="0.25">
      <c r="A908" s="67"/>
      <c r="B908" s="67"/>
    </row>
    <row r="909" spans="1:2" x14ac:dyDescent="0.25">
      <c r="A909" s="67"/>
      <c r="B909" s="67"/>
    </row>
    <row r="910" spans="1:2" x14ac:dyDescent="0.25">
      <c r="A910" s="67"/>
      <c r="B910" s="67"/>
    </row>
    <row r="911" spans="1:2" x14ac:dyDescent="0.25">
      <c r="A911" s="67"/>
      <c r="B911" s="67"/>
    </row>
    <row r="912" spans="1:2" x14ac:dyDescent="0.25">
      <c r="A912" s="67"/>
      <c r="B912" s="67"/>
    </row>
    <row r="913" spans="1:2" x14ac:dyDescent="0.25">
      <c r="A913" s="67"/>
      <c r="B913" s="67"/>
    </row>
    <row r="914" spans="1:2" x14ac:dyDescent="0.25">
      <c r="A914" s="67"/>
      <c r="B914" s="67"/>
    </row>
    <row r="915" spans="1:2" x14ac:dyDescent="0.25">
      <c r="A915" s="67"/>
      <c r="B915" s="67"/>
    </row>
    <row r="916" spans="1:2" x14ac:dyDescent="0.25">
      <c r="A916" s="67"/>
      <c r="B916" s="67"/>
    </row>
    <row r="917" spans="1:2" x14ac:dyDescent="0.25">
      <c r="A917" s="67"/>
      <c r="B917" s="67"/>
    </row>
    <row r="918" spans="1:2" x14ac:dyDescent="0.25">
      <c r="A918" s="67"/>
      <c r="B918" s="67"/>
    </row>
    <row r="919" spans="1:2" x14ac:dyDescent="0.25">
      <c r="A919" s="67"/>
      <c r="B919" s="67"/>
    </row>
    <row r="920" spans="1:2" x14ac:dyDescent="0.25">
      <c r="A920" s="67"/>
      <c r="B920" s="67"/>
    </row>
    <row r="921" spans="1:2" x14ac:dyDescent="0.25">
      <c r="A921" s="67"/>
      <c r="B921" s="67"/>
    </row>
    <row r="922" spans="1:2" x14ac:dyDescent="0.25">
      <c r="A922" s="67"/>
      <c r="B922" s="67"/>
    </row>
    <row r="923" spans="1:2" x14ac:dyDescent="0.25">
      <c r="A923" s="67"/>
      <c r="B923" s="67"/>
    </row>
    <row r="924" spans="1:2" x14ac:dyDescent="0.25">
      <c r="A924" s="67"/>
      <c r="B924" s="67"/>
    </row>
    <row r="925" spans="1:2" x14ac:dyDescent="0.25">
      <c r="A925" s="67"/>
      <c r="B925" s="67"/>
    </row>
    <row r="926" spans="1:2" x14ac:dyDescent="0.25">
      <c r="A926" s="67"/>
      <c r="B926" s="67"/>
    </row>
    <row r="927" spans="1:2" x14ac:dyDescent="0.25">
      <c r="A927" s="67"/>
      <c r="B927" s="67"/>
    </row>
    <row r="928" spans="1:2" x14ac:dyDescent="0.25">
      <c r="A928" s="67"/>
      <c r="B928" s="67"/>
    </row>
    <row r="929" spans="1:2" x14ac:dyDescent="0.25">
      <c r="A929" s="67"/>
      <c r="B929" s="67"/>
    </row>
    <row r="930" spans="1:2" x14ac:dyDescent="0.25">
      <c r="A930" s="67"/>
      <c r="B930" s="67"/>
    </row>
    <row r="931" spans="1:2" x14ac:dyDescent="0.25">
      <c r="A931" s="67"/>
      <c r="B931" s="67"/>
    </row>
    <row r="932" spans="1:2" x14ac:dyDescent="0.25">
      <c r="A932" s="67"/>
      <c r="B932" s="67"/>
    </row>
    <row r="933" spans="1:2" x14ac:dyDescent="0.25">
      <c r="A933" s="67"/>
      <c r="B933" s="67"/>
    </row>
    <row r="934" spans="1:2" x14ac:dyDescent="0.25">
      <c r="A934" s="67"/>
      <c r="B934" s="67"/>
    </row>
    <row r="935" spans="1:2" x14ac:dyDescent="0.25">
      <c r="A935" s="67"/>
      <c r="B935" s="67"/>
    </row>
    <row r="936" spans="1:2" x14ac:dyDescent="0.25">
      <c r="A936" s="67"/>
      <c r="B936" s="67"/>
    </row>
    <row r="937" spans="1:2" x14ac:dyDescent="0.25">
      <c r="A937" s="67"/>
      <c r="B937" s="67"/>
    </row>
    <row r="938" spans="1:2" x14ac:dyDescent="0.25">
      <c r="A938" s="67"/>
      <c r="B938" s="67"/>
    </row>
    <row r="939" spans="1:2" x14ac:dyDescent="0.25">
      <c r="A939" s="67"/>
      <c r="B939" s="67"/>
    </row>
    <row r="940" spans="1:2" x14ac:dyDescent="0.25">
      <c r="A940" s="67"/>
      <c r="B940" s="67"/>
    </row>
    <row r="941" spans="1:2" x14ac:dyDescent="0.25">
      <c r="A941" s="67"/>
      <c r="B941" s="67"/>
    </row>
    <row r="942" spans="1:2" x14ac:dyDescent="0.25">
      <c r="A942" s="67"/>
      <c r="B942" s="67"/>
    </row>
    <row r="943" spans="1:2" x14ac:dyDescent="0.25">
      <c r="A943" s="67"/>
      <c r="B943" s="67"/>
    </row>
    <row r="944" spans="1:2" x14ac:dyDescent="0.25">
      <c r="A944" s="67"/>
      <c r="B944" s="67"/>
    </row>
    <row r="945" spans="1:2" x14ac:dyDescent="0.25">
      <c r="A945" s="67"/>
      <c r="B945" s="67"/>
    </row>
    <row r="946" spans="1:2" x14ac:dyDescent="0.25">
      <c r="A946" s="67"/>
      <c r="B946" s="67"/>
    </row>
    <row r="947" spans="1:2" x14ac:dyDescent="0.25">
      <c r="A947" s="67"/>
      <c r="B947" s="67"/>
    </row>
    <row r="948" spans="1:2" x14ac:dyDescent="0.25">
      <c r="A948" s="67"/>
      <c r="B948" s="67"/>
    </row>
    <row r="949" spans="1:2" x14ac:dyDescent="0.25">
      <c r="A949" s="67"/>
      <c r="B949" s="67"/>
    </row>
    <row r="950" spans="1:2" x14ac:dyDescent="0.25">
      <c r="A950" s="67"/>
      <c r="B950" s="67"/>
    </row>
    <row r="951" spans="1:2" x14ac:dyDescent="0.25">
      <c r="A951" s="67"/>
      <c r="B951" s="67"/>
    </row>
    <row r="952" spans="1:2" x14ac:dyDescent="0.25">
      <c r="A952" s="67"/>
      <c r="B952" s="67"/>
    </row>
    <row r="953" spans="1:2" x14ac:dyDescent="0.25">
      <c r="A953" s="67"/>
      <c r="B953" s="67"/>
    </row>
    <row r="954" spans="1:2" x14ac:dyDescent="0.25">
      <c r="A954" s="67"/>
      <c r="B954" s="67"/>
    </row>
    <row r="955" spans="1:2" x14ac:dyDescent="0.25">
      <c r="A955" s="67"/>
      <c r="B955" s="67"/>
    </row>
    <row r="956" spans="1:2" x14ac:dyDescent="0.25">
      <c r="A956" s="67"/>
      <c r="B956" s="67"/>
    </row>
    <row r="957" spans="1:2" x14ac:dyDescent="0.25">
      <c r="A957" s="67"/>
      <c r="B957" s="67"/>
    </row>
    <row r="958" spans="1:2" x14ac:dyDescent="0.25">
      <c r="A958" s="67"/>
      <c r="B958" s="67"/>
    </row>
    <row r="959" spans="1:2" x14ac:dyDescent="0.25">
      <c r="A959" s="67"/>
      <c r="B959" s="67"/>
    </row>
    <row r="960" spans="1:2" x14ac:dyDescent="0.25">
      <c r="A960" s="67"/>
      <c r="B960" s="67"/>
    </row>
    <row r="961" spans="1:2" x14ac:dyDescent="0.25">
      <c r="A961" s="67"/>
      <c r="B961" s="67"/>
    </row>
    <row r="962" spans="1:2" x14ac:dyDescent="0.25">
      <c r="A962" s="67"/>
      <c r="B962" s="67"/>
    </row>
    <row r="963" spans="1:2" x14ac:dyDescent="0.25">
      <c r="A963" s="67"/>
      <c r="B963" s="67"/>
    </row>
    <row r="964" spans="1:2" x14ac:dyDescent="0.25">
      <c r="A964" s="67"/>
      <c r="B964" s="67"/>
    </row>
    <row r="965" spans="1:2" x14ac:dyDescent="0.25">
      <c r="A965" s="67"/>
      <c r="B965" s="67"/>
    </row>
    <row r="966" spans="1:2" x14ac:dyDescent="0.25">
      <c r="A966" s="67"/>
      <c r="B966" s="67"/>
    </row>
    <row r="967" spans="1:2" x14ac:dyDescent="0.25">
      <c r="A967" s="67"/>
      <c r="B967" s="67"/>
    </row>
    <row r="968" spans="1:2" x14ac:dyDescent="0.25">
      <c r="A968" s="67"/>
      <c r="B968" s="67"/>
    </row>
    <row r="969" spans="1:2" x14ac:dyDescent="0.25">
      <c r="A969" s="67"/>
      <c r="B969" s="67"/>
    </row>
    <row r="970" spans="1:2" x14ac:dyDescent="0.25">
      <c r="A970" s="67"/>
      <c r="B970" s="67"/>
    </row>
    <row r="971" spans="1:2" x14ac:dyDescent="0.25">
      <c r="A971" s="67"/>
      <c r="B971" s="67"/>
    </row>
    <row r="972" spans="1:2" x14ac:dyDescent="0.25">
      <c r="A972" s="67"/>
      <c r="B972" s="67"/>
    </row>
    <row r="973" spans="1:2" x14ac:dyDescent="0.25">
      <c r="A973" s="67"/>
      <c r="B973" s="67"/>
    </row>
    <row r="974" spans="1:2" x14ac:dyDescent="0.25">
      <c r="A974" s="67"/>
      <c r="B974" s="67"/>
    </row>
    <row r="975" spans="1:2" x14ac:dyDescent="0.25">
      <c r="A975" s="67"/>
      <c r="B975" s="67"/>
    </row>
    <row r="976" spans="1:2" x14ac:dyDescent="0.25">
      <c r="A976" s="67"/>
      <c r="B976" s="67"/>
    </row>
    <row r="977" spans="1:2" x14ac:dyDescent="0.25">
      <c r="A977" s="67"/>
      <c r="B977" s="67"/>
    </row>
    <row r="978" spans="1:2" x14ac:dyDescent="0.25">
      <c r="A978" s="67"/>
      <c r="B978" s="67"/>
    </row>
    <row r="979" spans="1:2" x14ac:dyDescent="0.25">
      <c r="A979" s="67"/>
      <c r="B979" s="67"/>
    </row>
    <row r="980" spans="1:2" x14ac:dyDescent="0.25">
      <c r="A980" s="67"/>
      <c r="B980" s="67"/>
    </row>
    <row r="981" spans="1:2" x14ac:dyDescent="0.25">
      <c r="A981" s="67"/>
      <c r="B981" s="67"/>
    </row>
    <row r="982" spans="1:2" x14ac:dyDescent="0.25">
      <c r="A982" s="67"/>
      <c r="B982" s="67"/>
    </row>
    <row r="983" spans="1:2" x14ac:dyDescent="0.25">
      <c r="A983" s="67"/>
      <c r="B983" s="67"/>
    </row>
    <row r="984" spans="1:2" x14ac:dyDescent="0.25">
      <c r="A984" s="67"/>
      <c r="B984" s="67"/>
    </row>
    <row r="985" spans="1:2" x14ac:dyDescent="0.25">
      <c r="A985" s="67"/>
      <c r="B985" s="67"/>
    </row>
    <row r="986" spans="1:2" x14ac:dyDescent="0.25">
      <c r="A986" s="67"/>
      <c r="B986" s="67"/>
    </row>
    <row r="987" spans="1:2" x14ac:dyDescent="0.25">
      <c r="A987" s="67"/>
      <c r="B987" s="67"/>
    </row>
    <row r="988" spans="1:2" x14ac:dyDescent="0.25">
      <c r="A988" s="67"/>
      <c r="B988" s="67"/>
    </row>
    <row r="989" spans="1:2" x14ac:dyDescent="0.25">
      <c r="A989" s="67"/>
      <c r="B989" s="67"/>
    </row>
    <row r="990" spans="1:2" x14ac:dyDescent="0.25">
      <c r="A990" s="67"/>
      <c r="B990" s="67"/>
    </row>
    <row r="991" spans="1:2" x14ac:dyDescent="0.25">
      <c r="A991" s="67"/>
      <c r="B991" s="67"/>
    </row>
    <row r="992" spans="1:2" x14ac:dyDescent="0.25">
      <c r="A992" s="67"/>
      <c r="B992" s="67"/>
    </row>
    <row r="993" spans="1:2" x14ac:dyDescent="0.25">
      <c r="A993" s="67"/>
      <c r="B993" s="67"/>
    </row>
    <row r="994" spans="1:2" x14ac:dyDescent="0.25">
      <c r="A994" s="67"/>
      <c r="B994" s="67"/>
    </row>
    <row r="995" spans="1:2" x14ac:dyDescent="0.25">
      <c r="A995" s="67"/>
      <c r="B995" s="67"/>
    </row>
    <row r="996" spans="1:2" x14ac:dyDescent="0.25">
      <c r="A996" s="67"/>
      <c r="B996" s="67"/>
    </row>
    <row r="997" spans="1:2" x14ac:dyDescent="0.25">
      <c r="A997" s="67"/>
      <c r="B997" s="67"/>
    </row>
    <row r="998" spans="1:2" x14ac:dyDescent="0.25">
      <c r="A998" s="67"/>
      <c r="B998" s="67"/>
    </row>
    <row r="999" spans="1:2" x14ac:dyDescent="0.25">
      <c r="A999" s="67"/>
      <c r="B999" s="67"/>
    </row>
    <row r="1000" spans="1:2" x14ac:dyDescent="0.25">
      <c r="A1000" s="67"/>
      <c r="B1000" s="67"/>
    </row>
    <row r="1001" spans="1:2" x14ac:dyDescent="0.25">
      <c r="A1001" s="67"/>
      <c r="B1001" s="67"/>
    </row>
    <row r="1002" spans="1:2" x14ac:dyDescent="0.25">
      <c r="A1002" s="67"/>
      <c r="B1002" s="67"/>
    </row>
    <row r="1003" spans="1:2" x14ac:dyDescent="0.25">
      <c r="A1003" s="67"/>
      <c r="B1003" s="67"/>
    </row>
    <row r="1004" spans="1:2" x14ac:dyDescent="0.25">
      <c r="A1004" s="67"/>
      <c r="B1004" s="67"/>
    </row>
    <row r="1005" spans="1:2" x14ac:dyDescent="0.25">
      <c r="A1005" s="67"/>
      <c r="B1005" s="67"/>
    </row>
    <row r="1006" spans="1:2" x14ac:dyDescent="0.25">
      <c r="A1006" s="67"/>
      <c r="B1006" s="67"/>
    </row>
    <row r="1007" spans="1:2" x14ac:dyDescent="0.25">
      <c r="A1007" s="67"/>
      <c r="B1007" s="67"/>
    </row>
    <row r="1008" spans="1:2" x14ac:dyDescent="0.25">
      <c r="A1008" s="67"/>
      <c r="B1008" s="67"/>
    </row>
    <row r="1009" spans="1:2" x14ac:dyDescent="0.25">
      <c r="A1009" s="67"/>
      <c r="B1009" s="67"/>
    </row>
    <row r="1010" spans="1:2" x14ac:dyDescent="0.25">
      <c r="A1010" s="67"/>
      <c r="B1010" s="67"/>
    </row>
    <row r="1011" spans="1:2" x14ac:dyDescent="0.25">
      <c r="A1011" s="67"/>
      <c r="B1011" s="67"/>
    </row>
    <row r="1012" spans="1:2" x14ac:dyDescent="0.25">
      <c r="A1012" s="67"/>
      <c r="B1012" s="67"/>
    </row>
    <row r="1013" spans="1:2" x14ac:dyDescent="0.25">
      <c r="A1013" s="67"/>
      <c r="B1013" s="67"/>
    </row>
    <row r="1014" spans="1:2" x14ac:dyDescent="0.25">
      <c r="A1014" s="67"/>
      <c r="B1014" s="67"/>
    </row>
    <row r="1015" spans="1:2" x14ac:dyDescent="0.25">
      <c r="A1015" s="67"/>
      <c r="B1015" s="67"/>
    </row>
    <row r="1016" spans="1:2" x14ac:dyDescent="0.25">
      <c r="A1016" s="67"/>
      <c r="B1016" s="67"/>
    </row>
    <row r="1017" spans="1:2" x14ac:dyDescent="0.25">
      <c r="A1017" s="67"/>
      <c r="B1017" s="67"/>
    </row>
    <row r="1018" spans="1:2" x14ac:dyDescent="0.25">
      <c r="A1018" s="67"/>
      <c r="B1018" s="67"/>
    </row>
    <row r="1019" spans="1:2" x14ac:dyDescent="0.25">
      <c r="A1019" s="67"/>
      <c r="B1019" s="67"/>
    </row>
    <row r="1020" spans="1:2" x14ac:dyDescent="0.25">
      <c r="A1020" s="67"/>
      <c r="B1020" s="67"/>
    </row>
    <row r="1021" spans="1:2" x14ac:dyDescent="0.25">
      <c r="A1021" s="67"/>
      <c r="B1021" s="67"/>
    </row>
    <row r="1022" spans="1:2" x14ac:dyDescent="0.25">
      <c r="A1022" s="67"/>
      <c r="B1022" s="67"/>
    </row>
    <row r="1023" spans="1:2" x14ac:dyDescent="0.25">
      <c r="A1023" s="67"/>
      <c r="B1023" s="67"/>
    </row>
    <row r="1024" spans="1:2" x14ac:dyDescent="0.25">
      <c r="A1024" s="67"/>
      <c r="B1024" s="67"/>
    </row>
    <row r="1025" spans="1:2" x14ac:dyDescent="0.25">
      <c r="A1025" s="67"/>
      <c r="B1025" s="67"/>
    </row>
    <row r="1026" spans="1:2" x14ac:dyDescent="0.25">
      <c r="A1026" s="67"/>
      <c r="B1026" s="67"/>
    </row>
    <row r="1027" spans="1:2" x14ac:dyDescent="0.25">
      <c r="A1027" s="67"/>
      <c r="B1027" s="67"/>
    </row>
    <row r="1028" spans="1:2" x14ac:dyDescent="0.25">
      <c r="A1028" s="67"/>
      <c r="B1028" s="67"/>
    </row>
    <row r="1029" spans="1:2" x14ac:dyDescent="0.25">
      <c r="A1029" s="67"/>
      <c r="B1029" s="67"/>
    </row>
    <row r="1030" spans="1:2" x14ac:dyDescent="0.25">
      <c r="A1030" s="67"/>
      <c r="B1030" s="67"/>
    </row>
    <row r="1031" spans="1:2" x14ac:dyDescent="0.25">
      <c r="A1031" s="67"/>
      <c r="B1031" s="67"/>
    </row>
    <row r="1032" spans="1:2" x14ac:dyDescent="0.25">
      <c r="A1032" s="67"/>
      <c r="B1032" s="67"/>
    </row>
    <row r="1033" spans="1:2" x14ac:dyDescent="0.25">
      <c r="A1033" s="67"/>
      <c r="B1033" s="67"/>
    </row>
    <row r="1034" spans="1:2" x14ac:dyDescent="0.25">
      <c r="A1034" s="67"/>
      <c r="B1034" s="67"/>
    </row>
    <row r="1035" spans="1:2" x14ac:dyDescent="0.25">
      <c r="A1035" s="67"/>
      <c r="B1035" s="67"/>
    </row>
    <row r="1036" spans="1:2" x14ac:dyDescent="0.25">
      <c r="A1036" s="67"/>
      <c r="B1036" s="67"/>
    </row>
    <row r="1037" spans="1:2" x14ac:dyDescent="0.25">
      <c r="A1037" s="67"/>
      <c r="B1037" s="67"/>
    </row>
    <row r="1038" spans="1:2" x14ac:dyDescent="0.25">
      <c r="A1038" s="67"/>
      <c r="B1038" s="67"/>
    </row>
    <row r="1039" spans="1:2" x14ac:dyDescent="0.25">
      <c r="A1039" s="67"/>
      <c r="B1039" s="67"/>
    </row>
    <row r="1040" spans="1:2" x14ac:dyDescent="0.25">
      <c r="A1040" s="67"/>
      <c r="B1040" s="67"/>
    </row>
    <row r="1041" spans="1:2" x14ac:dyDescent="0.25">
      <c r="A1041" s="67"/>
      <c r="B1041" s="67"/>
    </row>
    <row r="1042" spans="1:2" x14ac:dyDescent="0.25">
      <c r="A1042" s="67"/>
      <c r="B1042" s="67"/>
    </row>
    <row r="1043" spans="1:2" x14ac:dyDescent="0.25">
      <c r="A1043" s="67"/>
      <c r="B1043" s="67"/>
    </row>
    <row r="1044" spans="1:2" x14ac:dyDescent="0.25">
      <c r="A1044" s="67"/>
      <c r="B1044" s="67"/>
    </row>
    <row r="1045" spans="1:2" x14ac:dyDescent="0.25">
      <c r="A1045" s="67"/>
      <c r="B1045" s="67"/>
    </row>
    <row r="1046" spans="1:2" x14ac:dyDescent="0.25">
      <c r="A1046" s="67"/>
      <c r="B1046" s="67"/>
    </row>
    <row r="1047" spans="1:2" x14ac:dyDescent="0.25">
      <c r="A1047" s="67"/>
      <c r="B1047" s="67"/>
    </row>
    <row r="1048" spans="1:2" x14ac:dyDescent="0.25">
      <c r="A1048" s="67"/>
      <c r="B1048" s="67"/>
    </row>
    <row r="1049" spans="1:2" x14ac:dyDescent="0.25">
      <c r="A1049" s="67"/>
      <c r="B1049" s="67"/>
    </row>
    <row r="1050" spans="1:2" x14ac:dyDescent="0.25">
      <c r="A1050" s="67"/>
      <c r="B1050" s="67"/>
    </row>
    <row r="1051" spans="1:2" x14ac:dyDescent="0.25">
      <c r="A1051" s="67"/>
      <c r="B1051" s="67"/>
    </row>
    <row r="1052" spans="1:2" x14ac:dyDescent="0.25">
      <c r="A1052" s="67"/>
      <c r="B1052" s="67"/>
    </row>
    <row r="1053" spans="1:2" x14ac:dyDescent="0.25">
      <c r="A1053" s="67"/>
      <c r="B1053" s="67"/>
    </row>
    <row r="1054" spans="1:2" x14ac:dyDescent="0.25">
      <c r="A1054" s="67"/>
      <c r="B1054" s="67"/>
    </row>
    <row r="1055" spans="1:2" x14ac:dyDescent="0.25">
      <c r="A1055" s="67"/>
      <c r="B1055" s="67"/>
    </row>
    <row r="1056" spans="1:2" x14ac:dyDescent="0.25">
      <c r="A1056" s="67"/>
      <c r="B1056" s="67"/>
    </row>
    <row r="1057" spans="1:2" x14ac:dyDescent="0.25">
      <c r="A1057" s="67"/>
      <c r="B1057" s="67"/>
    </row>
    <row r="1058" spans="1:2" x14ac:dyDescent="0.25">
      <c r="A1058" s="67"/>
      <c r="B1058" s="67"/>
    </row>
    <row r="1059" spans="1:2" x14ac:dyDescent="0.25">
      <c r="A1059" s="67"/>
      <c r="B1059" s="67"/>
    </row>
    <row r="1060" spans="1:2" x14ac:dyDescent="0.25">
      <c r="A1060" s="67"/>
      <c r="B1060" s="67"/>
    </row>
    <row r="1061" spans="1:2" x14ac:dyDescent="0.25">
      <c r="A1061" s="67"/>
      <c r="B1061" s="67"/>
    </row>
    <row r="1062" spans="1:2" x14ac:dyDescent="0.25">
      <c r="A1062" s="67"/>
      <c r="B1062" s="67"/>
    </row>
    <row r="1063" spans="1:2" x14ac:dyDescent="0.25">
      <c r="A1063" s="67"/>
      <c r="B1063" s="67"/>
    </row>
    <row r="1064" spans="1:2" x14ac:dyDescent="0.25">
      <c r="A1064" s="67"/>
      <c r="B1064" s="67"/>
    </row>
    <row r="1065" spans="1:2" x14ac:dyDescent="0.25">
      <c r="A1065" s="67"/>
      <c r="B1065" s="67"/>
    </row>
    <row r="1066" spans="1:2" x14ac:dyDescent="0.25">
      <c r="A1066" s="67"/>
      <c r="B1066" s="67"/>
    </row>
    <row r="1067" spans="1:2" x14ac:dyDescent="0.25">
      <c r="A1067" s="67"/>
      <c r="B1067" s="67"/>
    </row>
    <row r="1068" spans="1:2" x14ac:dyDescent="0.25">
      <c r="A1068" s="67"/>
      <c r="B1068" s="67"/>
    </row>
    <row r="1069" spans="1:2" x14ac:dyDescent="0.25">
      <c r="A1069" s="67"/>
      <c r="B1069" s="67"/>
    </row>
    <row r="1070" spans="1:2" x14ac:dyDescent="0.25">
      <c r="A1070" s="67"/>
      <c r="B1070" s="67"/>
    </row>
    <row r="1071" spans="1:2" x14ac:dyDescent="0.25">
      <c r="A1071" s="67"/>
      <c r="B1071" s="67"/>
    </row>
    <row r="1072" spans="1:2" x14ac:dyDescent="0.25">
      <c r="A1072" s="67"/>
      <c r="B1072" s="67"/>
    </row>
    <row r="1073" spans="1:2" x14ac:dyDescent="0.25">
      <c r="A1073" s="67"/>
      <c r="B1073" s="67"/>
    </row>
    <row r="1074" spans="1:2" x14ac:dyDescent="0.25">
      <c r="A1074" s="67"/>
      <c r="B1074" s="67"/>
    </row>
    <row r="1075" spans="1:2" x14ac:dyDescent="0.25">
      <c r="A1075" s="67"/>
      <c r="B1075" s="67"/>
    </row>
    <row r="1076" spans="1:2" x14ac:dyDescent="0.25">
      <c r="A1076" s="67"/>
      <c r="B1076" s="67"/>
    </row>
    <row r="1077" spans="1:2" x14ac:dyDescent="0.25">
      <c r="A1077" s="67"/>
      <c r="B1077" s="67"/>
    </row>
    <row r="1078" spans="1:2" x14ac:dyDescent="0.25">
      <c r="A1078" s="67"/>
      <c r="B1078" s="67"/>
    </row>
    <row r="1079" spans="1:2" x14ac:dyDescent="0.25">
      <c r="A1079" s="67"/>
      <c r="B1079" s="67"/>
    </row>
    <row r="1080" spans="1:2" x14ac:dyDescent="0.25">
      <c r="A1080" s="67"/>
      <c r="B1080" s="67"/>
    </row>
    <row r="1081" spans="1:2" x14ac:dyDescent="0.25">
      <c r="A1081" s="67"/>
      <c r="B1081" s="67"/>
    </row>
    <row r="1082" spans="1:2" x14ac:dyDescent="0.25">
      <c r="A1082" s="67"/>
      <c r="B1082" s="67"/>
    </row>
    <row r="1083" spans="1:2" x14ac:dyDescent="0.25">
      <c r="A1083" s="67"/>
      <c r="B1083" s="67"/>
    </row>
    <row r="1084" spans="1:2" x14ac:dyDescent="0.25">
      <c r="A1084" s="67"/>
      <c r="B1084" s="67"/>
    </row>
    <row r="1085" spans="1:2" x14ac:dyDescent="0.25">
      <c r="A1085" s="67"/>
      <c r="B1085" s="67"/>
    </row>
    <row r="1086" spans="1:2" x14ac:dyDescent="0.25">
      <c r="A1086" s="67"/>
      <c r="B1086" s="67"/>
    </row>
    <row r="1087" spans="1:2" x14ac:dyDescent="0.25">
      <c r="A1087" s="67"/>
      <c r="B1087" s="67"/>
    </row>
    <row r="1088" spans="1:2" x14ac:dyDescent="0.25">
      <c r="A1088" s="67"/>
      <c r="B1088" s="67"/>
    </row>
    <row r="1089" spans="1:2" x14ac:dyDescent="0.25">
      <c r="A1089" s="67"/>
      <c r="B1089" s="67"/>
    </row>
    <row r="1090" spans="1:2" x14ac:dyDescent="0.25">
      <c r="A1090" s="67"/>
      <c r="B1090" s="67"/>
    </row>
    <row r="1091" spans="1:2" x14ac:dyDescent="0.25">
      <c r="A1091" s="67"/>
      <c r="B1091" s="67"/>
    </row>
    <row r="1092" spans="1:2" x14ac:dyDescent="0.25">
      <c r="A1092" s="67"/>
      <c r="B1092" s="67"/>
    </row>
    <row r="1093" spans="1:2" x14ac:dyDescent="0.25">
      <c r="A1093" s="67"/>
      <c r="B1093" s="67"/>
    </row>
    <row r="1094" spans="1:2" x14ac:dyDescent="0.25">
      <c r="A1094" s="67"/>
      <c r="B1094" s="67"/>
    </row>
    <row r="1095" spans="1:2" x14ac:dyDescent="0.25">
      <c r="A1095" s="67"/>
      <c r="B1095" s="67"/>
    </row>
    <row r="1096" spans="1:2" x14ac:dyDescent="0.25">
      <c r="A1096" s="67"/>
      <c r="B1096" s="67"/>
    </row>
    <row r="1097" spans="1:2" x14ac:dyDescent="0.25">
      <c r="A1097" s="67"/>
      <c r="B1097" s="67"/>
    </row>
    <row r="1098" spans="1:2" x14ac:dyDescent="0.25">
      <c r="A1098" s="67"/>
      <c r="B1098" s="67"/>
    </row>
    <row r="1099" spans="1:2" x14ac:dyDescent="0.25">
      <c r="A1099" s="67"/>
      <c r="B1099" s="67"/>
    </row>
    <row r="1100" spans="1:2" x14ac:dyDescent="0.25">
      <c r="A1100" s="67"/>
      <c r="B1100" s="67"/>
    </row>
    <row r="1101" spans="1:2" x14ac:dyDescent="0.25">
      <c r="A1101" s="67"/>
      <c r="B1101" s="67"/>
    </row>
    <row r="1102" spans="1:2" x14ac:dyDescent="0.25">
      <c r="A1102" s="67"/>
      <c r="B1102" s="67"/>
    </row>
    <row r="1103" spans="1:2" x14ac:dyDescent="0.25">
      <c r="A1103" s="67"/>
      <c r="B1103" s="67"/>
    </row>
    <row r="1104" spans="1:2" x14ac:dyDescent="0.25">
      <c r="A1104" s="67"/>
      <c r="B1104" s="67"/>
    </row>
    <row r="1105" spans="1:2" x14ac:dyDescent="0.25">
      <c r="A1105" s="67"/>
      <c r="B1105" s="67"/>
    </row>
    <row r="1106" spans="1:2" x14ac:dyDescent="0.25">
      <c r="A1106" s="67"/>
      <c r="B1106" s="67"/>
    </row>
    <row r="1107" spans="1:2" x14ac:dyDescent="0.25">
      <c r="A1107" s="67"/>
      <c r="B1107" s="67"/>
    </row>
    <row r="1108" spans="1:2" x14ac:dyDescent="0.25">
      <c r="A1108" s="67"/>
      <c r="B1108" s="67"/>
    </row>
    <row r="1109" spans="1:2" x14ac:dyDescent="0.25">
      <c r="A1109" s="67"/>
      <c r="B1109" s="67"/>
    </row>
    <row r="1110" spans="1:2" x14ac:dyDescent="0.25">
      <c r="A1110" s="67"/>
      <c r="B1110" s="67"/>
    </row>
    <row r="1111" spans="1:2" x14ac:dyDescent="0.25">
      <c r="A1111" s="67"/>
      <c r="B1111" s="67"/>
    </row>
    <row r="1112" spans="1:2" x14ac:dyDescent="0.25">
      <c r="A1112" s="67"/>
      <c r="B1112" s="67"/>
    </row>
    <row r="1113" spans="1:2" x14ac:dyDescent="0.25">
      <c r="A1113" s="67"/>
      <c r="B1113" s="67"/>
    </row>
    <row r="1114" spans="1:2" x14ac:dyDescent="0.25">
      <c r="A1114" s="67"/>
      <c r="B1114" s="67"/>
    </row>
    <row r="1115" spans="1:2" x14ac:dyDescent="0.25">
      <c r="A1115" s="67"/>
      <c r="B1115" s="67"/>
    </row>
    <row r="1116" spans="1:2" x14ac:dyDescent="0.25">
      <c r="A1116" s="67"/>
      <c r="B1116" s="67"/>
    </row>
    <row r="1117" spans="1:2" x14ac:dyDescent="0.25">
      <c r="A1117" s="67"/>
      <c r="B1117" s="67"/>
    </row>
    <row r="1118" spans="1:2" x14ac:dyDescent="0.25">
      <c r="A1118" s="67"/>
      <c r="B1118" s="67"/>
    </row>
    <row r="1119" spans="1:2" x14ac:dyDescent="0.25">
      <c r="A1119" s="67"/>
      <c r="B1119" s="67"/>
    </row>
    <row r="1120" spans="1:2" x14ac:dyDescent="0.25">
      <c r="A1120" s="67"/>
      <c r="B1120" s="67"/>
    </row>
    <row r="1121" spans="1:2" x14ac:dyDescent="0.25">
      <c r="A1121" s="67"/>
      <c r="B1121" s="67"/>
    </row>
    <row r="1122" spans="1:2" x14ac:dyDescent="0.25">
      <c r="A1122" s="67"/>
      <c r="B1122" s="67"/>
    </row>
    <row r="1123" spans="1:2" x14ac:dyDescent="0.25">
      <c r="A1123" s="67"/>
      <c r="B1123" s="67"/>
    </row>
    <row r="1124" spans="1:2" x14ac:dyDescent="0.25">
      <c r="A1124" s="67"/>
      <c r="B1124" s="67"/>
    </row>
    <row r="1125" spans="1:2" x14ac:dyDescent="0.25">
      <c r="A1125" s="67"/>
      <c r="B1125" s="67"/>
    </row>
    <row r="1126" spans="1:2" x14ac:dyDescent="0.25">
      <c r="A1126" s="67"/>
      <c r="B1126" s="67"/>
    </row>
    <row r="1127" spans="1:2" x14ac:dyDescent="0.25">
      <c r="A1127" s="67"/>
      <c r="B1127" s="67"/>
    </row>
    <row r="1128" spans="1:2" x14ac:dyDescent="0.25">
      <c r="A1128" s="67"/>
      <c r="B1128" s="67"/>
    </row>
    <row r="1129" spans="1:2" x14ac:dyDescent="0.25">
      <c r="A1129" s="67"/>
      <c r="B1129" s="67"/>
    </row>
    <row r="1130" spans="1:2" x14ac:dyDescent="0.25">
      <c r="A1130" s="67"/>
      <c r="B1130" s="67"/>
    </row>
    <row r="1131" spans="1:2" x14ac:dyDescent="0.25">
      <c r="A1131" s="67"/>
      <c r="B1131" s="67"/>
    </row>
    <row r="1132" spans="1:2" x14ac:dyDescent="0.25">
      <c r="A1132" s="67"/>
      <c r="B1132" s="67"/>
    </row>
    <row r="1133" spans="1:2" x14ac:dyDescent="0.25">
      <c r="A1133" s="67"/>
      <c r="B1133" s="67"/>
    </row>
    <row r="1134" spans="1:2" x14ac:dyDescent="0.25">
      <c r="A1134" s="67"/>
      <c r="B1134" s="67"/>
    </row>
    <row r="1135" spans="1:2" x14ac:dyDescent="0.25">
      <c r="A1135" s="67"/>
      <c r="B1135" s="67"/>
    </row>
    <row r="1136" spans="1:2" x14ac:dyDescent="0.25">
      <c r="A1136" s="67"/>
      <c r="B1136" s="67"/>
    </row>
    <row r="1137" spans="1:2" x14ac:dyDescent="0.25">
      <c r="A1137" s="67"/>
      <c r="B1137" s="67"/>
    </row>
    <row r="1138" spans="1:2" x14ac:dyDescent="0.25">
      <c r="A1138" s="67"/>
      <c r="B1138" s="67"/>
    </row>
    <row r="1139" spans="1:2" x14ac:dyDescent="0.25">
      <c r="A1139" s="67"/>
      <c r="B1139" s="67"/>
    </row>
    <row r="1140" spans="1:2" x14ac:dyDescent="0.25">
      <c r="A1140" s="67"/>
      <c r="B1140" s="67"/>
    </row>
    <row r="1141" spans="1:2" x14ac:dyDescent="0.25">
      <c r="A1141" s="67"/>
      <c r="B1141" s="67"/>
    </row>
    <row r="1142" spans="1:2" x14ac:dyDescent="0.25">
      <c r="A1142" s="67"/>
      <c r="B1142" s="67"/>
    </row>
    <row r="1143" spans="1:2" x14ac:dyDescent="0.25">
      <c r="A1143" s="67"/>
      <c r="B1143" s="67"/>
    </row>
    <row r="1144" spans="1:2" x14ac:dyDescent="0.25">
      <c r="A1144" s="67"/>
      <c r="B1144" s="67"/>
    </row>
    <row r="1145" spans="1:2" x14ac:dyDescent="0.25">
      <c r="A1145" s="67"/>
      <c r="B1145" s="67"/>
    </row>
    <row r="1146" spans="1:2" x14ac:dyDescent="0.25">
      <c r="A1146" s="67"/>
      <c r="B1146" s="67"/>
    </row>
    <row r="1147" spans="1:2" x14ac:dyDescent="0.25">
      <c r="A1147" s="67"/>
      <c r="B1147" s="67"/>
    </row>
    <row r="1148" spans="1:2" x14ac:dyDescent="0.25">
      <c r="A1148" s="67"/>
      <c r="B1148" s="67"/>
    </row>
    <row r="1149" spans="1:2" x14ac:dyDescent="0.25">
      <c r="A1149" s="67"/>
      <c r="B1149" s="67"/>
    </row>
    <row r="1150" spans="1:2" x14ac:dyDescent="0.25">
      <c r="A1150" s="67"/>
      <c r="B1150" s="67"/>
    </row>
    <row r="1151" spans="1:2" x14ac:dyDescent="0.25">
      <c r="A1151" s="67"/>
      <c r="B1151" s="67"/>
    </row>
    <row r="1152" spans="1:2" x14ac:dyDescent="0.25">
      <c r="A1152" s="67"/>
      <c r="B1152" s="67"/>
    </row>
    <row r="1153" spans="1:2" x14ac:dyDescent="0.25">
      <c r="A1153" s="67"/>
      <c r="B1153" s="67"/>
    </row>
    <row r="1154" spans="1:2" x14ac:dyDescent="0.25">
      <c r="A1154" s="67"/>
      <c r="B1154" s="67"/>
    </row>
    <row r="1155" spans="1:2" x14ac:dyDescent="0.25">
      <c r="A1155" s="67"/>
      <c r="B1155" s="67"/>
    </row>
    <row r="1156" spans="1:2" x14ac:dyDescent="0.25">
      <c r="A1156" s="67"/>
      <c r="B1156" s="67"/>
    </row>
    <row r="1157" spans="1:2" x14ac:dyDescent="0.25">
      <c r="A1157" s="67"/>
      <c r="B1157" s="67"/>
    </row>
    <row r="1158" spans="1:2" x14ac:dyDescent="0.25">
      <c r="A1158" s="67"/>
      <c r="B1158" s="67"/>
    </row>
    <row r="1159" spans="1:2" x14ac:dyDescent="0.25">
      <c r="A1159" s="67"/>
      <c r="B1159" s="67"/>
    </row>
    <row r="1160" spans="1:2" x14ac:dyDescent="0.25">
      <c r="A1160" s="67"/>
      <c r="B1160" s="67"/>
    </row>
    <row r="1161" spans="1:2" x14ac:dyDescent="0.25">
      <c r="A1161" s="67"/>
      <c r="B1161" s="67"/>
    </row>
    <row r="1162" spans="1:2" x14ac:dyDescent="0.25">
      <c r="A1162" s="67"/>
      <c r="B1162" s="67"/>
    </row>
    <row r="1163" spans="1:2" x14ac:dyDescent="0.25">
      <c r="A1163" s="67"/>
      <c r="B1163" s="67"/>
    </row>
    <row r="1164" spans="1:2" x14ac:dyDescent="0.25">
      <c r="A1164" s="67"/>
      <c r="B1164" s="67"/>
    </row>
    <row r="1165" spans="1:2" x14ac:dyDescent="0.25">
      <c r="A1165" s="67"/>
      <c r="B1165" s="67"/>
    </row>
    <row r="1166" spans="1:2" x14ac:dyDescent="0.25">
      <c r="A1166" s="67"/>
      <c r="B1166" s="67"/>
    </row>
    <row r="1167" spans="1:2" x14ac:dyDescent="0.25">
      <c r="A1167" s="67"/>
      <c r="B1167" s="67"/>
    </row>
    <row r="1168" spans="1:2" x14ac:dyDescent="0.25">
      <c r="A1168" s="67"/>
      <c r="B1168" s="67"/>
    </row>
    <row r="1169" spans="1:2" x14ac:dyDescent="0.25">
      <c r="A1169" s="67"/>
      <c r="B1169" s="67"/>
    </row>
    <row r="1170" spans="1:2" x14ac:dyDescent="0.25">
      <c r="A1170" s="67"/>
      <c r="B1170" s="67"/>
    </row>
    <row r="1171" spans="1:2" x14ac:dyDescent="0.25">
      <c r="A1171" s="67"/>
      <c r="B1171" s="67"/>
    </row>
    <row r="1172" spans="1:2" x14ac:dyDescent="0.25">
      <c r="A1172" s="67"/>
      <c r="B1172" s="67"/>
    </row>
    <row r="1173" spans="1:2" x14ac:dyDescent="0.25">
      <c r="A1173" s="67"/>
      <c r="B1173" s="67"/>
    </row>
    <row r="1174" spans="1:2" x14ac:dyDescent="0.25">
      <c r="A1174" s="67"/>
      <c r="B1174" s="67"/>
    </row>
    <row r="1175" spans="1:2" x14ac:dyDescent="0.25">
      <c r="A1175" s="67"/>
      <c r="B1175" s="67"/>
    </row>
    <row r="1176" spans="1:2" x14ac:dyDescent="0.25">
      <c r="A1176" s="67"/>
      <c r="B1176" s="67"/>
    </row>
    <row r="1177" spans="1:2" x14ac:dyDescent="0.25">
      <c r="A1177" s="67"/>
      <c r="B1177" s="67"/>
    </row>
    <row r="1178" spans="1:2" x14ac:dyDescent="0.25">
      <c r="A1178" s="67"/>
      <c r="B1178" s="67"/>
    </row>
    <row r="1179" spans="1:2" x14ac:dyDescent="0.25">
      <c r="A1179" s="67"/>
      <c r="B1179" s="67"/>
    </row>
    <row r="1180" spans="1:2" x14ac:dyDescent="0.25">
      <c r="A1180" s="67"/>
      <c r="B1180" s="67"/>
    </row>
    <row r="1181" spans="1:2" x14ac:dyDescent="0.25">
      <c r="A1181" s="67"/>
      <c r="B1181" s="67"/>
    </row>
    <row r="1182" spans="1:2" x14ac:dyDescent="0.25">
      <c r="A1182" s="67"/>
      <c r="B1182" s="67"/>
    </row>
    <row r="1183" spans="1:2" x14ac:dyDescent="0.25">
      <c r="A1183" s="67"/>
      <c r="B1183" s="67"/>
    </row>
    <row r="1184" spans="1:2" x14ac:dyDescent="0.25">
      <c r="A1184" s="67"/>
      <c r="B1184" s="67"/>
    </row>
    <row r="1185" spans="1:2" x14ac:dyDescent="0.25">
      <c r="A1185" s="67"/>
      <c r="B1185" s="67"/>
    </row>
    <row r="1186" spans="1:2" x14ac:dyDescent="0.25">
      <c r="A1186" s="67"/>
      <c r="B1186" s="67"/>
    </row>
    <row r="1187" spans="1:2" x14ac:dyDescent="0.25">
      <c r="A1187" s="67"/>
      <c r="B1187" s="67"/>
    </row>
    <row r="1188" spans="1:2" x14ac:dyDescent="0.25">
      <c r="A1188" s="67"/>
      <c r="B1188" s="67"/>
    </row>
    <row r="1189" spans="1:2" x14ac:dyDescent="0.25">
      <c r="A1189" s="67"/>
      <c r="B1189" s="67"/>
    </row>
    <row r="1190" spans="1:2" x14ac:dyDescent="0.25">
      <c r="A1190" s="67"/>
      <c r="B1190" s="67"/>
    </row>
    <row r="1191" spans="1:2" x14ac:dyDescent="0.25">
      <c r="A1191" s="67"/>
      <c r="B1191" s="67"/>
    </row>
    <row r="1192" spans="1:2" x14ac:dyDescent="0.25">
      <c r="A1192" s="67"/>
      <c r="B1192" s="67"/>
    </row>
    <row r="1193" spans="1:2" x14ac:dyDescent="0.25">
      <c r="A1193" s="67"/>
      <c r="B1193" s="67"/>
    </row>
    <row r="1194" spans="1:2" x14ac:dyDescent="0.25">
      <c r="A1194" s="67"/>
      <c r="B1194" s="67"/>
    </row>
    <row r="1195" spans="1:2" x14ac:dyDescent="0.25">
      <c r="A1195" s="67"/>
      <c r="B1195" s="67"/>
    </row>
    <row r="1196" spans="1:2" x14ac:dyDescent="0.25">
      <c r="A1196" s="67"/>
      <c r="B1196" s="67"/>
    </row>
    <row r="1197" spans="1:2" x14ac:dyDescent="0.25">
      <c r="A1197" s="67"/>
      <c r="B1197" s="67"/>
    </row>
    <row r="1198" spans="1:2" x14ac:dyDescent="0.25">
      <c r="A1198" s="67"/>
      <c r="B1198" s="67"/>
    </row>
    <row r="1199" spans="1:2" x14ac:dyDescent="0.25">
      <c r="A1199" s="67"/>
      <c r="B1199" s="67"/>
    </row>
    <row r="1200" spans="1:2" x14ac:dyDescent="0.25">
      <c r="A1200" s="67"/>
      <c r="B1200" s="67"/>
    </row>
    <row r="1201" spans="1:2" x14ac:dyDescent="0.25">
      <c r="A1201" s="67"/>
      <c r="B1201" s="67"/>
    </row>
    <row r="1202" spans="1:2" x14ac:dyDescent="0.25">
      <c r="A1202" s="67"/>
      <c r="B1202" s="67"/>
    </row>
    <row r="1203" spans="1:2" x14ac:dyDescent="0.25">
      <c r="A1203" s="67"/>
      <c r="B1203" s="67"/>
    </row>
    <row r="1204" spans="1:2" x14ac:dyDescent="0.25">
      <c r="A1204" s="67"/>
      <c r="B1204" s="67"/>
    </row>
    <row r="1205" spans="1:2" x14ac:dyDescent="0.25">
      <c r="A1205" s="67"/>
      <c r="B1205" s="67"/>
    </row>
    <row r="1206" spans="1:2" x14ac:dyDescent="0.25">
      <c r="A1206" s="67"/>
      <c r="B1206" s="67"/>
    </row>
    <row r="1207" spans="1:2" x14ac:dyDescent="0.25">
      <c r="A1207" s="67"/>
      <c r="B1207" s="67"/>
    </row>
    <row r="1208" spans="1:2" x14ac:dyDescent="0.25">
      <c r="A1208" s="67"/>
      <c r="B1208" s="67"/>
    </row>
    <row r="1209" spans="1:2" x14ac:dyDescent="0.25">
      <c r="A1209" s="67"/>
      <c r="B1209" s="67"/>
    </row>
    <row r="1210" spans="1:2" x14ac:dyDescent="0.25">
      <c r="A1210" s="67"/>
      <c r="B1210" s="67"/>
    </row>
    <row r="1211" spans="1:2" x14ac:dyDescent="0.25">
      <c r="A1211" s="67"/>
      <c r="B1211" s="67"/>
    </row>
    <row r="1212" spans="1:2" x14ac:dyDescent="0.25">
      <c r="A1212" s="67"/>
      <c r="B1212" s="67"/>
    </row>
    <row r="1213" spans="1:2" x14ac:dyDescent="0.25">
      <c r="A1213" s="67"/>
      <c r="B1213" s="67"/>
    </row>
    <row r="1214" spans="1:2" x14ac:dyDescent="0.25">
      <c r="A1214" s="67"/>
      <c r="B1214" s="67"/>
    </row>
    <row r="1215" spans="1:2" x14ac:dyDescent="0.25">
      <c r="A1215" s="67"/>
      <c r="B1215" s="67"/>
    </row>
    <row r="1216" spans="1:2" x14ac:dyDescent="0.25">
      <c r="A1216" s="67"/>
      <c r="B1216" s="67"/>
    </row>
    <row r="1217" spans="1:2" x14ac:dyDescent="0.25">
      <c r="A1217" s="67"/>
      <c r="B1217" s="67"/>
    </row>
    <row r="1218" spans="1:2" x14ac:dyDescent="0.25">
      <c r="A1218" s="67"/>
      <c r="B1218" s="67"/>
    </row>
    <row r="1219" spans="1:2" x14ac:dyDescent="0.25">
      <c r="A1219" s="67"/>
      <c r="B1219" s="67"/>
    </row>
    <row r="1220" spans="1:2" x14ac:dyDescent="0.25">
      <c r="A1220" s="67"/>
      <c r="B1220" s="67"/>
    </row>
    <row r="1221" spans="1:2" x14ac:dyDescent="0.25">
      <c r="A1221" s="67"/>
      <c r="B1221" s="67"/>
    </row>
    <row r="1222" spans="1:2" x14ac:dyDescent="0.25">
      <c r="A1222" s="67"/>
      <c r="B1222" s="67"/>
    </row>
    <row r="1223" spans="1:2" x14ac:dyDescent="0.25">
      <c r="A1223" s="67"/>
      <c r="B1223" s="67"/>
    </row>
    <row r="1224" spans="1:2" x14ac:dyDescent="0.25">
      <c r="A1224" s="67"/>
      <c r="B1224" s="67"/>
    </row>
    <row r="1225" spans="1:2" x14ac:dyDescent="0.25">
      <c r="A1225" s="67"/>
      <c r="B1225" s="67"/>
    </row>
    <row r="1226" spans="1:2" x14ac:dyDescent="0.25">
      <c r="A1226" s="67"/>
      <c r="B1226" s="67"/>
    </row>
    <row r="1227" spans="1:2" x14ac:dyDescent="0.25">
      <c r="A1227" s="67"/>
      <c r="B1227" s="67"/>
    </row>
    <row r="1228" spans="1:2" x14ac:dyDescent="0.25">
      <c r="A1228" s="67"/>
      <c r="B1228" s="67"/>
    </row>
    <row r="1229" spans="1:2" x14ac:dyDescent="0.25">
      <c r="A1229" s="67"/>
      <c r="B1229" s="67"/>
    </row>
    <row r="1230" spans="1:2" x14ac:dyDescent="0.25">
      <c r="A1230" s="67"/>
      <c r="B1230" s="67"/>
    </row>
    <row r="1231" spans="1:2" x14ac:dyDescent="0.25">
      <c r="A1231" s="67"/>
      <c r="B1231" s="67"/>
    </row>
    <row r="1232" spans="1:2" x14ac:dyDescent="0.25">
      <c r="A1232" s="67"/>
      <c r="B1232" s="67"/>
    </row>
    <row r="1233" spans="1:2" x14ac:dyDescent="0.25">
      <c r="A1233" s="67"/>
      <c r="B1233" s="67"/>
    </row>
    <row r="1234" spans="1:2" x14ac:dyDescent="0.25">
      <c r="A1234" s="67"/>
      <c r="B1234" s="67"/>
    </row>
    <row r="1235" spans="1:2" x14ac:dyDescent="0.25">
      <c r="A1235" s="67"/>
      <c r="B1235" s="67"/>
    </row>
    <row r="1236" spans="1:2" x14ac:dyDescent="0.25">
      <c r="A1236" s="67"/>
      <c r="B1236" s="67"/>
    </row>
    <row r="1237" spans="1:2" x14ac:dyDescent="0.25">
      <c r="A1237" s="67"/>
      <c r="B1237" s="67"/>
    </row>
    <row r="1238" spans="1:2" x14ac:dyDescent="0.25">
      <c r="A1238" s="67"/>
      <c r="B1238" s="67"/>
    </row>
    <row r="1239" spans="1:2" x14ac:dyDescent="0.25">
      <c r="A1239" s="67"/>
      <c r="B1239" s="67"/>
    </row>
    <row r="1240" spans="1:2" x14ac:dyDescent="0.25">
      <c r="A1240" s="67"/>
      <c r="B1240" s="67"/>
    </row>
    <row r="1241" spans="1:2" x14ac:dyDescent="0.25">
      <c r="A1241" s="67"/>
      <c r="B1241" s="67"/>
    </row>
    <row r="1242" spans="1:2" x14ac:dyDescent="0.25">
      <c r="A1242" s="67"/>
      <c r="B1242" s="67"/>
    </row>
    <row r="1243" spans="1:2" x14ac:dyDescent="0.25">
      <c r="A1243" s="67"/>
      <c r="B1243" s="67"/>
    </row>
    <row r="1244" spans="1:2" x14ac:dyDescent="0.25">
      <c r="A1244" s="67"/>
      <c r="B1244" s="67"/>
    </row>
    <row r="1245" spans="1:2" x14ac:dyDescent="0.25">
      <c r="A1245" s="67"/>
      <c r="B1245" s="67"/>
    </row>
    <row r="1246" spans="1:2" x14ac:dyDescent="0.25">
      <c r="A1246" s="67"/>
      <c r="B1246" s="67"/>
    </row>
    <row r="1247" spans="1:2" x14ac:dyDescent="0.25">
      <c r="A1247" s="67"/>
      <c r="B1247" s="67"/>
    </row>
    <row r="1248" spans="1:2" x14ac:dyDescent="0.25">
      <c r="A1248" s="67"/>
      <c r="B1248" s="67"/>
    </row>
    <row r="1249" spans="1:2" x14ac:dyDescent="0.25">
      <c r="A1249" s="67"/>
      <c r="B1249" s="67"/>
    </row>
    <row r="1250" spans="1:2" x14ac:dyDescent="0.25">
      <c r="A1250" s="67"/>
      <c r="B1250" s="67"/>
    </row>
    <row r="1251" spans="1:2" x14ac:dyDescent="0.25">
      <c r="A1251" s="67"/>
      <c r="B1251" s="67"/>
    </row>
    <row r="1252" spans="1:2" x14ac:dyDescent="0.25">
      <c r="A1252" s="67"/>
      <c r="B1252" s="67"/>
    </row>
    <row r="1253" spans="1:2" x14ac:dyDescent="0.25">
      <c r="A1253" s="67"/>
      <c r="B1253" s="67"/>
    </row>
    <row r="1254" spans="1:2" x14ac:dyDescent="0.25">
      <c r="A1254" s="67"/>
      <c r="B1254" s="67"/>
    </row>
    <row r="1255" spans="1:2" x14ac:dyDescent="0.25">
      <c r="A1255" s="67"/>
      <c r="B1255" s="67"/>
    </row>
    <row r="1256" spans="1:2" x14ac:dyDescent="0.25">
      <c r="A1256" s="67"/>
      <c r="B1256" s="67"/>
    </row>
    <row r="1257" spans="1:2" x14ac:dyDescent="0.25">
      <c r="A1257" s="67"/>
      <c r="B1257" s="67"/>
    </row>
    <row r="1258" spans="1:2" x14ac:dyDescent="0.25">
      <c r="A1258" s="67"/>
      <c r="B1258" s="67"/>
    </row>
    <row r="1259" spans="1:2" x14ac:dyDescent="0.25">
      <c r="A1259" s="67"/>
      <c r="B1259" s="67"/>
    </row>
    <row r="1260" spans="1:2" x14ac:dyDescent="0.25">
      <c r="A1260" s="67"/>
      <c r="B1260" s="67"/>
    </row>
    <row r="1261" spans="1:2" x14ac:dyDescent="0.25">
      <c r="A1261" s="67"/>
      <c r="B1261" s="67"/>
    </row>
    <row r="1262" spans="1:2" x14ac:dyDescent="0.25">
      <c r="A1262" s="67"/>
      <c r="B1262" s="67"/>
    </row>
    <row r="1263" spans="1:2" x14ac:dyDescent="0.25">
      <c r="A1263" s="67"/>
      <c r="B1263" s="67"/>
    </row>
    <row r="1264" spans="1:2" x14ac:dyDescent="0.25">
      <c r="A1264" s="67"/>
      <c r="B1264" s="67"/>
    </row>
    <row r="1265" spans="1:2" x14ac:dyDescent="0.25">
      <c r="A1265" s="67"/>
      <c r="B1265" s="67"/>
    </row>
    <row r="1266" spans="1:2" x14ac:dyDescent="0.25">
      <c r="A1266" s="67"/>
      <c r="B1266" s="67"/>
    </row>
    <row r="1267" spans="1:2" x14ac:dyDescent="0.25">
      <c r="A1267" s="67"/>
      <c r="B1267" s="67"/>
    </row>
    <row r="1268" spans="1:2" x14ac:dyDescent="0.25">
      <c r="A1268" s="67"/>
      <c r="B1268" s="67"/>
    </row>
    <row r="1269" spans="1:2" x14ac:dyDescent="0.25">
      <c r="A1269" s="67"/>
      <c r="B1269" s="67"/>
    </row>
    <row r="1270" spans="1:2" x14ac:dyDescent="0.25">
      <c r="A1270" s="67"/>
      <c r="B1270" s="67"/>
    </row>
    <row r="1271" spans="1:2" x14ac:dyDescent="0.25">
      <c r="A1271" s="67"/>
      <c r="B1271" s="67"/>
    </row>
    <row r="1272" spans="1:2" x14ac:dyDescent="0.25">
      <c r="A1272" s="67"/>
      <c r="B1272" s="67"/>
    </row>
    <row r="1273" spans="1:2" x14ac:dyDescent="0.25">
      <c r="A1273" s="67"/>
      <c r="B1273" s="67"/>
    </row>
    <row r="1274" spans="1:2" x14ac:dyDescent="0.25">
      <c r="A1274" s="67"/>
      <c r="B1274" s="67"/>
    </row>
    <row r="1275" spans="1:2" x14ac:dyDescent="0.25">
      <c r="A1275" s="67"/>
      <c r="B1275" s="67"/>
    </row>
    <row r="1276" spans="1:2" x14ac:dyDescent="0.25">
      <c r="A1276" s="67"/>
      <c r="B1276" s="67"/>
    </row>
    <row r="1277" spans="1:2" x14ac:dyDescent="0.25">
      <c r="A1277" s="67"/>
      <c r="B1277" s="67"/>
    </row>
    <row r="1278" spans="1:2" x14ac:dyDescent="0.25">
      <c r="A1278" s="67"/>
      <c r="B1278" s="67"/>
    </row>
    <row r="1279" spans="1:2" x14ac:dyDescent="0.25">
      <c r="A1279" s="67"/>
      <c r="B1279" s="67"/>
    </row>
    <row r="1280" spans="1:2" x14ac:dyDescent="0.25">
      <c r="A1280" s="67"/>
      <c r="B1280" s="67"/>
    </row>
    <row r="1281" spans="1:2" x14ac:dyDescent="0.25">
      <c r="A1281" s="67"/>
      <c r="B1281" s="67"/>
    </row>
    <row r="1282" spans="1:2" x14ac:dyDescent="0.25">
      <c r="A1282" s="67"/>
      <c r="B1282" s="67"/>
    </row>
    <row r="1283" spans="1:2" x14ac:dyDescent="0.25">
      <c r="A1283" s="67"/>
      <c r="B1283" s="67"/>
    </row>
    <row r="1284" spans="1:2" x14ac:dyDescent="0.25">
      <c r="A1284" s="67"/>
      <c r="B1284" s="67"/>
    </row>
    <row r="1285" spans="1:2" x14ac:dyDescent="0.25">
      <c r="A1285" s="67"/>
      <c r="B1285" s="67"/>
    </row>
    <row r="1286" spans="1:2" x14ac:dyDescent="0.25">
      <c r="A1286" s="67"/>
      <c r="B1286" s="67"/>
    </row>
    <row r="1287" spans="1:2" x14ac:dyDescent="0.25">
      <c r="A1287" s="67"/>
      <c r="B1287" s="67"/>
    </row>
    <row r="1288" spans="1:2" x14ac:dyDescent="0.25">
      <c r="A1288" s="67"/>
      <c r="B1288" s="67"/>
    </row>
    <row r="1289" spans="1:2" x14ac:dyDescent="0.25">
      <c r="A1289" s="67"/>
      <c r="B1289" s="67"/>
    </row>
    <row r="1290" spans="1:2" x14ac:dyDescent="0.25">
      <c r="A1290" s="67"/>
      <c r="B1290" s="67"/>
    </row>
    <row r="1291" spans="1:2" x14ac:dyDescent="0.25">
      <c r="A1291" s="67"/>
      <c r="B1291" s="67"/>
    </row>
    <row r="1292" spans="1:2" x14ac:dyDescent="0.25">
      <c r="A1292" s="67"/>
      <c r="B1292" s="67"/>
    </row>
    <row r="1293" spans="1:2" x14ac:dyDescent="0.25">
      <c r="A1293" s="67"/>
      <c r="B1293" s="67"/>
    </row>
    <row r="1294" spans="1:2" x14ac:dyDescent="0.25">
      <c r="A1294" s="67"/>
      <c r="B1294" s="67"/>
    </row>
    <row r="1295" spans="1:2" x14ac:dyDescent="0.25">
      <c r="A1295" s="67"/>
      <c r="B1295" s="67"/>
    </row>
    <row r="1296" spans="1:2" x14ac:dyDescent="0.25">
      <c r="A1296" s="67"/>
      <c r="B1296" s="67"/>
    </row>
    <row r="1297" spans="1:2" x14ac:dyDescent="0.25">
      <c r="A1297" s="67"/>
      <c r="B1297" s="67"/>
    </row>
    <row r="1298" spans="1:2" x14ac:dyDescent="0.25">
      <c r="A1298" s="67"/>
      <c r="B1298" s="67"/>
    </row>
    <row r="1299" spans="1:2" x14ac:dyDescent="0.25">
      <c r="A1299" s="67"/>
      <c r="B1299" s="67"/>
    </row>
    <row r="1300" spans="1:2" x14ac:dyDescent="0.25">
      <c r="A1300" s="67"/>
      <c r="B1300" s="67"/>
    </row>
    <row r="1301" spans="1:2" x14ac:dyDescent="0.25">
      <c r="A1301" s="67"/>
      <c r="B1301" s="67"/>
    </row>
    <row r="1302" spans="1:2" x14ac:dyDescent="0.25">
      <c r="A1302" s="67"/>
      <c r="B1302" s="67"/>
    </row>
    <row r="1303" spans="1:2" x14ac:dyDescent="0.25">
      <c r="A1303" s="67"/>
      <c r="B1303" s="67"/>
    </row>
    <row r="1304" spans="1:2" x14ac:dyDescent="0.25">
      <c r="A1304" s="67"/>
      <c r="B1304" s="67"/>
    </row>
    <row r="1305" spans="1:2" x14ac:dyDescent="0.25">
      <c r="A1305" s="67"/>
      <c r="B1305" s="67"/>
    </row>
    <row r="1306" spans="1:2" x14ac:dyDescent="0.25">
      <c r="A1306" s="67"/>
      <c r="B1306" s="67"/>
    </row>
    <row r="1307" spans="1:2" x14ac:dyDescent="0.25">
      <c r="A1307" s="67"/>
      <c r="B1307" s="67"/>
    </row>
    <row r="1308" spans="1:2" x14ac:dyDescent="0.25">
      <c r="A1308" s="67"/>
      <c r="B1308" s="67"/>
    </row>
    <row r="1309" spans="1:2" x14ac:dyDescent="0.25">
      <c r="A1309" s="67"/>
      <c r="B1309" s="67"/>
    </row>
    <row r="1310" spans="1:2" x14ac:dyDescent="0.25">
      <c r="A1310" s="67"/>
      <c r="B1310" s="67"/>
    </row>
    <row r="1311" spans="1:2" x14ac:dyDescent="0.25">
      <c r="A1311" s="67"/>
      <c r="B1311" s="67"/>
    </row>
    <row r="1312" spans="1:2" x14ac:dyDescent="0.25">
      <c r="A1312" s="67"/>
      <c r="B1312" s="67"/>
    </row>
    <row r="1313" spans="1:2" x14ac:dyDescent="0.25">
      <c r="A1313" s="67"/>
      <c r="B1313" s="67"/>
    </row>
    <row r="1314" spans="1:2" x14ac:dyDescent="0.25">
      <c r="A1314" s="67"/>
      <c r="B1314" s="67"/>
    </row>
    <row r="1315" spans="1:2" x14ac:dyDescent="0.25">
      <c r="A1315" s="67"/>
      <c r="B1315" s="67"/>
    </row>
    <row r="1316" spans="1:2" x14ac:dyDescent="0.25">
      <c r="A1316" s="67"/>
      <c r="B1316" s="67"/>
    </row>
    <row r="1317" spans="1:2" x14ac:dyDescent="0.25">
      <c r="A1317" s="67"/>
      <c r="B1317" s="67"/>
    </row>
    <row r="1318" spans="1:2" x14ac:dyDescent="0.25">
      <c r="A1318" s="67"/>
      <c r="B1318" s="67"/>
    </row>
    <row r="1319" spans="1:2" x14ac:dyDescent="0.25">
      <c r="A1319" s="67"/>
      <c r="B1319" s="67"/>
    </row>
    <row r="1320" spans="1:2" x14ac:dyDescent="0.25">
      <c r="A1320" s="67"/>
      <c r="B1320" s="67"/>
    </row>
    <row r="1321" spans="1:2" x14ac:dyDescent="0.25">
      <c r="A1321" s="67"/>
      <c r="B1321" s="67"/>
    </row>
    <row r="1322" spans="1:2" x14ac:dyDescent="0.25">
      <c r="A1322" s="67"/>
      <c r="B1322" s="67"/>
    </row>
    <row r="1323" spans="1:2" x14ac:dyDescent="0.25">
      <c r="A1323" s="67"/>
      <c r="B1323" s="67"/>
    </row>
    <row r="1324" spans="1:2" x14ac:dyDescent="0.25">
      <c r="A1324" s="67"/>
      <c r="B1324" s="67"/>
    </row>
    <row r="1325" spans="1:2" x14ac:dyDescent="0.25">
      <c r="A1325" s="67"/>
      <c r="B1325" s="67"/>
    </row>
    <row r="1326" spans="1:2" x14ac:dyDescent="0.25">
      <c r="A1326" s="67"/>
      <c r="B1326" s="67"/>
    </row>
    <row r="1327" spans="1:2" x14ac:dyDescent="0.25">
      <c r="A1327" s="67"/>
      <c r="B1327" s="67"/>
    </row>
    <row r="1328" spans="1:2" x14ac:dyDescent="0.25">
      <c r="A1328" s="67"/>
      <c r="B1328" s="67"/>
    </row>
    <row r="1329" spans="1:2" x14ac:dyDescent="0.25">
      <c r="A1329" s="67"/>
      <c r="B1329" s="67"/>
    </row>
    <row r="1330" spans="1:2" x14ac:dyDescent="0.25">
      <c r="A1330" s="67"/>
      <c r="B1330" s="67"/>
    </row>
    <row r="1331" spans="1:2" x14ac:dyDescent="0.25">
      <c r="A1331" s="67"/>
      <c r="B1331" s="67"/>
    </row>
    <row r="1332" spans="1:2" x14ac:dyDescent="0.25">
      <c r="A1332" s="67"/>
      <c r="B1332" s="67"/>
    </row>
    <row r="1333" spans="1:2" x14ac:dyDescent="0.25">
      <c r="A1333" s="67"/>
      <c r="B1333" s="67"/>
    </row>
    <row r="1334" spans="1:2" x14ac:dyDescent="0.25">
      <c r="A1334" s="67"/>
      <c r="B1334" s="67"/>
    </row>
    <row r="1335" spans="1:2" x14ac:dyDescent="0.25">
      <c r="A1335" s="67"/>
      <c r="B1335" s="67"/>
    </row>
    <row r="1336" spans="1:2" x14ac:dyDescent="0.25">
      <c r="A1336" s="67"/>
      <c r="B1336" s="67"/>
    </row>
    <row r="1337" spans="1:2" x14ac:dyDescent="0.25">
      <c r="A1337" s="67"/>
      <c r="B1337" s="67"/>
    </row>
    <row r="1338" spans="1:2" x14ac:dyDescent="0.25">
      <c r="A1338" s="67"/>
      <c r="B1338" s="67"/>
    </row>
    <row r="1339" spans="1:2" x14ac:dyDescent="0.25">
      <c r="A1339" s="67"/>
      <c r="B1339" s="67"/>
    </row>
    <row r="1340" spans="1:2" x14ac:dyDescent="0.25">
      <c r="A1340" s="67"/>
      <c r="B1340" s="67"/>
    </row>
    <row r="1341" spans="1:2" x14ac:dyDescent="0.25">
      <c r="A1341" s="67"/>
      <c r="B1341" s="67"/>
    </row>
    <row r="1342" spans="1:2" x14ac:dyDescent="0.25">
      <c r="A1342" s="67"/>
      <c r="B1342" s="67"/>
    </row>
    <row r="1343" spans="1:2" x14ac:dyDescent="0.25">
      <c r="A1343" s="67"/>
      <c r="B1343" s="67"/>
    </row>
    <row r="1344" spans="1:2" x14ac:dyDescent="0.25">
      <c r="A1344" s="67"/>
      <c r="B1344" s="67"/>
    </row>
    <row r="1345" spans="1:2" x14ac:dyDescent="0.25">
      <c r="A1345" s="67"/>
      <c r="B1345" s="67"/>
    </row>
    <row r="1346" spans="1:2" x14ac:dyDescent="0.25">
      <c r="A1346" s="67"/>
      <c r="B1346" s="67"/>
    </row>
    <row r="1347" spans="1:2" x14ac:dyDescent="0.25">
      <c r="A1347" s="67"/>
      <c r="B1347" s="67"/>
    </row>
    <row r="1348" spans="1:2" x14ac:dyDescent="0.25">
      <c r="A1348" s="67"/>
      <c r="B1348" s="67"/>
    </row>
    <row r="1349" spans="1:2" x14ac:dyDescent="0.25">
      <c r="A1349" s="67"/>
      <c r="B1349" s="67"/>
    </row>
    <row r="1350" spans="1:2" x14ac:dyDescent="0.25">
      <c r="A1350" s="67"/>
      <c r="B1350" s="67"/>
    </row>
    <row r="1351" spans="1:2" x14ac:dyDescent="0.25">
      <c r="A1351" s="67"/>
      <c r="B1351" s="67"/>
    </row>
    <row r="1352" spans="1:2" x14ac:dyDescent="0.25">
      <c r="A1352" s="67"/>
      <c r="B1352" s="67"/>
    </row>
    <row r="1353" spans="1:2" x14ac:dyDescent="0.25">
      <c r="A1353" s="67"/>
      <c r="B1353" s="67"/>
    </row>
    <row r="1354" spans="1:2" x14ac:dyDescent="0.25">
      <c r="A1354" s="67"/>
      <c r="B1354" s="67"/>
    </row>
    <row r="1355" spans="1:2" x14ac:dyDescent="0.25">
      <c r="A1355" s="67"/>
      <c r="B1355" s="67"/>
    </row>
    <row r="1356" spans="1:2" x14ac:dyDescent="0.25">
      <c r="A1356" s="67"/>
      <c r="B1356" s="67"/>
    </row>
    <row r="1357" spans="1:2" x14ac:dyDescent="0.25">
      <c r="A1357" s="67"/>
      <c r="B1357" s="67"/>
    </row>
    <row r="1358" spans="1:2" x14ac:dyDescent="0.25">
      <c r="A1358" s="67"/>
      <c r="B1358" s="67"/>
    </row>
    <row r="1359" spans="1:2" x14ac:dyDescent="0.25">
      <c r="A1359" s="67"/>
      <c r="B1359" s="67"/>
    </row>
    <row r="1360" spans="1:2" x14ac:dyDescent="0.25">
      <c r="A1360" s="67"/>
      <c r="B1360" s="67"/>
    </row>
    <row r="1361" spans="1:2" x14ac:dyDescent="0.25">
      <c r="A1361" s="67"/>
      <c r="B1361" s="67"/>
    </row>
    <row r="1362" spans="1:2" x14ac:dyDescent="0.25">
      <c r="A1362" s="67"/>
      <c r="B1362" s="67"/>
    </row>
    <row r="1363" spans="1:2" x14ac:dyDescent="0.25">
      <c r="A1363" s="67"/>
      <c r="B1363" s="67"/>
    </row>
    <row r="1364" spans="1:2" x14ac:dyDescent="0.25">
      <c r="A1364" s="67"/>
      <c r="B1364" s="67"/>
    </row>
    <row r="1365" spans="1:2" x14ac:dyDescent="0.25">
      <c r="A1365" s="67"/>
      <c r="B1365" s="67"/>
    </row>
    <row r="1366" spans="1:2" x14ac:dyDescent="0.25">
      <c r="A1366" s="67"/>
      <c r="B1366" s="67"/>
    </row>
    <row r="1367" spans="1:2" x14ac:dyDescent="0.25">
      <c r="A1367" s="67"/>
      <c r="B1367" s="67"/>
    </row>
    <row r="1368" spans="1:2" x14ac:dyDescent="0.25">
      <c r="A1368" s="67"/>
      <c r="B1368" s="67"/>
    </row>
    <row r="1369" spans="1:2" x14ac:dyDescent="0.25">
      <c r="A1369" s="67"/>
      <c r="B1369" s="67"/>
    </row>
    <row r="1370" spans="1:2" x14ac:dyDescent="0.25">
      <c r="A1370" s="67"/>
      <c r="B1370" s="67"/>
    </row>
    <row r="1371" spans="1:2" x14ac:dyDescent="0.25">
      <c r="A1371" s="67"/>
      <c r="B1371" s="67"/>
    </row>
    <row r="1372" spans="1:2" x14ac:dyDescent="0.25">
      <c r="A1372" s="67"/>
      <c r="B1372" s="67"/>
    </row>
    <row r="1373" spans="1:2" x14ac:dyDescent="0.25">
      <c r="A1373" s="67"/>
      <c r="B1373" s="67"/>
    </row>
    <row r="1374" spans="1:2" x14ac:dyDescent="0.25">
      <c r="A1374" s="67"/>
      <c r="B1374" s="67"/>
    </row>
    <row r="1375" spans="1:2" x14ac:dyDescent="0.25">
      <c r="A1375" s="67"/>
      <c r="B1375" s="67"/>
    </row>
    <row r="1376" spans="1:2" x14ac:dyDescent="0.25">
      <c r="A1376" s="67"/>
      <c r="B1376" s="67"/>
    </row>
    <row r="1377" spans="1:2" x14ac:dyDescent="0.25">
      <c r="A1377" s="67"/>
      <c r="B1377" s="67"/>
    </row>
    <row r="1378" spans="1:2" x14ac:dyDescent="0.25">
      <c r="A1378" s="67"/>
      <c r="B1378" s="67"/>
    </row>
    <row r="1379" spans="1:2" x14ac:dyDescent="0.25">
      <c r="A1379" s="67"/>
      <c r="B1379" s="67"/>
    </row>
    <row r="1380" spans="1:2" x14ac:dyDescent="0.25">
      <c r="A1380" s="67"/>
      <c r="B1380" s="67"/>
    </row>
    <row r="1381" spans="1:2" x14ac:dyDescent="0.25">
      <c r="A1381" s="67"/>
      <c r="B1381" s="67"/>
    </row>
    <row r="1382" spans="1:2" x14ac:dyDescent="0.25">
      <c r="A1382" s="67"/>
      <c r="B1382" s="67"/>
    </row>
    <row r="1383" spans="1:2" x14ac:dyDescent="0.25">
      <c r="A1383" s="67"/>
      <c r="B1383" s="67"/>
    </row>
    <row r="1384" spans="1:2" x14ac:dyDescent="0.25">
      <c r="A1384" s="67"/>
      <c r="B1384" s="67"/>
    </row>
    <row r="1385" spans="1:2" x14ac:dyDescent="0.25">
      <c r="A1385" s="67"/>
      <c r="B1385" s="67"/>
    </row>
    <row r="1386" spans="1:2" x14ac:dyDescent="0.25">
      <c r="A1386" s="67"/>
      <c r="B1386" s="67"/>
    </row>
    <row r="1387" spans="1:2" x14ac:dyDescent="0.25">
      <c r="A1387" s="67"/>
      <c r="B1387" s="67"/>
    </row>
    <row r="1388" spans="1:2" x14ac:dyDescent="0.25">
      <c r="A1388" s="67"/>
      <c r="B1388" s="67"/>
    </row>
    <row r="1389" spans="1:2" x14ac:dyDescent="0.25">
      <c r="A1389" s="67"/>
      <c r="B1389" s="67"/>
    </row>
    <row r="1390" spans="1:2" x14ac:dyDescent="0.25">
      <c r="A1390" s="67"/>
      <c r="B1390" s="67"/>
    </row>
    <row r="1391" spans="1:2" x14ac:dyDescent="0.25">
      <c r="A1391" s="67"/>
      <c r="B1391" s="67"/>
    </row>
    <row r="1392" spans="1:2" x14ac:dyDescent="0.25">
      <c r="A1392" s="67"/>
      <c r="B1392" s="67"/>
    </row>
    <row r="1393" spans="1:2" x14ac:dyDescent="0.25">
      <c r="A1393" s="67"/>
      <c r="B1393" s="67"/>
    </row>
    <row r="1394" spans="1:2" x14ac:dyDescent="0.25">
      <c r="A1394" s="67"/>
      <c r="B1394" s="67"/>
    </row>
    <row r="1395" spans="1:2" x14ac:dyDescent="0.25">
      <c r="A1395" s="67"/>
      <c r="B1395" s="67"/>
    </row>
    <row r="1396" spans="1:2" x14ac:dyDescent="0.25">
      <c r="A1396" s="67"/>
      <c r="B1396" s="67"/>
    </row>
    <row r="1397" spans="1:2" x14ac:dyDescent="0.25">
      <c r="A1397" s="67"/>
      <c r="B1397" s="67"/>
    </row>
    <row r="1398" spans="1:2" x14ac:dyDescent="0.25">
      <c r="A1398" s="67"/>
      <c r="B1398" s="67"/>
    </row>
    <row r="1399" spans="1:2" x14ac:dyDescent="0.25">
      <c r="A1399" s="67"/>
      <c r="B1399" s="67"/>
    </row>
    <row r="1400" spans="1:2" x14ac:dyDescent="0.25">
      <c r="A1400" s="67"/>
      <c r="B1400" s="67"/>
    </row>
    <row r="1401" spans="1:2" x14ac:dyDescent="0.25">
      <c r="A1401" s="67"/>
      <c r="B1401" s="67"/>
    </row>
    <row r="1402" spans="1:2" x14ac:dyDescent="0.25">
      <c r="A1402" s="67"/>
      <c r="B1402" s="67"/>
    </row>
    <row r="1403" spans="1:2" x14ac:dyDescent="0.25">
      <c r="A1403" s="67"/>
      <c r="B1403" s="67"/>
    </row>
    <row r="1404" spans="1:2" x14ac:dyDescent="0.25">
      <c r="A1404" s="67"/>
      <c r="B1404" s="67"/>
    </row>
    <row r="1405" spans="1:2" x14ac:dyDescent="0.25">
      <c r="A1405" s="67"/>
      <c r="B1405" s="67"/>
    </row>
    <row r="1406" spans="1:2" x14ac:dyDescent="0.25">
      <c r="A1406" s="67"/>
      <c r="B1406" s="67"/>
    </row>
    <row r="1407" spans="1:2" x14ac:dyDescent="0.25">
      <c r="A1407" s="67"/>
      <c r="B1407" s="67"/>
    </row>
    <row r="1408" spans="1:2" x14ac:dyDescent="0.25">
      <c r="A1408" s="67"/>
      <c r="B1408" s="67"/>
    </row>
    <row r="1409" spans="1:2" x14ac:dyDescent="0.25">
      <c r="A1409" s="67"/>
      <c r="B1409" s="67"/>
    </row>
    <row r="1410" spans="1:2" x14ac:dyDescent="0.25">
      <c r="A1410" s="67"/>
      <c r="B1410" s="67"/>
    </row>
    <row r="1411" spans="1:2" x14ac:dyDescent="0.25">
      <c r="A1411" s="67"/>
      <c r="B1411" s="67"/>
    </row>
    <row r="1412" spans="1:2" x14ac:dyDescent="0.25">
      <c r="A1412" s="67"/>
      <c r="B1412" s="67"/>
    </row>
    <row r="1413" spans="1:2" x14ac:dyDescent="0.25">
      <c r="A1413" s="67"/>
      <c r="B1413" s="67"/>
    </row>
    <row r="1414" spans="1:2" x14ac:dyDescent="0.25">
      <c r="A1414" s="67"/>
      <c r="B1414" s="67"/>
    </row>
    <row r="1415" spans="1:2" x14ac:dyDescent="0.25">
      <c r="A1415" s="67"/>
      <c r="B1415" s="67"/>
    </row>
    <row r="1416" spans="1:2" x14ac:dyDescent="0.25">
      <c r="A1416" s="67"/>
      <c r="B1416" s="67"/>
    </row>
    <row r="1417" spans="1:2" x14ac:dyDescent="0.25">
      <c r="A1417" s="67"/>
      <c r="B1417" s="67"/>
    </row>
    <row r="1418" spans="1:2" x14ac:dyDescent="0.25">
      <c r="A1418" s="67"/>
      <c r="B1418" s="67"/>
    </row>
    <row r="1419" spans="1:2" x14ac:dyDescent="0.25">
      <c r="A1419" s="67"/>
      <c r="B1419" s="67"/>
    </row>
    <row r="1420" spans="1:2" x14ac:dyDescent="0.25">
      <c r="A1420" s="67"/>
      <c r="B1420" s="67"/>
    </row>
    <row r="1421" spans="1:2" x14ac:dyDescent="0.25">
      <c r="A1421" s="67"/>
      <c r="B1421" s="67"/>
    </row>
    <row r="1422" spans="1:2" x14ac:dyDescent="0.25">
      <c r="A1422" s="67"/>
      <c r="B1422" s="67"/>
    </row>
    <row r="1423" spans="1:2" x14ac:dyDescent="0.25">
      <c r="A1423" s="67"/>
      <c r="B1423" s="67"/>
    </row>
    <row r="1424" spans="1:2" x14ac:dyDescent="0.25">
      <c r="A1424" s="67"/>
      <c r="B1424" s="67"/>
    </row>
    <row r="1425" spans="1:2" x14ac:dyDescent="0.25">
      <c r="A1425" s="67"/>
      <c r="B1425" s="67"/>
    </row>
    <row r="1426" spans="1:2" x14ac:dyDescent="0.25">
      <c r="A1426" s="67"/>
      <c r="B1426" s="67"/>
    </row>
    <row r="1427" spans="1:2" x14ac:dyDescent="0.25">
      <c r="A1427" s="67"/>
      <c r="B1427" s="67"/>
    </row>
    <row r="1428" spans="1:2" x14ac:dyDescent="0.25">
      <c r="A1428" s="67"/>
      <c r="B1428" s="67"/>
    </row>
    <row r="1429" spans="1:2" x14ac:dyDescent="0.25">
      <c r="A1429" s="67"/>
      <c r="B1429" s="67"/>
    </row>
    <row r="1430" spans="1:2" x14ac:dyDescent="0.25">
      <c r="A1430" s="67"/>
      <c r="B1430" s="67"/>
    </row>
    <row r="1431" spans="1:2" x14ac:dyDescent="0.25">
      <c r="A1431" s="67"/>
      <c r="B1431" s="67"/>
    </row>
    <row r="1432" spans="1:2" x14ac:dyDescent="0.25">
      <c r="A1432" s="67"/>
      <c r="B1432" s="67"/>
    </row>
    <row r="1433" spans="1:2" x14ac:dyDescent="0.25">
      <c r="A1433" s="67"/>
      <c r="B1433" s="67"/>
    </row>
    <row r="1434" spans="1:2" x14ac:dyDescent="0.25">
      <c r="A1434" s="67"/>
      <c r="B1434" s="67"/>
    </row>
    <row r="1435" spans="1:2" x14ac:dyDescent="0.25">
      <c r="A1435" s="67"/>
      <c r="B1435" s="67"/>
    </row>
    <row r="1436" spans="1:2" x14ac:dyDescent="0.25">
      <c r="A1436" s="67"/>
      <c r="B1436" s="67"/>
    </row>
    <row r="1437" spans="1:2" x14ac:dyDescent="0.25">
      <c r="A1437" s="67"/>
      <c r="B1437" s="67"/>
    </row>
    <row r="1438" spans="1:2" x14ac:dyDescent="0.25">
      <c r="A1438" s="67"/>
      <c r="B1438" s="67"/>
    </row>
    <row r="1439" spans="1:2" x14ac:dyDescent="0.25">
      <c r="A1439" s="67"/>
      <c r="B1439" s="67"/>
    </row>
    <row r="1440" spans="1:2" x14ac:dyDescent="0.25">
      <c r="A1440" s="67"/>
      <c r="B1440" s="67"/>
    </row>
    <row r="1441" spans="1:2" x14ac:dyDescent="0.25">
      <c r="A1441" s="67"/>
      <c r="B1441" s="67"/>
    </row>
    <row r="1442" spans="1:2" x14ac:dyDescent="0.25">
      <c r="A1442" s="67"/>
      <c r="B1442" s="67"/>
    </row>
    <row r="1443" spans="1:2" x14ac:dyDescent="0.25">
      <c r="A1443" s="67"/>
      <c r="B1443" s="67"/>
    </row>
    <row r="1444" spans="1:2" x14ac:dyDescent="0.25">
      <c r="A1444" s="67"/>
      <c r="B1444" s="67"/>
    </row>
    <row r="1445" spans="1:2" x14ac:dyDescent="0.25">
      <c r="A1445" s="67"/>
      <c r="B1445" s="67"/>
    </row>
    <row r="1446" spans="1:2" x14ac:dyDescent="0.25">
      <c r="A1446" s="67"/>
      <c r="B1446" s="67"/>
    </row>
    <row r="1447" spans="1:2" x14ac:dyDescent="0.25">
      <c r="A1447" s="67"/>
      <c r="B1447" s="67"/>
    </row>
    <row r="1448" spans="1:2" x14ac:dyDescent="0.25">
      <c r="A1448" s="67"/>
      <c r="B1448" s="67"/>
    </row>
    <row r="1449" spans="1:2" x14ac:dyDescent="0.25">
      <c r="A1449" s="67"/>
      <c r="B1449" s="67"/>
    </row>
    <row r="1450" spans="1:2" x14ac:dyDescent="0.25">
      <c r="A1450" s="67"/>
      <c r="B1450" s="67"/>
    </row>
    <row r="1451" spans="1:2" x14ac:dyDescent="0.25">
      <c r="A1451" s="67"/>
      <c r="B1451" s="67"/>
    </row>
    <row r="1452" spans="1:2" x14ac:dyDescent="0.25">
      <c r="A1452" s="67"/>
      <c r="B1452" s="67"/>
    </row>
    <row r="1453" spans="1:2" x14ac:dyDescent="0.25">
      <c r="A1453" s="67"/>
      <c r="B1453" s="67"/>
    </row>
    <row r="1454" spans="1:2" x14ac:dyDescent="0.25">
      <c r="A1454" s="67"/>
      <c r="B1454" s="67"/>
    </row>
    <row r="1455" spans="1:2" x14ac:dyDescent="0.25">
      <c r="A1455" s="67"/>
      <c r="B1455" s="67"/>
    </row>
    <row r="1456" spans="1:2" x14ac:dyDescent="0.25">
      <c r="A1456" s="67"/>
      <c r="B1456" s="67"/>
    </row>
    <row r="1457" spans="1:2" x14ac:dyDescent="0.25">
      <c r="A1457" s="67"/>
      <c r="B1457" s="67"/>
    </row>
    <row r="1458" spans="1:2" x14ac:dyDescent="0.25">
      <c r="A1458" s="67"/>
      <c r="B1458" s="67"/>
    </row>
    <row r="1459" spans="1:2" x14ac:dyDescent="0.25">
      <c r="A1459" s="67"/>
      <c r="B1459" s="67"/>
    </row>
    <row r="1460" spans="1:2" x14ac:dyDescent="0.25">
      <c r="A1460" s="67"/>
      <c r="B1460" s="67"/>
    </row>
    <row r="1461" spans="1:2" x14ac:dyDescent="0.25">
      <c r="A1461" s="67"/>
      <c r="B1461" s="67"/>
    </row>
    <row r="1462" spans="1:2" x14ac:dyDescent="0.25">
      <c r="A1462" s="67"/>
      <c r="B1462" s="67"/>
    </row>
    <row r="1463" spans="1:2" x14ac:dyDescent="0.25">
      <c r="A1463" s="67"/>
      <c r="B1463" s="67"/>
    </row>
    <row r="1464" spans="1:2" x14ac:dyDescent="0.25">
      <c r="A1464" s="67"/>
      <c r="B1464" s="67"/>
    </row>
    <row r="1465" spans="1:2" x14ac:dyDescent="0.25">
      <c r="A1465" s="67"/>
      <c r="B1465" s="67"/>
    </row>
    <row r="1466" spans="1:2" x14ac:dyDescent="0.25">
      <c r="A1466" s="67"/>
      <c r="B1466" s="67"/>
    </row>
    <row r="1467" spans="1:2" x14ac:dyDescent="0.25">
      <c r="A1467" s="67"/>
      <c r="B1467" s="67"/>
    </row>
    <row r="1468" spans="1:2" x14ac:dyDescent="0.25">
      <c r="A1468" s="67"/>
      <c r="B1468" s="67"/>
    </row>
    <row r="1469" spans="1:2" x14ac:dyDescent="0.25">
      <c r="A1469" s="67"/>
      <c r="B1469" s="67"/>
    </row>
    <row r="1470" spans="1:2" x14ac:dyDescent="0.25">
      <c r="A1470" s="67"/>
      <c r="B1470" s="67"/>
    </row>
    <row r="1471" spans="1:2" x14ac:dyDescent="0.25">
      <c r="A1471" s="67"/>
      <c r="B1471" s="67"/>
    </row>
    <row r="1472" spans="1:2" x14ac:dyDescent="0.25">
      <c r="A1472" s="67"/>
      <c r="B1472" s="67"/>
    </row>
    <row r="1473" spans="1:2" x14ac:dyDescent="0.25">
      <c r="A1473" s="67"/>
      <c r="B1473" s="67"/>
    </row>
    <row r="1474" spans="1:2" x14ac:dyDescent="0.25">
      <c r="A1474" s="67"/>
      <c r="B1474" s="67"/>
    </row>
    <row r="1475" spans="1:2" x14ac:dyDescent="0.25">
      <c r="A1475" s="67"/>
      <c r="B1475" s="67"/>
    </row>
    <row r="1476" spans="1:2" x14ac:dyDescent="0.25">
      <c r="A1476" s="67"/>
      <c r="B1476" s="67"/>
    </row>
    <row r="1477" spans="1:2" x14ac:dyDescent="0.25">
      <c r="A1477" s="67"/>
      <c r="B1477" s="67"/>
    </row>
    <row r="1478" spans="1:2" x14ac:dyDescent="0.25">
      <c r="A1478" s="67"/>
      <c r="B1478" s="67"/>
    </row>
    <row r="1479" spans="1:2" x14ac:dyDescent="0.25">
      <c r="A1479" s="67"/>
      <c r="B1479" s="67"/>
    </row>
    <row r="1480" spans="1:2" x14ac:dyDescent="0.25">
      <c r="A1480" s="67"/>
      <c r="B1480" s="67"/>
    </row>
    <row r="1481" spans="1:2" x14ac:dyDescent="0.25">
      <c r="A1481" s="67"/>
      <c r="B1481" s="67"/>
    </row>
    <row r="1482" spans="1:2" x14ac:dyDescent="0.25">
      <c r="A1482" s="67"/>
      <c r="B1482" s="67"/>
    </row>
    <row r="1483" spans="1:2" x14ac:dyDescent="0.25">
      <c r="A1483" s="67"/>
      <c r="B1483" s="67"/>
    </row>
    <row r="1484" spans="1:2" x14ac:dyDescent="0.25">
      <c r="A1484" s="67"/>
      <c r="B1484" s="67"/>
    </row>
    <row r="1485" spans="1:2" x14ac:dyDescent="0.25">
      <c r="A1485" s="67"/>
      <c r="B1485" s="67"/>
    </row>
    <row r="1486" spans="1:2" x14ac:dyDescent="0.25">
      <c r="A1486" s="67"/>
      <c r="B1486" s="67"/>
    </row>
    <row r="1487" spans="1:2" x14ac:dyDescent="0.25">
      <c r="A1487" s="67"/>
      <c r="B1487" s="67"/>
    </row>
    <row r="1488" spans="1:2" x14ac:dyDescent="0.25">
      <c r="A1488" s="67"/>
      <c r="B1488" s="67"/>
    </row>
    <row r="1489" spans="1:2" x14ac:dyDescent="0.25">
      <c r="A1489" s="67"/>
      <c r="B1489" s="67"/>
    </row>
    <row r="1490" spans="1:2" x14ac:dyDescent="0.25">
      <c r="A1490" s="67"/>
      <c r="B1490" s="67"/>
    </row>
    <row r="1491" spans="1:2" x14ac:dyDescent="0.25">
      <c r="A1491" s="67"/>
      <c r="B1491" s="67"/>
    </row>
    <row r="1492" spans="1:2" x14ac:dyDescent="0.25">
      <c r="A1492" s="67"/>
      <c r="B1492" s="67"/>
    </row>
    <row r="1493" spans="1:2" x14ac:dyDescent="0.25">
      <c r="A1493" s="67"/>
      <c r="B1493" s="67"/>
    </row>
    <row r="1494" spans="1:2" x14ac:dyDescent="0.25">
      <c r="A1494" s="67"/>
      <c r="B1494" s="67"/>
    </row>
    <row r="1495" spans="1:2" x14ac:dyDescent="0.25">
      <c r="A1495" s="67"/>
      <c r="B1495" s="67"/>
    </row>
    <row r="1496" spans="1:2" x14ac:dyDescent="0.25">
      <c r="A1496" s="67"/>
      <c r="B1496" s="67"/>
    </row>
    <row r="1497" spans="1:2" x14ac:dyDescent="0.25">
      <c r="A1497" s="67"/>
      <c r="B1497" s="67"/>
    </row>
    <row r="1498" spans="1:2" x14ac:dyDescent="0.25">
      <c r="A1498" s="67"/>
      <c r="B1498" s="67"/>
    </row>
    <row r="1499" spans="1:2" x14ac:dyDescent="0.25">
      <c r="A1499" s="67"/>
      <c r="B1499" s="67"/>
    </row>
    <row r="1500" spans="1:2" x14ac:dyDescent="0.25">
      <c r="A1500" s="67"/>
      <c r="B1500" s="67"/>
    </row>
    <row r="1501" spans="1:2" x14ac:dyDescent="0.25">
      <c r="A1501" s="67"/>
      <c r="B1501" s="67"/>
    </row>
    <row r="1502" spans="1:2" x14ac:dyDescent="0.25">
      <c r="A1502" s="67"/>
      <c r="B1502" s="67"/>
    </row>
    <row r="1503" spans="1:2" x14ac:dyDescent="0.25">
      <c r="A1503" s="67"/>
      <c r="B1503" s="67"/>
    </row>
    <row r="1504" spans="1:2" x14ac:dyDescent="0.25">
      <c r="A1504" s="67"/>
      <c r="B1504" s="67"/>
    </row>
    <row r="1505" spans="1:2" x14ac:dyDescent="0.25">
      <c r="A1505" s="67"/>
      <c r="B1505" s="67"/>
    </row>
    <row r="1506" spans="1:2" x14ac:dyDescent="0.25">
      <c r="A1506" s="67"/>
      <c r="B1506" s="67"/>
    </row>
    <row r="1507" spans="1:2" x14ac:dyDescent="0.25">
      <c r="A1507" s="67"/>
      <c r="B1507" s="67"/>
    </row>
    <row r="1508" spans="1:2" x14ac:dyDescent="0.25">
      <c r="A1508" s="67"/>
      <c r="B1508" s="67"/>
    </row>
    <row r="1509" spans="1:2" x14ac:dyDescent="0.25">
      <c r="A1509" s="67"/>
      <c r="B1509" s="67"/>
    </row>
    <row r="1510" spans="1:2" x14ac:dyDescent="0.25">
      <c r="A1510" s="67"/>
      <c r="B1510" s="67"/>
    </row>
    <row r="1511" spans="1:2" x14ac:dyDescent="0.25">
      <c r="A1511" s="67"/>
      <c r="B1511" s="67"/>
    </row>
    <row r="1512" spans="1:2" x14ac:dyDescent="0.25">
      <c r="A1512" s="67"/>
      <c r="B1512" s="67"/>
    </row>
    <row r="1513" spans="1:2" x14ac:dyDescent="0.25">
      <c r="A1513" s="67"/>
      <c r="B1513" s="67"/>
    </row>
    <row r="1514" spans="1:2" x14ac:dyDescent="0.25">
      <c r="A1514" s="67"/>
      <c r="B1514" s="67"/>
    </row>
    <row r="1515" spans="1:2" x14ac:dyDescent="0.25">
      <c r="A1515" s="67"/>
      <c r="B1515" s="67"/>
    </row>
    <row r="1516" spans="1:2" x14ac:dyDescent="0.25">
      <c r="A1516" s="67"/>
      <c r="B1516" s="67"/>
    </row>
    <row r="1517" spans="1:2" x14ac:dyDescent="0.25">
      <c r="A1517" s="67"/>
      <c r="B1517" s="67"/>
    </row>
    <row r="1518" spans="1:2" x14ac:dyDescent="0.25">
      <c r="A1518" s="67"/>
      <c r="B1518" s="67"/>
    </row>
    <row r="1519" spans="1:2" x14ac:dyDescent="0.25">
      <c r="A1519" s="67"/>
      <c r="B1519" s="67"/>
    </row>
    <row r="1520" spans="1:2" x14ac:dyDescent="0.25">
      <c r="A1520" s="67"/>
      <c r="B1520" s="67"/>
    </row>
    <row r="1521" spans="1:2" x14ac:dyDescent="0.25">
      <c r="A1521" s="67"/>
      <c r="B1521" s="67"/>
    </row>
    <row r="1522" spans="1:2" x14ac:dyDescent="0.25">
      <c r="A1522" s="67"/>
      <c r="B1522" s="67"/>
    </row>
    <row r="1523" spans="1:2" x14ac:dyDescent="0.25">
      <c r="A1523" s="67"/>
      <c r="B1523" s="67"/>
    </row>
    <row r="1524" spans="1:2" x14ac:dyDescent="0.25">
      <c r="A1524" s="67"/>
      <c r="B1524" s="67"/>
    </row>
    <row r="1525" spans="1:2" x14ac:dyDescent="0.25">
      <c r="A1525" s="67"/>
      <c r="B1525" s="67"/>
    </row>
    <row r="1526" spans="1:2" x14ac:dyDescent="0.25">
      <c r="A1526" s="67"/>
      <c r="B1526" s="67"/>
    </row>
    <row r="1527" spans="1:2" x14ac:dyDescent="0.25">
      <c r="A1527" s="67"/>
      <c r="B1527" s="67"/>
    </row>
    <row r="1528" spans="1:2" x14ac:dyDescent="0.25">
      <c r="A1528" s="67"/>
      <c r="B1528" s="67"/>
    </row>
    <row r="1529" spans="1:2" x14ac:dyDescent="0.25">
      <c r="A1529" s="67"/>
      <c r="B1529" s="67"/>
    </row>
    <row r="1530" spans="1:2" x14ac:dyDescent="0.25">
      <c r="A1530" s="67"/>
      <c r="B1530" s="67"/>
    </row>
    <row r="1531" spans="1:2" x14ac:dyDescent="0.25">
      <c r="A1531" s="67"/>
      <c r="B1531" s="67"/>
    </row>
    <row r="1532" spans="1:2" x14ac:dyDescent="0.25">
      <c r="A1532" s="67"/>
      <c r="B1532" s="67"/>
    </row>
    <row r="1533" spans="1:2" x14ac:dyDescent="0.25">
      <c r="A1533" s="67"/>
      <c r="B1533" s="67"/>
    </row>
    <row r="1534" spans="1:2" x14ac:dyDescent="0.25">
      <c r="A1534" s="67"/>
      <c r="B1534" s="67"/>
    </row>
    <row r="1535" spans="1:2" x14ac:dyDescent="0.25">
      <c r="A1535" s="67"/>
      <c r="B1535" s="67"/>
    </row>
    <row r="1536" spans="1:2" x14ac:dyDescent="0.25">
      <c r="A1536" s="67"/>
      <c r="B1536" s="67"/>
    </row>
    <row r="1537" spans="1:2" x14ac:dyDescent="0.25">
      <c r="A1537" s="67"/>
      <c r="B1537" s="67"/>
    </row>
    <row r="1538" spans="1:2" x14ac:dyDescent="0.25">
      <c r="A1538" s="67"/>
      <c r="B1538" s="67"/>
    </row>
    <row r="1539" spans="1:2" x14ac:dyDescent="0.25">
      <c r="A1539" s="67"/>
      <c r="B1539" s="67"/>
    </row>
    <row r="1540" spans="1:2" x14ac:dyDescent="0.25">
      <c r="A1540" s="67"/>
      <c r="B1540" s="67"/>
    </row>
    <row r="1541" spans="1:2" x14ac:dyDescent="0.25">
      <c r="A1541" s="67"/>
      <c r="B1541" s="67"/>
    </row>
    <row r="1542" spans="1:2" x14ac:dyDescent="0.25">
      <c r="A1542" s="67"/>
      <c r="B1542" s="67"/>
    </row>
    <row r="1543" spans="1:2" x14ac:dyDescent="0.25">
      <c r="A1543" s="67"/>
      <c r="B1543" s="67"/>
    </row>
    <row r="1544" spans="1:2" x14ac:dyDescent="0.25">
      <c r="A1544" s="67"/>
      <c r="B1544" s="67"/>
    </row>
    <row r="1545" spans="1:2" x14ac:dyDescent="0.25">
      <c r="A1545" s="67"/>
      <c r="B1545" s="67"/>
    </row>
    <row r="1546" spans="1:2" x14ac:dyDescent="0.25">
      <c r="A1546" s="67"/>
      <c r="B1546" s="67"/>
    </row>
    <row r="1547" spans="1:2" x14ac:dyDescent="0.25">
      <c r="A1547" s="67"/>
      <c r="B1547" s="67"/>
    </row>
    <row r="1548" spans="1:2" x14ac:dyDescent="0.25">
      <c r="A1548" s="67"/>
      <c r="B1548" s="67"/>
    </row>
    <row r="1549" spans="1:2" x14ac:dyDescent="0.25">
      <c r="A1549" s="67"/>
      <c r="B1549" s="67"/>
    </row>
    <row r="1550" spans="1:2" x14ac:dyDescent="0.25">
      <c r="A1550" s="67"/>
      <c r="B1550" s="67"/>
    </row>
    <row r="1551" spans="1:2" x14ac:dyDescent="0.25">
      <c r="A1551" s="67"/>
      <c r="B1551" s="67"/>
    </row>
    <row r="1552" spans="1:2" x14ac:dyDescent="0.25">
      <c r="A1552" s="67"/>
      <c r="B1552" s="67"/>
    </row>
    <row r="1553" spans="1:2" x14ac:dyDescent="0.25">
      <c r="A1553" s="67"/>
      <c r="B1553" s="67"/>
    </row>
    <row r="1554" spans="1:2" x14ac:dyDescent="0.25">
      <c r="A1554" s="67"/>
      <c r="B1554" s="67"/>
    </row>
    <row r="1555" spans="1:2" x14ac:dyDescent="0.25">
      <c r="A1555" s="67"/>
      <c r="B1555" s="67"/>
    </row>
    <row r="1556" spans="1:2" x14ac:dyDescent="0.25">
      <c r="A1556" s="67"/>
      <c r="B1556" s="67"/>
    </row>
    <row r="1557" spans="1:2" x14ac:dyDescent="0.25">
      <c r="A1557" s="67"/>
      <c r="B1557" s="67"/>
    </row>
    <row r="1558" spans="1:2" x14ac:dyDescent="0.25">
      <c r="A1558" s="67"/>
      <c r="B1558" s="67"/>
    </row>
    <row r="1559" spans="1:2" x14ac:dyDescent="0.25">
      <c r="A1559" s="67"/>
      <c r="B1559" s="67"/>
    </row>
    <row r="1560" spans="1:2" x14ac:dyDescent="0.25">
      <c r="A1560" s="67"/>
      <c r="B1560" s="67"/>
    </row>
    <row r="1561" spans="1:2" x14ac:dyDescent="0.25">
      <c r="A1561" s="67"/>
      <c r="B1561" s="67"/>
    </row>
    <row r="1562" spans="1:2" x14ac:dyDescent="0.25">
      <c r="A1562" s="67"/>
      <c r="B1562" s="67"/>
    </row>
    <row r="1563" spans="1:2" x14ac:dyDescent="0.25">
      <c r="A1563" s="67"/>
      <c r="B1563" s="67"/>
    </row>
    <row r="1564" spans="1:2" x14ac:dyDescent="0.25">
      <c r="A1564" s="67"/>
      <c r="B1564" s="67"/>
    </row>
    <row r="1565" spans="1:2" x14ac:dyDescent="0.25">
      <c r="A1565" s="67"/>
      <c r="B1565" s="67"/>
    </row>
    <row r="1566" spans="1:2" x14ac:dyDescent="0.25">
      <c r="A1566" s="67"/>
      <c r="B1566" s="67"/>
    </row>
    <row r="1567" spans="1:2" x14ac:dyDescent="0.25">
      <c r="A1567" s="67"/>
      <c r="B1567" s="67"/>
    </row>
    <row r="1568" spans="1:2" x14ac:dyDescent="0.25">
      <c r="A1568" s="67"/>
      <c r="B1568" s="67"/>
    </row>
    <row r="1569" spans="1:2" x14ac:dyDescent="0.25">
      <c r="A1569" s="67"/>
      <c r="B1569" s="67"/>
    </row>
    <row r="1570" spans="1:2" x14ac:dyDescent="0.25">
      <c r="A1570" s="67"/>
      <c r="B1570" s="67"/>
    </row>
    <row r="1571" spans="1:2" x14ac:dyDescent="0.25">
      <c r="A1571" s="67"/>
      <c r="B1571" s="67"/>
    </row>
    <row r="1572" spans="1:2" x14ac:dyDescent="0.25">
      <c r="A1572" s="67"/>
      <c r="B1572" s="67"/>
    </row>
    <row r="1573" spans="1:2" x14ac:dyDescent="0.25">
      <c r="A1573" s="67"/>
      <c r="B1573" s="67"/>
    </row>
    <row r="1574" spans="1:2" x14ac:dyDescent="0.25">
      <c r="A1574" s="67"/>
      <c r="B1574" s="67"/>
    </row>
    <row r="1575" spans="1:2" x14ac:dyDescent="0.25">
      <c r="A1575" s="67"/>
      <c r="B1575" s="67"/>
    </row>
    <row r="1576" spans="1:2" x14ac:dyDescent="0.25">
      <c r="A1576" s="67"/>
      <c r="B1576" s="67"/>
    </row>
    <row r="1577" spans="1:2" x14ac:dyDescent="0.25">
      <c r="A1577" s="67"/>
      <c r="B1577" s="67"/>
    </row>
    <row r="1578" spans="1:2" x14ac:dyDescent="0.25">
      <c r="A1578" s="67"/>
      <c r="B1578" s="67"/>
    </row>
    <row r="1579" spans="1:2" x14ac:dyDescent="0.25">
      <c r="A1579" s="67"/>
      <c r="B1579" s="67"/>
    </row>
    <row r="1580" spans="1:2" x14ac:dyDescent="0.25">
      <c r="A1580" s="67"/>
      <c r="B1580" s="67"/>
    </row>
    <row r="1581" spans="1:2" x14ac:dyDescent="0.25">
      <c r="A1581" s="67"/>
      <c r="B1581" s="67"/>
    </row>
    <row r="1582" spans="1:2" x14ac:dyDescent="0.25">
      <c r="A1582" s="67"/>
      <c r="B1582" s="67"/>
    </row>
    <row r="1583" spans="1:2" x14ac:dyDescent="0.25">
      <c r="A1583" s="67"/>
      <c r="B1583" s="67"/>
    </row>
    <row r="1584" spans="1:2" x14ac:dyDescent="0.25">
      <c r="A1584" s="67"/>
      <c r="B1584" s="67"/>
    </row>
    <row r="1585" spans="1:2" x14ac:dyDescent="0.25">
      <c r="A1585" s="67"/>
      <c r="B1585" s="67"/>
    </row>
    <row r="1586" spans="1:2" x14ac:dyDescent="0.25">
      <c r="A1586" s="67"/>
      <c r="B1586" s="67"/>
    </row>
    <row r="1587" spans="1:2" x14ac:dyDescent="0.25">
      <c r="A1587" s="67"/>
      <c r="B1587" s="67"/>
    </row>
    <row r="1588" spans="1:2" x14ac:dyDescent="0.25">
      <c r="A1588" s="67"/>
      <c r="B1588" s="67"/>
    </row>
    <row r="1589" spans="1:2" x14ac:dyDescent="0.25">
      <c r="A1589" s="67"/>
      <c r="B1589" s="67"/>
    </row>
    <row r="1590" spans="1:2" x14ac:dyDescent="0.25">
      <c r="A1590" s="67"/>
      <c r="B1590" s="67"/>
    </row>
    <row r="1591" spans="1:2" x14ac:dyDescent="0.25">
      <c r="A1591" s="67"/>
      <c r="B1591" s="67"/>
    </row>
    <row r="1592" spans="1:2" x14ac:dyDescent="0.25">
      <c r="A1592" s="67"/>
      <c r="B1592" s="67"/>
    </row>
    <row r="1593" spans="1:2" x14ac:dyDescent="0.25">
      <c r="A1593" s="67"/>
      <c r="B1593" s="67"/>
    </row>
    <row r="1594" spans="1:2" x14ac:dyDescent="0.25">
      <c r="A1594" s="67"/>
      <c r="B1594" s="67"/>
    </row>
    <row r="1595" spans="1:2" x14ac:dyDescent="0.25">
      <c r="A1595" s="67"/>
      <c r="B1595" s="67"/>
    </row>
    <row r="1596" spans="1:2" x14ac:dyDescent="0.25">
      <c r="A1596" s="67"/>
      <c r="B1596" s="67"/>
    </row>
    <row r="1597" spans="1:2" x14ac:dyDescent="0.25">
      <c r="A1597" s="67"/>
      <c r="B1597" s="67"/>
    </row>
    <row r="1598" spans="1:2" x14ac:dyDescent="0.25">
      <c r="A1598" s="67"/>
      <c r="B1598" s="67"/>
    </row>
    <row r="1599" spans="1:2" x14ac:dyDescent="0.25">
      <c r="A1599" s="67"/>
      <c r="B1599" s="67"/>
    </row>
    <row r="1600" spans="1:2" x14ac:dyDescent="0.25">
      <c r="A1600" s="67"/>
      <c r="B1600" s="67"/>
    </row>
    <row r="1601" spans="1:2" x14ac:dyDescent="0.25">
      <c r="A1601" s="67"/>
      <c r="B1601" s="67"/>
    </row>
    <row r="1602" spans="1:2" x14ac:dyDescent="0.25">
      <c r="A1602" s="67"/>
      <c r="B1602" s="67"/>
    </row>
    <row r="1603" spans="1:2" x14ac:dyDescent="0.25">
      <c r="A1603" s="67"/>
      <c r="B1603" s="67"/>
    </row>
    <row r="1604" spans="1:2" x14ac:dyDescent="0.25">
      <c r="A1604" s="67"/>
      <c r="B1604" s="67"/>
    </row>
    <row r="1605" spans="1:2" x14ac:dyDescent="0.25">
      <c r="A1605" s="67"/>
      <c r="B1605" s="67"/>
    </row>
    <row r="1606" spans="1:2" x14ac:dyDescent="0.25">
      <c r="A1606" s="67"/>
      <c r="B1606" s="67"/>
    </row>
    <row r="1607" spans="1:2" x14ac:dyDescent="0.25">
      <c r="A1607" s="67"/>
      <c r="B1607" s="67"/>
    </row>
    <row r="1608" spans="1:2" x14ac:dyDescent="0.25">
      <c r="A1608" s="67"/>
      <c r="B1608" s="67"/>
    </row>
    <row r="1609" spans="1:2" x14ac:dyDescent="0.25">
      <c r="A1609" s="67"/>
      <c r="B1609" s="67"/>
    </row>
    <row r="1610" spans="1:2" x14ac:dyDescent="0.25">
      <c r="A1610" s="67"/>
      <c r="B1610" s="67"/>
    </row>
    <row r="1611" spans="1:2" x14ac:dyDescent="0.25">
      <c r="A1611" s="67"/>
      <c r="B1611" s="67"/>
    </row>
    <row r="1612" spans="1:2" x14ac:dyDescent="0.25">
      <c r="A1612" s="67"/>
      <c r="B1612" s="67"/>
    </row>
    <row r="1613" spans="1:2" x14ac:dyDescent="0.25">
      <c r="A1613" s="67"/>
      <c r="B1613" s="67"/>
    </row>
    <row r="1614" spans="1:2" x14ac:dyDescent="0.25">
      <c r="A1614" s="67"/>
      <c r="B1614" s="67"/>
    </row>
    <row r="1615" spans="1:2" x14ac:dyDescent="0.25">
      <c r="A1615" s="67"/>
      <c r="B1615" s="67"/>
    </row>
    <row r="1616" spans="1:2" x14ac:dyDescent="0.25">
      <c r="A1616" s="67"/>
      <c r="B1616" s="67"/>
    </row>
    <row r="1617" spans="1:2" x14ac:dyDescent="0.25">
      <c r="A1617" s="67"/>
      <c r="B1617" s="67"/>
    </row>
    <row r="1618" spans="1:2" x14ac:dyDescent="0.25">
      <c r="A1618" s="67"/>
      <c r="B1618" s="67"/>
    </row>
    <row r="1619" spans="1:2" x14ac:dyDescent="0.25">
      <c r="A1619" s="67"/>
      <c r="B1619" s="67"/>
    </row>
    <row r="1620" spans="1:2" x14ac:dyDescent="0.25">
      <c r="A1620" s="67"/>
      <c r="B1620" s="67"/>
    </row>
    <row r="1621" spans="1:2" x14ac:dyDescent="0.25">
      <c r="A1621" s="67"/>
      <c r="B1621" s="67"/>
    </row>
    <row r="1622" spans="1:2" x14ac:dyDescent="0.25">
      <c r="A1622" s="67"/>
      <c r="B1622" s="67"/>
    </row>
    <row r="1623" spans="1:2" x14ac:dyDescent="0.25">
      <c r="A1623" s="67"/>
      <c r="B1623" s="67"/>
    </row>
    <row r="1624" spans="1:2" x14ac:dyDescent="0.25">
      <c r="A1624" s="67"/>
      <c r="B1624" s="67"/>
    </row>
    <row r="1625" spans="1:2" x14ac:dyDescent="0.25">
      <c r="A1625" s="67"/>
      <c r="B1625" s="67"/>
    </row>
    <row r="1626" spans="1:2" x14ac:dyDescent="0.25">
      <c r="A1626" s="67"/>
      <c r="B1626" s="67"/>
    </row>
    <row r="1627" spans="1:2" x14ac:dyDescent="0.25">
      <c r="A1627" s="67"/>
      <c r="B1627" s="67"/>
    </row>
    <row r="1628" spans="1:2" x14ac:dyDescent="0.25">
      <c r="A1628" s="67"/>
      <c r="B1628" s="67"/>
    </row>
    <row r="1629" spans="1:2" x14ac:dyDescent="0.25">
      <c r="A1629" s="67"/>
      <c r="B1629" s="67"/>
    </row>
    <row r="1630" spans="1:2" x14ac:dyDescent="0.25">
      <c r="A1630" s="67"/>
      <c r="B1630" s="67"/>
    </row>
    <row r="1631" spans="1:2" x14ac:dyDescent="0.25">
      <c r="A1631" s="67"/>
      <c r="B1631" s="67"/>
    </row>
    <row r="1632" spans="1:2" x14ac:dyDescent="0.25">
      <c r="A1632" s="67"/>
      <c r="B1632" s="67"/>
    </row>
    <row r="1633" spans="1:2" x14ac:dyDescent="0.25">
      <c r="A1633" s="67"/>
      <c r="B1633" s="67"/>
    </row>
    <row r="1634" spans="1:2" x14ac:dyDescent="0.25">
      <c r="A1634" s="67"/>
      <c r="B1634" s="67"/>
    </row>
    <row r="1635" spans="1:2" x14ac:dyDescent="0.25">
      <c r="A1635" s="67"/>
      <c r="B1635" s="67"/>
    </row>
    <row r="1636" spans="1:2" x14ac:dyDescent="0.25">
      <c r="A1636" s="67"/>
      <c r="B1636" s="67"/>
    </row>
    <row r="1637" spans="1:2" x14ac:dyDescent="0.25">
      <c r="A1637" s="67"/>
      <c r="B1637" s="67"/>
    </row>
    <row r="1638" spans="1:2" x14ac:dyDescent="0.25">
      <c r="A1638" s="67"/>
      <c r="B1638" s="67"/>
    </row>
    <row r="1639" spans="1:2" x14ac:dyDescent="0.25">
      <c r="A1639" s="67"/>
      <c r="B1639" s="67"/>
    </row>
    <row r="1640" spans="1:2" x14ac:dyDescent="0.25">
      <c r="A1640" s="67"/>
      <c r="B1640" s="67"/>
    </row>
    <row r="1641" spans="1:2" x14ac:dyDescent="0.25">
      <c r="A1641" s="67"/>
      <c r="B1641" s="67"/>
    </row>
    <row r="1642" spans="1:2" x14ac:dyDescent="0.25">
      <c r="A1642" s="67"/>
      <c r="B1642" s="67"/>
    </row>
    <row r="1643" spans="1:2" x14ac:dyDescent="0.25">
      <c r="A1643" s="67"/>
      <c r="B1643" s="67"/>
    </row>
    <row r="1644" spans="1:2" x14ac:dyDescent="0.25">
      <c r="A1644" s="67"/>
      <c r="B1644" s="67"/>
    </row>
    <row r="1645" spans="1:2" x14ac:dyDescent="0.25">
      <c r="A1645" s="67"/>
      <c r="B1645" s="67"/>
    </row>
    <row r="1646" spans="1:2" x14ac:dyDescent="0.25">
      <c r="A1646" s="67"/>
      <c r="B1646" s="67"/>
    </row>
    <row r="1647" spans="1:2" x14ac:dyDescent="0.25">
      <c r="A1647" s="67"/>
      <c r="B1647" s="67"/>
    </row>
    <row r="1648" spans="1:2" x14ac:dyDescent="0.25">
      <c r="A1648" s="67"/>
      <c r="B1648" s="67"/>
    </row>
    <row r="1649" spans="1:2" x14ac:dyDescent="0.25">
      <c r="A1649" s="67"/>
      <c r="B1649" s="67"/>
    </row>
    <row r="1650" spans="1:2" x14ac:dyDescent="0.25">
      <c r="A1650" s="67"/>
      <c r="B1650" s="67"/>
    </row>
    <row r="1651" spans="1:2" x14ac:dyDescent="0.25">
      <c r="A1651" s="67"/>
      <c r="B1651" s="67"/>
    </row>
    <row r="1652" spans="1:2" x14ac:dyDescent="0.25">
      <c r="A1652" s="67"/>
      <c r="B1652" s="67"/>
    </row>
    <row r="1653" spans="1:2" x14ac:dyDescent="0.25">
      <c r="A1653" s="67"/>
      <c r="B1653" s="67"/>
    </row>
    <row r="1654" spans="1:2" x14ac:dyDescent="0.25">
      <c r="A1654" s="67"/>
      <c r="B1654" s="67"/>
    </row>
    <row r="1655" spans="1:2" x14ac:dyDescent="0.25">
      <c r="A1655" s="67"/>
      <c r="B1655" s="67"/>
    </row>
    <row r="1656" spans="1:2" x14ac:dyDescent="0.25">
      <c r="A1656" s="67"/>
      <c r="B1656" s="67"/>
    </row>
    <row r="1657" spans="1:2" x14ac:dyDescent="0.25">
      <c r="A1657" s="67"/>
      <c r="B1657" s="67"/>
    </row>
    <row r="1658" spans="1:2" x14ac:dyDescent="0.25">
      <c r="A1658" s="67"/>
      <c r="B1658" s="67"/>
    </row>
    <row r="1659" spans="1:2" x14ac:dyDescent="0.25">
      <c r="A1659" s="67"/>
      <c r="B1659" s="67"/>
    </row>
    <row r="1660" spans="1:2" x14ac:dyDescent="0.25">
      <c r="A1660" s="67"/>
      <c r="B1660" s="67"/>
    </row>
    <row r="1661" spans="1:2" x14ac:dyDescent="0.25">
      <c r="A1661" s="67"/>
      <c r="B1661" s="67"/>
    </row>
    <row r="1662" spans="1:2" x14ac:dyDescent="0.25">
      <c r="A1662" s="67"/>
      <c r="B1662" s="67"/>
    </row>
    <row r="1663" spans="1:2" x14ac:dyDescent="0.25">
      <c r="A1663" s="67"/>
      <c r="B1663" s="67"/>
    </row>
    <row r="1664" spans="1:2" x14ac:dyDescent="0.25">
      <c r="A1664" s="67"/>
      <c r="B1664" s="67"/>
    </row>
    <row r="1665" spans="1:2" x14ac:dyDescent="0.25">
      <c r="A1665" s="67"/>
      <c r="B1665" s="67"/>
    </row>
    <row r="1666" spans="1:2" x14ac:dyDescent="0.25">
      <c r="A1666" s="67"/>
      <c r="B1666" s="67"/>
    </row>
    <row r="1667" spans="1:2" x14ac:dyDescent="0.25">
      <c r="A1667" s="67"/>
      <c r="B1667" s="67"/>
    </row>
    <row r="1668" spans="1:2" x14ac:dyDescent="0.25">
      <c r="A1668" s="67"/>
      <c r="B1668" s="67"/>
    </row>
    <row r="1669" spans="1:2" x14ac:dyDescent="0.25">
      <c r="A1669" s="67"/>
      <c r="B1669" s="67"/>
    </row>
    <row r="1670" spans="1:2" x14ac:dyDescent="0.25">
      <c r="A1670" s="67"/>
      <c r="B1670" s="67"/>
    </row>
    <row r="1671" spans="1:2" x14ac:dyDescent="0.25">
      <c r="A1671" s="67"/>
      <c r="B1671" s="67"/>
    </row>
    <row r="1672" spans="1:2" x14ac:dyDescent="0.25">
      <c r="A1672" s="67"/>
      <c r="B1672" s="67"/>
    </row>
    <row r="1673" spans="1:2" x14ac:dyDescent="0.25">
      <c r="A1673" s="67"/>
      <c r="B1673" s="67"/>
    </row>
    <row r="1674" spans="1:2" x14ac:dyDescent="0.25">
      <c r="A1674" s="67"/>
      <c r="B1674" s="67"/>
    </row>
    <row r="1675" spans="1:2" x14ac:dyDescent="0.25">
      <c r="A1675" s="67"/>
      <c r="B1675" s="67"/>
    </row>
    <row r="1676" spans="1:2" x14ac:dyDescent="0.25">
      <c r="A1676" s="67"/>
      <c r="B1676" s="67"/>
    </row>
    <row r="1677" spans="1:2" x14ac:dyDescent="0.25">
      <c r="A1677" s="67"/>
      <c r="B1677" s="67"/>
    </row>
    <row r="1678" spans="1:2" x14ac:dyDescent="0.25">
      <c r="A1678" s="67"/>
      <c r="B1678" s="67"/>
    </row>
    <row r="1679" spans="1:2" x14ac:dyDescent="0.25">
      <c r="A1679" s="67"/>
      <c r="B1679" s="67"/>
    </row>
    <row r="1680" spans="1:2" x14ac:dyDescent="0.25">
      <c r="A1680" s="67"/>
      <c r="B1680" s="67"/>
    </row>
    <row r="1681" spans="1:2" x14ac:dyDescent="0.25">
      <c r="A1681" s="67"/>
      <c r="B1681" s="67"/>
    </row>
    <row r="1682" spans="1:2" x14ac:dyDescent="0.25">
      <c r="A1682" s="67"/>
      <c r="B1682" s="67"/>
    </row>
    <row r="1683" spans="1:2" x14ac:dyDescent="0.25">
      <c r="A1683" s="67"/>
      <c r="B1683" s="67"/>
    </row>
    <row r="1684" spans="1:2" x14ac:dyDescent="0.25">
      <c r="A1684" s="67"/>
      <c r="B1684" s="67"/>
    </row>
    <row r="1685" spans="1:2" x14ac:dyDescent="0.25">
      <c r="A1685" s="67"/>
      <c r="B1685" s="67"/>
    </row>
    <row r="1686" spans="1:2" x14ac:dyDescent="0.25">
      <c r="A1686" s="67"/>
      <c r="B1686" s="67"/>
    </row>
    <row r="1687" spans="1:2" x14ac:dyDescent="0.25">
      <c r="A1687" s="67"/>
      <c r="B1687" s="67"/>
    </row>
    <row r="1688" spans="1:2" x14ac:dyDescent="0.25">
      <c r="A1688" s="67"/>
      <c r="B1688" s="67"/>
    </row>
    <row r="1689" spans="1:2" x14ac:dyDescent="0.25">
      <c r="A1689" s="67"/>
      <c r="B1689" s="67"/>
    </row>
    <row r="1690" spans="1:2" x14ac:dyDescent="0.25">
      <c r="A1690" s="67"/>
      <c r="B1690" s="67"/>
    </row>
    <row r="1691" spans="1:2" x14ac:dyDescent="0.25">
      <c r="A1691" s="67"/>
      <c r="B1691" s="67"/>
    </row>
    <row r="1692" spans="1:2" x14ac:dyDescent="0.25">
      <c r="A1692" s="67"/>
      <c r="B1692" s="67"/>
    </row>
    <row r="1693" spans="1:2" x14ac:dyDescent="0.25">
      <c r="A1693" s="67"/>
      <c r="B1693" s="67"/>
    </row>
    <row r="1694" spans="1:2" x14ac:dyDescent="0.25">
      <c r="A1694" s="67"/>
      <c r="B1694" s="67"/>
    </row>
    <row r="1695" spans="1:2" x14ac:dyDescent="0.25">
      <c r="A1695" s="67"/>
      <c r="B1695" s="67"/>
    </row>
    <row r="1696" spans="1:2" x14ac:dyDescent="0.25">
      <c r="A1696" s="67"/>
      <c r="B1696" s="67"/>
    </row>
    <row r="1697" spans="1:2" x14ac:dyDescent="0.25">
      <c r="A1697" s="67"/>
      <c r="B1697" s="67"/>
    </row>
    <row r="1698" spans="1:2" x14ac:dyDescent="0.25">
      <c r="A1698" s="67"/>
      <c r="B1698" s="67"/>
    </row>
    <row r="1699" spans="1:2" x14ac:dyDescent="0.25">
      <c r="A1699" s="67"/>
      <c r="B1699" s="67"/>
    </row>
    <row r="1700" spans="1:2" x14ac:dyDescent="0.25">
      <c r="A1700" s="67"/>
      <c r="B1700" s="67"/>
    </row>
    <row r="1701" spans="1:2" x14ac:dyDescent="0.25">
      <c r="A1701" s="67"/>
      <c r="B1701" s="67"/>
    </row>
    <row r="1702" spans="1:2" x14ac:dyDescent="0.25">
      <c r="A1702" s="67"/>
      <c r="B1702" s="67"/>
    </row>
    <row r="1703" spans="1:2" x14ac:dyDescent="0.25">
      <c r="A1703" s="67"/>
      <c r="B1703" s="67"/>
    </row>
    <row r="1704" spans="1:2" x14ac:dyDescent="0.25">
      <c r="A1704" s="67"/>
      <c r="B1704" s="67"/>
    </row>
    <row r="1705" spans="1:2" x14ac:dyDescent="0.25">
      <c r="A1705" s="67"/>
      <c r="B1705" s="67"/>
    </row>
    <row r="1706" spans="1:2" x14ac:dyDescent="0.25">
      <c r="A1706" s="67"/>
      <c r="B1706" s="67"/>
    </row>
    <row r="1707" spans="1:2" x14ac:dyDescent="0.25">
      <c r="A1707" s="67"/>
      <c r="B1707" s="67"/>
    </row>
    <row r="1708" spans="1:2" x14ac:dyDescent="0.25">
      <c r="A1708" s="67"/>
      <c r="B1708" s="67"/>
    </row>
    <row r="1709" spans="1:2" x14ac:dyDescent="0.25">
      <c r="A1709" s="67"/>
      <c r="B1709" s="67"/>
    </row>
    <row r="1710" spans="1:2" x14ac:dyDescent="0.25">
      <c r="A1710" s="67"/>
      <c r="B1710" s="67"/>
    </row>
    <row r="1711" spans="1:2" x14ac:dyDescent="0.25">
      <c r="A1711" s="67"/>
      <c r="B1711" s="67"/>
    </row>
    <row r="1712" spans="1:2" x14ac:dyDescent="0.25">
      <c r="A1712" s="67"/>
      <c r="B1712" s="67"/>
    </row>
    <row r="1713" spans="1:2" x14ac:dyDescent="0.25">
      <c r="A1713" s="67"/>
      <c r="B1713" s="67"/>
    </row>
    <row r="1714" spans="1:2" x14ac:dyDescent="0.25">
      <c r="A1714" s="67"/>
      <c r="B1714" s="67"/>
    </row>
    <row r="1715" spans="1:2" x14ac:dyDescent="0.25">
      <c r="A1715" s="67"/>
      <c r="B1715" s="67"/>
    </row>
    <row r="1716" spans="1:2" x14ac:dyDescent="0.25">
      <c r="A1716" s="67"/>
      <c r="B1716" s="67"/>
    </row>
    <row r="1717" spans="1:2" x14ac:dyDescent="0.25">
      <c r="A1717" s="67"/>
      <c r="B1717" s="67"/>
    </row>
    <row r="1718" spans="1:2" x14ac:dyDescent="0.25">
      <c r="A1718" s="67"/>
      <c r="B1718" s="67"/>
    </row>
    <row r="1719" spans="1:2" x14ac:dyDescent="0.25">
      <c r="A1719" s="67"/>
      <c r="B1719" s="67"/>
    </row>
    <row r="1720" spans="1:2" x14ac:dyDescent="0.25">
      <c r="A1720" s="67"/>
      <c r="B1720" s="67"/>
    </row>
    <row r="1721" spans="1:2" x14ac:dyDescent="0.25">
      <c r="A1721" s="67"/>
      <c r="B1721" s="67"/>
    </row>
    <row r="1722" spans="1:2" x14ac:dyDescent="0.25">
      <c r="A1722" s="67"/>
      <c r="B1722" s="67"/>
    </row>
    <row r="1723" spans="1:2" x14ac:dyDescent="0.25">
      <c r="A1723" s="67"/>
      <c r="B1723" s="67"/>
    </row>
    <row r="1724" spans="1:2" x14ac:dyDescent="0.25">
      <c r="A1724" s="67"/>
      <c r="B1724" s="67"/>
    </row>
    <row r="1725" spans="1:2" x14ac:dyDescent="0.25">
      <c r="A1725" s="67"/>
      <c r="B1725" s="67"/>
    </row>
    <row r="1726" spans="1:2" x14ac:dyDescent="0.25">
      <c r="A1726" s="67"/>
      <c r="B1726" s="67"/>
    </row>
    <row r="1727" spans="1:2" x14ac:dyDescent="0.25">
      <c r="A1727" s="67"/>
      <c r="B1727" s="67"/>
    </row>
    <row r="1728" spans="1:2" x14ac:dyDescent="0.25">
      <c r="A1728" s="67"/>
      <c r="B1728" s="67"/>
    </row>
    <row r="1729" spans="1:2" x14ac:dyDescent="0.25">
      <c r="A1729" s="67"/>
      <c r="B1729" s="67"/>
    </row>
    <row r="1730" spans="1:2" x14ac:dyDescent="0.25">
      <c r="A1730" s="67"/>
      <c r="B1730" s="67"/>
    </row>
    <row r="1731" spans="1:2" x14ac:dyDescent="0.25">
      <c r="A1731" s="67"/>
      <c r="B1731" s="67"/>
    </row>
    <row r="1732" spans="1:2" x14ac:dyDescent="0.25">
      <c r="A1732" s="67"/>
      <c r="B1732" s="67"/>
    </row>
    <row r="1733" spans="1:2" x14ac:dyDescent="0.25">
      <c r="A1733" s="67"/>
      <c r="B1733" s="67"/>
    </row>
    <row r="1734" spans="1:2" x14ac:dyDescent="0.25">
      <c r="A1734" s="67"/>
      <c r="B1734" s="67"/>
    </row>
    <row r="1735" spans="1:2" x14ac:dyDescent="0.25">
      <c r="A1735" s="67"/>
      <c r="B1735" s="67"/>
    </row>
    <row r="1736" spans="1:2" x14ac:dyDescent="0.25">
      <c r="A1736" s="67"/>
      <c r="B1736" s="67"/>
    </row>
    <row r="1737" spans="1:2" x14ac:dyDescent="0.25">
      <c r="A1737" s="67"/>
      <c r="B1737" s="67"/>
    </row>
    <row r="1738" spans="1:2" x14ac:dyDescent="0.25">
      <c r="A1738" s="67"/>
      <c r="B1738" s="67"/>
    </row>
    <row r="1739" spans="1:2" x14ac:dyDescent="0.25">
      <c r="A1739" s="67"/>
      <c r="B1739" s="67"/>
    </row>
    <row r="1740" spans="1:2" x14ac:dyDescent="0.25">
      <c r="A1740" s="67"/>
      <c r="B1740" s="67"/>
    </row>
    <row r="1741" spans="1:2" x14ac:dyDescent="0.25">
      <c r="A1741" s="67"/>
      <c r="B1741" s="67"/>
    </row>
    <row r="1742" spans="1:2" x14ac:dyDescent="0.25">
      <c r="A1742" s="67"/>
      <c r="B1742" s="67"/>
    </row>
    <row r="1743" spans="1:2" x14ac:dyDescent="0.25">
      <c r="A1743" s="67"/>
      <c r="B1743" s="67"/>
    </row>
    <row r="1744" spans="1:2" x14ac:dyDescent="0.25">
      <c r="A1744" s="67"/>
      <c r="B1744" s="67"/>
    </row>
    <row r="1745" spans="1:2" x14ac:dyDescent="0.25">
      <c r="A1745" s="67"/>
      <c r="B1745" s="67"/>
    </row>
    <row r="1746" spans="1:2" x14ac:dyDescent="0.25">
      <c r="A1746" s="67"/>
      <c r="B1746" s="67"/>
    </row>
    <row r="1747" spans="1:2" x14ac:dyDescent="0.25">
      <c r="A1747" s="67"/>
      <c r="B1747" s="67"/>
    </row>
    <row r="1748" spans="1:2" x14ac:dyDescent="0.25">
      <c r="A1748" s="67"/>
      <c r="B1748" s="67"/>
    </row>
    <row r="1749" spans="1:2" x14ac:dyDescent="0.25">
      <c r="A1749" s="67"/>
      <c r="B1749" s="67"/>
    </row>
    <row r="1750" spans="1:2" x14ac:dyDescent="0.25">
      <c r="A1750" s="67"/>
      <c r="B1750" s="67"/>
    </row>
    <row r="1751" spans="1:2" x14ac:dyDescent="0.25">
      <c r="A1751" s="67"/>
      <c r="B1751" s="67"/>
    </row>
    <row r="1752" spans="1:2" x14ac:dyDescent="0.25">
      <c r="A1752" s="67"/>
      <c r="B1752" s="67"/>
    </row>
    <row r="1753" spans="1:2" x14ac:dyDescent="0.25">
      <c r="A1753" s="67"/>
      <c r="B1753" s="67"/>
    </row>
    <row r="1754" spans="1:2" x14ac:dyDescent="0.25">
      <c r="A1754" s="67"/>
      <c r="B1754" s="67"/>
    </row>
    <row r="1755" spans="1:2" x14ac:dyDescent="0.25">
      <c r="A1755" s="67"/>
      <c r="B1755" s="67"/>
    </row>
    <row r="1756" spans="1:2" x14ac:dyDescent="0.25">
      <c r="A1756" s="67"/>
      <c r="B1756" s="67"/>
    </row>
    <row r="1757" spans="1:2" x14ac:dyDescent="0.25">
      <c r="A1757" s="67"/>
      <c r="B1757" s="67"/>
    </row>
    <row r="1758" spans="1:2" x14ac:dyDescent="0.25">
      <c r="A1758" s="67"/>
      <c r="B1758" s="67"/>
    </row>
    <row r="1759" spans="1:2" x14ac:dyDescent="0.25">
      <c r="A1759" s="67"/>
      <c r="B1759" s="67"/>
    </row>
    <row r="1760" spans="1:2" x14ac:dyDescent="0.25">
      <c r="A1760" s="67"/>
      <c r="B1760" s="67"/>
    </row>
    <row r="1761" spans="1:2" x14ac:dyDescent="0.25">
      <c r="A1761" s="67"/>
      <c r="B1761" s="67"/>
    </row>
    <row r="1762" spans="1:2" x14ac:dyDescent="0.25">
      <c r="A1762" s="67"/>
      <c r="B1762" s="67"/>
    </row>
    <row r="1763" spans="1:2" x14ac:dyDescent="0.25">
      <c r="A1763" s="67"/>
      <c r="B1763" s="67"/>
    </row>
    <row r="1764" spans="1:2" x14ac:dyDescent="0.25">
      <c r="A1764" s="67"/>
      <c r="B1764" s="67"/>
    </row>
    <row r="1765" spans="1:2" x14ac:dyDescent="0.25">
      <c r="A1765" s="67"/>
      <c r="B1765" s="67"/>
    </row>
    <row r="1766" spans="1:2" x14ac:dyDescent="0.25">
      <c r="A1766" s="67"/>
      <c r="B1766" s="67"/>
    </row>
    <row r="1767" spans="1:2" x14ac:dyDescent="0.25">
      <c r="A1767" s="67"/>
      <c r="B1767" s="67"/>
    </row>
    <row r="1768" spans="1:2" x14ac:dyDescent="0.25">
      <c r="A1768" s="67"/>
      <c r="B1768" s="67"/>
    </row>
    <row r="1769" spans="1:2" x14ac:dyDescent="0.25">
      <c r="A1769" s="67"/>
      <c r="B1769" s="67"/>
    </row>
    <row r="1770" spans="1:2" x14ac:dyDescent="0.25">
      <c r="A1770" s="67"/>
      <c r="B1770" s="67"/>
    </row>
    <row r="1771" spans="1:2" x14ac:dyDescent="0.25">
      <c r="A1771" s="67"/>
      <c r="B1771" s="67"/>
    </row>
    <row r="1772" spans="1:2" x14ac:dyDescent="0.25">
      <c r="A1772" s="67"/>
      <c r="B1772" s="67"/>
    </row>
    <row r="1773" spans="1:2" x14ac:dyDescent="0.25">
      <c r="A1773" s="67"/>
      <c r="B1773" s="67"/>
    </row>
    <row r="1774" spans="1:2" x14ac:dyDescent="0.25">
      <c r="A1774" s="67"/>
      <c r="B1774" s="67"/>
    </row>
    <row r="1775" spans="1:2" x14ac:dyDescent="0.25">
      <c r="A1775" s="67"/>
      <c r="B1775" s="67"/>
    </row>
    <row r="1776" spans="1:2" x14ac:dyDescent="0.25">
      <c r="A1776" s="67"/>
      <c r="B1776" s="67"/>
    </row>
    <row r="1777" spans="1:2" x14ac:dyDescent="0.25">
      <c r="A1777" s="67"/>
      <c r="B1777" s="67"/>
    </row>
    <row r="1778" spans="1:2" x14ac:dyDescent="0.25">
      <c r="A1778" s="67"/>
      <c r="B1778" s="67"/>
    </row>
    <row r="1779" spans="1:2" x14ac:dyDescent="0.25">
      <c r="A1779" s="67"/>
      <c r="B1779" s="67"/>
    </row>
    <row r="1780" spans="1:2" x14ac:dyDescent="0.25">
      <c r="A1780" s="67"/>
      <c r="B1780" s="67"/>
    </row>
    <row r="1781" spans="1:2" x14ac:dyDescent="0.25">
      <c r="A1781" s="67"/>
      <c r="B1781" s="67"/>
    </row>
    <row r="1782" spans="1:2" x14ac:dyDescent="0.25">
      <c r="A1782" s="67"/>
      <c r="B1782" s="67"/>
    </row>
    <row r="1783" spans="1:2" x14ac:dyDescent="0.25">
      <c r="A1783" s="67"/>
      <c r="B1783" s="67"/>
    </row>
    <row r="1784" spans="1:2" x14ac:dyDescent="0.25">
      <c r="A1784" s="67"/>
      <c r="B1784" s="67"/>
    </row>
    <row r="1785" spans="1:2" x14ac:dyDescent="0.25">
      <c r="A1785" s="67"/>
      <c r="B1785" s="67"/>
    </row>
    <row r="1786" spans="1:2" x14ac:dyDescent="0.25">
      <c r="A1786" s="67"/>
      <c r="B1786" s="67"/>
    </row>
    <row r="1787" spans="1:2" x14ac:dyDescent="0.25">
      <c r="A1787" s="67"/>
      <c r="B1787" s="67"/>
    </row>
    <row r="1788" spans="1:2" x14ac:dyDescent="0.25">
      <c r="A1788" s="67"/>
      <c r="B1788" s="67"/>
    </row>
    <row r="1789" spans="1:2" x14ac:dyDescent="0.25">
      <c r="A1789" s="67"/>
      <c r="B1789" s="67"/>
    </row>
    <row r="1790" spans="1:2" x14ac:dyDescent="0.25">
      <c r="A1790" s="67"/>
      <c r="B1790" s="67"/>
    </row>
    <row r="1791" spans="1:2" x14ac:dyDescent="0.25">
      <c r="A1791" s="67"/>
      <c r="B1791" s="67"/>
    </row>
    <row r="1792" spans="1:2" x14ac:dyDescent="0.25">
      <c r="A1792" s="67"/>
      <c r="B1792" s="67"/>
    </row>
    <row r="1793" spans="1:2" x14ac:dyDescent="0.25">
      <c r="A1793" s="67"/>
      <c r="B1793" s="67"/>
    </row>
    <row r="1794" spans="1:2" x14ac:dyDescent="0.25">
      <c r="A1794" s="67"/>
      <c r="B1794" s="67"/>
    </row>
    <row r="1795" spans="1:2" x14ac:dyDescent="0.25">
      <c r="A1795" s="67"/>
      <c r="B1795" s="67"/>
    </row>
    <row r="1796" spans="1:2" x14ac:dyDescent="0.25">
      <c r="A1796" s="67"/>
      <c r="B1796" s="67"/>
    </row>
    <row r="1797" spans="1:2" x14ac:dyDescent="0.25">
      <c r="A1797" s="67"/>
      <c r="B1797" s="67"/>
    </row>
    <row r="1798" spans="1:2" x14ac:dyDescent="0.25">
      <c r="A1798" s="67"/>
      <c r="B1798" s="67"/>
    </row>
    <row r="1799" spans="1:2" x14ac:dyDescent="0.25">
      <c r="A1799" s="67"/>
      <c r="B1799" s="67"/>
    </row>
    <row r="1800" spans="1:2" x14ac:dyDescent="0.25">
      <c r="A1800" s="67"/>
      <c r="B1800" s="67"/>
    </row>
    <row r="1801" spans="1:2" x14ac:dyDescent="0.25">
      <c r="A1801" s="67"/>
      <c r="B1801" s="67"/>
    </row>
    <row r="1802" spans="1:2" x14ac:dyDescent="0.25">
      <c r="A1802" s="67"/>
      <c r="B1802" s="67"/>
    </row>
    <row r="1803" spans="1:2" x14ac:dyDescent="0.25">
      <c r="A1803" s="67"/>
      <c r="B1803" s="67"/>
    </row>
    <row r="1804" spans="1:2" x14ac:dyDescent="0.25">
      <c r="A1804" s="67"/>
      <c r="B1804" s="67"/>
    </row>
    <row r="1805" spans="1:2" x14ac:dyDescent="0.25">
      <c r="A1805" s="67"/>
      <c r="B1805" s="67"/>
    </row>
    <row r="1806" spans="1:2" x14ac:dyDescent="0.25">
      <c r="A1806" s="67"/>
      <c r="B1806" s="67"/>
    </row>
    <row r="1807" spans="1:2" x14ac:dyDescent="0.25">
      <c r="A1807" s="67"/>
      <c r="B1807" s="67"/>
    </row>
    <row r="1808" spans="1:2" x14ac:dyDescent="0.25">
      <c r="A1808" s="67"/>
      <c r="B1808" s="67"/>
    </row>
    <row r="1809" spans="1:2" x14ac:dyDescent="0.25">
      <c r="A1809" s="67"/>
      <c r="B1809" s="67"/>
    </row>
    <row r="1810" spans="1:2" x14ac:dyDescent="0.25">
      <c r="A1810" s="67"/>
      <c r="B1810" s="67"/>
    </row>
    <row r="1811" spans="1:2" x14ac:dyDescent="0.25">
      <c r="A1811" s="67"/>
      <c r="B1811" s="67"/>
    </row>
    <row r="1812" spans="1:2" x14ac:dyDescent="0.25">
      <c r="A1812" s="67"/>
      <c r="B1812" s="67"/>
    </row>
    <row r="1813" spans="1:2" x14ac:dyDescent="0.25">
      <c r="A1813" s="67"/>
      <c r="B1813" s="67"/>
    </row>
    <row r="1814" spans="1:2" x14ac:dyDescent="0.25">
      <c r="A1814" s="67"/>
      <c r="B1814" s="67"/>
    </row>
    <row r="1815" spans="1:2" x14ac:dyDescent="0.25">
      <c r="A1815" s="67"/>
      <c r="B1815" s="67"/>
    </row>
    <row r="1816" spans="1:2" x14ac:dyDescent="0.25">
      <c r="A1816" s="67"/>
      <c r="B1816" s="67"/>
    </row>
    <row r="1817" spans="1:2" x14ac:dyDescent="0.25">
      <c r="A1817" s="67"/>
      <c r="B1817" s="67"/>
    </row>
    <row r="1818" spans="1:2" x14ac:dyDescent="0.25">
      <c r="A1818" s="67"/>
      <c r="B1818" s="67"/>
    </row>
    <row r="1819" spans="1:2" x14ac:dyDescent="0.25">
      <c r="A1819" s="67"/>
      <c r="B1819" s="67"/>
    </row>
    <row r="1820" spans="1:2" x14ac:dyDescent="0.25">
      <c r="A1820" s="67"/>
      <c r="B1820" s="67"/>
    </row>
    <row r="1821" spans="1:2" x14ac:dyDescent="0.25">
      <c r="A1821" s="67"/>
      <c r="B1821" s="67"/>
    </row>
    <row r="1822" spans="1:2" x14ac:dyDescent="0.25">
      <c r="A1822" s="67"/>
      <c r="B1822" s="67"/>
    </row>
    <row r="1823" spans="1:2" x14ac:dyDescent="0.25">
      <c r="A1823" s="67"/>
      <c r="B1823" s="67"/>
    </row>
    <row r="1824" spans="1:2" x14ac:dyDescent="0.25">
      <c r="A1824" s="67"/>
      <c r="B1824" s="67"/>
    </row>
    <row r="1825" spans="1:2" x14ac:dyDescent="0.25">
      <c r="A1825" s="67"/>
      <c r="B1825" s="67"/>
    </row>
    <row r="1826" spans="1:2" x14ac:dyDescent="0.25">
      <c r="A1826" s="67"/>
      <c r="B1826" s="67"/>
    </row>
    <row r="1827" spans="1:2" x14ac:dyDescent="0.25">
      <c r="A1827" s="67"/>
      <c r="B1827" s="67"/>
    </row>
    <row r="1828" spans="1:2" x14ac:dyDescent="0.25">
      <c r="A1828" s="67"/>
      <c r="B1828" s="67"/>
    </row>
    <row r="1829" spans="1:2" x14ac:dyDescent="0.25">
      <c r="A1829" s="67"/>
      <c r="B1829" s="67"/>
    </row>
    <row r="1830" spans="1:2" x14ac:dyDescent="0.25">
      <c r="A1830" s="67"/>
      <c r="B1830" s="67"/>
    </row>
    <row r="1831" spans="1:2" x14ac:dyDescent="0.25">
      <c r="A1831" s="67"/>
      <c r="B1831" s="67"/>
    </row>
    <row r="1832" spans="1:2" x14ac:dyDescent="0.25">
      <c r="A1832" s="67"/>
      <c r="B1832" s="67"/>
    </row>
    <row r="1833" spans="1:2" x14ac:dyDescent="0.25">
      <c r="A1833" s="67"/>
      <c r="B1833" s="67"/>
    </row>
    <row r="1834" spans="1:2" x14ac:dyDescent="0.25">
      <c r="A1834" s="67"/>
      <c r="B1834" s="67"/>
    </row>
    <row r="1835" spans="1:2" x14ac:dyDescent="0.25">
      <c r="A1835" s="67"/>
      <c r="B1835" s="67"/>
    </row>
    <row r="1836" spans="1:2" x14ac:dyDescent="0.25">
      <c r="A1836" s="67"/>
      <c r="B1836" s="67"/>
    </row>
    <row r="1837" spans="1:2" x14ac:dyDescent="0.25">
      <c r="A1837" s="67"/>
      <c r="B1837" s="67"/>
    </row>
    <row r="1838" spans="1:2" x14ac:dyDescent="0.25">
      <c r="A1838" s="67"/>
      <c r="B1838" s="67"/>
    </row>
    <row r="1839" spans="1:2" x14ac:dyDescent="0.25">
      <c r="A1839" s="67"/>
      <c r="B1839" s="67"/>
    </row>
    <row r="1840" spans="1:2" x14ac:dyDescent="0.25">
      <c r="A1840" s="67"/>
      <c r="B1840" s="67"/>
    </row>
    <row r="1841" spans="1:2" x14ac:dyDescent="0.25">
      <c r="A1841" s="67"/>
      <c r="B1841" s="67"/>
    </row>
    <row r="1842" spans="1:2" x14ac:dyDescent="0.25">
      <c r="A1842" s="67"/>
      <c r="B1842" s="67"/>
    </row>
    <row r="1843" spans="1:2" x14ac:dyDescent="0.25">
      <c r="A1843" s="67"/>
      <c r="B1843" s="67"/>
    </row>
    <row r="1844" spans="1:2" x14ac:dyDescent="0.25">
      <c r="A1844" s="67"/>
      <c r="B1844" s="67"/>
    </row>
    <row r="1845" spans="1:2" x14ac:dyDescent="0.25">
      <c r="A1845" s="67"/>
      <c r="B1845" s="67"/>
    </row>
    <row r="1846" spans="1:2" x14ac:dyDescent="0.25">
      <c r="A1846" s="67"/>
      <c r="B1846" s="67"/>
    </row>
    <row r="1847" spans="1:2" x14ac:dyDescent="0.25">
      <c r="A1847" s="67"/>
      <c r="B1847" s="67"/>
    </row>
    <row r="1848" spans="1:2" x14ac:dyDescent="0.25">
      <c r="A1848" s="67"/>
      <c r="B1848" s="67"/>
    </row>
    <row r="1849" spans="1:2" x14ac:dyDescent="0.25">
      <c r="A1849" s="67"/>
      <c r="B1849" s="67"/>
    </row>
    <row r="1850" spans="1:2" x14ac:dyDescent="0.25">
      <c r="A1850" s="67"/>
      <c r="B1850" s="67"/>
    </row>
    <row r="1851" spans="1:2" x14ac:dyDescent="0.25">
      <c r="A1851" s="67"/>
      <c r="B1851" s="67"/>
    </row>
    <row r="1852" spans="1:2" x14ac:dyDescent="0.25">
      <c r="A1852" s="67"/>
      <c r="B1852" s="67"/>
    </row>
    <row r="1853" spans="1:2" x14ac:dyDescent="0.25">
      <c r="A1853" s="67"/>
      <c r="B1853" s="67"/>
    </row>
    <row r="1854" spans="1:2" x14ac:dyDescent="0.25">
      <c r="A1854" s="67"/>
      <c r="B1854" s="67"/>
    </row>
    <row r="1855" spans="1:2" x14ac:dyDescent="0.25">
      <c r="A1855" s="67"/>
      <c r="B1855" s="67"/>
    </row>
    <row r="1856" spans="1:2" x14ac:dyDescent="0.25">
      <c r="A1856" s="67"/>
      <c r="B1856" s="67"/>
    </row>
    <row r="1857" spans="1:2" x14ac:dyDescent="0.25">
      <c r="A1857" s="67"/>
      <c r="B1857" s="67"/>
    </row>
    <row r="1858" spans="1:2" x14ac:dyDescent="0.25">
      <c r="A1858" s="67"/>
      <c r="B1858" s="67"/>
    </row>
    <row r="1859" spans="1:2" x14ac:dyDescent="0.25">
      <c r="A1859" s="67"/>
      <c r="B1859" s="67"/>
    </row>
    <row r="1860" spans="1:2" x14ac:dyDescent="0.25">
      <c r="A1860" s="67"/>
      <c r="B1860" s="67"/>
    </row>
    <row r="1861" spans="1:2" x14ac:dyDescent="0.25">
      <c r="A1861" s="67"/>
      <c r="B1861" s="67"/>
    </row>
    <row r="1862" spans="1:2" x14ac:dyDescent="0.25">
      <c r="A1862" s="67"/>
      <c r="B1862" s="67"/>
    </row>
    <row r="1863" spans="1:2" x14ac:dyDescent="0.25">
      <c r="A1863" s="67"/>
      <c r="B1863" s="67"/>
    </row>
    <row r="1864" spans="1:2" x14ac:dyDescent="0.25">
      <c r="A1864" s="67"/>
      <c r="B1864" s="67"/>
    </row>
    <row r="1865" spans="1:2" x14ac:dyDescent="0.25">
      <c r="A1865" s="67"/>
      <c r="B1865" s="67"/>
    </row>
    <row r="1866" spans="1:2" x14ac:dyDescent="0.25">
      <c r="A1866" s="67"/>
      <c r="B1866" s="67"/>
    </row>
    <row r="1867" spans="1:2" x14ac:dyDescent="0.25">
      <c r="A1867" s="67"/>
      <c r="B1867" s="67"/>
    </row>
    <row r="1868" spans="1:2" x14ac:dyDescent="0.25">
      <c r="A1868" s="67"/>
      <c r="B1868" s="67"/>
    </row>
    <row r="1869" spans="1:2" x14ac:dyDescent="0.25">
      <c r="A1869" s="67"/>
      <c r="B1869" s="67"/>
    </row>
    <row r="1870" spans="1:2" x14ac:dyDescent="0.25">
      <c r="A1870" s="67"/>
      <c r="B1870" s="67"/>
    </row>
    <row r="1871" spans="1:2" x14ac:dyDescent="0.25">
      <c r="A1871" s="67"/>
      <c r="B1871" s="67"/>
    </row>
    <row r="1872" spans="1:2" x14ac:dyDescent="0.25">
      <c r="A1872" s="67"/>
      <c r="B1872" s="67"/>
    </row>
    <row r="1873" spans="1:2" x14ac:dyDescent="0.25">
      <c r="A1873" s="67"/>
      <c r="B1873" s="67"/>
    </row>
    <row r="1874" spans="1:2" x14ac:dyDescent="0.25">
      <c r="A1874" s="67"/>
      <c r="B1874" s="67"/>
    </row>
    <row r="1875" spans="1:2" x14ac:dyDescent="0.25">
      <c r="A1875" s="67"/>
      <c r="B1875" s="67"/>
    </row>
    <row r="1876" spans="1:2" x14ac:dyDescent="0.25">
      <c r="A1876" s="67"/>
      <c r="B1876" s="67"/>
    </row>
    <row r="1877" spans="1:2" x14ac:dyDescent="0.25">
      <c r="A1877" s="67"/>
      <c r="B1877" s="67"/>
    </row>
    <row r="1878" spans="1:2" x14ac:dyDescent="0.25">
      <c r="A1878" s="67"/>
      <c r="B1878" s="67"/>
    </row>
    <row r="1879" spans="1:2" x14ac:dyDescent="0.25">
      <c r="A1879" s="67"/>
      <c r="B1879" s="67"/>
    </row>
    <row r="1880" spans="1:2" x14ac:dyDescent="0.25">
      <c r="A1880" s="67"/>
      <c r="B1880" s="67"/>
    </row>
    <row r="1881" spans="1:2" x14ac:dyDescent="0.25">
      <c r="A1881" s="67"/>
      <c r="B1881" s="67"/>
    </row>
    <row r="1882" spans="1:2" x14ac:dyDescent="0.25">
      <c r="A1882" s="67"/>
      <c r="B1882" s="67"/>
    </row>
    <row r="1883" spans="1:2" x14ac:dyDescent="0.25">
      <c r="A1883" s="67"/>
      <c r="B1883" s="67"/>
    </row>
    <row r="1884" spans="1:2" x14ac:dyDescent="0.25">
      <c r="A1884" s="67"/>
      <c r="B1884" s="67"/>
    </row>
    <row r="1885" spans="1:2" x14ac:dyDescent="0.25">
      <c r="A1885" s="67"/>
      <c r="B1885" s="67"/>
    </row>
    <row r="1886" spans="1:2" x14ac:dyDescent="0.25">
      <c r="A1886" s="67"/>
      <c r="B1886" s="67"/>
    </row>
    <row r="1887" spans="1:2" x14ac:dyDescent="0.25">
      <c r="A1887" s="67"/>
      <c r="B1887" s="67"/>
    </row>
    <row r="1888" spans="1:2" x14ac:dyDescent="0.25">
      <c r="A1888" s="67"/>
      <c r="B1888" s="67"/>
    </row>
    <row r="1889" spans="1:2" x14ac:dyDescent="0.25">
      <c r="A1889" s="67"/>
      <c r="B1889" s="67"/>
    </row>
    <row r="1890" spans="1:2" x14ac:dyDescent="0.25">
      <c r="A1890" s="67"/>
      <c r="B1890" s="67"/>
    </row>
    <row r="1891" spans="1:2" x14ac:dyDescent="0.25">
      <c r="A1891" s="67"/>
      <c r="B1891" s="67"/>
    </row>
    <row r="1892" spans="1:2" x14ac:dyDescent="0.25">
      <c r="A1892" s="67"/>
      <c r="B1892" s="67"/>
    </row>
    <row r="1893" spans="1:2" x14ac:dyDescent="0.25">
      <c r="A1893" s="67"/>
      <c r="B1893" s="67"/>
    </row>
    <row r="1894" spans="1:2" x14ac:dyDescent="0.25">
      <c r="A1894" s="67"/>
      <c r="B1894" s="67"/>
    </row>
    <row r="1895" spans="1:2" x14ac:dyDescent="0.25">
      <c r="A1895" s="67"/>
      <c r="B1895" s="67"/>
    </row>
    <row r="1896" spans="1:2" x14ac:dyDescent="0.25">
      <c r="A1896" s="67"/>
      <c r="B1896" s="67"/>
    </row>
    <row r="1897" spans="1:2" x14ac:dyDescent="0.25">
      <c r="A1897" s="67"/>
      <c r="B1897" s="67"/>
    </row>
    <row r="1898" spans="1:2" x14ac:dyDescent="0.25">
      <c r="A1898" s="67"/>
      <c r="B1898" s="67"/>
    </row>
    <row r="1899" spans="1:2" x14ac:dyDescent="0.25">
      <c r="A1899" s="67"/>
      <c r="B1899" s="67"/>
    </row>
    <row r="1900" spans="1:2" x14ac:dyDescent="0.25">
      <c r="A1900" s="67"/>
      <c r="B1900" s="67"/>
    </row>
    <row r="1901" spans="1:2" x14ac:dyDescent="0.25">
      <c r="A1901" s="67"/>
      <c r="B1901" s="67"/>
    </row>
    <row r="1902" spans="1:2" x14ac:dyDescent="0.25">
      <c r="A1902" s="67"/>
      <c r="B1902" s="67"/>
    </row>
    <row r="1903" spans="1:2" x14ac:dyDescent="0.25">
      <c r="A1903" s="67"/>
      <c r="B1903" s="67"/>
    </row>
    <row r="1904" spans="1:2" x14ac:dyDescent="0.25">
      <c r="A1904" s="67"/>
      <c r="B1904" s="67"/>
    </row>
    <row r="1905" spans="1:2" x14ac:dyDescent="0.25">
      <c r="A1905" s="67"/>
      <c r="B1905" s="67"/>
    </row>
    <row r="1906" spans="1:2" x14ac:dyDescent="0.25">
      <c r="A1906" s="67"/>
      <c r="B1906" s="67"/>
    </row>
    <row r="1907" spans="1:2" x14ac:dyDescent="0.25">
      <c r="A1907" s="67"/>
      <c r="B1907" s="67"/>
    </row>
    <row r="1908" spans="1:2" x14ac:dyDescent="0.25">
      <c r="A1908" s="67"/>
      <c r="B1908" s="67"/>
    </row>
    <row r="1909" spans="1:2" x14ac:dyDescent="0.25">
      <c r="A1909" s="67"/>
      <c r="B1909" s="67"/>
    </row>
    <row r="1910" spans="1:2" x14ac:dyDescent="0.25">
      <c r="A1910" s="67"/>
      <c r="B1910" s="67"/>
    </row>
    <row r="1911" spans="1:2" x14ac:dyDescent="0.25">
      <c r="A1911" s="67"/>
      <c r="B1911" s="67"/>
    </row>
    <row r="1912" spans="1:2" x14ac:dyDescent="0.25">
      <c r="A1912" s="67"/>
      <c r="B1912" s="67"/>
    </row>
    <row r="1913" spans="1:2" x14ac:dyDescent="0.25">
      <c r="A1913" s="67"/>
      <c r="B1913" s="67"/>
    </row>
    <row r="1914" spans="1:2" x14ac:dyDescent="0.25">
      <c r="A1914" s="67"/>
      <c r="B1914" s="67"/>
    </row>
    <row r="1915" spans="1:2" x14ac:dyDescent="0.25">
      <c r="A1915" s="67"/>
      <c r="B1915" s="67"/>
    </row>
    <row r="1916" spans="1:2" x14ac:dyDescent="0.25">
      <c r="A1916" s="67"/>
      <c r="B1916" s="67"/>
    </row>
    <row r="1917" spans="1:2" x14ac:dyDescent="0.25">
      <c r="A1917" s="67"/>
      <c r="B1917" s="67"/>
    </row>
    <row r="1918" spans="1:2" x14ac:dyDescent="0.25">
      <c r="A1918" s="67"/>
      <c r="B1918" s="67"/>
    </row>
    <row r="1919" spans="1:2" x14ac:dyDescent="0.25">
      <c r="A1919" s="67"/>
      <c r="B1919" s="67"/>
    </row>
    <row r="1920" spans="1:2" x14ac:dyDescent="0.25">
      <c r="A1920" s="67"/>
      <c r="B1920" s="67"/>
    </row>
    <row r="1921" spans="1:2" x14ac:dyDescent="0.25">
      <c r="A1921" s="67"/>
      <c r="B1921" s="67"/>
    </row>
    <row r="1922" spans="1:2" x14ac:dyDescent="0.25">
      <c r="A1922" s="67"/>
      <c r="B1922" s="67"/>
    </row>
    <row r="1923" spans="1:2" x14ac:dyDescent="0.25">
      <c r="A1923" s="67"/>
      <c r="B1923" s="67"/>
    </row>
    <row r="1924" spans="1:2" x14ac:dyDescent="0.25">
      <c r="A1924" s="67"/>
      <c r="B1924" s="67"/>
    </row>
    <row r="1925" spans="1:2" x14ac:dyDescent="0.25">
      <c r="A1925" s="67"/>
      <c r="B1925" s="67"/>
    </row>
    <row r="1926" spans="1:2" x14ac:dyDescent="0.25">
      <c r="A1926" s="67"/>
      <c r="B1926" s="67"/>
    </row>
    <row r="1927" spans="1:2" x14ac:dyDescent="0.25">
      <c r="A1927" s="67"/>
      <c r="B1927" s="67"/>
    </row>
    <row r="1928" spans="1:2" x14ac:dyDescent="0.25">
      <c r="A1928" s="67"/>
      <c r="B1928" s="67"/>
    </row>
    <row r="1929" spans="1:2" x14ac:dyDescent="0.25">
      <c r="A1929" s="67"/>
      <c r="B1929" s="67"/>
    </row>
    <row r="1930" spans="1:2" x14ac:dyDescent="0.25">
      <c r="A1930" s="67"/>
      <c r="B1930" s="67"/>
    </row>
    <row r="1931" spans="1:2" x14ac:dyDescent="0.25">
      <c r="A1931" s="67"/>
      <c r="B1931" s="67"/>
    </row>
    <row r="1932" spans="1:2" x14ac:dyDescent="0.25">
      <c r="A1932" s="67"/>
      <c r="B1932" s="67"/>
    </row>
    <row r="1933" spans="1:2" x14ac:dyDescent="0.25">
      <c r="A1933" s="67"/>
      <c r="B1933" s="67"/>
    </row>
    <row r="1934" spans="1:2" x14ac:dyDescent="0.25">
      <c r="A1934" s="67"/>
      <c r="B1934" s="67"/>
    </row>
    <row r="1935" spans="1:2" x14ac:dyDescent="0.25">
      <c r="A1935" s="67"/>
      <c r="B1935" s="67"/>
    </row>
    <row r="1936" spans="1:2" x14ac:dyDescent="0.25">
      <c r="A1936" s="67"/>
      <c r="B1936" s="67"/>
    </row>
    <row r="1937" spans="1:2" x14ac:dyDescent="0.25">
      <c r="A1937" s="67"/>
      <c r="B1937" s="67"/>
    </row>
    <row r="1938" spans="1:2" x14ac:dyDescent="0.25">
      <c r="A1938" s="67"/>
      <c r="B1938" s="67"/>
    </row>
    <row r="1939" spans="1:2" x14ac:dyDescent="0.25">
      <c r="A1939" s="67"/>
      <c r="B1939" s="67"/>
    </row>
    <row r="1940" spans="1:2" x14ac:dyDescent="0.25">
      <c r="A1940" s="67"/>
      <c r="B1940" s="67"/>
    </row>
    <row r="1941" spans="1:2" x14ac:dyDescent="0.25">
      <c r="A1941" s="67"/>
      <c r="B1941" s="67"/>
    </row>
    <row r="1942" spans="1:2" x14ac:dyDescent="0.25">
      <c r="A1942" s="67"/>
      <c r="B1942" s="67"/>
    </row>
    <row r="1943" spans="1:2" x14ac:dyDescent="0.25">
      <c r="A1943" s="67"/>
      <c r="B1943" s="67"/>
    </row>
    <row r="1944" spans="1:2" x14ac:dyDescent="0.25">
      <c r="A1944" s="67"/>
      <c r="B1944" s="67"/>
    </row>
    <row r="1945" spans="1:2" x14ac:dyDescent="0.25">
      <c r="A1945" s="67"/>
      <c r="B1945" s="67"/>
    </row>
    <row r="1946" spans="1:2" x14ac:dyDescent="0.25">
      <c r="A1946" s="67"/>
      <c r="B1946" s="67"/>
    </row>
    <row r="1947" spans="1:2" x14ac:dyDescent="0.25">
      <c r="A1947" s="67"/>
      <c r="B1947" s="67"/>
    </row>
    <row r="1948" spans="1:2" x14ac:dyDescent="0.25">
      <c r="A1948" s="67"/>
      <c r="B1948" s="67"/>
    </row>
    <row r="1949" spans="1:2" x14ac:dyDescent="0.25">
      <c r="A1949" s="67"/>
      <c r="B1949" s="67"/>
    </row>
    <row r="1950" spans="1:2" x14ac:dyDescent="0.25">
      <c r="A1950" s="67"/>
      <c r="B1950" s="67"/>
    </row>
    <row r="1951" spans="1:2" x14ac:dyDescent="0.25">
      <c r="A1951" s="67"/>
      <c r="B1951" s="67"/>
    </row>
    <row r="1952" spans="1:2" x14ac:dyDescent="0.25">
      <c r="A1952" s="67"/>
      <c r="B1952" s="67"/>
    </row>
    <row r="1953" spans="1:2" x14ac:dyDescent="0.25">
      <c r="A1953" s="67"/>
      <c r="B1953" s="67"/>
    </row>
    <row r="1954" spans="1:2" x14ac:dyDescent="0.25">
      <c r="A1954" s="67"/>
      <c r="B1954" s="67"/>
    </row>
    <row r="1955" spans="1:2" x14ac:dyDescent="0.25">
      <c r="A1955" s="67"/>
      <c r="B1955" s="67"/>
    </row>
    <row r="1956" spans="1:2" x14ac:dyDescent="0.25">
      <c r="A1956" s="67"/>
      <c r="B1956" s="67"/>
    </row>
    <row r="1957" spans="1:2" x14ac:dyDescent="0.25">
      <c r="A1957" s="67"/>
      <c r="B1957" s="67"/>
    </row>
    <row r="1958" spans="1:2" x14ac:dyDescent="0.25">
      <c r="A1958" s="67"/>
      <c r="B1958" s="67"/>
    </row>
    <row r="1959" spans="1:2" x14ac:dyDescent="0.25">
      <c r="A1959" s="67"/>
      <c r="B1959" s="67"/>
    </row>
    <row r="1960" spans="1:2" x14ac:dyDescent="0.25">
      <c r="A1960" s="67"/>
      <c r="B1960" s="67"/>
    </row>
    <row r="1961" spans="1:2" x14ac:dyDescent="0.25">
      <c r="A1961" s="67"/>
      <c r="B1961" s="67"/>
    </row>
    <row r="1962" spans="1:2" x14ac:dyDescent="0.25">
      <c r="A1962" s="67"/>
      <c r="B1962" s="67"/>
    </row>
    <row r="1963" spans="1:2" x14ac:dyDescent="0.25">
      <c r="A1963" s="67"/>
      <c r="B1963" s="67"/>
    </row>
    <row r="1964" spans="1:2" x14ac:dyDescent="0.25">
      <c r="A1964" s="67"/>
      <c r="B1964" s="67"/>
    </row>
    <row r="1965" spans="1:2" x14ac:dyDescent="0.25">
      <c r="A1965" s="67"/>
      <c r="B1965" s="67"/>
    </row>
    <row r="1966" spans="1:2" x14ac:dyDescent="0.25">
      <c r="A1966" s="67"/>
      <c r="B1966" s="67"/>
    </row>
    <row r="1967" spans="1:2" x14ac:dyDescent="0.25">
      <c r="A1967" s="67"/>
      <c r="B1967" s="67"/>
    </row>
    <row r="1968" spans="1:2" x14ac:dyDescent="0.25">
      <c r="A1968" s="67"/>
      <c r="B1968" s="67"/>
    </row>
    <row r="1969" spans="1:2" x14ac:dyDescent="0.25">
      <c r="A1969" s="67"/>
      <c r="B1969" s="67"/>
    </row>
    <row r="1970" spans="1:2" x14ac:dyDescent="0.25">
      <c r="A1970" s="67"/>
      <c r="B1970" s="67"/>
    </row>
    <row r="1971" spans="1:2" x14ac:dyDescent="0.25">
      <c r="A1971" s="67"/>
      <c r="B1971" s="67"/>
    </row>
    <row r="1972" spans="1:2" x14ac:dyDescent="0.25">
      <c r="A1972" s="67"/>
      <c r="B1972" s="67"/>
    </row>
    <row r="1973" spans="1:2" x14ac:dyDescent="0.25">
      <c r="A1973" s="67"/>
      <c r="B1973" s="67"/>
    </row>
    <row r="1974" spans="1:2" x14ac:dyDescent="0.25">
      <c r="A1974" s="67"/>
      <c r="B1974" s="67"/>
    </row>
    <row r="1975" spans="1:2" x14ac:dyDescent="0.25">
      <c r="A1975" s="67"/>
      <c r="B1975" s="67"/>
    </row>
    <row r="1976" spans="1:2" x14ac:dyDescent="0.25">
      <c r="A1976" s="67"/>
      <c r="B1976" s="67"/>
    </row>
    <row r="1977" spans="1:2" x14ac:dyDescent="0.25">
      <c r="A1977" s="67"/>
      <c r="B1977" s="67"/>
    </row>
    <row r="1978" spans="1:2" x14ac:dyDescent="0.25">
      <c r="A1978" s="67"/>
      <c r="B1978" s="67"/>
    </row>
    <row r="1979" spans="1:2" x14ac:dyDescent="0.25">
      <c r="A1979" s="67"/>
      <c r="B1979" s="67"/>
    </row>
    <row r="1980" spans="1:2" x14ac:dyDescent="0.25">
      <c r="A1980" s="67"/>
      <c r="B1980" s="67"/>
    </row>
    <row r="1981" spans="1:2" x14ac:dyDescent="0.25">
      <c r="A1981" s="67"/>
      <c r="B1981" s="67"/>
    </row>
    <row r="1982" spans="1:2" x14ac:dyDescent="0.25">
      <c r="A1982" s="67"/>
      <c r="B1982" s="67"/>
    </row>
    <row r="1983" spans="1:2" x14ac:dyDescent="0.25">
      <c r="A1983" s="67"/>
      <c r="B1983" s="67"/>
    </row>
    <row r="1984" spans="1:2" x14ac:dyDescent="0.25">
      <c r="A1984" s="67"/>
      <c r="B1984" s="67"/>
    </row>
    <row r="1985" spans="1:2" x14ac:dyDescent="0.25">
      <c r="A1985" s="67"/>
      <c r="B1985" s="67"/>
    </row>
    <row r="1986" spans="1:2" x14ac:dyDescent="0.25">
      <c r="A1986" s="67"/>
      <c r="B1986" s="67"/>
    </row>
    <row r="1987" spans="1:2" x14ac:dyDescent="0.25">
      <c r="A1987" s="67"/>
      <c r="B1987" s="67"/>
    </row>
    <row r="1988" spans="1:2" x14ac:dyDescent="0.25">
      <c r="A1988" s="67"/>
      <c r="B1988" s="67"/>
    </row>
    <row r="1989" spans="1:2" x14ac:dyDescent="0.25">
      <c r="A1989" s="67"/>
      <c r="B1989" s="67"/>
    </row>
    <row r="1990" spans="1:2" x14ac:dyDescent="0.25">
      <c r="A1990" s="67"/>
      <c r="B1990" s="67"/>
    </row>
    <row r="1991" spans="1:2" x14ac:dyDescent="0.25">
      <c r="A1991" s="67"/>
      <c r="B1991" s="67"/>
    </row>
    <row r="1992" spans="1:2" x14ac:dyDescent="0.25">
      <c r="A1992" s="67"/>
      <c r="B1992" s="67"/>
    </row>
    <row r="1993" spans="1:2" x14ac:dyDescent="0.25">
      <c r="A1993" s="67"/>
      <c r="B1993" s="67"/>
    </row>
    <row r="1994" spans="1:2" x14ac:dyDescent="0.25">
      <c r="A1994" s="67"/>
      <c r="B1994" s="67"/>
    </row>
    <row r="1995" spans="1:2" x14ac:dyDescent="0.25">
      <c r="A1995" s="67"/>
      <c r="B1995" s="67"/>
    </row>
    <row r="1996" spans="1:2" x14ac:dyDescent="0.25">
      <c r="A1996" s="67"/>
      <c r="B1996" s="67"/>
    </row>
    <row r="1997" spans="1:2" x14ac:dyDescent="0.25">
      <c r="A1997" s="67"/>
      <c r="B1997" s="67"/>
    </row>
    <row r="1998" spans="1:2" x14ac:dyDescent="0.25">
      <c r="A1998" s="67"/>
      <c r="B1998" s="67"/>
    </row>
    <row r="1999" spans="1:2" x14ac:dyDescent="0.25">
      <c r="A1999" s="67"/>
      <c r="B1999" s="67"/>
    </row>
    <row r="2000" spans="1:2" x14ac:dyDescent="0.25">
      <c r="A2000" s="67"/>
      <c r="B2000" s="67"/>
    </row>
    <row r="2001" spans="1:2" x14ac:dyDescent="0.25">
      <c r="A2001" s="67"/>
      <c r="B2001" s="67"/>
    </row>
    <row r="2002" spans="1:2" x14ac:dyDescent="0.25">
      <c r="A2002" s="67"/>
      <c r="B2002" s="67"/>
    </row>
    <row r="2003" spans="1:2" x14ac:dyDescent="0.25">
      <c r="A2003" s="67"/>
      <c r="B2003" s="67"/>
    </row>
    <row r="2004" spans="1:2" x14ac:dyDescent="0.25">
      <c r="A2004" s="67"/>
      <c r="B2004" s="67"/>
    </row>
    <row r="2005" spans="1:2" x14ac:dyDescent="0.25">
      <c r="A2005" s="67"/>
      <c r="B2005" s="67"/>
    </row>
    <row r="2006" spans="1:2" x14ac:dyDescent="0.25">
      <c r="A2006" s="67"/>
      <c r="B2006" s="67"/>
    </row>
    <row r="2007" spans="1:2" x14ac:dyDescent="0.25">
      <c r="A2007" s="67"/>
      <c r="B2007" s="67"/>
    </row>
    <row r="2008" spans="1:2" x14ac:dyDescent="0.25">
      <c r="A2008" s="67"/>
      <c r="B2008" s="67"/>
    </row>
    <row r="2009" spans="1:2" x14ac:dyDescent="0.25">
      <c r="A2009" s="67"/>
      <c r="B2009" s="67"/>
    </row>
    <row r="2010" spans="1:2" x14ac:dyDescent="0.25">
      <c r="A2010" s="67"/>
      <c r="B2010" s="67"/>
    </row>
    <row r="2011" spans="1:2" x14ac:dyDescent="0.25">
      <c r="A2011" s="67"/>
      <c r="B2011" s="67"/>
    </row>
    <row r="2012" spans="1:2" x14ac:dyDescent="0.25">
      <c r="A2012" s="67"/>
      <c r="B2012" s="67"/>
    </row>
    <row r="2013" spans="1:2" x14ac:dyDescent="0.25">
      <c r="A2013" s="67"/>
      <c r="B2013" s="67"/>
    </row>
    <row r="2014" spans="1:2" x14ac:dyDescent="0.25">
      <c r="A2014" s="67"/>
      <c r="B2014" s="67"/>
    </row>
    <row r="2015" spans="1:2" x14ac:dyDescent="0.25">
      <c r="A2015" s="67"/>
      <c r="B2015" s="67"/>
    </row>
    <row r="2016" spans="1:2" x14ac:dyDescent="0.25">
      <c r="A2016" s="67"/>
      <c r="B2016" s="67"/>
    </row>
    <row r="2017" spans="1:2" x14ac:dyDescent="0.25">
      <c r="A2017" s="67"/>
      <c r="B2017" s="67"/>
    </row>
    <row r="2018" spans="1:2" x14ac:dyDescent="0.25">
      <c r="A2018" s="67"/>
      <c r="B2018" s="67"/>
    </row>
    <row r="2019" spans="1:2" x14ac:dyDescent="0.25">
      <c r="A2019" s="67"/>
      <c r="B2019" s="67"/>
    </row>
    <row r="2020" spans="1:2" x14ac:dyDescent="0.25">
      <c r="A2020" s="67"/>
      <c r="B2020" s="67"/>
    </row>
    <row r="2021" spans="1:2" x14ac:dyDescent="0.25">
      <c r="A2021" s="67"/>
      <c r="B2021" s="67"/>
    </row>
    <row r="2022" spans="1:2" x14ac:dyDescent="0.25">
      <c r="A2022" s="67"/>
      <c r="B2022" s="67"/>
    </row>
    <row r="2023" spans="1:2" x14ac:dyDescent="0.25">
      <c r="A2023" s="67"/>
      <c r="B2023" s="67"/>
    </row>
    <row r="2024" spans="1:2" x14ac:dyDescent="0.25">
      <c r="A2024" s="67"/>
      <c r="B2024" s="67"/>
    </row>
    <row r="2025" spans="1:2" x14ac:dyDescent="0.25">
      <c r="A2025" s="67"/>
      <c r="B2025" s="67"/>
    </row>
    <row r="2026" spans="1:2" x14ac:dyDescent="0.25">
      <c r="A2026" s="67"/>
      <c r="B2026" s="67"/>
    </row>
    <row r="2027" spans="1:2" x14ac:dyDescent="0.25">
      <c r="A2027" s="67"/>
      <c r="B2027" s="67"/>
    </row>
    <row r="2028" spans="1:2" x14ac:dyDescent="0.25">
      <c r="A2028" s="67"/>
      <c r="B2028" s="67"/>
    </row>
    <row r="2029" spans="1:2" x14ac:dyDescent="0.25">
      <c r="A2029" s="67"/>
      <c r="B2029" s="67"/>
    </row>
    <row r="2030" spans="1:2" x14ac:dyDescent="0.25">
      <c r="A2030" s="67"/>
      <c r="B2030" s="67"/>
    </row>
    <row r="2031" spans="1:2" x14ac:dyDescent="0.25">
      <c r="A2031" s="67"/>
      <c r="B2031" s="67"/>
    </row>
    <row r="2032" spans="1:2" x14ac:dyDescent="0.25">
      <c r="A2032" s="67"/>
      <c r="B2032" s="67"/>
    </row>
    <row r="2033" spans="1:2" x14ac:dyDescent="0.25">
      <c r="A2033" s="67"/>
      <c r="B2033" s="67"/>
    </row>
    <row r="2034" spans="1:2" x14ac:dyDescent="0.25">
      <c r="A2034" s="67"/>
      <c r="B2034" s="67"/>
    </row>
    <row r="2035" spans="1:2" x14ac:dyDescent="0.25">
      <c r="A2035" s="67"/>
      <c r="B2035" s="67"/>
    </row>
    <row r="2036" spans="1:2" x14ac:dyDescent="0.25">
      <c r="A2036" s="67"/>
      <c r="B2036" s="67"/>
    </row>
    <row r="2037" spans="1:2" x14ac:dyDescent="0.25">
      <c r="A2037" s="67"/>
      <c r="B2037" s="67"/>
    </row>
    <row r="2038" spans="1:2" x14ac:dyDescent="0.25">
      <c r="A2038" s="67"/>
      <c r="B2038" s="67"/>
    </row>
    <row r="2039" spans="1:2" x14ac:dyDescent="0.25">
      <c r="A2039" s="67"/>
      <c r="B2039" s="67"/>
    </row>
    <row r="2040" spans="1:2" x14ac:dyDescent="0.25">
      <c r="A2040" s="67"/>
      <c r="B2040" s="67"/>
    </row>
    <row r="2041" spans="1:2" x14ac:dyDescent="0.25">
      <c r="A2041" s="67"/>
      <c r="B2041" s="67"/>
    </row>
    <row r="2042" spans="1:2" x14ac:dyDescent="0.25">
      <c r="A2042" s="67"/>
      <c r="B2042" s="67"/>
    </row>
    <row r="2043" spans="1:2" x14ac:dyDescent="0.25">
      <c r="A2043" s="67"/>
      <c r="B2043" s="67"/>
    </row>
    <row r="2044" spans="1:2" x14ac:dyDescent="0.25">
      <c r="A2044" s="67"/>
      <c r="B2044" s="67"/>
    </row>
    <row r="2045" spans="1:2" x14ac:dyDescent="0.25">
      <c r="A2045" s="67"/>
      <c r="B2045" s="67"/>
    </row>
    <row r="2046" spans="1:2" x14ac:dyDescent="0.25">
      <c r="A2046" s="67"/>
      <c r="B2046" s="67"/>
    </row>
    <row r="2047" spans="1:2" x14ac:dyDescent="0.25">
      <c r="A2047" s="67"/>
      <c r="B2047" s="67"/>
    </row>
    <row r="2048" spans="1:2" x14ac:dyDescent="0.25">
      <c r="A2048" s="67"/>
      <c r="B2048" s="67"/>
    </row>
    <row r="2049" spans="1:2" x14ac:dyDescent="0.25">
      <c r="A2049" s="67"/>
      <c r="B2049" s="67"/>
    </row>
    <row r="2050" spans="1:2" x14ac:dyDescent="0.25">
      <c r="A2050" s="67"/>
      <c r="B2050" s="67"/>
    </row>
    <row r="2051" spans="1:2" x14ac:dyDescent="0.25">
      <c r="A2051" s="67"/>
      <c r="B2051" s="67"/>
    </row>
    <row r="2052" spans="1:2" x14ac:dyDescent="0.25">
      <c r="A2052" s="67"/>
      <c r="B2052" s="67"/>
    </row>
    <row r="2053" spans="1:2" x14ac:dyDescent="0.25">
      <c r="A2053" s="67"/>
      <c r="B2053" s="67"/>
    </row>
    <row r="2054" spans="1:2" x14ac:dyDescent="0.25">
      <c r="A2054" s="67"/>
      <c r="B2054" s="67"/>
    </row>
    <row r="2055" spans="1:2" x14ac:dyDescent="0.25">
      <c r="A2055" s="67"/>
      <c r="B2055" s="67"/>
    </row>
    <row r="2056" spans="1:2" x14ac:dyDescent="0.25">
      <c r="A2056" s="67"/>
      <c r="B2056" s="67"/>
    </row>
    <row r="2057" spans="1:2" x14ac:dyDescent="0.25">
      <c r="A2057" s="67"/>
      <c r="B2057" s="67"/>
    </row>
    <row r="2058" spans="1:2" x14ac:dyDescent="0.25">
      <c r="A2058" s="67"/>
      <c r="B2058" s="67"/>
    </row>
    <row r="2059" spans="1:2" x14ac:dyDescent="0.25">
      <c r="A2059" s="67"/>
      <c r="B2059" s="67"/>
    </row>
    <row r="2060" spans="1:2" x14ac:dyDescent="0.25">
      <c r="A2060" s="67"/>
      <c r="B2060" s="67"/>
    </row>
    <row r="2061" spans="1:2" x14ac:dyDescent="0.25">
      <c r="A2061" s="67"/>
      <c r="B2061" s="67"/>
    </row>
    <row r="2062" spans="1:2" x14ac:dyDescent="0.25">
      <c r="A2062" s="67"/>
      <c r="B2062" s="67"/>
    </row>
    <row r="2063" spans="1:2" x14ac:dyDescent="0.25">
      <c r="A2063" s="67"/>
      <c r="B2063" s="67"/>
    </row>
    <row r="2064" spans="1:2" x14ac:dyDescent="0.25">
      <c r="A2064" s="67"/>
      <c r="B2064" s="67"/>
    </row>
    <row r="2065" spans="1:2" x14ac:dyDescent="0.25">
      <c r="A2065" s="67"/>
      <c r="B2065" s="67"/>
    </row>
    <row r="2066" spans="1:2" x14ac:dyDescent="0.25">
      <c r="A2066" s="67"/>
      <c r="B2066" s="67"/>
    </row>
    <row r="2067" spans="1:2" x14ac:dyDescent="0.25">
      <c r="A2067" s="67"/>
      <c r="B2067" s="67"/>
    </row>
    <row r="2068" spans="1:2" x14ac:dyDescent="0.25">
      <c r="A2068" s="67"/>
      <c r="B2068" s="67"/>
    </row>
    <row r="2069" spans="1:2" x14ac:dyDescent="0.25">
      <c r="A2069" s="67"/>
      <c r="B2069" s="67"/>
    </row>
    <row r="2070" spans="1:2" x14ac:dyDescent="0.25">
      <c r="A2070" s="67"/>
      <c r="B2070" s="67"/>
    </row>
    <row r="2071" spans="1:2" x14ac:dyDescent="0.25">
      <c r="A2071" s="67"/>
      <c r="B2071" s="67"/>
    </row>
    <row r="2072" spans="1:2" x14ac:dyDescent="0.25">
      <c r="A2072" s="67"/>
      <c r="B2072" s="67"/>
    </row>
    <row r="2073" spans="1:2" x14ac:dyDescent="0.25">
      <c r="A2073" s="67"/>
      <c r="B2073" s="67"/>
    </row>
    <row r="2074" spans="1:2" x14ac:dyDescent="0.25">
      <c r="A2074" s="67"/>
      <c r="B2074" s="67"/>
    </row>
    <row r="2075" spans="1:2" x14ac:dyDescent="0.25">
      <c r="A2075" s="67"/>
      <c r="B2075" s="67"/>
    </row>
    <row r="2076" spans="1:2" x14ac:dyDescent="0.25">
      <c r="A2076" s="67"/>
      <c r="B2076" s="67"/>
    </row>
    <row r="2077" spans="1:2" x14ac:dyDescent="0.25">
      <c r="A2077" s="67"/>
      <c r="B2077" s="67"/>
    </row>
    <row r="2078" spans="1:2" x14ac:dyDescent="0.25">
      <c r="A2078" s="67"/>
      <c r="B2078" s="67"/>
    </row>
    <row r="2079" spans="1:2" x14ac:dyDescent="0.25">
      <c r="A2079" s="67"/>
      <c r="B2079" s="67"/>
    </row>
    <row r="2080" spans="1:2" x14ac:dyDescent="0.25">
      <c r="A2080" s="67"/>
      <c r="B2080" s="67"/>
    </row>
    <row r="2081" spans="1:2" x14ac:dyDescent="0.25">
      <c r="A2081" s="67"/>
      <c r="B2081" s="67"/>
    </row>
    <row r="2082" spans="1:2" x14ac:dyDescent="0.25">
      <c r="A2082" s="67"/>
      <c r="B2082" s="67"/>
    </row>
    <row r="2083" spans="1:2" x14ac:dyDescent="0.25">
      <c r="A2083" s="67"/>
      <c r="B2083" s="67"/>
    </row>
    <row r="2084" spans="1:2" x14ac:dyDescent="0.25">
      <c r="A2084" s="67"/>
      <c r="B2084" s="67"/>
    </row>
    <row r="2085" spans="1:2" x14ac:dyDescent="0.25">
      <c r="A2085" s="67"/>
      <c r="B2085" s="67"/>
    </row>
    <row r="2086" spans="1:2" x14ac:dyDescent="0.25">
      <c r="A2086" s="67"/>
      <c r="B2086" s="67"/>
    </row>
    <row r="2087" spans="1:2" x14ac:dyDescent="0.25">
      <c r="A2087" s="67"/>
      <c r="B2087" s="67"/>
    </row>
    <row r="2088" spans="1:2" x14ac:dyDescent="0.25">
      <c r="A2088" s="67"/>
      <c r="B2088" s="67"/>
    </row>
    <row r="2089" spans="1:2" x14ac:dyDescent="0.25">
      <c r="A2089" s="67"/>
      <c r="B2089" s="67"/>
    </row>
    <row r="2090" spans="1:2" x14ac:dyDescent="0.25">
      <c r="A2090" s="67"/>
      <c r="B2090" s="67"/>
    </row>
    <row r="2091" spans="1:2" x14ac:dyDescent="0.25">
      <c r="A2091" s="67"/>
      <c r="B2091" s="67"/>
    </row>
    <row r="2092" spans="1:2" x14ac:dyDescent="0.25">
      <c r="A2092" s="67"/>
      <c r="B2092" s="67"/>
    </row>
    <row r="2093" spans="1:2" x14ac:dyDescent="0.25">
      <c r="A2093" s="67"/>
      <c r="B2093" s="67"/>
    </row>
    <row r="2094" spans="1:2" x14ac:dyDescent="0.25">
      <c r="A2094" s="67"/>
      <c r="B2094" s="67"/>
    </row>
    <row r="2095" spans="1:2" x14ac:dyDescent="0.25">
      <c r="A2095" s="67"/>
      <c r="B2095" s="67"/>
    </row>
    <row r="2096" spans="1:2" x14ac:dyDescent="0.25">
      <c r="A2096" s="67"/>
      <c r="B2096" s="67"/>
    </row>
    <row r="2097" spans="1:2" x14ac:dyDescent="0.25">
      <c r="A2097" s="67"/>
      <c r="B2097" s="67"/>
    </row>
    <row r="2098" spans="1:2" x14ac:dyDescent="0.25">
      <c r="A2098" s="67"/>
      <c r="B2098" s="67"/>
    </row>
    <row r="2099" spans="1:2" x14ac:dyDescent="0.25">
      <c r="A2099" s="67"/>
      <c r="B2099" s="67"/>
    </row>
    <row r="2100" spans="1:2" x14ac:dyDescent="0.25">
      <c r="A2100" s="67"/>
      <c r="B2100" s="67"/>
    </row>
    <row r="2101" spans="1:2" x14ac:dyDescent="0.25">
      <c r="A2101" s="67"/>
      <c r="B2101" s="67"/>
    </row>
    <row r="2102" spans="1:2" x14ac:dyDescent="0.25">
      <c r="A2102" s="67"/>
      <c r="B2102" s="67"/>
    </row>
    <row r="2103" spans="1:2" x14ac:dyDescent="0.25">
      <c r="A2103" s="67"/>
      <c r="B2103" s="67"/>
    </row>
    <row r="2104" spans="1:2" x14ac:dyDescent="0.25">
      <c r="A2104" s="67"/>
      <c r="B2104" s="67"/>
    </row>
    <row r="2105" spans="1:2" x14ac:dyDescent="0.25">
      <c r="A2105" s="67"/>
      <c r="B2105" s="67"/>
    </row>
    <row r="2106" spans="1:2" x14ac:dyDescent="0.25">
      <c r="A2106" s="67"/>
      <c r="B2106" s="67"/>
    </row>
    <row r="2107" spans="1:2" x14ac:dyDescent="0.25">
      <c r="A2107" s="67"/>
      <c r="B2107" s="67"/>
    </row>
    <row r="2108" spans="1:2" x14ac:dyDescent="0.25">
      <c r="A2108" s="67"/>
      <c r="B2108" s="67"/>
    </row>
    <row r="2109" spans="1:2" x14ac:dyDescent="0.25">
      <c r="A2109" s="67"/>
      <c r="B2109" s="67"/>
    </row>
    <row r="2110" spans="1:2" x14ac:dyDescent="0.25">
      <c r="A2110" s="67"/>
      <c r="B2110" s="67"/>
    </row>
    <row r="2111" spans="1:2" x14ac:dyDescent="0.25">
      <c r="A2111" s="67"/>
      <c r="B2111" s="67"/>
    </row>
    <row r="2112" spans="1:2" x14ac:dyDescent="0.25">
      <c r="A2112" s="67"/>
      <c r="B2112" s="67"/>
    </row>
    <row r="2113" spans="1:2" x14ac:dyDescent="0.25">
      <c r="A2113" s="67"/>
      <c r="B2113" s="67"/>
    </row>
    <row r="2114" spans="1:2" x14ac:dyDescent="0.25">
      <c r="A2114" s="67"/>
      <c r="B2114" s="67"/>
    </row>
    <row r="2115" spans="1:2" x14ac:dyDescent="0.25">
      <c r="A2115" s="67"/>
      <c r="B2115" s="67"/>
    </row>
    <row r="2116" spans="1:2" x14ac:dyDescent="0.25">
      <c r="A2116" s="67"/>
      <c r="B2116" s="67"/>
    </row>
    <row r="2117" spans="1:2" x14ac:dyDescent="0.25">
      <c r="A2117" s="67"/>
      <c r="B2117" s="67"/>
    </row>
    <row r="2118" spans="1:2" x14ac:dyDescent="0.25">
      <c r="A2118" s="67"/>
      <c r="B2118" s="67"/>
    </row>
    <row r="2119" spans="1:2" x14ac:dyDescent="0.25">
      <c r="A2119" s="67"/>
      <c r="B2119" s="67"/>
    </row>
    <row r="2120" spans="1:2" x14ac:dyDescent="0.25">
      <c r="A2120" s="67"/>
      <c r="B2120" s="67"/>
    </row>
    <row r="2121" spans="1:2" x14ac:dyDescent="0.25">
      <c r="A2121" s="67"/>
      <c r="B2121" s="67"/>
    </row>
    <row r="2122" spans="1:2" x14ac:dyDescent="0.25">
      <c r="A2122" s="67"/>
      <c r="B2122" s="67"/>
    </row>
    <row r="2123" spans="1:2" x14ac:dyDescent="0.25">
      <c r="A2123" s="67"/>
      <c r="B2123" s="67"/>
    </row>
    <row r="2124" spans="1:2" x14ac:dyDescent="0.25">
      <c r="A2124" s="67"/>
      <c r="B2124" s="67"/>
    </row>
    <row r="2125" spans="1:2" x14ac:dyDescent="0.25">
      <c r="A2125" s="67"/>
      <c r="B2125" s="67"/>
    </row>
    <row r="2126" spans="1:2" x14ac:dyDescent="0.25">
      <c r="A2126" s="67"/>
      <c r="B2126" s="67"/>
    </row>
    <row r="2127" spans="1:2" x14ac:dyDescent="0.25">
      <c r="A2127" s="67"/>
      <c r="B2127" s="67"/>
    </row>
    <row r="2128" spans="1:2" x14ac:dyDescent="0.25">
      <c r="A2128" s="67"/>
      <c r="B2128" s="67"/>
    </row>
    <row r="2129" spans="1:2" x14ac:dyDescent="0.25">
      <c r="A2129" s="67"/>
      <c r="B2129" s="67"/>
    </row>
    <row r="2130" spans="1:2" x14ac:dyDescent="0.25">
      <c r="A2130" s="67"/>
      <c r="B2130" s="67"/>
    </row>
    <row r="2131" spans="1:2" x14ac:dyDescent="0.25">
      <c r="A2131" s="67"/>
      <c r="B2131" s="67"/>
    </row>
    <row r="2132" spans="1:2" x14ac:dyDescent="0.25">
      <c r="A2132" s="67"/>
      <c r="B2132" s="67"/>
    </row>
    <row r="2133" spans="1:2" x14ac:dyDescent="0.25">
      <c r="A2133" s="67"/>
      <c r="B2133" s="67"/>
    </row>
    <row r="2134" spans="1:2" x14ac:dyDescent="0.25">
      <c r="A2134" s="67"/>
      <c r="B2134" s="67"/>
    </row>
    <row r="2135" spans="1:2" x14ac:dyDescent="0.25">
      <c r="A2135" s="67"/>
      <c r="B2135" s="67"/>
    </row>
    <row r="2136" spans="1:2" x14ac:dyDescent="0.25">
      <c r="A2136" s="67"/>
      <c r="B2136" s="67"/>
    </row>
    <row r="2137" spans="1:2" x14ac:dyDescent="0.25">
      <c r="A2137" s="67"/>
      <c r="B2137" s="67"/>
    </row>
    <row r="2138" spans="1:2" x14ac:dyDescent="0.25">
      <c r="A2138" s="67"/>
      <c r="B2138" s="67"/>
    </row>
    <row r="2139" spans="1:2" x14ac:dyDescent="0.25">
      <c r="A2139" s="67"/>
      <c r="B2139" s="67"/>
    </row>
    <row r="2140" spans="1:2" x14ac:dyDescent="0.25">
      <c r="A2140" s="67"/>
      <c r="B2140" s="67"/>
    </row>
    <row r="2141" spans="1:2" x14ac:dyDescent="0.25">
      <c r="A2141" s="67"/>
      <c r="B2141" s="67"/>
    </row>
    <row r="2142" spans="1:2" x14ac:dyDescent="0.25">
      <c r="A2142" s="67"/>
      <c r="B2142" s="67"/>
    </row>
    <row r="2143" spans="1:2" x14ac:dyDescent="0.25">
      <c r="A2143" s="67"/>
      <c r="B2143" s="67"/>
    </row>
    <row r="2144" spans="1:2" x14ac:dyDescent="0.25">
      <c r="A2144" s="67"/>
      <c r="B2144" s="67"/>
    </row>
    <row r="2145" spans="1:2" x14ac:dyDescent="0.25">
      <c r="A2145" s="67"/>
      <c r="B2145" s="67"/>
    </row>
    <row r="2146" spans="1:2" x14ac:dyDescent="0.25">
      <c r="A2146" s="67"/>
      <c r="B2146" s="67"/>
    </row>
    <row r="2147" spans="1:2" x14ac:dyDescent="0.25">
      <c r="A2147" s="67"/>
      <c r="B2147" s="67"/>
    </row>
    <row r="2148" spans="1:2" x14ac:dyDescent="0.25">
      <c r="A2148" s="67"/>
      <c r="B2148" s="67"/>
    </row>
    <row r="2149" spans="1:2" x14ac:dyDescent="0.25">
      <c r="A2149" s="67"/>
      <c r="B2149" s="67"/>
    </row>
    <row r="2150" spans="1:2" x14ac:dyDescent="0.25">
      <c r="A2150" s="67"/>
      <c r="B2150" s="67"/>
    </row>
    <row r="2151" spans="1:2" x14ac:dyDescent="0.25">
      <c r="A2151" s="67"/>
      <c r="B2151" s="67"/>
    </row>
    <row r="2152" spans="1:2" x14ac:dyDescent="0.25">
      <c r="A2152" s="67"/>
      <c r="B2152" s="67"/>
    </row>
    <row r="2153" spans="1:2" x14ac:dyDescent="0.25">
      <c r="A2153" s="67"/>
      <c r="B2153" s="67"/>
    </row>
    <row r="2154" spans="1:2" x14ac:dyDescent="0.25">
      <c r="A2154" s="67"/>
      <c r="B2154" s="67"/>
    </row>
    <row r="2155" spans="1:2" x14ac:dyDescent="0.25">
      <c r="A2155" s="67"/>
      <c r="B2155" s="67"/>
    </row>
    <row r="2156" spans="1:2" x14ac:dyDescent="0.25">
      <c r="A2156" s="67"/>
      <c r="B2156" s="67"/>
    </row>
    <row r="2157" spans="1:2" x14ac:dyDescent="0.25">
      <c r="A2157" s="67"/>
      <c r="B2157" s="67"/>
    </row>
    <row r="2158" spans="1:2" x14ac:dyDescent="0.25">
      <c r="A2158" s="67"/>
      <c r="B2158" s="67"/>
    </row>
    <row r="2159" spans="1:2" x14ac:dyDescent="0.25">
      <c r="A2159" s="67"/>
      <c r="B2159" s="67"/>
    </row>
    <row r="2160" spans="1:2" x14ac:dyDescent="0.25">
      <c r="A2160" s="67"/>
      <c r="B2160" s="67"/>
    </row>
    <row r="2161" spans="1:2" x14ac:dyDescent="0.25">
      <c r="A2161" s="67"/>
      <c r="B2161" s="67"/>
    </row>
    <row r="2162" spans="1:2" x14ac:dyDescent="0.25">
      <c r="A2162" s="67"/>
      <c r="B2162" s="67"/>
    </row>
    <row r="2163" spans="1:2" x14ac:dyDescent="0.25">
      <c r="A2163" s="67"/>
      <c r="B2163" s="67"/>
    </row>
    <row r="2164" spans="1:2" x14ac:dyDescent="0.25">
      <c r="A2164" s="67"/>
      <c r="B2164" s="67"/>
    </row>
    <row r="2165" spans="1:2" x14ac:dyDescent="0.25">
      <c r="A2165" s="67"/>
      <c r="B2165" s="67"/>
    </row>
    <row r="2166" spans="1:2" x14ac:dyDescent="0.25">
      <c r="A2166" s="67"/>
      <c r="B2166" s="67"/>
    </row>
    <row r="2167" spans="1:2" x14ac:dyDescent="0.25">
      <c r="A2167" s="67"/>
      <c r="B2167" s="67"/>
    </row>
    <row r="2168" spans="1:2" x14ac:dyDescent="0.25">
      <c r="A2168" s="67"/>
      <c r="B2168" s="67"/>
    </row>
    <row r="2169" spans="1:2" x14ac:dyDescent="0.25">
      <c r="A2169" s="67"/>
      <c r="B2169" s="67"/>
    </row>
    <row r="2170" spans="1:2" x14ac:dyDescent="0.25">
      <c r="A2170" s="67"/>
      <c r="B2170" s="67"/>
    </row>
    <row r="2171" spans="1:2" x14ac:dyDescent="0.25">
      <c r="A2171" s="67"/>
      <c r="B2171" s="67"/>
    </row>
    <row r="2172" spans="1:2" x14ac:dyDescent="0.25">
      <c r="A2172" s="67"/>
      <c r="B2172" s="67"/>
    </row>
    <row r="2173" spans="1:2" x14ac:dyDescent="0.25">
      <c r="A2173" s="67"/>
      <c r="B2173" s="67"/>
    </row>
    <row r="2174" spans="1:2" x14ac:dyDescent="0.25">
      <c r="A2174" s="67"/>
      <c r="B2174" s="67"/>
    </row>
    <row r="2175" spans="1:2" x14ac:dyDescent="0.25">
      <c r="A2175" s="67"/>
      <c r="B2175" s="67"/>
    </row>
    <row r="2176" spans="1:2" x14ac:dyDescent="0.25">
      <c r="A2176" s="67"/>
      <c r="B2176" s="67"/>
    </row>
    <row r="2177" spans="1:2" x14ac:dyDescent="0.25">
      <c r="A2177" s="67"/>
      <c r="B2177" s="67"/>
    </row>
    <row r="2178" spans="1:2" x14ac:dyDescent="0.25">
      <c r="A2178" s="67"/>
      <c r="B2178" s="67"/>
    </row>
    <row r="2179" spans="1:2" x14ac:dyDescent="0.25">
      <c r="A2179" s="67"/>
      <c r="B2179" s="67"/>
    </row>
    <row r="2180" spans="1:2" x14ac:dyDescent="0.25">
      <c r="A2180" s="67"/>
      <c r="B2180" s="67"/>
    </row>
    <row r="2181" spans="1:2" x14ac:dyDescent="0.25">
      <c r="A2181" s="67"/>
      <c r="B2181" s="67"/>
    </row>
    <row r="2182" spans="1:2" x14ac:dyDescent="0.25">
      <c r="A2182" s="67"/>
      <c r="B2182" s="67"/>
    </row>
    <row r="2183" spans="1:2" x14ac:dyDescent="0.25">
      <c r="A2183" s="67"/>
      <c r="B2183" s="67"/>
    </row>
    <row r="2184" spans="1:2" x14ac:dyDescent="0.25">
      <c r="A2184" s="67"/>
      <c r="B2184" s="67"/>
    </row>
    <row r="2185" spans="1:2" x14ac:dyDescent="0.25">
      <c r="A2185" s="67"/>
      <c r="B2185" s="67"/>
    </row>
    <row r="2186" spans="1:2" x14ac:dyDescent="0.25">
      <c r="A2186" s="67"/>
      <c r="B2186" s="67"/>
    </row>
    <row r="2187" spans="1:2" x14ac:dyDescent="0.25">
      <c r="A2187" s="67"/>
      <c r="B2187" s="67"/>
    </row>
    <row r="2188" spans="1:2" x14ac:dyDescent="0.25">
      <c r="A2188" s="67"/>
      <c r="B2188" s="67"/>
    </row>
    <row r="2189" spans="1:2" x14ac:dyDescent="0.25">
      <c r="A2189" s="67"/>
      <c r="B2189" s="67"/>
    </row>
    <row r="2190" spans="1:2" x14ac:dyDescent="0.25">
      <c r="A2190" s="67"/>
      <c r="B2190" s="67"/>
    </row>
    <row r="2191" spans="1:2" x14ac:dyDescent="0.25">
      <c r="A2191" s="67"/>
      <c r="B2191" s="67"/>
    </row>
    <row r="2192" spans="1:2" x14ac:dyDescent="0.25">
      <c r="A2192" s="67"/>
      <c r="B2192" s="67"/>
    </row>
    <row r="2193" spans="1:2" x14ac:dyDescent="0.25">
      <c r="A2193" s="67"/>
      <c r="B2193" s="67"/>
    </row>
    <row r="2194" spans="1:2" x14ac:dyDescent="0.25">
      <c r="A2194" s="67"/>
      <c r="B2194" s="67"/>
    </row>
    <row r="2195" spans="1:2" x14ac:dyDescent="0.25">
      <c r="A2195" s="67"/>
      <c r="B2195" s="67"/>
    </row>
    <row r="2196" spans="1:2" x14ac:dyDescent="0.25">
      <c r="A2196" s="67"/>
      <c r="B2196" s="67"/>
    </row>
    <row r="2197" spans="1:2" x14ac:dyDescent="0.25">
      <c r="A2197" s="67"/>
      <c r="B2197" s="67"/>
    </row>
    <row r="2198" spans="1:2" x14ac:dyDescent="0.25">
      <c r="A2198" s="67"/>
      <c r="B2198" s="67"/>
    </row>
    <row r="2199" spans="1:2" x14ac:dyDescent="0.25">
      <c r="A2199" s="67"/>
      <c r="B2199" s="67"/>
    </row>
    <row r="2200" spans="1:2" x14ac:dyDescent="0.25">
      <c r="A2200" s="67"/>
      <c r="B2200" s="67"/>
    </row>
    <row r="2201" spans="1:2" x14ac:dyDescent="0.25">
      <c r="A2201" s="67"/>
      <c r="B2201" s="67"/>
    </row>
    <row r="2202" spans="1:2" x14ac:dyDescent="0.25">
      <c r="A2202" s="67"/>
      <c r="B2202" s="67"/>
    </row>
    <row r="2203" spans="1:2" x14ac:dyDescent="0.25">
      <c r="A2203" s="67"/>
      <c r="B2203" s="67"/>
    </row>
    <row r="2204" spans="1:2" x14ac:dyDescent="0.25">
      <c r="A2204" s="67"/>
      <c r="B2204" s="67"/>
    </row>
    <row r="2205" spans="1:2" x14ac:dyDescent="0.25">
      <c r="A2205" s="67"/>
      <c r="B2205" s="67"/>
    </row>
    <row r="2206" spans="1:2" x14ac:dyDescent="0.25">
      <c r="A2206" s="67"/>
      <c r="B2206" s="67"/>
    </row>
    <row r="2207" spans="1:2" x14ac:dyDescent="0.25">
      <c r="A2207" s="67"/>
      <c r="B2207" s="67"/>
    </row>
    <row r="2208" spans="1:2" x14ac:dyDescent="0.25">
      <c r="A2208" s="67"/>
      <c r="B2208" s="67"/>
    </row>
    <row r="2209" spans="1:2" x14ac:dyDescent="0.25">
      <c r="A2209" s="67"/>
      <c r="B2209" s="67"/>
    </row>
    <row r="2210" spans="1:2" x14ac:dyDescent="0.25">
      <c r="A2210" s="67"/>
      <c r="B2210" s="67"/>
    </row>
    <row r="2211" spans="1:2" x14ac:dyDescent="0.25">
      <c r="A2211" s="67"/>
      <c r="B2211" s="67"/>
    </row>
    <row r="2212" spans="1:2" x14ac:dyDescent="0.25">
      <c r="A2212" s="67"/>
      <c r="B2212" s="67"/>
    </row>
    <row r="2213" spans="1:2" x14ac:dyDescent="0.25">
      <c r="A2213" s="67"/>
      <c r="B2213" s="67"/>
    </row>
    <row r="2214" spans="1:2" x14ac:dyDescent="0.25">
      <c r="A2214" s="67"/>
      <c r="B2214" s="67"/>
    </row>
    <row r="2215" spans="1:2" x14ac:dyDescent="0.25">
      <c r="A2215" s="67"/>
      <c r="B2215" s="67"/>
    </row>
    <row r="2216" spans="1:2" x14ac:dyDescent="0.25">
      <c r="A2216" s="67"/>
      <c r="B2216" s="67"/>
    </row>
    <row r="2217" spans="1:2" x14ac:dyDescent="0.25">
      <c r="A2217" s="67"/>
      <c r="B2217" s="67"/>
    </row>
    <row r="2218" spans="1:2" x14ac:dyDescent="0.25">
      <c r="A2218" s="67"/>
      <c r="B2218" s="67"/>
    </row>
    <row r="2219" spans="1:2" x14ac:dyDescent="0.25">
      <c r="A2219" s="67"/>
      <c r="B2219" s="67"/>
    </row>
    <row r="2220" spans="1:2" x14ac:dyDescent="0.25">
      <c r="A2220" s="67"/>
      <c r="B2220" s="67"/>
    </row>
    <row r="2221" spans="1:2" x14ac:dyDescent="0.25">
      <c r="A2221" s="67"/>
      <c r="B2221" s="67"/>
    </row>
    <row r="2222" spans="1:2" x14ac:dyDescent="0.25">
      <c r="A2222" s="67"/>
      <c r="B2222" s="67"/>
    </row>
    <row r="2223" spans="1:2" x14ac:dyDescent="0.25">
      <c r="A2223" s="67"/>
      <c r="B2223" s="67"/>
    </row>
    <row r="2224" spans="1:2" x14ac:dyDescent="0.25">
      <c r="A2224" s="67"/>
      <c r="B2224" s="67"/>
    </row>
    <row r="2225" spans="1:2" x14ac:dyDescent="0.25">
      <c r="A2225" s="67"/>
      <c r="B2225" s="67"/>
    </row>
    <row r="2226" spans="1:2" x14ac:dyDescent="0.25">
      <c r="A2226" s="67"/>
      <c r="B2226" s="67"/>
    </row>
    <row r="2227" spans="1:2" x14ac:dyDescent="0.25">
      <c r="A2227" s="67"/>
      <c r="B2227" s="67"/>
    </row>
    <row r="2228" spans="1:2" x14ac:dyDescent="0.25">
      <c r="A2228" s="67"/>
      <c r="B2228" s="67"/>
    </row>
    <row r="2229" spans="1:2" x14ac:dyDescent="0.25">
      <c r="A2229" s="67"/>
      <c r="B2229" s="67"/>
    </row>
    <row r="2230" spans="1:2" x14ac:dyDescent="0.25">
      <c r="A2230" s="67"/>
      <c r="B2230" s="67"/>
    </row>
    <row r="2231" spans="1:2" x14ac:dyDescent="0.25">
      <c r="A2231" s="67"/>
      <c r="B2231" s="67"/>
    </row>
    <row r="2232" spans="1:2" x14ac:dyDescent="0.25">
      <c r="A2232" s="67"/>
      <c r="B2232" s="67"/>
    </row>
    <row r="2233" spans="1:2" x14ac:dyDescent="0.25">
      <c r="A2233" s="67"/>
      <c r="B2233" s="67"/>
    </row>
    <row r="2234" spans="1:2" x14ac:dyDescent="0.25">
      <c r="A2234" s="67"/>
      <c r="B2234" s="67"/>
    </row>
    <row r="2235" spans="1:2" x14ac:dyDescent="0.25">
      <c r="A2235" s="67"/>
      <c r="B2235" s="67"/>
    </row>
    <row r="2236" spans="1:2" x14ac:dyDescent="0.25">
      <c r="A2236" s="67"/>
      <c r="B2236" s="67"/>
    </row>
    <row r="2237" spans="1:2" x14ac:dyDescent="0.25">
      <c r="A2237" s="67"/>
      <c r="B2237" s="67"/>
    </row>
    <row r="2238" spans="1:2" x14ac:dyDescent="0.25">
      <c r="A2238" s="67"/>
      <c r="B2238" s="67"/>
    </row>
    <row r="2239" spans="1:2" x14ac:dyDescent="0.25">
      <c r="A2239" s="67"/>
      <c r="B2239" s="67"/>
    </row>
    <row r="2240" spans="1:2" x14ac:dyDescent="0.25">
      <c r="A2240" s="67"/>
      <c r="B2240" s="67"/>
    </row>
    <row r="2241" spans="1:2" x14ac:dyDescent="0.25">
      <c r="A2241" s="67"/>
      <c r="B2241" s="67"/>
    </row>
    <row r="2242" spans="1:2" x14ac:dyDescent="0.25">
      <c r="A2242" s="67"/>
      <c r="B2242" s="67"/>
    </row>
    <row r="2243" spans="1:2" x14ac:dyDescent="0.25">
      <c r="A2243" s="67"/>
      <c r="B2243" s="67"/>
    </row>
    <row r="2244" spans="1:2" x14ac:dyDescent="0.25">
      <c r="A2244" s="67"/>
      <c r="B2244" s="67"/>
    </row>
    <row r="2245" spans="1:2" x14ac:dyDescent="0.25">
      <c r="A2245" s="67"/>
      <c r="B2245" s="67"/>
    </row>
    <row r="2246" spans="1:2" x14ac:dyDescent="0.25">
      <c r="A2246" s="67"/>
      <c r="B2246" s="67"/>
    </row>
    <row r="2247" spans="1:2" x14ac:dyDescent="0.25">
      <c r="A2247" s="67"/>
      <c r="B2247" s="67"/>
    </row>
    <row r="2248" spans="1:2" x14ac:dyDescent="0.25">
      <c r="A2248" s="67"/>
      <c r="B2248" s="67"/>
    </row>
    <row r="2249" spans="1:2" x14ac:dyDescent="0.25">
      <c r="A2249" s="67"/>
      <c r="B2249" s="67"/>
    </row>
    <row r="2250" spans="1:2" x14ac:dyDescent="0.25">
      <c r="A2250" s="67"/>
      <c r="B2250" s="67"/>
    </row>
    <row r="2251" spans="1:2" x14ac:dyDescent="0.25">
      <c r="A2251" s="67"/>
      <c r="B2251" s="67"/>
    </row>
    <row r="2252" spans="1:2" x14ac:dyDescent="0.25">
      <c r="A2252" s="67"/>
      <c r="B2252" s="67"/>
    </row>
    <row r="2253" spans="1:2" x14ac:dyDescent="0.25">
      <c r="A2253" s="67"/>
      <c r="B2253" s="67"/>
    </row>
    <row r="2254" spans="1:2" x14ac:dyDescent="0.25">
      <c r="A2254" s="67"/>
      <c r="B2254" s="67"/>
    </row>
    <row r="2255" spans="1:2" x14ac:dyDescent="0.25">
      <c r="A2255" s="67"/>
      <c r="B2255" s="67"/>
    </row>
    <row r="2256" spans="1:2" x14ac:dyDescent="0.25">
      <c r="A2256" s="67"/>
      <c r="B2256" s="67"/>
    </row>
    <row r="2257" spans="1:2" x14ac:dyDescent="0.25">
      <c r="A2257" s="67"/>
      <c r="B2257" s="67"/>
    </row>
    <row r="2258" spans="1:2" x14ac:dyDescent="0.25">
      <c r="A2258" s="67"/>
      <c r="B2258" s="67"/>
    </row>
    <row r="2259" spans="1:2" x14ac:dyDescent="0.25">
      <c r="A2259" s="67"/>
      <c r="B2259" s="67"/>
    </row>
    <row r="2260" spans="1:2" x14ac:dyDescent="0.25">
      <c r="A2260" s="67"/>
      <c r="B2260" s="67"/>
    </row>
    <row r="2261" spans="1:2" x14ac:dyDescent="0.25">
      <c r="A2261" s="67"/>
      <c r="B2261" s="67"/>
    </row>
    <row r="2262" spans="1:2" x14ac:dyDescent="0.25">
      <c r="A2262" s="67"/>
      <c r="B2262" s="67"/>
    </row>
    <row r="2263" spans="1:2" x14ac:dyDescent="0.25">
      <c r="A2263" s="67"/>
      <c r="B2263" s="67"/>
    </row>
    <row r="2264" spans="1:2" x14ac:dyDescent="0.25">
      <c r="A2264" s="67"/>
      <c r="B2264" s="67"/>
    </row>
    <row r="2265" spans="1:2" x14ac:dyDescent="0.25">
      <c r="A2265" s="67"/>
      <c r="B2265" s="67"/>
    </row>
    <row r="2266" spans="1:2" x14ac:dyDescent="0.25">
      <c r="A2266" s="67"/>
      <c r="B2266" s="67"/>
    </row>
    <row r="2267" spans="1:2" x14ac:dyDescent="0.25">
      <c r="A2267" s="67"/>
      <c r="B2267" s="67"/>
    </row>
    <row r="2268" spans="1:2" x14ac:dyDescent="0.25">
      <c r="A2268" s="67"/>
      <c r="B2268" s="67"/>
    </row>
    <row r="2269" spans="1:2" x14ac:dyDescent="0.25">
      <c r="A2269" s="67"/>
      <c r="B2269" s="67"/>
    </row>
    <row r="2270" spans="1:2" x14ac:dyDescent="0.25">
      <c r="A2270" s="67"/>
      <c r="B2270" s="67"/>
    </row>
    <row r="2271" spans="1:2" x14ac:dyDescent="0.25">
      <c r="A2271" s="67"/>
      <c r="B2271" s="67"/>
    </row>
    <row r="2272" spans="1:2" x14ac:dyDescent="0.25">
      <c r="A2272" s="67"/>
      <c r="B2272" s="67"/>
    </row>
    <row r="2273" spans="1:2" x14ac:dyDescent="0.25">
      <c r="A2273" s="67"/>
      <c r="B2273" s="67"/>
    </row>
    <row r="2274" spans="1:2" x14ac:dyDescent="0.25">
      <c r="A2274" s="67"/>
      <c r="B2274" s="67"/>
    </row>
    <row r="2275" spans="1:2" x14ac:dyDescent="0.25">
      <c r="A2275" s="67"/>
      <c r="B2275" s="67"/>
    </row>
    <row r="2276" spans="1:2" x14ac:dyDescent="0.25">
      <c r="A2276" s="67"/>
      <c r="B2276" s="67"/>
    </row>
    <row r="2277" spans="1:2" x14ac:dyDescent="0.25">
      <c r="A2277" s="67"/>
      <c r="B2277" s="67"/>
    </row>
    <row r="2278" spans="1:2" x14ac:dyDescent="0.25">
      <c r="A2278" s="67"/>
      <c r="B2278" s="67"/>
    </row>
    <row r="2279" spans="1:2" x14ac:dyDescent="0.25">
      <c r="A2279" s="67"/>
      <c r="B2279" s="67"/>
    </row>
    <row r="2280" spans="1:2" x14ac:dyDescent="0.25">
      <c r="A2280" s="67"/>
      <c r="B2280" s="67"/>
    </row>
    <row r="2281" spans="1:2" x14ac:dyDescent="0.25">
      <c r="A2281" s="67"/>
      <c r="B2281" s="67"/>
    </row>
    <row r="2282" spans="1:2" x14ac:dyDescent="0.25">
      <c r="A2282" s="67"/>
      <c r="B2282" s="67"/>
    </row>
    <row r="2283" spans="1:2" x14ac:dyDescent="0.25">
      <c r="A2283" s="67"/>
      <c r="B2283" s="67"/>
    </row>
    <row r="2284" spans="1:2" x14ac:dyDescent="0.25">
      <c r="A2284" s="67"/>
      <c r="B2284" s="67"/>
    </row>
    <row r="2285" spans="1:2" x14ac:dyDescent="0.25">
      <c r="A2285" s="67"/>
      <c r="B2285" s="67"/>
    </row>
    <row r="2286" spans="1:2" x14ac:dyDescent="0.25">
      <c r="A2286" s="67"/>
      <c r="B2286" s="67"/>
    </row>
    <row r="2287" spans="1:2" x14ac:dyDescent="0.25">
      <c r="A2287" s="67"/>
      <c r="B2287" s="67"/>
    </row>
    <row r="2288" spans="1:2" x14ac:dyDescent="0.25">
      <c r="A2288" s="67"/>
      <c r="B2288" s="67"/>
    </row>
    <row r="2289" spans="1:2" x14ac:dyDescent="0.25">
      <c r="A2289" s="67"/>
      <c r="B2289" s="67"/>
    </row>
    <row r="2290" spans="1:2" x14ac:dyDescent="0.25">
      <c r="A2290" s="67"/>
      <c r="B2290" s="67"/>
    </row>
    <row r="2291" spans="1:2" x14ac:dyDescent="0.25">
      <c r="A2291" s="67"/>
      <c r="B2291" s="67"/>
    </row>
    <row r="2292" spans="1:2" x14ac:dyDescent="0.25">
      <c r="A2292" s="67"/>
      <c r="B2292" s="67"/>
    </row>
    <row r="2293" spans="1:2" x14ac:dyDescent="0.25">
      <c r="A2293" s="67"/>
      <c r="B2293" s="67"/>
    </row>
    <row r="2294" spans="1:2" x14ac:dyDescent="0.25">
      <c r="A2294" s="67"/>
      <c r="B2294" s="67"/>
    </row>
    <row r="2295" spans="1:2" x14ac:dyDescent="0.25">
      <c r="A2295" s="67"/>
      <c r="B2295" s="67"/>
    </row>
    <row r="2296" spans="1:2" x14ac:dyDescent="0.25">
      <c r="A2296" s="67"/>
      <c r="B2296" s="67"/>
    </row>
    <row r="2297" spans="1:2" x14ac:dyDescent="0.25">
      <c r="A2297" s="67"/>
      <c r="B2297" s="67"/>
    </row>
    <row r="2298" spans="1:2" x14ac:dyDescent="0.25">
      <c r="A2298" s="67"/>
      <c r="B2298" s="67"/>
    </row>
    <row r="2299" spans="1:2" x14ac:dyDescent="0.25">
      <c r="A2299" s="67"/>
      <c r="B2299" s="67"/>
    </row>
    <row r="2300" spans="1:2" x14ac:dyDescent="0.25">
      <c r="A2300" s="67"/>
      <c r="B2300" s="67"/>
    </row>
    <row r="2301" spans="1:2" x14ac:dyDescent="0.25">
      <c r="A2301" s="67"/>
      <c r="B2301" s="67"/>
    </row>
    <row r="2302" spans="1:2" x14ac:dyDescent="0.25">
      <c r="A2302" s="67"/>
      <c r="B2302" s="67"/>
    </row>
    <row r="2303" spans="1:2" x14ac:dyDescent="0.25">
      <c r="A2303" s="67"/>
      <c r="B2303" s="67"/>
    </row>
    <row r="2304" spans="1:2" x14ac:dyDescent="0.25">
      <c r="A2304" s="67"/>
      <c r="B2304" s="67"/>
    </row>
    <row r="2305" spans="1:2" x14ac:dyDescent="0.25">
      <c r="A2305" s="67"/>
      <c r="B2305" s="67"/>
    </row>
    <row r="2306" spans="1:2" x14ac:dyDescent="0.25">
      <c r="A2306" s="67"/>
      <c r="B2306" s="67"/>
    </row>
    <row r="2307" spans="1:2" x14ac:dyDescent="0.25">
      <c r="A2307" s="67"/>
      <c r="B2307" s="67"/>
    </row>
    <row r="2308" spans="1:2" x14ac:dyDescent="0.25">
      <c r="A2308" s="67"/>
      <c r="B2308" s="67"/>
    </row>
    <row r="2309" spans="1:2" x14ac:dyDescent="0.25">
      <c r="A2309" s="67"/>
      <c r="B2309" s="67"/>
    </row>
    <row r="2310" spans="1:2" x14ac:dyDescent="0.25">
      <c r="A2310" s="67"/>
      <c r="B2310" s="67"/>
    </row>
    <row r="2311" spans="1:2" x14ac:dyDescent="0.25">
      <c r="A2311" s="67"/>
      <c r="B2311" s="67"/>
    </row>
    <row r="2312" spans="1:2" x14ac:dyDescent="0.25">
      <c r="A2312" s="67"/>
      <c r="B2312" s="67"/>
    </row>
    <row r="2313" spans="1:2" x14ac:dyDescent="0.25">
      <c r="A2313" s="67"/>
      <c r="B2313" s="67"/>
    </row>
    <row r="2314" spans="1:2" x14ac:dyDescent="0.25">
      <c r="A2314" s="67"/>
      <c r="B2314" s="67"/>
    </row>
    <row r="2315" spans="1:2" x14ac:dyDescent="0.25">
      <c r="A2315" s="67"/>
      <c r="B2315" s="67"/>
    </row>
    <row r="2316" spans="1:2" x14ac:dyDescent="0.25">
      <c r="A2316" s="67"/>
      <c r="B2316" s="67"/>
    </row>
    <row r="2317" spans="1:2" x14ac:dyDescent="0.25">
      <c r="A2317" s="67"/>
      <c r="B2317" s="67"/>
    </row>
    <row r="2318" spans="1:2" x14ac:dyDescent="0.25">
      <c r="A2318" s="67"/>
      <c r="B2318" s="67"/>
    </row>
    <row r="2319" spans="1:2" x14ac:dyDescent="0.25">
      <c r="A2319" s="67"/>
      <c r="B2319" s="67"/>
    </row>
    <row r="2320" spans="1:2" x14ac:dyDescent="0.25">
      <c r="A2320" s="67"/>
      <c r="B2320" s="67"/>
    </row>
    <row r="2321" spans="1:2" x14ac:dyDescent="0.25">
      <c r="A2321" s="67"/>
      <c r="B2321" s="67"/>
    </row>
    <row r="2322" spans="1:2" x14ac:dyDescent="0.25">
      <c r="A2322" s="67"/>
      <c r="B2322" s="67"/>
    </row>
    <row r="2323" spans="1:2" x14ac:dyDescent="0.25">
      <c r="A2323" s="67"/>
      <c r="B2323" s="67"/>
    </row>
    <row r="2324" spans="1:2" x14ac:dyDescent="0.25">
      <c r="A2324" s="67"/>
      <c r="B2324" s="67"/>
    </row>
    <row r="2325" spans="1:2" x14ac:dyDescent="0.25">
      <c r="A2325" s="67"/>
      <c r="B2325" s="67"/>
    </row>
    <row r="2326" spans="1:2" x14ac:dyDescent="0.25">
      <c r="A2326" s="67"/>
      <c r="B2326" s="67"/>
    </row>
    <row r="2327" spans="1:2" x14ac:dyDescent="0.25">
      <c r="A2327" s="67"/>
      <c r="B2327" s="67"/>
    </row>
    <row r="2328" spans="1:2" x14ac:dyDescent="0.25">
      <c r="A2328" s="67"/>
      <c r="B2328" s="67"/>
    </row>
    <row r="2329" spans="1:2" x14ac:dyDescent="0.25">
      <c r="A2329" s="67"/>
      <c r="B2329" s="67"/>
    </row>
    <row r="2330" spans="1:2" x14ac:dyDescent="0.25">
      <c r="A2330" s="67"/>
      <c r="B2330" s="67"/>
    </row>
    <row r="2331" spans="1:2" x14ac:dyDescent="0.25">
      <c r="A2331" s="67"/>
      <c r="B2331" s="67"/>
    </row>
    <row r="2332" spans="1:2" x14ac:dyDescent="0.25">
      <c r="A2332" s="67"/>
      <c r="B2332" s="67"/>
    </row>
    <row r="2333" spans="1:2" x14ac:dyDescent="0.25">
      <c r="A2333" s="67"/>
      <c r="B2333" s="67"/>
    </row>
    <row r="2334" spans="1:2" x14ac:dyDescent="0.25">
      <c r="A2334" s="67"/>
      <c r="B2334" s="67"/>
    </row>
    <row r="2335" spans="1:2" x14ac:dyDescent="0.25">
      <c r="A2335" s="67"/>
      <c r="B2335" s="67"/>
    </row>
    <row r="2336" spans="1:2" x14ac:dyDescent="0.25">
      <c r="A2336" s="67"/>
      <c r="B2336" s="67"/>
    </row>
    <row r="2337" spans="1:2" x14ac:dyDescent="0.25">
      <c r="A2337" s="67"/>
      <c r="B2337" s="67"/>
    </row>
    <row r="2338" spans="1:2" x14ac:dyDescent="0.25">
      <c r="A2338" s="67"/>
      <c r="B2338" s="67"/>
    </row>
    <row r="2339" spans="1:2" x14ac:dyDescent="0.25">
      <c r="A2339" s="67"/>
      <c r="B2339" s="67"/>
    </row>
    <row r="2340" spans="1:2" x14ac:dyDescent="0.25">
      <c r="A2340" s="67"/>
      <c r="B2340" s="67"/>
    </row>
    <row r="2341" spans="1:2" x14ac:dyDescent="0.25">
      <c r="A2341" s="67"/>
      <c r="B2341" s="67"/>
    </row>
    <row r="2342" spans="1:2" x14ac:dyDescent="0.25">
      <c r="A2342" s="67"/>
      <c r="B2342" s="67"/>
    </row>
    <row r="2343" spans="1:2" x14ac:dyDescent="0.25">
      <c r="A2343" s="67"/>
      <c r="B2343" s="67"/>
    </row>
    <row r="2344" spans="1:2" x14ac:dyDescent="0.25">
      <c r="A2344" s="67"/>
      <c r="B2344" s="67"/>
    </row>
    <row r="2345" spans="1:2" x14ac:dyDescent="0.25">
      <c r="A2345" s="67"/>
      <c r="B2345" s="67"/>
    </row>
    <row r="2346" spans="1:2" x14ac:dyDescent="0.25">
      <c r="A2346" s="67"/>
      <c r="B2346" s="67"/>
    </row>
    <row r="2347" spans="1:2" x14ac:dyDescent="0.25">
      <c r="A2347" s="67"/>
      <c r="B2347" s="67"/>
    </row>
    <row r="2348" spans="1:2" x14ac:dyDescent="0.25">
      <c r="A2348" s="67"/>
      <c r="B2348" s="67"/>
    </row>
    <row r="2349" spans="1:2" x14ac:dyDescent="0.25">
      <c r="A2349" s="67"/>
      <c r="B2349" s="67"/>
    </row>
    <row r="2350" spans="1:2" x14ac:dyDescent="0.25">
      <c r="A2350" s="67"/>
      <c r="B2350" s="67"/>
    </row>
    <row r="2351" spans="1:2" x14ac:dyDescent="0.25">
      <c r="A2351" s="67"/>
      <c r="B2351" s="67"/>
    </row>
    <row r="2352" spans="1:2" x14ac:dyDescent="0.25">
      <c r="A2352" s="67"/>
      <c r="B2352" s="67"/>
    </row>
    <row r="2353" spans="1:2" x14ac:dyDescent="0.25">
      <c r="A2353" s="67"/>
      <c r="B2353" s="67"/>
    </row>
    <row r="2354" spans="1:2" x14ac:dyDescent="0.25">
      <c r="A2354" s="67"/>
      <c r="B2354" s="67"/>
    </row>
    <row r="2355" spans="1:2" x14ac:dyDescent="0.25">
      <c r="A2355" s="67"/>
      <c r="B2355" s="67"/>
    </row>
    <row r="2356" spans="1:2" x14ac:dyDescent="0.25">
      <c r="A2356" s="67"/>
      <c r="B2356" s="67"/>
    </row>
    <row r="2357" spans="1:2" x14ac:dyDescent="0.25">
      <c r="A2357" s="67"/>
      <c r="B2357" s="67"/>
    </row>
    <row r="2358" spans="1:2" x14ac:dyDescent="0.25">
      <c r="A2358" s="67"/>
      <c r="B2358" s="67"/>
    </row>
    <row r="2359" spans="1:2" x14ac:dyDescent="0.25">
      <c r="A2359" s="67"/>
      <c r="B2359" s="67"/>
    </row>
    <row r="2360" spans="1:2" x14ac:dyDescent="0.25">
      <c r="A2360" s="67"/>
      <c r="B2360" s="67"/>
    </row>
    <row r="2361" spans="1:2" x14ac:dyDescent="0.25">
      <c r="A2361" s="67"/>
      <c r="B2361" s="67"/>
    </row>
    <row r="2362" spans="1:2" x14ac:dyDescent="0.25">
      <c r="A2362" s="67"/>
      <c r="B2362" s="67"/>
    </row>
    <row r="2363" spans="1:2" x14ac:dyDescent="0.25">
      <c r="A2363" s="67"/>
      <c r="B2363" s="67"/>
    </row>
    <row r="2364" spans="1:2" x14ac:dyDescent="0.25">
      <c r="A2364" s="67"/>
      <c r="B2364" s="67"/>
    </row>
    <row r="2365" spans="1:2" x14ac:dyDescent="0.25">
      <c r="A2365" s="67"/>
      <c r="B2365" s="67"/>
    </row>
    <row r="2366" spans="1:2" x14ac:dyDescent="0.25">
      <c r="A2366" s="67"/>
      <c r="B2366" s="67"/>
    </row>
    <row r="2367" spans="1:2" x14ac:dyDescent="0.25">
      <c r="A2367" s="67"/>
      <c r="B2367" s="67"/>
    </row>
    <row r="2368" spans="1:2" x14ac:dyDescent="0.25">
      <c r="A2368" s="67"/>
      <c r="B2368" s="67"/>
    </row>
    <row r="2369" spans="1:2" x14ac:dyDescent="0.25">
      <c r="A2369" s="67"/>
      <c r="B2369" s="67"/>
    </row>
    <row r="2370" spans="1:2" x14ac:dyDescent="0.25">
      <c r="A2370" s="67"/>
      <c r="B2370" s="67"/>
    </row>
    <row r="2371" spans="1:2" x14ac:dyDescent="0.25">
      <c r="A2371" s="67"/>
      <c r="B2371" s="67"/>
    </row>
    <row r="2372" spans="1:2" x14ac:dyDescent="0.25">
      <c r="A2372" s="67"/>
      <c r="B2372" s="67"/>
    </row>
    <row r="2373" spans="1:2" x14ac:dyDescent="0.25">
      <c r="A2373" s="67"/>
      <c r="B2373" s="67"/>
    </row>
    <row r="2374" spans="1:2" x14ac:dyDescent="0.25">
      <c r="A2374" s="67"/>
      <c r="B2374" s="67"/>
    </row>
    <row r="2375" spans="1:2" x14ac:dyDescent="0.25">
      <c r="A2375" s="67"/>
      <c r="B2375" s="67"/>
    </row>
    <row r="2376" spans="1:2" x14ac:dyDescent="0.25">
      <c r="A2376" s="67"/>
      <c r="B2376" s="67"/>
    </row>
    <row r="2377" spans="1:2" x14ac:dyDescent="0.25">
      <c r="A2377" s="67"/>
      <c r="B2377" s="67"/>
    </row>
    <row r="2378" spans="1:2" x14ac:dyDescent="0.25">
      <c r="A2378" s="67"/>
      <c r="B2378" s="67"/>
    </row>
    <row r="2379" spans="1:2" x14ac:dyDescent="0.25">
      <c r="A2379" s="67"/>
      <c r="B2379" s="67"/>
    </row>
    <row r="2380" spans="1:2" x14ac:dyDescent="0.25">
      <c r="A2380" s="67"/>
      <c r="B2380" s="67"/>
    </row>
    <row r="2381" spans="1:2" x14ac:dyDescent="0.25">
      <c r="A2381" s="67"/>
      <c r="B2381" s="67"/>
    </row>
    <row r="2382" spans="1:2" x14ac:dyDescent="0.25">
      <c r="A2382" s="67"/>
      <c r="B2382" s="67"/>
    </row>
    <row r="2383" spans="1:2" x14ac:dyDescent="0.25">
      <c r="A2383" s="67"/>
      <c r="B2383" s="67"/>
    </row>
    <row r="2384" spans="1:2" x14ac:dyDescent="0.25">
      <c r="A2384" s="67"/>
      <c r="B2384" s="67"/>
    </row>
    <row r="2385" spans="1:2" x14ac:dyDescent="0.25">
      <c r="A2385" s="67"/>
      <c r="B2385" s="67"/>
    </row>
    <row r="2386" spans="1:2" x14ac:dyDescent="0.25">
      <c r="A2386" s="67"/>
      <c r="B2386" s="67"/>
    </row>
    <row r="2387" spans="1:2" x14ac:dyDescent="0.25">
      <c r="A2387" s="67"/>
      <c r="B2387" s="67"/>
    </row>
    <row r="2388" spans="1:2" x14ac:dyDescent="0.25">
      <c r="A2388" s="67"/>
      <c r="B2388" s="67"/>
    </row>
    <row r="2389" spans="1:2" x14ac:dyDescent="0.25">
      <c r="A2389" s="67"/>
      <c r="B2389" s="67"/>
    </row>
    <row r="2390" spans="1:2" x14ac:dyDescent="0.25">
      <c r="A2390" s="67"/>
      <c r="B2390" s="67"/>
    </row>
    <row r="2391" spans="1:2" x14ac:dyDescent="0.25">
      <c r="A2391" s="67"/>
      <c r="B2391" s="67"/>
    </row>
    <row r="2392" spans="1:2" x14ac:dyDescent="0.25">
      <c r="A2392" s="67"/>
      <c r="B2392" s="67"/>
    </row>
    <row r="2393" spans="1:2" x14ac:dyDescent="0.25">
      <c r="A2393" s="67"/>
      <c r="B2393" s="67"/>
    </row>
    <row r="2394" spans="1:2" x14ac:dyDescent="0.25">
      <c r="A2394" s="67"/>
      <c r="B2394" s="67"/>
    </row>
    <row r="2395" spans="1:2" x14ac:dyDescent="0.25">
      <c r="A2395" s="67"/>
      <c r="B2395" s="67"/>
    </row>
    <row r="2396" spans="1:2" x14ac:dyDescent="0.25">
      <c r="A2396" s="67"/>
      <c r="B2396" s="67"/>
    </row>
    <row r="2397" spans="1:2" x14ac:dyDescent="0.25">
      <c r="A2397" s="67"/>
      <c r="B2397" s="67"/>
    </row>
    <row r="2398" spans="1:2" x14ac:dyDescent="0.25">
      <c r="A2398" s="67"/>
      <c r="B2398" s="67"/>
    </row>
    <row r="2399" spans="1:2" x14ac:dyDescent="0.25">
      <c r="A2399" s="67"/>
      <c r="B2399" s="67"/>
    </row>
    <row r="2400" spans="1:2" x14ac:dyDescent="0.25">
      <c r="A2400" s="67"/>
      <c r="B2400" s="67"/>
    </row>
    <row r="2401" spans="1:2" x14ac:dyDescent="0.25">
      <c r="A2401" s="67"/>
      <c r="B2401" s="67"/>
    </row>
    <row r="2402" spans="1:2" x14ac:dyDescent="0.25">
      <c r="A2402" s="67"/>
      <c r="B2402" s="67"/>
    </row>
    <row r="2403" spans="1:2" x14ac:dyDescent="0.25">
      <c r="A2403" s="67"/>
      <c r="B2403" s="67"/>
    </row>
    <row r="2404" spans="1:2" x14ac:dyDescent="0.25">
      <c r="A2404" s="67"/>
      <c r="B2404" s="67"/>
    </row>
    <row r="2405" spans="1:2" x14ac:dyDescent="0.25">
      <c r="A2405" s="67"/>
      <c r="B2405" s="67"/>
    </row>
    <row r="2406" spans="1:2" x14ac:dyDescent="0.25">
      <c r="A2406" s="67"/>
      <c r="B2406" s="67"/>
    </row>
    <row r="2407" spans="1:2" x14ac:dyDescent="0.25">
      <c r="A2407" s="67"/>
      <c r="B2407" s="67"/>
    </row>
    <row r="2408" spans="1:2" x14ac:dyDescent="0.25">
      <c r="A2408" s="67"/>
      <c r="B2408" s="67"/>
    </row>
    <row r="2409" spans="1:2" x14ac:dyDescent="0.25">
      <c r="A2409" s="67"/>
      <c r="B2409" s="67"/>
    </row>
    <row r="2410" spans="1:2" x14ac:dyDescent="0.25">
      <c r="A2410" s="67"/>
      <c r="B2410" s="67"/>
    </row>
    <row r="2411" spans="1:2" x14ac:dyDescent="0.25">
      <c r="A2411" s="67"/>
      <c r="B2411" s="67"/>
    </row>
    <row r="2412" spans="1:2" x14ac:dyDescent="0.25">
      <c r="A2412" s="67"/>
      <c r="B2412" s="67"/>
    </row>
    <row r="2413" spans="1:2" x14ac:dyDescent="0.25">
      <c r="A2413" s="67"/>
      <c r="B2413" s="67"/>
    </row>
    <row r="2414" spans="1:2" x14ac:dyDescent="0.25">
      <c r="A2414" s="67"/>
      <c r="B2414" s="67"/>
    </row>
    <row r="2415" spans="1:2" x14ac:dyDescent="0.25">
      <c r="A2415" s="67"/>
      <c r="B2415" s="67"/>
    </row>
    <row r="2416" spans="1:2" x14ac:dyDescent="0.25">
      <c r="A2416" s="67"/>
      <c r="B2416" s="67"/>
    </row>
    <row r="2417" spans="1:2" x14ac:dyDescent="0.25">
      <c r="A2417" s="67"/>
      <c r="B2417" s="67"/>
    </row>
    <row r="2418" spans="1:2" x14ac:dyDescent="0.25">
      <c r="A2418" s="67"/>
      <c r="B2418" s="67"/>
    </row>
    <row r="2419" spans="1:2" x14ac:dyDescent="0.25">
      <c r="A2419" s="67"/>
      <c r="B2419" s="67"/>
    </row>
    <row r="2420" spans="1:2" x14ac:dyDescent="0.25">
      <c r="A2420" s="67"/>
      <c r="B2420" s="67"/>
    </row>
    <row r="2421" spans="1:2" x14ac:dyDescent="0.25">
      <c r="A2421" s="67"/>
      <c r="B2421" s="67"/>
    </row>
    <row r="2422" spans="1:2" x14ac:dyDescent="0.25">
      <c r="A2422" s="67"/>
      <c r="B2422" s="67"/>
    </row>
    <row r="2423" spans="1:2" x14ac:dyDescent="0.25">
      <c r="A2423" s="67"/>
      <c r="B2423" s="67"/>
    </row>
    <row r="2424" spans="1:2" x14ac:dyDescent="0.25">
      <c r="A2424" s="67"/>
      <c r="B2424" s="67"/>
    </row>
    <row r="2425" spans="1:2" x14ac:dyDescent="0.25">
      <c r="A2425" s="67"/>
      <c r="B2425" s="67"/>
    </row>
    <row r="2426" spans="1:2" x14ac:dyDescent="0.25">
      <c r="A2426" s="67"/>
      <c r="B2426" s="67"/>
    </row>
    <row r="2427" spans="1:2" x14ac:dyDescent="0.25">
      <c r="A2427" s="67"/>
      <c r="B2427" s="67"/>
    </row>
    <row r="2428" spans="1:2" x14ac:dyDescent="0.25">
      <c r="A2428" s="67"/>
      <c r="B2428" s="67"/>
    </row>
    <row r="2429" spans="1:2" x14ac:dyDescent="0.25">
      <c r="A2429" s="67"/>
      <c r="B2429" s="67"/>
    </row>
    <row r="2430" spans="1:2" x14ac:dyDescent="0.25">
      <c r="A2430" s="67"/>
      <c r="B2430" s="67"/>
    </row>
    <row r="2431" spans="1:2" x14ac:dyDescent="0.25">
      <c r="A2431" s="67"/>
      <c r="B2431" s="67"/>
    </row>
    <row r="2432" spans="1:2" x14ac:dyDescent="0.25">
      <c r="A2432" s="67"/>
      <c r="B2432" s="67"/>
    </row>
    <row r="2433" spans="1:2" x14ac:dyDescent="0.25">
      <c r="A2433" s="67"/>
      <c r="B2433" s="67"/>
    </row>
    <row r="2434" spans="1:2" x14ac:dyDescent="0.25">
      <c r="A2434" s="67"/>
      <c r="B2434" s="67"/>
    </row>
    <row r="2435" spans="1:2" x14ac:dyDescent="0.25">
      <c r="A2435" s="67"/>
      <c r="B2435" s="67"/>
    </row>
    <row r="2436" spans="1:2" x14ac:dyDescent="0.25">
      <c r="A2436" s="67"/>
      <c r="B2436" s="67"/>
    </row>
    <row r="2437" spans="1:2" x14ac:dyDescent="0.25">
      <c r="A2437" s="67"/>
      <c r="B2437" s="67"/>
    </row>
    <row r="2438" spans="1:2" x14ac:dyDescent="0.25">
      <c r="A2438" s="67"/>
      <c r="B2438" s="67"/>
    </row>
    <row r="2439" spans="1:2" x14ac:dyDescent="0.25">
      <c r="A2439" s="67"/>
      <c r="B2439" s="67"/>
    </row>
    <row r="2440" spans="1:2" x14ac:dyDescent="0.25">
      <c r="A2440" s="67"/>
      <c r="B2440" s="67"/>
    </row>
    <row r="2441" spans="1:2" x14ac:dyDescent="0.25">
      <c r="A2441" s="67"/>
      <c r="B2441" s="67"/>
    </row>
    <row r="2442" spans="1:2" x14ac:dyDescent="0.25">
      <c r="A2442" s="67"/>
      <c r="B2442" s="67"/>
    </row>
    <row r="2443" spans="1:2" x14ac:dyDescent="0.25">
      <c r="A2443" s="67"/>
      <c r="B2443" s="67"/>
    </row>
    <row r="2444" spans="1:2" x14ac:dyDescent="0.25">
      <c r="A2444" s="67"/>
      <c r="B2444" s="67"/>
    </row>
    <row r="2445" spans="1:2" x14ac:dyDescent="0.25">
      <c r="A2445" s="67"/>
      <c r="B2445" s="67"/>
    </row>
    <row r="2446" spans="1:2" x14ac:dyDescent="0.25">
      <c r="A2446" s="67"/>
      <c r="B2446" s="67"/>
    </row>
    <row r="2447" spans="1:2" x14ac:dyDescent="0.25">
      <c r="A2447" s="67"/>
      <c r="B2447" s="67"/>
    </row>
    <row r="2448" spans="1:2" x14ac:dyDescent="0.25">
      <c r="A2448" s="67"/>
      <c r="B2448" s="67"/>
    </row>
    <row r="2449" spans="1:2" x14ac:dyDescent="0.25">
      <c r="A2449" s="67"/>
      <c r="B2449" s="67"/>
    </row>
    <row r="2450" spans="1:2" x14ac:dyDescent="0.25">
      <c r="A2450" s="67"/>
      <c r="B2450" s="67"/>
    </row>
    <row r="2451" spans="1:2" x14ac:dyDescent="0.25">
      <c r="A2451" s="67"/>
      <c r="B2451" s="67"/>
    </row>
    <row r="2452" spans="1:2" x14ac:dyDescent="0.25">
      <c r="A2452" s="67"/>
      <c r="B2452" s="67"/>
    </row>
    <row r="2453" spans="1:2" x14ac:dyDescent="0.25">
      <c r="A2453" s="67"/>
      <c r="B2453" s="67"/>
    </row>
    <row r="2454" spans="1:2" x14ac:dyDescent="0.25">
      <c r="A2454" s="67"/>
      <c r="B2454" s="67"/>
    </row>
    <row r="2455" spans="1:2" x14ac:dyDescent="0.25">
      <c r="A2455" s="67"/>
      <c r="B2455" s="67"/>
    </row>
    <row r="2456" spans="1:2" x14ac:dyDescent="0.25">
      <c r="A2456" s="67"/>
      <c r="B2456" s="67"/>
    </row>
    <row r="2457" spans="1:2" x14ac:dyDescent="0.25">
      <c r="A2457" s="67"/>
      <c r="B2457" s="67"/>
    </row>
    <row r="2458" spans="1:2" x14ac:dyDescent="0.25">
      <c r="A2458" s="67"/>
      <c r="B2458" s="67"/>
    </row>
    <row r="2459" spans="1:2" x14ac:dyDescent="0.25">
      <c r="A2459" s="67"/>
      <c r="B2459" s="67"/>
    </row>
    <row r="2460" spans="1:2" x14ac:dyDescent="0.25">
      <c r="A2460" s="67"/>
      <c r="B2460" s="67"/>
    </row>
    <row r="2461" spans="1:2" x14ac:dyDescent="0.25">
      <c r="A2461" s="67"/>
      <c r="B2461" s="67"/>
    </row>
    <row r="2462" spans="1:2" x14ac:dyDescent="0.25">
      <c r="A2462" s="67"/>
      <c r="B2462" s="67"/>
    </row>
    <row r="2463" spans="1:2" x14ac:dyDescent="0.25">
      <c r="A2463" s="67"/>
      <c r="B2463" s="67"/>
    </row>
    <row r="2464" spans="1:2" x14ac:dyDescent="0.25">
      <c r="A2464" s="67"/>
      <c r="B2464" s="67"/>
    </row>
    <row r="2465" spans="1:2" x14ac:dyDescent="0.25">
      <c r="A2465" s="67"/>
      <c r="B2465" s="67"/>
    </row>
    <row r="2466" spans="1:2" x14ac:dyDescent="0.25">
      <c r="A2466" s="67"/>
      <c r="B2466" s="67"/>
    </row>
    <row r="2467" spans="1:2" x14ac:dyDescent="0.25">
      <c r="A2467" s="67"/>
      <c r="B2467" s="67"/>
    </row>
    <row r="2468" spans="1:2" x14ac:dyDescent="0.25">
      <c r="A2468" s="67"/>
      <c r="B2468" s="67"/>
    </row>
    <row r="2469" spans="1:2" x14ac:dyDescent="0.25">
      <c r="A2469" s="67"/>
      <c r="B2469" s="67"/>
    </row>
    <row r="2470" spans="1:2" x14ac:dyDescent="0.25">
      <c r="A2470" s="67"/>
      <c r="B2470" s="67"/>
    </row>
    <row r="2471" spans="1:2" x14ac:dyDescent="0.25">
      <c r="A2471" s="67"/>
      <c r="B2471" s="67"/>
    </row>
    <row r="2472" spans="1:2" x14ac:dyDescent="0.25">
      <c r="A2472" s="67"/>
      <c r="B2472" s="67"/>
    </row>
    <row r="2473" spans="1:2" x14ac:dyDescent="0.25">
      <c r="A2473" s="67"/>
      <c r="B2473" s="67"/>
    </row>
    <row r="2474" spans="1:2" x14ac:dyDescent="0.25">
      <c r="A2474" s="67"/>
      <c r="B2474" s="67"/>
    </row>
    <row r="2475" spans="1:2" x14ac:dyDescent="0.25">
      <c r="A2475" s="67"/>
      <c r="B2475" s="67"/>
    </row>
    <row r="2476" spans="1:2" x14ac:dyDescent="0.25">
      <c r="A2476" s="67"/>
      <c r="B2476" s="67"/>
    </row>
    <row r="2477" spans="1:2" x14ac:dyDescent="0.25">
      <c r="A2477" s="67"/>
      <c r="B2477" s="67"/>
    </row>
    <row r="2478" spans="1:2" x14ac:dyDescent="0.25">
      <c r="A2478" s="67"/>
      <c r="B2478" s="67"/>
    </row>
    <row r="2479" spans="1:2" x14ac:dyDescent="0.25">
      <c r="A2479" s="67"/>
      <c r="B2479" s="67"/>
    </row>
    <row r="2480" spans="1:2" x14ac:dyDescent="0.25">
      <c r="A2480" s="67"/>
      <c r="B2480" s="67"/>
    </row>
    <row r="2481" spans="1:2" x14ac:dyDescent="0.25">
      <c r="A2481" s="67"/>
      <c r="B2481" s="67"/>
    </row>
    <row r="2482" spans="1:2" x14ac:dyDescent="0.25">
      <c r="A2482" s="67"/>
      <c r="B2482" s="67"/>
    </row>
    <row r="2483" spans="1:2" x14ac:dyDescent="0.25">
      <c r="A2483" s="67"/>
      <c r="B2483" s="67"/>
    </row>
    <row r="2484" spans="1:2" x14ac:dyDescent="0.25">
      <c r="A2484" s="67"/>
      <c r="B2484" s="67"/>
    </row>
    <row r="2485" spans="1:2" x14ac:dyDescent="0.25">
      <c r="A2485" s="67"/>
      <c r="B2485" s="67"/>
    </row>
    <row r="2486" spans="1:2" x14ac:dyDescent="0.25">
      <c r="A2486" s="67"/>
      <c r="B2486" s="67"/>
    </row>
    <row r="2487" spans="1:2" x14ac:dyDescent="0.25">
      <c r="A2487" s="67"/>
      <c r="B2487" s="67"/>
    </row>
    <row r="2488" spans="1:2" x14ac:dyDescent="0.25">
      <c r="A2488" s="67"/>
      <c r="B2488" s="67"/>
    </row>
    <row r="2489" spans="1:2" x14ac:dyDescent="0.25">
      <c r="A2489" s="67"/>
      <c r="B2489" s="67"/>
    </row>
    <row r="2490" spans="1:2" x14ac:dyDescent="0.25">
      <c r="A2490" s="67"/>
      <c r="B2490" s="67"/>
    </row>
    <row r="2491" spans="1:2" x14ac:dyDescent="0.25">
      <c r="A2491" s="67"/>
      <c r="B2491" s="67"/>
    </row>
    <row r="2492" spans="1:2" x14ac:dyDescent="0.25">
      <c r="A2492" s="67"/>
      <c r="B2492" s="67"/>
    </row>
    <row r="2493" spans="1:2" x14ac:dyDescent="0.25">
      <c r="A2493" s="67"/>
      <c r="B2493" s="67"/>
    </row>
    <row r="2494" spans="1:2" x14ac:dyDescent="0.25">
      <c r="A2494" s="67"/>
      <c r="B2494" s="67"/>
    </row>
    <row r="2495" spans="1:2" x14ac:dyDescent="0.25">
      <c r="A2495" s="67"/>
      <c r="B2495" s="67"/>
    </row>
    <row r="2496" spans="1:2" x14ac:dyDescent="0.25">
      <c r="A2496" s="67"/>
      <c r="B2496" s="67"/>
    </row>
    <row r="2497" spans="1:2" x14ac:dyDescent="0.25">
      <c r="A2497" s="67"/>
      <c r="B2497" s="67"/>
    </row>
    <row r="2498" spans="1:2" x14ac:dyDescent="0.25">
      <c r="A2498" s="67"/>
      <c r="B2498" s="67"/>
    </row>
    <row r="2499" spans="1:2" x14ac:dyDescent="0.25">
      <c r="A2499" s="67"/>
      <c r="B2499" s="67"/>
    </row>
    <row r="2500" spans="1:2" x14ac:dyDescent="0.25">
      <c r="A2500" s="67"/>
      <c r="B2500" s="67"/>
    </row>
    <row r="2501" spans="1:2" x14ac:dyDescent="0.25">
      <c r="A2501" s="67"/>
      <c r="B2501" s="67"/>
    </row>
    <row r="2502" spans="1:2" x14ac:dyDescent="0.25">
      <c r="A2502" s="67"/>
      <c r="B2502" s="67"/>
    </row>
    <row r="2503" spans="1:2" x14ac:dyDescent="0.25">
      <c r="A2503" s="67"/>
      <c r="B2503" s="67"/>
    </row>
    <row r="2504" spans="1:2" x14ac:dyDescent="0.25">
      <c r="A2504" s="67"/>
      <c r="B2504" s="67"/>
    </row>
    <row r="2505" spans="1:2" x14ac:dyDescent="0.25">
      <c r="A2505" s="67"/>
      <c r="B2505" s="67"/>
    </row>
    <row r="2506" spans="1:2" x14ac:dyDescent="0.25">
      <c r="A2506" s="67"/>
      <c r="B2506" s="67"/>
    </row>
    <row r="2507" spans="1:2" x14ac:dyDescent="0.25">
      <c r="A2507" s="67"/>
      <c r="B2507" s="67"/>
    </row>
    <row r="2508" spans="1:2" x14ac:dyDescent="0.25">
      <c r="A2508" s="67"/>
      <c r="B2508" s="67"/>
    </row>
    <row r="2509" spans="1:2" x14ac:dyDescent="0.25">
      <c r="A2509" s="67"/>
      <c r="B2509" s="67"/>
    </row>
    <row r="2510" spans="1:2" x14ac:dyDescent="0.25">
      <c r="A2510" s="67"/>
      <c r="B2510" s="67"/>
    </row>
    <row r="2511" spans="1:2" x14ac:dyDescent="0.25">
      <c r="A2511" s="67"/>
      <c r="B2511" s="67"/>
    </row>
    <row r="2512" spans="1:2" x14ac:dyDescent="0.25">
      <c r="A2512" s="67"/>
      <c r="B2512" s="67"/>
    </row>
    <row r="2513" spans="1:2" x14ac:dyDescent="0.25">
      <c r="A2513" s="67"/>
      <c r="B2513" s="67"/>
    </row>
    <row r="2514" spans="1:2" x14ac:dyDescent="0.25">
      <c r="A2514" s="67"/>
      <c r="B2514" s="67"/>
    </row>
    <row r="2515" spans="1:2" x14ac:dyDescent="0.25">
      <c r="A2515" s="67"/>
      <c r="B2515" s="67"/>
    </row>
    <row r="2516" spans="1:2" x14ac:dyDescent="0.25">
      <c r="A2516" s="67"/>
      <c r="B2516" s="67"/>
    </row>
    <row r="2517" spans="1:2" x14ac:dyDescent="0.25">
      <c r="A2517" s="67"/>
      <c r="B2517" s="67"/>
    </row>
    <row r="2518" spans="1:2" x14ac:dyDescent="0.25">
      <c r="A2518" s="67"/>
      <c r="B2518" s="67"/>
    </row>
    <row r="2519" spans="1:2" x14ac:dyDescent="0.25">
      <c r="A2519" s="67"/>
      <c r="B2519" s="67"/>
    </row>
    <row r="2520" spans="1:2" x14ac:dyDescent="0.25">
      <c r="A2520" s="67"/>
      <c r="B2520" s="67"/>
    </row>
    <row r="2521" spans="1:2" x14ac:dyDescent="0.25">
      <c r="A2521" s="67"/>
      <c r="B2521" s="67"/>
    </row>
    <row r="2522" spans="1:2" x14ac:dyDescent="0.25">
      <c r="A2522" s="67"/>
      <c r="B2522" s="67"/>
    </row>
    <row r="2523" spans="1:2" x14ac:dyDescent="0.25">
      <c r="A2523" s="67"/>
      <c r="B2523" s="67"/>
    </row>
    <row r="2524" spans="1:2" x14ac:dyDescent="0.25">
      <c r="A2524" s="67"/>
      <c r="B2524" s="67"/>
    </row>
    <row r="2525" spans="1:2" x14ac:dyDescent="0.25">
      <c r="A2525" s="67"/>
      <c r="B2525" s="67"/>
    </row>
    <row r="2526" spans="1:2" x14ac:dyDescent="0.25">
      <c r="A2526" s="67"/>
      <c r="B2526" s="67"/>
    </row>
    <row r="2527" spans="1:2" x14ac:dyDescent="0.25">
      <c r="A2527" s="67"/>
      <c r="B2527" s="67"/>
    </row>
    <row r="2528" spans="1:2" x14ac:dyDescent="0.25">
      <c r="A2528" s="67"/>
      <c r="B2528" s="67"/>
    </row>
    <row r="2529" spans="1:2" x14ac:dyDescent="0.25">
      <c r="A2529" s="67"/>
      <c r="B2529" s="67"/>
    </row>
    <row r="2530" spans="1:2" x14ac:dyDescent="0.25">
      <c r="A2530" s="67"/>
      <c r="B2530" s="67"/>
    </row>
    <row r="2531" spans="1:2" x14ac:dyDescent="0.25">
      <c r="A2531" s="67"/>
      <c r="B2531" s="67"/>
    </row>
    <row r="2532" spans="1:2" x14ac:dyDescent="0.25">
      <c r="A2532" s="67"/>
      <c r="B2532" s="67"/>
    </row>
    <row r="2533" spans="1:2" x14ac:dyDescent="0.25">
      <c r="A2533" s="67"/>
      <c r="B2533" s="67"/>
    </row>
    <row r="2534" spans="1:2" x14ac:dyDescent="0.25">
      <c r="A2534" s="67"/>
      <c r="B2534" s="67"/>
    </row>
    <row r="2535" spans="1:2" x14ac:dyDescent="0.25">
      <c r="A2535" s="67"/>
      <c r="B2535" s="67"/>
    </row>
    <row r="2536" spans="1:2" x14ac:dyDescent="0.25">
      <c r="A2536" s="67"/>
      <c r="B2536" s="67"/>
    </row>
    <row r="2537" spans="1:2" x14ac:dyDescent="0.25">
      <c r="A2537" s="67"/>
      <c r="B2537" s="67"/>
    </row>
    <row r="2538" spans="1:2" x14ac:dyDescent="0.25">
      <c r="A2538" s="67"/>
      <c r="B2538" s="67"/>
    </row>
    <row r="2539" spans="1:2" x14ac:dyDescent="0.25">
      <c r="A2539" s="67"/>
      <c r="B2539" s="67"/>
    </row>
    <row r="2540" spans="1:2" x14ac:dyDescent="0.25">
      <c r="A2540" s="67"/>
      <c r="B2540" s="67"/>
    </row>
    <row r="2541" spans="1:2" x14ac:dyDescent="0.25">
      <c r="A2541" s="67"/>
      <c r="B2541" s="67"/>
    </row>
    <row r="2542" spans="1:2" x14ac:dyDescent="0.25">
      <c r="A2542" s="67"/>
      <c r="B2542" s="67"/>
    </row>
    <row r="2543" spans="1:2" x14ac:dyDescent="0.25">
      <c r="A2543" s="67"/>
      <c r="B2543" s="67"/>
    </row>
    <row r="2544" spans="1:2" x14ac:dyDescent="0.25">
      <c r="A2544" s="67"/>
      <c r="B2544" s="67"/>
    </row>
    <row r="2545" spans="1:2" x14ac:dyDescent="0.25">
      <c r="A2545" s="67"/>
      <c r="B2545" s="67"/>
    </row>
    <row r="2546" spans="1:2" x14ac:dyDescent="0.25">
      <c r="A2546" s="67"/>
      <c r="B2546" s="67"/>
    </row>
    <row r="2547" spans="1:2" x14ac:dyDescent="0.25">
      <c r="A2547" s="67"/>
      <c r="B2547" s="67"/>
    </row>
    <row r="2548" spans="1:2" x14ac:dyDescent="0.25">
      <c r="A2548" s="67"/>
      <c r="B2548" s="67"/>
    </row>
    <row r="2549" spans="1:2" x14ac:dyDescent="0.25">
      <c r="A2549" s="67"/>
      <c r="B2549" s="67"/>
    </row>
    <row r="2550" spans="1:2" x14ac:dyDescent="0.25">
      <c r="A2550" s="67"/>
      <c r="B2550" s="67"/>
    </row>
    <row r="2551" spans="1:2" x14ac:dyDescent="0.25">
      <c r="A2551" s="67"/>
      <c r="B2551" s="67"/>
    </row>
    <row r="2552" spans="1:2" x14ac:dyDescent="0.25">
      <c r="A2552" s="67"/>
      <c r="B2552" s="67"/>
    </row>
    <row r="2553" spans="1:2" x14ac:dyDescent="0.25">
      <c r="A2553" s="67"/>
      <c r="B2553" s="67"/>
    </row>
    <row r="2554" spans="1:2" x14ac:dyDescent="0.25">
      <c r="A2554" s="67"/>
      <c r="B2554" s="67"/>
    </row>
    <row r="2555" spans="1:2" x14ac:dyDescent="0.25">
      <c r="A2555" s="67"/>
      <c r="B2555" s="67"/>
    </row>
    <row r="2556" spans="1:2" x14ac:dyDescent="0.25">
      <c r="A2556" s="67"/>
      <c r="B2556" s="67"/>
    </row>
    <row r="2557" spans="1:2" x14ac:dyDescent="0.25">
      <c r="A2557" s="67"/>
      <c r="B2557" s="67"/>
    </row>
    <row r="2558" spans="1:2" x14ac:dyDescent="0.25">
      <c r="A2558" s="67"/>
      <c r="B2558" s="67"/>
    </row>
    <row r="2559" spans="1:2" x14ac:dyDescent="0.25">
      <c r="A2559" s="67"/>
      <c r="B2559" s="67"/>
    </row>
    <row r="2560" spans="1:2" x14ac:dyDescent="0.25">
      <c r="A2560" s="67"/>
      <c r="B2560" s="67"/>
    </row>
    <row r="2561" spans="1:2" x14ac:dyDescent="0.25">
      <c r="A2561" s="67"/>
      <c r="B2561" s="67"/>
    </row>
    <row r="2562" spans="1:2" x14ac:dyDescent="0.25">
      <c r="A2562" s="67"/>
      <c r="B2562" s="67"/>
    </row>
    <row r="2563" spans="1:2" x14ac:dyDescent="0.25">
      <c r="A2563" s="67"/>
      <c r="B2563" s="67"/>
    </row>
    <row r="2564" spans="1:2" x14ac:dyDescent="0.25">
      <c r="A2564" s="67"/>
      <c r="B2564" s="67"/>
    </row>
    <row r="2565" spans="1:2" x14ac:dyDescent="0.25">
      <c r="A2565" s="67"/>
      <c r="B2565" s="67"/>
    </row>
    <row r="2566" spans="1:2" x14ac:dyDescent="0.25">
      <c r="A2566" s="67"/>
      <c r="B2566" s="67"/>
    </row>
    <row r="2567" spans="1:2" x14ac:dyDescent="0.25">
      <c r="A2567" s="67"/>
      <c r="B2567" s="67"/>
    </row>
    <row r="2568" spans="1:2" x14ac:dyDescent="0.25">
      <c r="A2568" s="67"/>
      <c r="B2568" s="67"/>
    </row>
    <row r="2569" spans="1:2" x14ac:dyDescent="0.25">
      <c r="A2569" s="67"/>
      <c r="B2569" s="67"/>
    </row>
    <row r="2570" spans="1:2" x14ac:dyDescent="0.25">
      <c r="A2570" s="67"/>
      <c r="B2570" s="67"/>
    </row>
    <row r="2571" spans="1:2" x14ac:dyDescent="0.25">
      <c r="A2571" s="67"/>
      <c r="B2571" s="67"/>
    </row>
    <row r="2572" spans="1:2" x14ac:dyDescent="0.25">
      <c r="A2572" s="67"/>
      <c r="B2572" s="67"/>
    </row>
    <row r="2573" spans="1:2" x14ac:dyDescent="0.25">
      <c r="A2573" s="67"/>
      <c r="B2573" s="67"/>
    </row>
    <row r="2574" spans="1:2" x14ac:dyDescent="0.25">
      <c r="A2574" s="67"/>
      <c r="B2574" s="67"/>
    </row>
    <row r="2575" spans="1:2" x14ac:dyDescent="0.25">
      <c r="A2575" s="67"/>
      <c r="B2575" s="67"/>
    </row>
    <row r="2576" spans="1:2" x14ac:dyDescent="0.25">
      <c r="A2576" s="67"/>
      <c r="B2576" s="67"/>
    </row>
    <row r="2577" spans="1:2" x14ac:dyDescent="0.25">
      <c r="A2577" s="67"/>
      <c r="B2577" s="67"/>
    </row>
    <row r="2578" spans="1:2" x14ac:dyDescent="0.25">
      <c r="A2578" s="67"/>
      <c r="B2578" s="67"/>
    </row>
    <row r="2579" spans="1:2" x14ac:dyDescent="0.25">
      <c r="A2579" s="67"/>
      <c r="B2579" s="67"/>
    </row>
    <row r="2580" spans="1:2" x14ac:dyDescent="0.25">
      <c r="A2580" s="67"/>
      <c r="B2580" s="67"/>
    </row>
    <row r="2581" spans="1:2" x14ac:dyDescent="0.25">
      <c r="A2581" s="67"/>
      <c r="B2581" s="67"/>
    </row>
    <row r="2582" spans="1:2" x14ac:dyDescent="0.25">
      <c r="A2582" s="67"/>
      <c r="B2582" s="67"/>
    </row>
    <row r="2583" spans="1:2" x14ac:dyDescent="0.25">
      <c r="A2583" s="67"/>
      <c r="B2583" s="67"/>
    </row>
    <row r="2584" spans="1:2" x14ac:dyDescent="0.25">
      <c r="A2584" s="67"/>
      <c r="B2584" s="67"/>
    </row>
    <row r="2585" spans="1:2" x14ac:dyDescent="0.25">
      <c r="A2585" s="67"/>
      <c r="B2585" s="67"/>
    </row>
    <row r="2586" spans="1:2" x14ac:dyDescent="0.25">
      <c r="A2586" s="67"/>
      <c r="B2586" s="67"/>
    </row>
    <row r="2587" spans="1:2" x14ac:dyDescent="0.25">
      <c r="A2587" s="67"/>
      <c r="B2587" s="67"/>
    </row>
    <row r="2588" spans="1:2" x14ac:dyDescent="0.25">
      <c r="A2588" s="67"/>
      <c r="B2588" s="67"/>
    </row>
    <row r="2589" spans="1:2" x14ac:dyDescent="0.25">
      <c r="A2589" s="67"/>
      <c r="B2589" s="67"/>
    </row>
    <row r="2590" spans="1:2" x14ac:dyDescent="0.25">
      <c r="A2590" s="67"/>
      <c r="B2590" s="67"/>
    </row>
    <row r="2591" spans="1:2" x14ac:dyDescent="0.25">
      <c r="A2591" s="67"/>
      <c r="B2591" s="67"/>
    </row>
    <row r="2592" spans="1:2" x14ac:dyDescent="0.25">
      <c r="A2592" s="67"/>
      <c r="B2592" s="67"/>
    </row>
    <row r="2593" spans="1:2" x14ac:dyDescent="0.25">
      <c r="A2593" s="67"/>
      <c r="B2593" s="67"/>
    </row>
    <row r="2594" spans="1:2" x14ac:dyDescent="0.25">
      <c r="A2594" s="67"/>
      <c r="B2594" s="67"/>
    </row>
    <row r="2595" spans="1:2" x14ac:dyDescent="0.25">
      <c r="A2595" s="67"/>
      <c r="B2595" s="67"/>
    </row>
    <row r="2596" spans="1:2" x14ac:dyDescent="0.25">
      <c r="A2596" s="67"/>
      <c r="B2596" s="67"/>
    </row>
    <row r="2597" spans="1:2" x14ac:dyDescent="0.25">
      <c r="A2597" s="67"/>
      <c r="B2597" s="67"/>
    </row>
    <row r="2598" spans="1:2" x14ac:dyDescent="0.25">
      <c r="A2598" s="67"/>
      <c r="B2598" s="67"/>
    </row>
    <row r="2599" spans="1:2" x14ac:dyDescent="0.25">
      <c r="A2599" s="67"/>
      <c r="B2599" s="67"/>
    </row>
    <row r="2600" spans="1:2" x14ac:dyDescent="0.25">
      <c r="A2600" s="67"/>
      <c r="B2600" s="67"/>
    </row>
    <row r="2601" spans="1:2" x14ac:dyDescent="0.25">
      <c r="A2601" s="67"/>
      <c r="B2601" s="67"/>
    </row>
    <row r="2602" spans="1:2" x14ac:dyDescent="0.25">
      <c r="A2602" s="67"/>
      <c r="B2602" s="67"/>
    </row>
    <row r="2603" spans="1:2" x14ac:dyDescent="0.25">
      <c r="A2603" s="67"/>
      <c r="B2603" s="67"/>
    </row>
    <row r="2604" spans="1:2" x14ac:dyDescent="0.25">
      <c r="A2604" s="67"/>
      <c r="B2604" s="67"/>
    </row>
    <row r="2605" spans="1:2" x14ac:dyDescent="0.25">
      <c r="A2605" s="67"/>
      <c r="B2605" s="67"/>
    </row>
    <row r="2606" spans="1:2" x14ac:dyDescent="0.25">
      <c r="A2606" s="67"/>
      <c r="B2606" s="67"/>
    </row>
    <row r="2607" spans="1:2" x14ac:dyDescent="0.25">
      <c r="A2607" s="67"/>
      <c r="B2607" s="67"/>
    </row>
    <row r="2608" spans="1:2" x14ac:dyDescent="0.25">
      <c r="A2608" s="67"/>
      <c r="B2608" s="67"/>
    </row>
    <row r="2609" spans="1:2" x14ac:dyDescent="0.25">
      <c r="A2609" s="67"/>
      <c r="B2609" s="67"/>
    </row>
    <row r="2610" spans="1:2" x14ac:dyDescent="0.25">
      <c r="A2610" s="67"/>
      <c r="B2610" s="67"/>
    </row>
    <row r="2611" spans="1:2" x14ac:dyDescent="0.25">
      <c r="A2611" s="67"/>
      <c r="B2611" s="67"/>
    </row>
    <row r="2612" spans="1:2" x14ac:dyDescent="0.25">
      <c r="A2612" s="67"/>
      <c r="B2612" s="67"/>
    </row>
    <row r="2613" spans="1:2" x14ac:dyDescent="0.25">
      <c r="A2613" s="67"/>
      <c r="B2613" s="67"/>
    </row>
    <row r="2614" spans="1:2" x14ac:dyDescent="0.25">
      <c r="A2614" s="67"/>
      <c r="B2614" s="67"/>
    </row>
    <row r="2615" spans="1:2" x14ac:dyDescent="0.25">
      <c r="A2615" s="67"/>
      <c r="B2615" s="67"/>
    </row>
    <row r="2616" spans="1:2" x14ac:dyDescent="0.25">
      <c r="A2616" s="67"/>
      <c r="B2616" s="67"/>
    </row>
    <row r="2617" spans="1:2" x14ac:dyDescent="0.25">
      <c r="A2617" s="67"/>
      <c r="B2617" s="67"/>
    </row>
    <row r="2618" spans="1:2" x14ac:dyDescent="0.25">
      <c r="A2618" s="67"/>
      <c r="B2618" s="67"/>
    </row>
    <row r="2619" spans="1:2" x14ac:dyDescent="0.25">
      <c r="A2619" s="67"/>
      <c r="B2619" s="67"/>
    </row>
    <row r="2620" spans="1:2" x14ac:dyDescent="0.25">
      <c r="A2620" s="67"/>
      <c r="B2620" s="67"/>
    </row>
    <row r="2621" spans="1:2" x14ac:dyDescent="0.25">
      <c r="A2621" s="67"/>
      <c r="B2621" s="67"/>
    </row>
    <row r="2622" spans="1:2" x14ac:dyDescent="0.25">
      <c r="A2622" s="67"/>
      <c r="B2622" s="67"/>
    </row>
    <row r="2623" spans="1:2" x14ac:dyDescent="0.25">
      <c r="A2623" s="67"/>
      <c r="B2623" s="67"/>
    </row>
    <row r="2624" spans="1:2" x14ac:dyDescent="0.25">
      <c r="A2624" s="67"/>
      <c r="B2624" s="67"/>
    </row>
    <row r="2625" spans="1:2" x14ac:dyDescent="0.25">
      <c r="A2625" s="67"/>
      <c r="B2625" s="67"/>
    </row>
    <row r="2626" spans="1:2" x14ac:dyDescent="0.25">
      <c r="A2626" s="67"/>
      <c r="B2626" s="67"/>
    </row>
    <row r="2627" spans="1:2" x14ac:dyDescent="0.25">
      <c r="A2627" s="67"/>
      <c r="B2627" s="67"/>
    </row>
    <row r="2628" spans="1:2" x14ac:dyDescent="0.25">
      <c r="A2628" s="67"/>
      <c r="B2628" s="67"/>
    </row>
    <row r="2629" spans="1:2" x14ac:dyDescent="0.25">
      <c r="A2629" s="67"/>
      <c r="B2629" s="67"/>
    </row>
    <row r="2630" spans="1:2" x14ac:dyDescent="0.25">
      <c r="A2630" s="67"/>
      <c r="B2630" s="67"/>
    </row>
    <row r="2631" spans="1:2" x14ac:dyDescent="0.25">
      <c r="A2631" s="67"/>
      <c r="B2631" s="67"/>
    </row>
    <row r="2632" spans="1:2" x14ac:dyDescent="0.25">
      <c r="A2632" s="67"/>
      <c r="B2632" s="67"/>
    </row>
    <row r="2633" spans="1:2" x14ac:dyDescent="0.25">
      <c r="A2633" s="67"/>
      <c r="B2633" s="67"/>
    </row>
    <row r="2634" spans="1:2" x14ac:dyDescent="0.25">
      <c r="A2634" s="67"/>
      <c r="B2634" s="67"/>
    </row>
    <row r="2635" spans="1:2" x14ac:dyDescent="0.25">
      <c r="A2635" s="67"/>
      <c r="B2635" s="67"/>
    </row>
    <row r="2636" spans="1:2" x14ac:dyDescent="0.25">
      <c r="A2636" s="67"/>
      <c r="B2636" s="67"/>
    </row>
    <row r="2637" spans="1:2" x14ac:dyDescent="0.25">
      <c r="A2637" s="67"/>
      <c r="B2637" s="67"/>
    </row>
    <row r="2638" spans="1:2" x14ac:dyDescent="0.25">
      <c r="A2638" s="67"/>
      <c r="B2638" s="67"/>
    </row>
    <row r="2639" spans="1:2" x14ac:dyDescent="0.25">
      <c r="A2639" s="67"/>
      <c r="B2639" s="67"/>
    </row>
    <row r="2640" spans="1:2" x14ac:dyDescent="0.25">
      <c r="A2640" s="67"/>
      <c r="B2640" s="67"/>
    </row>
    <row r="2641" spans="1:2" x14ac:dyDescent="0.25">
      <c r="A2641" s="67"/>
      <c r="B2641" s="67"/>
    </row>
    <row r="2642" spans="1:2" x14ac:dyDescent="0.25">
      <c r="A2642" s="67"/>
      <c r="B2642" s="67"/>
    </row>
    <row r="2643" spans="1:2" x14ac:dyDescent="0.25">
      <c r="A2643" s="67"/>
      <c r="B2643" s="67"/>
    </row>
    <row r="2644" spans="1:2" x14ac:dyDescent="0.25">
      <c r="A2644" s="67"/>
      <c r="B2644" s="67"/>
    </row>
    <row r="2645" spans="1:2" x14ac:dyDescent="0.25">
      <c r="A2645" s="67"/>
      <c r="B2645" s="67"/>
    </row>
    <row r="2646" spans="1:2" x14ac:dyDescent="0.25">
      <c r="A2646" s="67"/>
      <c r="B2646" s="67"/>
    </row>
    <row r="2647" spans="1:2" x14ac:dyDescent="0.25">
      <c r="A2647" s="67"/>
      <c r="B2647" s="67"/>
    </row>
    <row r="2648" spans="1:2" x14ac:dyDescent="0.25">
      <c r="A2648" s="67"/>
      <c r="B2648" s="67"/>
    </row>
    <row r="2649" spans="1:2" x14ac:dyDescent="0.25">
      <c r="A2649" s="67"/>
      <c r="B2649" s="67"/>
    </row>
    <row r="2650" spans="1:2" x14ac:dyDescent="0.25">
      <c r="A2650" s="67"/>
      <c r="B2650" s="67"/>
    </row>
    <row r="2651" spans="1:2" x14ac:dyDescent="0.25">
      <c r="A2651" s="67"/>
      <c r="B2651" s="67"/>
    </row>
    <row r="2652" spans="1:2" x14ac:dyDescent="0.25">
      <c r="A2652" s="67"/>
      <c r="B2652" s="67"/>
    </row>
    <row r="2653" spans="1:2" x14ac:dyDescent="0.25">
      <c r="A2653" s="67"/>
      <c r="B2653" s="67"/>
    </row>
    <row r="2654" spans="1:2" x14ac:dyDescent="0.25">
      <c r="A2654" s="67"/>
      <c r="B2654" s="67"/>
    </row>
    <row r="2655" spans="1:2" x14ac:dyDescent="0.25">
      <c r="A2655" s="67"/>
      <c r="B2655" s="67"/>
    </row>
    <row r="2656" spans="1:2" x14ac:dyDescent="0.25">
      <c r="A2656" s="67"/>
      <c r="B2656" s="67"/>
    </row>
    <row r="2657" spans="1:2" x14ac:dyDescent="0.25">
      <c r="A2657" s="67"/>
      <c r="B2657" s="67"/>
    </row>
    <row r="2658" spans="1:2" x14ac:dyDescent="0.25">
      <c r="A2658" s="67"/>
      <c r="B2658" s="67"/>
    </row>
    <row r="2659" spans="1:2" x14ac:dyDescent="0.25">
      <c r="A2659" s="67"/>
      <c r="B2659" s="67"/>
    </row>
    <row r="2660" spans="1:2" x14ac:dyDescent="0.25">
      <c r="A2660" s="67"/>
      <c r="B2660" s="67"/>
    </row>
    <row r="2661" spans="1:2" x14ac:dyDescent="0.25">
      <c r="A2661" s="67"/>
      <c r="B2661" s="67"/>
    </row>
    <row r="2662" spans="1:2" x14ac:dyDescent="0.25">
      <c r="A2662" s="67"/>
      <c r="B2662" s="67"/>
    </row>
    <row r="2663" spans="1:2" x14ac:dyDescent="0.25">
      <c r="A2663" s="67"/>
      <c r="B2663" s="67"/>
    </row>
    <row r="2664" spans="1:2" x14ac:dyDescent="0.25">
      <c r="A2664" s="67"/>
      <c r="B2664" s="67"/>
    </row>
    <row r="2665" spans="1:2" x14ac:dyDescent="0.25">
      <c r="A2665" s="67"/>
      <c r="B2665" s="67"/>
    </row>
    <row r="2666" spans="1:2" x14ac:dyDescent="0.25">
      <c r="A2666" s="67"/>
      <c r="B2666" s="67"/>
    </row>
    <row r="2667" spans="1:2" x14ac:dyDescent="0.25">
      <c r="A2667" s="67"/>
      <c r="B2667" s="67"/>
    </row>
    <row r="2668" spans="1:2" x14ac:dyDescent="0.25">
      <c r="A2668" s="67"/>
      <c r="B2668" s="67"/>
    </row>
    <row r="2669" spans="1:2" x14ac:dyDescent="0.25">
      <c r="A2669" s="67"/>
      <c r="B2669" s="67"/>
    </row>
    <row r="2670" spans="1:2" x14ac:dyDescent="0.25">
      <c r="A2670" s="67"/>
      <c r="B2670" s="67"/>
    </row>
    <row r="2671" spans="1:2" x14ac:dyDescent="0.25">
      <c r="A2671" s="67"/>
      <c r="B2671" s="67"/>
    </row>
    <row r="2672" spans="1:2" x14ac:dyDescent="0.25">
      <c r="A2672" s="67"/>
      <c r="B2672" s="67"/>
    </row>
    <row r="2673" spans="1:2" x14ac:dyDescent="0.25">
      <c r="A2673" s="67"/>
      <c r="B2673" s="67"/>
    </row>
    <row r="2674" spans="1:2" x14ac:dyDescent="0.25">
      <c r="A2674" s="67"/>
      <c r="B2674" s="67"/>
    </row>
    <row r="2675" spans="1:2" x14ac:dyDescent="0.25">
      <c r="A2675" s="67"/>
      <c r="B2675" s="67"/>
    </row>
    <row r="2676" spans="1:2" x14ac:dyDescent="0.25">
      <c r="A2676" s="67"/>
      <c r="B2676" s="67"/>
    </row>
    <row r="2677" spans="1:2" x14ac:dyDescent="0.25">
      <c r="A2677" s="67"/>
      <c r="B2677" s="67"/>
    </row>
    <row r="2678" spans="1:2" x14ac:dyDescent="0.25">
      <c r="A2678" s="67"/>
      <c r="B2678" s="67"/>
    </row>
    <row r="2679" spans="1:2" x14ac:dyDescent="0.25">
      <c r="A2679" s="67"/>
      <c r="B2679" s="67"/>
    </row>
    <row r="2680" spans="1:2" x14ac:dyDescent="0.25">
      <c r="A2680" s="67"/>
      <c r="B2680" s="67"/>
    </row>
    <row r="2681" spans="1:2" x14ac:dyDescent="0.25">
      <c r="A2681" s="67"/>
      <c r="B2681" s="67"/>
    </row>
    <row r="2682" spans="1:2" x14ac:dyDescent="0.25">
      <c r="A2682" s="67"/>
      <c r="B2682" s="67"/>
    </row>
    <row r="2683" spans="1:2" x14ac:dyDescent="0.25">
      <c r="A2683" s="67"/>
      <c r="B2683" s="67"/>
    </row>
    <row r="2684" spans="1:2" x14ac:dyDescent="0.25">
      <c r="A2684" s="67"/>
      <c r="B2684" s="67"/>
    </row>
    <row r="2685" spans="1:2" x14ac:dyDescent="0.25">
      <c r="A2685" s="67"/>
      <c r="B2685" s="67"/>
    </row>
    <row r="2686" spans="1:2" x14ac:dyDescent="0.25">
      <c r="A2686" s="67"/>
      <c r="B2686" s="67"/>
    </row>
    <row r="2687" spans="1:2" x14ac:dyDescent="0.25">
      <c r="A2687" s="67"/>
      <c r="B2687" s="67"/>
    </row>
    <row r="2688" spans="1:2" x14ac:dyDescent="0.25">
      <c r="A2688" s="67"/>
      <c r="B2688" s="67"/>
    </row>
    <row r="2689" spans="1:2" x14ac:dyDescent="0.25">
      <c r="A2689" s="67"/>
      <c r="B2689" s="67"/>
    </row>
    <row r="2690" spans="1:2" x14ac:dyDescent="0.25">
      <c r="A2690" s="67"/>
      <c r="B2690" s="67"/>
    </row>
    <row r="2691" spans="1:2" x14ac:dyDescent="0.25">
      <c r="A2691" s="67"/>
      <c r="B2691" s="67"/>
    </row>
    <row r="2692" spans="1:2" x14ac:dyDescent="0.25">
      <c r="A2692" s="67"/>
      <c r="B2692" s="67"/>
    </row>
    <row r="2693" spans="1:2" x14ac:dyDescent="0.25">
      <c r="A2693" s="67"/>
      <c r="B2693" s="67"/>
    </row>
    <row r="2694" spans="1:2" x14ac:dyDescent="0.25">
      <c r="A2694" s="67"/>
      <c r="B2694" s="67"/>
    </row>
    <row r="2695" spans="1:2" x14ac:dyDescent="0.25">
      <c r="A2695" s="67"/>
      <c r="B2695" s="67"/>
    </row>
    <row r="2696" spans="1:2" x14ac:dyDescent="0.25">
      <c r="A2696" s="67"/>
      <c r="B2696" s="67"/>
    </row>
    <row r="2697" spans="1:2" x14ac:dyDescent="0.25">
      <c r="A2697" s="67"/>
      <c r="B2697" s="67"/>
    </row>
    <row r="2698" spans="1:2" x14ac:dyDescent="0.25">
      <c r="A2698" s="67"/>
      <c r="B2698" s="67"/>
    </row>
    <row r="2699" spans="1:2" x14ac:dyDescent="0.25">
      <c r="A2699" s="67"/>
      <c r="B2699" s="67"/>
    </row>
    <row r="2700" spans="1:2" x14ac:dyDescent="0.25">
      <c r="A2700" s="67"/>
      <c r="B2700" s="67"/>
    </row>
    <row r="2701" spans="1:2" x14ac:dyDescent="0.25">
      <c r="A2701" s="67"/>
      <c r="B2701" s="67"/>
    </row>
    <row r="2702" spans="1:2" x14ac:dyDescent="0.25">
      <c r="A2702" s="67"/>
      <c r="B2702" s="67"/>
    </row>
    <row r="2703" spans="1:2" x14ac:dyDescent="0.25">
      <c r="A2703" s="67"/>
      <c r="B2703" s="67"/>
    </row>
    <row r="2704" spans="1:2" x14ac:dyDescent="0.25">
      <c r="A2704" s="67"/>
      <c r="B2704" s="67"/>
    </row>
    <row r="2705" spans="1:2" x14ac:dyDescent="0.25">
      <c r="A2705" s="67"/>
      <c r="B2705" s="67"/>
    </row>
    <row r="2706" spans="1:2" x14ac:dyDescent="0.25">
      <c r="A2706" s="67"/>
      <c r="B2706" s="67"/>
    </row>
    <row r="2707" spans="1:2" x14ac:dyDescent="0.25">
      <c r="A2707" s="67"/>
      <c r="B2707" s="67"/>
    </row>
    <row r="2708" spans="1:2" x14ac:dyDescent="0.25">
      <c r="A2708" s="67"/>
      <c r="B2708" s="67"/>
    </row>
    <row r="2709" spans="1:2" x14ac:dyDescent="0.25">
      <c r="A2709" s="67"/>
      <c r="B2709" s="67"/>
    </row>
    <row r="2710" spans="1:2" x14ac:dyDescent="0.25">
      <c r="A2710" s="67"/>
      <c r="B2710" s="67"/>
    </row>
    <row r="2711" spans="1:2" x14ac:dyDescent="0.25">
      <c r="A2711" s="67"/>
      <c r="B2711" s="67"/>
    </row>
    <row r="2712" spans="1:2" x14ac:dyDescent="0.25">
      <c r="A2712" s="67"/>
      <c r="B2712" s="67"/>
    </row>
    <row r="2713" spans="1:2" x14ac:dyDescent="0.25">
      <c r="A2713" s="67"/>
      <c r="B2713" s="67"/>
    </row>
    <row r="2714" spans="1:2" x14ac:dyDescent="0.25">
      <c r="A2714" s="67"/>
      <c r="B2714" s="67"/>
    </row>
    <row r="2715" spans="1:2" x14ac:dyDescent="0.25">
      <c r="A2715" s="67"/>
      <c r="B2715" s="67"/>
    </row>
    <row r="2716" spans="1:2" x14ac:dyDescent="0.25">
      <c r="A2716" s="67"/>
      <c r="B2716" s="67"/>
    </row>
    <row r="2717" spans="1:2" x14ac:dyDescent="0.25">
      <c r="A2717" s="67"/>
      <c r="B2717" s="67"/>
    </row>
    <row r="2718" spans="1:2" x14ac:dyDescent="0.25">
      <c r="A2718" s="67"/>
      <c r="B2718" s="67"/>
    </row>
    <row r="2719" spans="1:2" x14ac:dyDescent="0.25">
      <c r="A2719" s="67"/>
      <c r="B2719" s="67"/>
    </row>
    <row r="2720" spans="1:2" x14ac:dyDescent="0.25">
      <c r="A2720" s="67"/>
      <c r="B2720" s="67"/>
    </row>
    <row r="2721" spans="1:2" x14ac:dyDescent="0.25">
      <c r="A2721" s="67"/>
      <c r="B2721" s="67"/>
    </row>
    <row r="2722" spans="1:2" x14ac:dyDescent="0.25">
      <c r="A2722" s="67"/>
      <c r="B2722" s="67"/>
    </row>
    <row r="2723" spans="1:2" x14ac:dyDescent="0.25">
      <c r="A2723" s="67"/>
      <c r="B2723" s="67"/>
    </row>
    <row r="2724" spans="1:2" x14ac:dyDescent="0.25">
      <c r="A2724" s="67"/>
      <c r="B2724" s="67"/>
    </row>
    <row r="2725" spans="1:2" x14ac:dyDescent="0.25">
      <c r="A2725" s="67"/>
      <c r="B2725" s="67"/>
    </row>
    <row r="2726" spans="1:2" x14ac:dyDescent="0.25">
      <c r="A2726" s="67"/>
      <c r="B2726" s="67"/>
    </row>
    <row r="2727" spans="1:2" x14ac:dyDescent="0.25">
      <c r="A2727" s="67"/>
      <c r="B2727" s="67"/>
    </row>
    <row r="2728" spans="1:2" x14ac:dyDescent="0.25">
      <c r="A2728" s="67"/>
      <c r="B2728" s="67"/>
    </row>
    <row r="2729" spans="1:2" x14ac:dyDescent="0.25">
      <c r="A2729" s="67"/>
      <c r="B2729" s="67"/>
    </row>
    <row r="2730" spans="1:2" x14ac:dyDescent="0.25">
      <c r="A2730" s="67"/>
      <c r="B2730" s="67"/>
    </row>
    <row r="2731" spans="1:2" x14ac:dyDescent="0.25">
      <c r="A2731" s="67"/>
      <c r="B2731" s="67"/>
    </row>
    <row r="2732" spans="1:2" x14ac:dyDescent="0.25">
      <c r="A2732" s="67"/>
      <c r="B2732" s="67"/>
    </row>
    <row r="2733" spans="1:2" x14ac:dyDescent="0.25">
      <c r="A2733" s="67"/>
      <c r="B2733" s="67"/>
    </row>
    <row r="2734" spans="1:2" x14ac:dyDescent="0.25">
      <c r="A2734" s="67"/>
      <c r="B2734" s="67"/>
    </row>
    <row r="2735" spans="1:2" x14ac:dyDescent="0.25">
      <c r="A2735" s="67"/>
      <c r="B2735" s="67"/>
    </row>
    <row r="2736" spans="1:2" x14ac:dyDescent="0.25">
      <c r="A2736" s="67"/>
      <c r="B2736" s="67"/>
    </row>
    <row r="2737" spans="1:2" x14ac:dyDescent="0.25">
      <c r="A2737" s="67"/>
      <c r="B2737" s="67"/>
    </row>
    <row r="2738" spans="1:2" x14ac:dyDescent="0.25">
      <c r="A2738" s="67"/>
      <c r="B2738" s="67"/>
    </row>
    <row r="2739" spans="1:2" x14ac:dyDescent="0.25">
      <c r="A2739" s="67"/>
      <c r="B2739" s="67"/>
    </row>
    <row r="2740" spans="1:2" x14ac:dyDescent="0.25">
      <c r="A2740" s="67"/>
      <c r="B2740" s="67"/>
    </row>
    <row r="2741" spans="1:2" x14ac:dyDescent="0.25">
      <c r="A2741" s="67"/>
      <c r="B2741" s="67"/>
    </row>
    <row r="2742" spans="1:2" x14ac:dyDescent="0.25">
      <c r="A2742" s="67"/>
      <c r="B2742" s="67"/>
    </row>
    <row r="2743" spans="1:2" x14ac:dyDescent="0.25">
      <c r="A2743" s="67"/>
      <c r="B2743" s="67"/>
    </row>
    <row r="2744" spans="1:2" x14ac:dyDescent="0.25">
      <c r="A2744" s="67"/>
      <c r="B2744" s="67"/>
    </row>
    <row r="2745" spans="1:2" x14ac:dyDescent="0.25">
      <c r="A2745" s="67"/>
      <c r="B2745" s="67"/>
    </row>
    <row r="2746" spans="1:2" x14ac:dyDescent="0.25">
      <c r="A2746" s="67"/>
      <c r="B2746" s="67"/>
    </row>
    <row r="2747" spans="1:2" x14ac:dyDescent="0.25">
      <c r="A2747" s="67"/>
      <c r="B2747" s="67"/>
    </row>
    <row r="2748" spans="1:2" x14ac:dyDescent="0.25">
      <c r="A2748" s="67"/>
      <c r="B2748" s="67"/>
    </row>
    <row r="2749" spans="1:2" x14ac:dyDescent="0.25">
      <c r="A2749" s="67"/>
      <c r="B2749" s="67"/>
    </row>
    <row r="2750" spans="1:2" x14ac:dyDescent="0.25">
      <c r="A2750" s="67"/>
      <c r="B2750" s="67"/>
    </row>
    <row r="2751" spans="1:2" x14ac:dyDescent="0.25">
      <c r="A2751" s="67"/>
      <c r="B2751" s="67"/>
    </row>
    <row r="2752" spans="1:2" x14ac:dyDescent="0.25">
      <c r="A2752" s="67"/>
      <c r="B2752" s="67"/>
    </row>
    <row r="2753" spans="1:2" x14ac:dyDescent="0.25">
      <c r="A2753" s="67"/>
      <c r="B2753" s="67"/>
    </row>
    <row r="2754" spans="1:2" x14ac:dyDescent="0.25">
      <c r="A2754" s="67"/>
      <c r="B2754" s="67"/>
    </row>
    <row r="2755" spans="1:2" x14ac:dyDescent="0.25">
      <c r="A2755" s="67"/>
      <c r="B2755" s="67"/>
    </row>
    <row r="2756" spans="1:2" x14ac:dyDescent="0.25">
      <c r="A2756" s="67"/>
      <c r="B2756" s="67"/>
    </row>
    <row r="2757" spans="1:2" x14ac:dyDescent="0.25">
      <c r="A2757" s="67"/>
      <c r="B2757" s="67"/>
    </row>
    <row r="2758" spans="1:2" x14ac:dyDescent="0.25">
      <c r="A2758" s="67"/>
      <c r="B2758" s="67"/>
    </row>
    <row r="2759" spans="1:2" x14ac:dyDescent="0.25">
      <c r="A2759" s="67"/>
      <c r="B2759" s="67"/>
    </row>
    <row r="2760" spans="1:2" x14ac:dyDescent="0.25">
      <c r="A2760" s="67"/>
      <c r="B2760" s="67"/>
    </row>
    <row r="2761" spans="1:2" x14ac:dyDescent="0.25">
      <c r="A2761" s="67"/>
      <c r="B2761" s="67"/>
    </row>
    <row r="2762" spans="1:2" x14ac:dyDescent="0.25">
      <c r="A2762" s="67"/>
      <c r="B2762" s="67"/>
    </row>
    <row r="2763" spans="1:2" x14ac:dyDescent="0.25">
      <c r="A2763" s="67"/>
      <c r="B2763" s="67"/>
    </row>
    <row r="2764" spans="1:2" x14ac:dyDescent="0.25">
      <c r="A2764" s="67"/>
      <c r="B2764" s="67"/>
    </row>
    <row r="2765" spans="1:2" x14ac:dyDescent="0.25">
      <c r="A2765" s="67"/>
      <c r="B2765" s="67"/>
    </row>
    <row r="2766" spans="1:2" x14ac:dyDescent="0.25">
      <c r="A2766" s="67"/>
      <c r="B2766" s="67"/>
    </row>
    <row r="2767" spans="1:2" x14ac:dyDescent="0.25">
      <c r="A2767" s="67"/>
      <c r="B2767" s="67"/>
    </row>
    <row r="2768" spans="1:2" x14ac:dyDescent="0.25">
      <c r="A2768" s="67"/>
      <c r="B2768" s="67"/>
    </row>
    <row r="2769" spans="1:2" x14ac:dyDescent="0.25">
      <c r="A2769" s="67"/>
      <c r="B2769" s="67"/>
    </row>
    <row r="2770" spans="1:2" x14ac:dyDescent="0.25">
      <c r="A2770" s="67"/>
      <c r="B2770" s="67"/>
    </row>
    <row r="2771" spans="1:2" x14ac:dyDescent="0.25">
      <c r="A2771" s="67"/>
      <c r="B2771" s="67"/>
    </row>
    <row r="2772" spans="1:2" x14ac:dyDescent="0.25">
      <c r="A2772" s="67"/>
      <c r="B2772" s="67"/>
    </row>
    <row r="2773" spans="1:2" x14ac:dyDescent="0.25">
      <c r="A2773" s="67"/>
      <c r="B2773" s="67"/>
    </row>
    <row r="2774" spans="1:2" x14ac:dyDescent="0.25">
      <c r="A2774" s="67"/>
      <c r="B2774" s="67"/>
    </row>
    <row r="2775" spans="1:2" x14ac:dyDescent="0.25">
      <c r="A2775" s="67"/>
      <c r="B2775" s="67"/>
    </row>
    <row r="2776" spans="1:2" x14ac:dyDescent="0.25">
      <c r="A2776" s="67"/>
      <c r="B2776" s="67"/>
    </row>
    <row r="2777" spans="1:2" x14ac:dyDescent="0.25">
      <c r="A2777" s="67"/>
      <c r="B2777" s="67"/>
    </row>
    <row r="2778" spans="1:2" x14ac:dyDescent="0.25">
      <c r="A2778" s="67"/>
      <c r="B2778" s="67"/>
    </row>
    <row r="2779" spans="1:2" x14ac:dyDescent="0.25">
      <c r="A2779" s="67"/>
      <c r="B2779" s="67"/>
    </row>
    <row r="2780" spans="1:2" x14ac:dyDescent="0.25">
      <c r="A2780" s="67"/>
      <c r="B2780" s="67"/>
    </row>
    <row r="2781" spans="1:2" x14ac:dyDescent="0.25">
      <c r="A2781" s="67"/>
      <c r="B2781" s="67"/>
    </row>
    <row r="2782" spans="1:2" x14ac:dyDescent="0.25">
      <c r="A2782" s="67"/>
      <c r="B2782" s="67"/>
    </row>
    <row r="2783" spans="1:2" x14ac:dyDescent="0.25">
      <c r="A2783" s="67"/>
      <c r="B2783" s="67"/>
    </row>
    <row r="2784" spans="1:2" x14ac:dyDescent="0.25">
      <c r="A2784" s="67"/>
      <c r="B2784" s="67"/>
    </row>
    <row r="2785" spans="1:2" x14ac:dyDescent="0.25">
      <c r="A2785" s="67"/>
      <c r="B2785" s="67"/>
    </row>
    <row r="2786" spans="1:2" x14ac:dyDescent="0.25">
      <c r="A2786" s="67"/>
      <c r="B2786" s="67"/>
    </row>
    <row r="2787" spans="1:2" x14ac:dyDescent="0.25">
      <c r="A2787" s="67"/>
      <c r="B2787" s="67"/>
    </row>
    <row r="2788" spans="1:2" x14ac:dyDescent="0.25">
      <c r="A2788" s="67"/>
      <c r="B2788" s="67"/>
    </row>
    <row r="2789" spans="1:2" x14ac:dyDescent="0.25">
      <c r="A2789" s="67"/>
      <c r="B2789" s="67"/>
    </row>
    <row r="2790" spans="1:2" x14ac:dyDescent="0.25">
      <c r="A2790" s="67"/>
      <c r="B2790" s="67"/>
    </row>
    <row r="2791" spans="1:2" x14ac:dyDescent="0.25">
      <c r="A2791" s="67"/>
      <c r="B2791" s="67"/>
    </row>
    <row r="2792" spans="1:2" x14ac:dyDescent="0.25">
      <c r="A2792" s="67"/>
      <c r="B2792" s="67"/>
    </row>
    <row r="2793" spans="1:2" x14ac:dyDescent="0.25">
      <c r="A2793" s="67"/>
      <c r="B2793" s="67"/>
    </row>
    <row r="2794" spans="1:2" x14ac:dyDescent="0.25">
      <c r="A2794" s="67"/>
      <c r="B2794" s="67"/>
    </row>
    <row r="2795" spans="1:2" x14ac:dyDescent="0.25">
      <c r="A2795" s="67"/>
      <c r="B2795" s="67"/>
    </row>
    <row r="2796" spans="1:2" x14ac:dyDescent="0.25">
      <c r="A2796" s="67"/>
      <c r="B2796" s="67"/>
    </row>
    <row r="2797" spans="1:2" x14ac:dyDescent="0.25">
      <c r="A2797" s="67"/>
      <c r="B2797" s="67"/>
    </row>
    <row r="2798" spans="1:2" x14ac:dyDescent="0.25">
      <c r="A2798" s="67"/>
      <c r="B2798" s="67"/>
    </row>
    <row r="2799" spans="1:2" x14ac:dyDescent="0.25">
      <c r="A2799" s="67"/>
      <c r="B2799" s="67"/>
    </row>
    <row r="2800" spans="1:2" x14ac:dyDescent="0.25">
      <c r="A2800" s="67"/>
      <c r="B2800" s="67"/>
    </row>
    <row r="2801" spans="1:2" x14ac:dyDescent="0.25">
      <c r="A2801" s="67"/>
      <c r="B2801" s="67"/>
    </row>
    <row r="2802" spans="1:2" x14ac:dyDescent="0.25">
      <c r="A2802" s="67"/>
      <c r="B2802" s="67"/>
    </row>
    <row r="2803" spans="1:2" x14ac:dyDescent="0.25">
      <c r="A2803" s="67"/>
      <c r="B2803" s="67"/>
    </row>
    <row r="2804" spans="1:2" x14ac:dyDescent="0.25">
      <c r="A2804" s="67"/>
      <c r="B2804" s="67"/>
    </row>
    <row r="2805" spans="1:2" x14ac:dyDescent="0.25">
      <c r="A2805" s="67"/>
      <c r="B2805" s="67"/>
    </row>
    <row r="2806" spans="1:2" x14ac:dyDescent="0.25">
      <c r="A2806" s="67"/>
      <c r="B2806" s="67"/>
    </row>
    <row r="2807" spans="1:2" x14ac:dyDescent="0.25">
      <c r="A2807" s="67"/>
      <c r="B2807" s="67"/>
    </row>
    <row r="2808" spans="1:2" x14ac:dyDescent="0.25">
      <c r="A2808" s="67"/>
      <c r="B2808" s="67"/>
    </row>
    <row r="2809" spans="1:2" x14ac:dyDescent="0.25">
      <c r="A2809" s="67"/>
      <c r="B2809" s="67"/>
    </row>
    <row r="2810" spans="1:2" x14ac:dyDescent="0.25">
      <c r="A2810" s="67"/>
      <c r="B2810" s="67"/>
    </row>
    <row r="2811" spans="1:2" x14ac:dyDescent="0.25">
      <c r="A2811" s="67"/>
      <c r="B2811" s="67"/>
    </row>
    <row r="2812" spans="1:2" x14ac:dyDescent="0.25">
      <c r="A2812" s="67"/>
      <c r="B2812" s="67"/>
    </row>
    <row r="2813" spans="1:2" x14ac:dyDescent="0.25">
      <c r="A2813" s="67"/>
      <c r="B2813" s="67"/>
    </row>
    <row r="2814" spans="1:2" x14ac:dyDescent="0.25">
      <c r="A2814" s="67"/>
      <c r="B2814" s="67"/>
    </row>
    <row r="2815" spans="1:2" x14ac:dyDescent="0.25">
      <c r="A2815" s="67"/>
      <c r="B2815" s="67"/>
    </row>
    <row r="2816" spans="1:2" x14ac:dyDescent="0.25">
      <c r="A2816" s="67"/>
      <c r="B2816" s="67"/>
    </row>
    <row r="2817" spans="1:2" x14ac:dyDescent="0.25">
      <c r="A2817" s="67"/>
      <c r="B2817" s="67"/>
    </row>
    <row r="2818" spans="1:2" x14ac:dyDescent="0.25">
      <c r="A2818" s="67"/>
      <c r="B2818" s="67"/>
    </row>
    <row r="2819" spans="1:2" x14ac:dyDescent="0.25">
      <c r="A2819" s="67"/>
      <c r="B2819" s="67"/>
    </row>
    <row r="2820" spans="1:2" x14ac:dyDescent="0.25">
      <c r="A2820" s="67"/>
      <c r="B2820" s="67"/>
    </row>
    <row r="2821" spans="1:2" x14ac:dyDescent="0.25">
      <c r="A2821" s="67"/>
      <c r="B2821" s="67"/>
    </row>
    <row r="2822" spans="1:2" x14ac:dyDescent="0.25">
      <c r="A2822" s="67"/>
      <c r="B2822" s="67"/>
    </row>
    <row r="2823" spans="1:2" x14ac:dyDescent="0.25">
      <c r="A2823" s="67"/>
      <c r="B2823" s="67"/>
    </row>
    <row r="2824" spans="1:2" x14ac:dyDescent="0.25">
      <c r="A2824" s="67"/>
      <c r="B2824" s="67"/>
    </row>
    <row r="2825" spans="1:2" x14ac:dyDescent="0.25">
      <c r="A2825" s="67"/>
      <c r="B2825" s="67"/>
    </row>
    <row r="2826" spans="1:2" x14ac:dyDescent="0.25">
      <c r="A2826" s="67"/>
      <c r="B2826" s="67"/>
    </row>
    <row r="2827" spans="1:2" x14ac:dyDescent="0.25">
      <c r="A2827" s="67"/>
      <c r="B2827" s="67"/>
    </row>
    <row r="2828" spans="1:2" x14ac:dyDescent="0.25">
      <c r="A2828" s="67"/>
      <c r="B2828" s="67"/>
    </row>
    <row r="2829" spans="1:2" x14ac:dyDescent="0.25">
      <c r="A2829" s="67"/>
      <c r="B2829" s="67"/>
    </row>
    <row r="2830" spans="1:2" x14ac:dyDescent="0.25">
      <c r="A2830" s="67"/>
      <c r="B2830" s="67"/>
    </row>
    <row r="2831" spans="1:2" x14ac:dyDescent="0.25">
      <c r="A2831" s="67"/>
      <c r="B2831" s="67"/>
    </row>
    <row r="2832" spans="1:2" x14ac:dyDescent="0.25">
      <c r="A2832" s="67"/>
      <c r="B2832" s="67"/>
    </row>
    <row r="2833" spans="1:2" x14ac:dyDescent="0.25">
      <c r="A2833" s="67"/>
      <c r="B2833" s="67"/>
    </row>
    <row r="2834" spans="1:2" x14ac:dyDescent="0.25">
      <c r="A2834" s="67"/>
      <c r="B2834" s="67"/>
    </row>
    <row r="2835" spans="1:2" x14ac:dyDescent="0.25">
      <c r="A2835" s="67"/>
      <c r="B2835" s="67"/>
    </row>
    <row r="2836" spans="1:2" x14ac:dyDescent="0.25">
      <c r="A2836" s="67"/>
      <c r="B2836" s="67"/>
    </row>
    <row r="2837" spans="1:2" x14ac:dyDescent="0.25">
      <c r="A2837" s="67"/>
      <c r="B2837" s="67"/>
    </row>
    <row r="2838" spans="1:2" x14ac:dyDescent="0.25">
      <c r="A2838" s="67"/>
      <c r="B2838" s="67"/>
    </row>
    <row r="2839" spans="1:2" x14ac:dyDescent="0.25">
      <c r="A2839" s="67"/>
      <c r="B2839" s="67"/>
    </row>
    <row r="2840" spans="1:2" x14ac:dyDescent="0.25">
      <c r="A2840" s="67"/>
      <c r="B2840" s="67"/>
    </row>
    <row r="2841" spans="1:2" x14ac:dyDescent="0.25">
      <c r="A2841" s="67"/>
      <c r="B2841" s="67"/>
    </row>
    <row r="2842" spans="1:2" x14ac:dyDescent="0.25">
      <c r="A2842" s="67"/>
      <c r="B2842" s="67"/>
    </row>
    <row r="2843" spans="1:2" x14ac:dyDescent="0.25">
      <c r="A2843" s="67"/>
      <c r="B2843" s="67"/>
    </row>
    <row r="2844" spans="1:2" x14ac:dyDescent="0.25">
      <c r="A2844" s="67"/>
      <c r="B2844" s="67"/>
    </row>
    <row r="2845" spans="1:2" x14ac:dyDescent="0.25">
      <c r="A2845" s="67"/>
      <c r="B2845" s="67"/>
    </row>
    <row r="2846" spans="1:2" x14ac:dyDescent="0.25">
      <c r="A2846" s="67"/>
      <c r="B2846" s="67"/>
    </row>
    <row r="2847" spans="1:2" x14ac:dyDescent="0.25">
      <c r="A2847" s="67"/>
      <c r="B2847" s="67"/>
    </row>
    <row r="2848" spans="1:2" x14ac:dyDescent="0.25">
      <c r="A2848" s="67"/>
      <c r="B2848" s="67"/>
    </row>
    <row r="2849" spans="1:2" x14ac:dyDescent="0.25">
      <c r="A2849" s="67"/>
      <c r="B2849" s="67"/>
    </row>
    <row r="2850" spans="1:2" x14ac:dyDescent="0.25">
      <c r="A2850" s="67"/>
      <c r="B2850" s="67"/>
    </row>
    <row r="2851" spans="1:2" x14ac:dyDescent="0.25">
      <c r="A2851" s="67"/>
      <c r="B2851" s="67"/>
    </row>
    <row r="2852" spans="1:2" x14ac:dyDescent="0.25">
      <c r="A2852" s="67"/>
      <c r="B2852" s="67"/>
    </row>
    <row r="2853" spans="1:2" x14ac:dyDescent="0.25">
      <c r="A2853" s="67"/>
      <c r="B2853" s="67"/>
    </row>
    <row r="2854" spans="1:2" x14ac:dyDescent="0.25">
      <c r="A2854" s="67"/>
      <c r="B2854" s="67"/>
    </row>
    <row r="2855" spans="1:2" x14ac:dyDescent="0.25">
      <c r="A2855" s="67"/>
      <c r="B2855" s="67"/>
    </row>
    <row r="2856" spans="1:2" x14ac:dyDescent="0.25">
      <c r="A2856" s="67"/>
      <c r="B2856" s="67"/>
    </row>
    <row r="2857" spans="1:2" x14ac:dyDescent="0.25">
      <c r="A2857" s="67"/>
      <c r="B2857" s="67"/>
    </row>
    <row r="2858" spans="1:2" x14ac:dyDescent="0.25">
      <c r="A2858" s="67"/>
      <c r="B2858" s="67"/>
    </row>
    <row r="2859" spans="1:2" x14ac:dyDescent="0.25">
      <c r="A2859" s="67"/>
      <c r="B2859" s="67"/>
    </row>
    <row r="2860" spans="1:2" x14ac:dyDescent="0.25">
      <c r="A2860" s="67"/>
      <c r="B2860" s="67"/>
    </row>
    <row r="2861" spans="1:2" x14ac:dyDescent="0.25">
      <c r="A2861" s="67"/>
      <c r="B2861" s="67"/>
    </row>
    <row r="2862" spans="1:2" x14ac:dyDescent="0.25">
      <c r="A2862" s="67"/>
      <c r="B2862" s="67"/>
    </row>
    <row r="2863" spans="1:2" x14ac:dyDescent="0.25">
      <c r="A2863" s="67"/>
      <c r="B2863" s="67"/>
    </row>
    <row r="2864" spans="1:2" x14ac:dyDescent="0.25">
      <c r="A2864" s="67"/>
      <c r="B2864" s="67"/>
    </row>
    <row r="2865" spans="1:2" x14ac:dyDescent="0.25">
      <c r="A2865" s="67"/>
      <c r="B2865" s="67"/>
    </row>
    <row r="2866" spans="1:2" x14ac:dyDescent="0.25">
      <c r="A2866" s="67"/>
      <c r="B2866" s="67"/>
    </row>
    <row r="2867" spans="1:2" x14ac:dyDescent="0.25">
      <c r="A2867" s="67"/>
      <c r="B2867" s="67"/>
    </row>
    <row r="2868" spans="1:2" x14ac:dyDescent="0.25">
      <c r="A2868" s="67"/>
      <c r="B2868" s="67"/>
    </row>
    <row r="2869" spans="1:2" x14ac:dyDescent="0.25">
      <c r="A2869" s="67"/>
      <c r="B2869" s="67"/>
    </row>
    <row r="2870" spans="1:2" x14ac:dyDescent="0.25">
      <c r="A2870" s="67"/>
      <c r="B2870" s="67"/>
    </row>
    <row r="2871" spans="1:2" x14ac:dyDescent="0.25">
      <c r="A2871" s="67"/>
      <c r="B2871" s="67"/>
    </row>
    <row r="2872" spans="1:2" x14ac:dyDescent="0.25">
      <c r="A2872" s="67"/>
      <c r="B2872" s="67"/>
    </row>
    <row r="2873" spans="1:2" x14ac:dyDescent="0.25">
      <c r="A2873" s="67"/>
      <c r="B2873" s="67"/>
    </row>
    <row r="2874" spans="1:2" x14ac:dyDescent="0.25">
      <c r="A2874" s="67"/>
      <c r="B2874" s="67"/>
    </row>
    <row r="2875" spans="1:2" x14ac:dyDescent="0.25">
      <c r="A2875" s="67"/>
      <c r="B2875" s="67"/>
    </row>
    <row r="2876" spans="1:2" x14ac:dyDescent="0.25">
      <c r="A2876" s="67"/>
      <c r="B2876" s="67"/>
    </row>
    <row r="2877" spans="1:2" x14ac:dyDescent="0.25">
      <c r="A2877" s="67"/>
      <c r="B2877" s="67"/>
    </row>
    <row r="2878" spans="1:2" x14ac:dyDescent="0.25">
      <c r="A2878" s="67"/>
      <c r="B2878" s="67"/>
    </row>
    <row r="2879" spans="1:2" x14ac:dyDescent="0.25">
      <c r="A2879" s="67"/>
      <c r="B2879" s="67"/>
    </row>
    <row r="2880" spans="1:2" x14ac:dyDescent="0.25">
      <c r="A2880" s="67"/>
      <c r="B2880" s="67"/>
    </row>
    <row r="2881" spans="1:2" x14ac:dyDescent="0.25">
      <c r="A2881" s="67"/>
      <c r="B2881" s="67"/>
    </row>
    <row r="2882" spans="1:2" x14ac:dyDescent="0.25">
      <c r="A2882" s="67"/>
      <c r="B2882" s="67"/>
    </row>
    <row r="2883" spans="1:2" x14ac:dyDescent="0.25">
      <c r="A2883" s="67"/>
      <c r="B2883" s="67"/>
    </row>
    <row r="2884" spans="1:2" x14ac:dyDescent="0.25">
      <c r="A2884" s="67"/>
      <c r="B2884" s="67"/>
    </row>
    <row r="2885" spans="1:2" x14ac:dyDescent="0.25">
      <c r="A2885" s="67"/>
      <c r="B2885" s="67"/>
    </row>
    <row r="2886" spans="1:2" x14ac:dyDescent="0.25">
      <c r="A2886" s="67"/>
      <c r="B2886" s="67"/>
    </row>
    <row r="2887" spans="1:2" x14ac:dyDescent="0.25">
      <c r="A2887" s="67"/>
      <c r="B2887" s="67"/>
    </row>
    <row r="2888" spans="1:2" x14ac:dyDescent="0.25">
      <c r="A2888" s="67"/>
      <c r="B2888" s="67"/>
    </row>
    <row r="2889" spans="1:2" x14ac:dyDescent="0.25">
      <c r="A2889" s="67"/>
      <c r="B2889" s="67"/>
    </row>
    <row r="2890" spans="1:2" x14ac:dyDescent="0.25">
      <c r="A2890" s="67"/>
      <c r="B2890" s="67"/>
    </row>
    <row r="2891" spans="1:2" x14ac:dyDescent="0.25">
      <c r="A2891" s="67"/>
      <c r="B2891" s="67"/>
    </row>
    <row r="2892" spans="1:2" x14ac:dyDescent="0.25">
      <c r="A2892" s="67"/>
      <c r="B2892" s="67"/>
    </row>
    <row r="2893" spans="1:2" x14ac:dyDescent="0.25">
      <c r="A2893" s="67"/>
      <c r="B2893" s="67"/>
    </row>
    <row r="2894" spans="1:2" x14ac:dyDescent="0.25">
      <c r="A2894" s="67"/>
      <c r="B2894" s="67"/>
    </row>
    <row r="2895" spans="1:2" x14ac:dyDescent="0.25">
      <c r="A2895" s="67"/>
      <c r="B2895" s="67"/>
    </row>
    <row r="2896" spans="1:2" x14ac:dyDescent="0.25">
      <c r="A2896" s="67"/>
      <c r="B2896" s="67"/>
    </row>
    <row r="2897" spans="1:2" x14ac:dyDescent="0.25">
      <c r="A2897" s="67"/>
      <c r="B2897" s="67"/>
    </row>
    <row r="2898" spans="1:2" x14ac:dyDescent="0.25">
      <c r="A2898" s="67"/>
      <c r="B2898" s="67"/>
    </row>
    <row r="2899" spans="1:2" x14ac:dyDescent="0.25">
      <c r="A2899" s="67"/>
      <c r="B2899" s="67"/>
    </row>
    <row r="2900" spans="1:2" x14ac:dyDescent="0.25">
      <c r="A2900" s="67"/>
      <c r="B2900" s="67"/>
    </row>
    <row r="2901" spans="1:2" x14ac:dyDescent="0.25">
      <c r="A2901" s="67"/>
      <c r="B2901" s="67"/>
    </row>
    <row r="2902" spans="1:2" x14ac:dyDescent="0.25">
      <c r="A2902" s="67"/>
      <c r="B2902" s="67"/>
    </row>
    <row r="2903" spans="1:2" x14ac:dyDescent="0.25">
      <c r="A2903" s="67"/>
      <c r="B2903" s="67"/>
    </row>
    <row r="2904" spans="1:2" x14ac:dyDescent="0.25">
      <c r="A2904" s="67"/>
      <c r="B2904" s="67"/>
    </row>
    <row r="2905" spans="1:2" x14ac:dyDescent="0.25">
      <c r="A2905" s="67"/>
      <c r="B2905" s="67"/>
    </row>
    <row r="2906" spans="1:2" x14ac:dyDescent="0.25">
      <c r="A2906" s="67"/>
      <c r="B2906" s="67"/>
    </row>
    <row r="2907" spans="1:2" x14ac:dyDescent="0.25">
      <c r="A2907" s="67"/>
      <c r="B2907" s="67"/>
    </row>
    <row r="2908" spans="1:2" x14ac:dyDescent="0.25">
      <c r="A2908" s="67"/>
      <c r="B2908" s="67"/>
    </row>
    <row r="2909" spans="1:2" x14ac:dyDescent="0.25">
      <c r="A2909" s="67"/>
      <c r="B2909" s="67"/>
    </row>
    <row r="2910" spans="1:2" x14ac:dyDescent="0.25">
      <c r="A2910" s="67"/>
      <c r="B2910" s="67"/>
    </row>
    <row r="2911" spans="1:2" x14ac:dyDescent="0.25">
      <c r="A2911" s="67"/>
      <c r="B2911" s="67"/>
    </row>
    <row r="2912" spans="1:2" x14ac:dyDescent="0.25">
      <c r="A2912" s="67"/>
      <c r="B2912" s="67"/>
    </row>
    <row r="2913" spans="1:2" x14ac:dyDescent="0.25">
      <c r="A2913" s="67"/>
      <c r="B2913" s="67"/>
    </row>
    <row r="2914" spans="1:2" x14ac:dyDescent="0.25">
      <c r="A2914" s="67"/>
      <c r="B2914" s="67"/>
    </row>
    <row r="2915" spans="1:2" x14ac:dyDescent="0.25">
      <c r="A2915" s="67"/>
      <c r="B2915" s="67"/>
    </row>
    <row r="2916" spans="1:2" x14ac:dyDescent="0.25">
      <c r="A2916" s="67"/>
      <c r="B2916" s="67"/>
    </row>
    <row r="2917" spans="1:2" x14ac:dyDescent="0.25">
      <c r="A2917" s="67"/>
      <c r="B2917" s="67"/>
    </row>
    <row r="2918" spans="1:2" x14ac:dyDescent="0.25">
      <c r="A2918" s="67"/>
      <c r="B2918" s="67"/>
    </row>
    <row r="2919" spans="1:2" x14ac:dyDescent="0.25">
      <c r="A2919" s="67"/>
      <c r="B2919" s="67"/>
    </row>
    <row r="2920" spans="1:2" x14ac:dyDescent="0.25">
      <c r="A2920" s="67"/>
      <c r="B2920" s="67"/>
    </row>
    <row r="2921" spans="1:2" x14ac:dyDescent="0.25">
      <c r="A2921" s="67"/>
      <c r="B2921" s="67"/>
    </row>
    <row r="2922" spans="1:2" x14ac:dyDescent="0.25">
      <c r="A2922" s="67"/>
      <c r="B2922" s="67"/>
    </row>
    <row r="2923" spans="1:2" x14ac:dyDescent="0.25">
      <c r="A2923" s="67"/>
      <c r="B2923" s="67"/>
    </row>
    <row r="2924" spans="1:2" x14ac:dyDescent="0.25">
      <c r="A2924" s="67"/>
      <c r="B2924" s="67"/>
    </row>
    <row r="2925" spans="1:2" x14ac:dyDescent="0.25">
      <c r="A2925" s="67"/>
      <c r="B2925" s="67"/>
    </row>
    <row r="2926" spans="1:2" x14ac:dyDescent="0.25">
      <c r="A2926" s="67"/>
      <c r="B2926" s="67"/>
    </row>
    <row r="2927" spans="1:2" x14ac:dyDescent="0.25">
      <c r="A2927" s="67"/>
      <c r="B2927" s="67"/>
    </row>
    <row r="2928" spans="1:2" x14ac:dyDescent="0.25">
      <c r="A2928" s="67"/>
      <c r="B2928" s="67"/>
    </row>
    <row r="2929" spans="1:2" x14ac:dyDescent="0.25">
      <c r="A2929" s="67"/>
      <c r="B2929" s="67"/>
    </row>
    <row r="2930" spans="1:2" x14ac:dyDescent="0.25">
      <c r="A2930" s="67"/>
      <c r="B2930" s="67"/>
    </row>
    <row r="2931" spans="1:2" x14ac:dyDescent="0.25">
      <c r="A2931" s="67"/>
      <c r="B2931" s="67"/>
    </row>
    <row r="2932" spans="1:2" x14ac:dyDescent="0.25">
      <c r="A2932" s="67"/>
      <c r="B2932" s="67"/>
    </row>
    <row r="2933" spans="1:2" x14ac:dyDescent="0.25">
      <c r="A2933" s="67"/>
      <c r="B2933" s="67"/>
    </row>
    <row r="2934" spans="1:2" x14ac:dyDescent="0.25">
      <c r="A2934" s="67"/>
      <c r="B2934" s="67"/>
    </row>
    <row r="2935" spans="1:2" x14ac:dyDescent="0.25">
      <c r="A2935" s="67"/>
      <c r="B2935" s="67"/>
    </row>
    <row r="2936" spans="1:2" x14ac:dyDescent="0.25">
      <c r="A2936" s="67"/>
      <c r="B2936" s="67"/>
    </row>
    <row r="2937" spans="1:2" x14ac:dyDescent="0.25">
      <c r="A2937" s="67"/>
      <c r="B2937" s="67"/>
    </row>
    <row r="2938" spans="1:2" x14ac:dyDescent="0.25">
      <c r="A2938" s="67"/>
      <c r="B2938" s="67"/>
    </row>
    <row r="2939" spans="1:2" x14ac:dyDescent="0.25">
      <c r="A2939" s="67"/>
      <c r="B2939" s="67"/>
    </row>
    <row r="2940" spans="1:2" x14ac:dyDescent="0.25">
      <c r="A2940" s="67"/>
      <c r="B2940" s="67"/>
    </row>
    <row r="2941" spans="1:2" x14ac:dyDescent="0.25">
      <c r="A2941" s="67"/>
      <c r="B2941" s="67"/>
    </row>
    <row r="2942" spans="1:2" x14ac:dyDescent="0.25">
      <c r="A2942" s="67"/>
      <c r="B2942" s="67"/>
    </row>
    <row r="2943" spans="1:2" x14ac:dyDescent="0.25">
      <c r="A2943" s="67"/>
      <c r="B2943" s="67"/>
    </row>
    <row r="2944" spans="1:2" x14ac:dyDescent="0.25">
      <c r="A2944" s="67"/>
      <c r="B2944" s="67"/>
    </row>
    <row r="2945" spans="1:2" x14ac:dyDescent="0.25">
      <c r="A2945" s="67"/>
      <c r="B2945" s="67"/>
    </row>
    <row r="2946" spans="1:2" x14ac:dyDescent="0.25">
      <c r="A2946" s="67"/>
      <c r="B2946" s="67"/>
    </row>
    <row r="2947" spans="1:2" x14ac:dyDescent="0.25">
      <c r="A2947" s="67"/>
      <c r="B2947" s="67"/>
    </row>
    <row r="2948" spans="1:2" x14ac:dyDescent="0.25">
      <c r="A2948" s="67"/>
      <c r="B2948" s="67"/>
    </row>
    <row r="2949" spans="1:2" x14ac:dyDescent="0.25">
      <c r="A2949" s="67"/>
      <c r="B2949" s="67"/>
    </row>
    <row r="2950" spans="1:2" x14ac:dyDescent="0.25">
      <c r="A2950" s="67"/>
      <c r="B2950" s="67"/>
    </row>
    <row r="2951" spans="1:2" x14ac:dyDescent="0.25">
      <c r="A2951" s="67"/>
      <c r="B2951" s="67"/>
    </row>
    <row r="2952" spans="1:2" x14ac:dyDescent="0.25">
      <c r="A2952" s="67"/>
      <c r="B2952" s="67"/>
    </row>
    <row r="2953" spans="1:2" x14ac:dyDescent="0.25">
      <c r="A2953" s="67"/>
      <c r="B2953" s="67"/>
    </row>
    <row r="2954" spans="1:2" x14ac:dyDescent="0.25">
      <c r="A2954" s="67"/>
      <c r="B2954" s="67"/>
    </row>
    <row r="2955" spans="1:2" x14ac:dyDescent="0.25">
      <c r="A2955" s="67"/>
      <c r="B2955" s="67"/>
    </row>
    <row r="2956" spans="1:2" x14ac:dyDescent="0.25">
      <c r="A2956" s="67"/>
      <c r="B2956" s="67"/>
    </row>
    <row r="2957" spans="1:2" x14ac:dyDescent="0.25">
      <c r="A2957" s="67"/>
      <c r="B2957" s="67"/>
    </row>
    <row r="2958" spans="1:2" x14ac:dyDescent="0.25">
      <c r="A2958" s="67"/>
      <c r="B2958" s="67"/>
    </row>
    <row r="2959" spans="1:2" x14ac:dyDescent="0.25">
      <c r="A2959" s="67"/>
      <c r="B2959" s="67"/>
    </row>
    <row r="2960" spans="1:2" x14ac:dyDescent="0.25">
      <c r="A2960" s="67"/>
      <c r="B2960" s="67"/>
    </row>
    <row r="2961" spans="1:2" x14ac:dyDescent="0.25">
      <c r="A2961" s="67"/>
      <c r="B2961" s="67"/>
    </row>
    <row r="2962" spans="1:2" x14ac:dyDescent="0.25">
      <c r="A2962" s="67"/>
      <c r="B2962" s="67"/>
    </row>
    <row r="2963" spans="1:2" x14ac:dyDescent="0.25">
      <c r="A2963" s="67"/>
      <c r="B2963" s="67"/>
    </row>
    <row r="2964" spans="1:2" x14ac:dyDescent="0.25">
      <c r="A2964" s="67"/>
      <c r="B2964" s="67"/>
    </row>
    <row r="2965" spans="1:2" x14ac:dyDescent="0.25">
      <c r="A2965" s="67"/>
      <c r="B2965" s="67"/>
    </row>
    <row r="2966" spans="1:2" x14ac:dyDescent="0.25">
      <c r="A2966" s="67"/>
      <c r="B2966" s="67"/>
    </row>
    <row r="2967" spans="1:2" x14ac:dyDescent="0.25">
      <c r="A2967" s="67"/>
      <c r="B2967" s="67"/>
    </row>
    <row r="2968" spans="1:2" x14ac:dyDescent="0.25">
      <c r="A2968" s="67"/>
      <c r="B2968" s="67"/>
    </row>
    <row r="2969" spans="1:2" x14ac:dyDescent="0.25">
      <c r="A2969" s="67"/>
      <c r="B2969" s="67"/>
    </row>
    <row r="2970" spans="1:2" x14ac:dyDescent="0.25">
      <c r="A2970" s="67"/>
      <c r="B2970" s="67"/>
    </row>
    <row r="2971" spans="1:2" x14ac:dyDescent="0.25">
      <c r="A2971" s="67"/>
      <c r="B2971" s="67"/>
    </row>
    <row r="2972" spans="1:2" x14ac:dyDescent="0.25">
      <c r="A2972" s="67"/>
      <c r="B2972" s="67"/>
    </row>
    <row r="2973" spans="1:2" x14ac:dyDescent="0.25">
      <c r="A2973" s="67"/>
      <c r="B2973" s="67"/>
    </row>
    <row r="2974" spans="1:2" x14ac:dyDescent="0.25">
      <c r="A2974" s="67"/>
      <c r="B2974" s="67"/>
    </row>
    <row r="2975" spans="1:2" x14ac:dyDescent="0.25">
      <c r="A2975" s="67"/>
      <c r="B2975" s="67"/>
    </row>
    <row r="2976" spans="1:2" x14ac:dyDescent="0.25">
      <c r="A2976" s="67"/>
      <c r="B2976" s="67"/>
    </row>
    <row r="2977" spans="1:2" x14ac:dyDescent="0.25">
      <c r="A2977" s="67"/>
      <c r="B2977" s="67"/>
    </row>
    <row r="2978" spans="1:2" x14ac:dyDescent="0.25">
      <c r="A2978" s="67"/>
      <c r="B2978" s="67"/>
    </row>
    <row r="2979" spans="1:2" x14ac:dyDescent="0.25">
      <c r="A2979" s="67"/>
      <c r="B2979" s="67"/>
    </row>
    <row r="2980" spans="1:2" x14ac:dyDescent="0.25">
      <c r="A2980" s="67"/>
      <c r="B2980" s="67"/>
    </row>
    <row r="2981" spans="1:2" x14ac:dyDescent="0.25">
      <c r="A2981" s="67"/>
      <c r="B2981" s="67"/>
    </row>
    <row r="2982" spans="1:2" x14ac:dyDescent="0.25">
      <c r="A2982" s="67"/>
      <c r="B2982" s="67"/>
    </row>
    <row r="2983" spans="1:2" x14ac:dyDescent="0.25">
      <c r="A2983" s="67"/>
      <c r="B2983" s="67"/>
    </row>
    <row r="2984" spans="1:2" x14ac:dyDescent="0.25">
      <c r="A2984" s="67"/>
      <c r="B2984" s="67"/>
    </row>
    <row r="2985" spans="1:2" x14ac:dyDescent="0.25">
      <c r="A2985" s="67"/>
      <c r="B2985" s="67"/>
    </row>
    <row r="2986" spans="1:2" x14ac:dyDescent="0.25">
      <c r="A2986" s="67"/>
      <c r="B2986" s="67"/>
    </row>
    <row r="2987" spans="1:2" x14ac:dyDescent="0.25">
      <c r="A2987" s="67"/>
      <c r="B2987" s="67"/>
    </row>
    <row r="2988" spans="1:2" x14ac:dyDescent="0.25">
      <c r="A2988" s="67"/>
      <c r="B2988" s="67"/>
    </row>
    <row r="2989" spans="1:2" x14ac:dyDescent="0.25">
      <c r="A2989" s="67"/>
      <c r="B2989" s="67"/>
    </row>
    <row r="2990" spans="1:2" x14ac:dyDescent="0.25">
      <c r="A2990" s="67"/>
      <c r="B2990" s="67"/>
    </row>
    <row r="2991" spans="1:2" x14ac:dyDescent="0.25">
      <c r="A2991" s="67"/>
      <c r="B2991" s="67"/>
    </row>
    <row r="2992" spans="1:2" x14ac:dyDescent="0.25">
      <c r="A2992" s="67"/>
      <c r="B2992" s="67"/>
    </row>
    <row r="2993" spans="1:2" x14ac:dyDescent="0.25">
      <c r="A2993" s="67"/>
      <c r="B2993" s="67"/>
    </row>
    <row r="2994" spans="1:2" x14ac:dyDescent="0.25">
      <c r="A2994" s="67"/>
      <c r="B2994" s="67"/>
    </row>
    <row r="2995" spans="1:2" x14ac:dyDescent="0.25">
      <c r="A2995" s="67"/>
      <c r="B2995" s="67"/>
    </row>
    <row r="2996" spans="1:2" x14ac:dyDescent="0.25">
      <c r="A2996" s="67"/>
      <c r="B2996" s="67"/>
    </row>
    <row r="2997" spans="1:2" x14ac:dyDescent="0.25">
      <c r="A2997" s="67"/>
      <c r="B2997" s="67"/>
    </row>
    <row r="2998" spans="1:2" x14ac:dyDescent="0.25">
      <c r="A2998" s="67"/>
      <c r="B2998" s="67"/>
    </row>
    <row r="2999" spans="1:2" x14ac:dyDescent="0.25">
      <c r="A2999" s="67"/>
      <c r="B2999" s="67"/>
    </row>
    <row r="3000" spans="1:2" x14ac:dyDescent="0.25">
      <c r="A3000" s="67"/>
      <c r="B3000" s="67"/>
    </row>
    <row r="3001" spans="1:2" x14ac:dyDescent="0.25">
      <c r="A3001" s="67"/>
      <c r="B3001" s="67"/>
    </row>
    <row r="3002" spans="1:2" x14ac:dyDescent="0.25">
      <c r="A3002" s="67"/>
      <c r="B3002" s="67"/>
    </row>
    <row r="3003" spans="1:2" x14ac:dyDescent="0.25">
      <c r="A3003" s="67"/>
      <c r="B3003" s="67"/>
    </row>
    <row r="3004" spans="1:2" x14ac:dyDescent="0.25">
      <c r="A3004" s="67"/>
      <c r="B3004" s="67"/>
    </row>
    <row r="3005" spans="1:2" x14ac:dyDescent="0.25">
      <c r="A3005" s="67"/>
      <c r="B3005" s="67"/>
    </row>
    <row r="3006" spans="1:2" x14ac:dyDescent="0.25">
      <c r="A3006" s="67"/>
      <c r="B3006" s="67"/>
    </row>
    <row r="3007" spans="1:2" x14ac:dyDescent="0.25">
      <c r="A3007" s="67"/>
      <c r="B3007" s="67"/>
    </row>
    <row r="3008" spans="1:2" x14ac:dyDescent="0.25">
      <c r="A3008" s="67"/>
      <c r="B3008" s="67"/>
    </row>
    <row r="3009" spans="1:2" x14ac:dyDescent="0.25">
      <c r="A3009" s="67"/>
      <c r="B3009" s="67"/>
    </row>
    <row r="3010" spans="1:2" x14ac:dyDescent="0.25">
      <c r="A3010" s="67"/>
      <c r="B3010" s="67"/>
    </row>
    <row r="3011" spans="1:2" x14ac:dyDescent="0.25">
      <c r="A3011" s="67"/>
      <c r="B3011" s="67"/>
    </row>
    <row r="3012" spans="1:2" x14ac:dyDescent="0.25">
      <c r="A3012" s="67"/>
      <c r="B3012" s="67"/>
    </row>
    <row r="3013" spans="1:2" x14ac:dyDescent="0.25">
      <c r="A3013" s="67"/>
      <c r="B3013" s="67"/>
    </row>
    <row r="3014" spans="1:2" x14ac:dyDescent="0.25">
      <c r="A3014" s="67"/>
      <c r="B3014" s="67"/>
    </row>
    <row r="3015" spans="1:2" x14ac:dyDescent="0.25">
      <c r="A3015" s="67"/>
      <c r="B3015" s="67"/>
    </row>
    <row r="3016" spans="1:2" x14ac:dyDescent="0.25">
      <c r="A3016" s="67"/>
      <c r="B3016" s="67"/>
    </row>
    <row r="3017" spans="1:2" x14ac:dyDescent="0.25">
      <c r="A3017" s="67"/>
      <c r="B3017" s="67"/>
    </row>
    <row r="3018" spans="1:2" x14ac:dyDescent="0.25">
      <c r="A3018" s="67"/>
      <c r="B3018" s="67"/>
    </row>
    <row r="3019" spans="1:2" x14ac:dyDescent="0.25">
      <c r="A3019" s="67"/>
      <c r="B3019" s="67"/>
    </row>
    <row r="3020" spans="1:2" x14ac:dyDescent="0.25">
      <c r="A3020" s="67"/>
      <c r="B3020" s="67"/>
    </row>
    <row r="3021" spans="1:2" x14ac:dyDescent="0.25">
      <c r="A3021" s="67"/>
      <c r="B3021" s="67"/>
    </row>
    <row r="3022" spans="1:2" x14ac:dyDescent="0.25">
      <c r="A3022" s="67"/>
      <c r="B3022" s="67"/>
    </row>
    <row r="3023" spans="1:2" x14ac:dyDescent="0.25">
      <c r="A3023" s="67"/>
      <c r="B3023" s="67"/>
    </row>
    <row r="3024" spans="1:2" x14ac:dyDescent="0.25">
      <c r="A3024" s="67"/>
      <c r="B3024" s="67"/>
    </row>
    <row r="3025" spans="1:2" x14ac:dyDescent="0.25">
      <c r="A3025" s="67"/>
      <c r="B3025" s="67"/>
    </row>
    <row r="3026" spans="1:2" x14ac:dyDescent="0.25">
      <c r="A3026" s="67"/>
      <c r="B3026" s="67"/>
    </row>
    <row r="3027" spans="1:2" x14ac:dyDescent="0.25">
      <c r="A3027" s="67"/>
      <c r="B3027" s="67"/>
    </row>
    <row r="3028" spans="1:2" x14ac:dyDescent="0.25">
      <c r="A3028" s="67"/>
      <c r="B3028" s="67"/>
    </row>
    <row r="3029" spans="1:2" x14ac:dyDescent="0.25">
      <c r="A3029" s="67"/>
      <c r="B3029" s="67"/>
    </row>
    <row r="3030" spans="1:2" x14ac:dyDescent="0.25">
      <c r="A3030" s="67"/>
      <c r="B3030" s="67"/>
    </row>
    <row r="3031" spans="1:2" x14ac:dyDescent="0.25">
      <c r="A3031" s="67"/>
      <c r="B3031" s="67"/>
    </row>
    <row r="3032" spans="1:2" x14ac:dyDescent="0.25">
      <c r="A3032" s="67"/>
      <c r="B3032" s="67"/>
    </row>
    <row r="3033" spans="1:2" x14ac:dyDescent="0.25">
      <c r="A3033" s="67"/>
      <c r="B3033" s="67"/>
    </row>
    <row r="3034" spans="1:2" x14ac:dyDescent="0.25">
      <c r="A3034" s="67"/>
      <c r="B3034" s="67"/>
    </row>
    <row r="3035" spans="1:2" x14ac:dyDescent="0.25">
      <c r="A3035" s="67"/>
      <c r="B3035" s="67"/>
    </row>
    <row r="3036" spans="1:2" x14ac:dyDescent="0.25">
      <c r="A3036" s="67"/>
      <c r="B3036" s="67"/>
    </row>
    <row r="3037" spans="1:2" x14ac:dyDescent="0.25">
      <c r="A3037" s="67"/>
      <c r="B3037" s="67"/>
    </row>
    <row r="3038" spans="1:2" x14ac:dyDescent="0.25">
      <c r="A3038" s="67"/>
      <c r="B3038" s="67"/>
    </row>
    <row r="3039" spans="1:2" x14ac:dyDescent="0.25">
      <c r="A3039" s="67"/>
      <c r="B3039" s="67"/>
    </row>
    <row r="3040" spans="1:2" x14ac:dyDescent="0.25">
      <c r="A3040" s="67"/>
      <c r="B3040" s="67"/>
    </row>
    <row r="3041" spans="1:2" x14ac:dyDescent="0.25">
      <c r="A3041" s="67"/>
      <c r="B3041" s="67"/>
    </row>
    <row r="3042" spans="1:2" x14ac:dyDescent="0.25">
      <c r="A3042" s="67"/>
      <c r="B3042" s="67"/>
    </row>
    <row r="3043" spans="1:2" x14ac:dyDescent="0.25">
      <c r="A3043" s="67"/>
      <c r="B3043" s="67"/>
    </row>
    <row r="3044" spans="1:2" x14ac:dyDescent="0.25">
      <c r="A3044" s="67"/>
      <c r="B3044" s="67"/>
    </row>
    <row r="3045" spans="1:2" x14ac:dyDescent="0.25">
      <c r="A3045" s="67"/>
      <c r="B3045" s="67"/>
    </row>
    <row r="3046" spans="1:2" x14ac:dyDescent="0.25">
      <c r="A3046" s="67"/>
      <c r="B3046" s="67"/>
    </row>
    <row r="3047" spans="1:2" x14ac:dyDescent="0.25">
      <c r="A3047" s="67"/>
      <c r="B3047" s="67"/>
    </row>
    <row r="3048" spans="1:2" x14ac:dyDescent="0.25">
      <c r="A3048" s="67"/>
      <c r="B3048" s="67"/>
    </row>
    <row r="3049" spans="1:2" x14ac:dyDescent="0.25">
      <c r="A3049" s="67"/>
      <c r="B3049" s="67"/>
    </row>
    <row r="3050" spans="1:2" x14ac:dyDescent="0.25">
      <c r="A3050" s="67"/>
      <c r="B3050" s="67"/>
    </row>
    <row r="3051" spans="1:2" x14ac:dyDescent="0.25">
      <c r="A3051" s="67"/>
      <c r="B3051" s="67"/>
    </row>
    <row r="3052" spans="1:2" x14ac:dyDescent="0.25">
      <c r="A3052" s="67"/>
      <c r="B3052" s="67"/>
    </row>
    <row r="3053" spans="1:2" x14ac:dyDescent="0.25">
      <c r="A3053" s="67"/>
      <c r="B3053" s="67"/>
    </row>
    <row r="3054" spans="1:2" x14ac:dyDescent="0.25">
      <c r="A3054" s="67"/>
      <c r="B3054" s="67"/>
    </row>
    <row r="3055" spans="1:2" x14ac:dyDescent="0.25">
      <c r="A3055" s="67"/>
      <c r="B3055" s="67"/>
    </row>
    <row r="3056" spans="1:2" x14ac:dyDescent="0.25">
      <c r="A3056" s="67"/>
      <c r="B3056" s="67"/>
    </row>
    <row r="3057" spans="1:2" x14ac:dyDescent="0.25">
      <c r="A3057" s="67"/>
      <c r="B3057" s="67"/>
    </row>
    <row r="3058" spans="1:2" x14ac:dyDescent="0.25">
      <c r="A3058" s="67"/>
      <c r="B3058" s="67"/>
    </row>
    <row r="3059" spans="1:2" x14ac:dyDescent="0.25">
      <c r="A3059" s="67"/>
      <c r="B3059" s="67"/>
    </row>
    <row r="3060" spans="1:2" x14ac:dyDescent="0.25">
      <c r="A3060" s="67"/>
      <c r="B3060" s="67"/>
    </row>
    <row r="3061" spans="1:2" x14ac:dyDescent="0.25">
      <c r="A3061" s="67"/>
      <c r="B3061" s="67"/>
    </row>
    <row r="3062" spans="1:2" x14ac:dyDescent="0.25">
      <c r="A3062" s="67"/>
      <c r="B3062" s="67"/>
    </row>
    <row r="3063" spans="1:2" x14ac:dyDescent="0.25">
      <c r="A3063" s="67"/>
      <c r="B3063" s="67"/>
    </row>
    <row r="3064" spans="1:2" x14ac:dyDescent="0.25">
      <c r="A3064" s="67"/>
      <c r="B3064" s="67"/>
    </row>
    <row r="3065" spans="1:2" x14ac:dyDescent="0.25">
      <c r="A3065" s="67"/>
      <c r="B3065" s="67"/>
    </row>
    <row r="3066" spans="1:2" x14ac:dyDescent="0.25">
      <c r="A3066" s="67"/>
      <c r="B3066" s="67"/>
    </row>
    <row r="3067" spans="1:2" x14ac:dyDescent="0.25">
      <c r="A3067" s="67"/>
      <c r="B3067" s="67"/>
    </row>
    <row r="3068" spans="1:2" x14ac:dyDescent="0.25">
      <c r="A3068" s="67"/>
      <c r="B3068" s="67"/>
    </row>
    <row r="3069" spans="1:2" x14ac:dyDescent="0.25">
      <c r="A3069" s="67"/>
      <c r="B3069" s="67"/>
    </row>
    <row r="3070" spans="1:2" x14ac:dyDescent="0.25">
      <c r="A3070" s="67"/>
      <c r="B3070" s="67"/>
    </row>
    <row r="3071" spans="1:2" x14ac:dyDescent="0.25">
      <c r="A3071" s="67"/>
      <c r="B3071" s="67"/>
    </row>
    <row r="3072" spans="1:2" x14ac:dyDescent="0.25">
      <c r="A3072" s="67"/>
      <c r="B3072" s="67"/>
    </row>
    <row r="3073" spans="1:2" x14ac:dyDescent="0.25">
      <c r="A3073" s="67"/>
      <c r="B3073" s="67"/>
    </row>
    <row r="3074" spans="1:2" x14ac:dyDescent="0.25">
      <c r="A3074" s="67"/>
      <c r="B3074" s="67"/>
    </row>
    <row r="3075" spans="1:2" x14ac:dyDescent="0.25">
      <c r="A3075" s="67"/>
      <c r="B3075" s="67"/>
    </row>
    <row r="3076" spans="1:2" x14ac:dyDescent="0.25">
      <c r="A3076" s="67"/>
      <c r="B3076" s="67"/>
    </row>
    <row r="3077" spans="1:2" x14ac:dyDescent="0.25">
      <c r="A3077" s="67"/>
      <c r="B3077" s="67"/>
    </row>
    <row r="3078" spans="1:2" x14ac:dyDescent="0.25">
      <c r="A3078" s="67"/>
      <c r="B3078" s="67"/>
    </row>
    <row r="3079" spans="1:2" x14ac:dyDescent="0.25">
      <c r="A3079" s="67"/>
      <c r="B3079" s="67"/>
    </row>
    <row r="3080" spans="1:2" x14ac:dyDescent="0.25">
      <c r="A3080" s="67"/>
      <c r="B3080" s="67"/>
    </row>
    <row r="3081" spans="1:2" x14ac:dyDescent="0.25">
      <c r="A3081" s="67"/>
      <c r="B3081" s="67"/>
    </row>
    <row r="3082" spans="1:2" x14ac:dyDescent="0.25">
      <c r="A3082" s="67"/>
      <c r="B3082" s="67"/>
    </row>
    <row r="3083" spans="1:2" x14ac:dyDescent="0.25">
      <c r="A3083" s="67"/>
      <c r="B3083" s="67"/>
    </row>
    <row r="3084" spans="1:2" x14ac:dyDescent="0.25">
      <c r="A3084" s="67"/>
      <c r="B3084" s="67"/>
    </row>
    <row r="3085" spans="1:2" x14ac:dyDescent="0.25">
      <c r="A3085" s="67"/>
      <c r="B3085" s="67"/>
    </row>
    <row r="3086" spans="1:2" x14ac:dyDescent="0.25">
      <c r="A3086" s="67"/>
      <c r="B3086" s="67"/>
    </row>
    <row r="3087" spans="1:2" x14ac:dyDescent="0.25">
      <c r="A3087" s="67"/>
      <c r="B3087" s="67"/>
    </row>
    <row r="3088" spans="1:2" x14ac:dyDescent="0.25">
      <c r="A3088" s="67"/>
      <c r="B3088" s="67"/>
    </row>
    <row r="3089" spans="1:2" x14ac:dyDescent="0.25">
      <c r="A3089" s="67"/>
      <c r="B3089" s="67"/>
    </row>
    <row r="3090" spans="1:2" x14ac:dyDescent="0.25">
      <c r="A3090" s="67"/>
      <c r="B3090" s="67"/>
    </row>
    <row r="3091" spans="1:2" x14ac:dyDescent="0.25">
      <c r="A3091" s="67"/>
      <c r="B3091" s="67"/>
    </row>
    <row r="3092" spans="1:2" x14ac:dyDescent="0.25">
      <c r="A3092" s="67"/>
      <c r="B3092" s="67"/>
    </row>
    <row r="3093" spans="1:2" x14ac:dyDescent="0.25">
      <c r="A3093" s="67"/>
      <c r="B3093" s="67"/>
    </row>
    <row r="3094" spans="1:2" x14ac:dyDescent="0.25">
      <c r="A3094" s="67"/>
      <c r="B3094" s="67"/>
    </row>
    <row r="3095" spans="1:2" x14ac:dyDescent="0.25">
      <c r="A3095" s="67"/>
      <c r="B3095" s="67"/>
    </row>
    <row r="3096" spans="1:2" x14ac:dyDescent="0.25">
      <c r="A3096" s="67"/>
      <c r="B3096" s="67"/>
    </row>
    <row r="3097" spans="1:2" x14ac:dyDescent="0.25">
      <c r="A3097" s="67"/>
      <c r="B3097" s="67"/>
    </row>
    <row r="3098" spans="1:2" x14ac:dyDescent="0.25">
      <c r="A3098" s="67"/>
      <c r="B3098" s="67"/>
    </row>
    <row r="3099" spans="1:2" x14ac:dyDescent="0.25">
      <c r="A3099" s="67"/>
      <c r="B3099" s="67"/>
    </row>
    <row r="3100" spans="1:2" x14ac:dyDescent="0.25">
      <c r="A3100" s="67"/>
      <c r="B3100" s="67"/>
    </row>
    <row r="3101" spans="1:2" x14ac:dyDescent="0.25">
      <c r="A3101" s="67"/>
      <c r="B3101" s="67"/>
    </row>
    <row r="3102" spans="1:2" x14ac:dyDescent="0.25">
      <c r="A3102" s="67"/>
      <c r="B3102" s="67"/>
    </row>
    <row r="3103" spans="1:2" x14ac:dyDescent="0.25">
      <c r="A3103" s="67"/>
      <c r="B3103" s="67"/>
    </row>
    <row r="3104" spans="1:2" x14ac:dyDescent="0.25">
      <c r="A3104" s="67"/>
      <c r="B3104" s="67"/>
    </row>
    <row r="3105" spans="1:2" x14ac:dyDescent="0.25">
      <c r="A3105" s="67"/>
      <c r="B3105" s="67"/>
    </row>
    <row r="3106" spans="1:2" x14ac:dyDescent="0.25">
      <c r="A3106" s="67"/>
      <c r="B3106" s="67"/>
    </row>
    <row r="3107" spans="1:2" x14ac:dyDescent="0.25">
      <c r="A3107" s="67"/>
      <c r="B3107" s="67"/>
    </row>
    <row r="3108" spans="1:2" x14ac:dyDescent="0.25">
      <c r="A3108" s="67"/>
      <c r="B3108" s="67"/>
    </row>
    <row r="3109" spans="1:2" x14ac:dyDescent="0.25">
      <c r="A3109" s="67"/>
      <c r="B3109" s="67"/>
    </row>
    <row r="3110" spans="1:2" x14ac:dyDescent="0.25">
      <c r="A3110" s="67"/>
      <c r="B3110" s="67"/>
    </row>
    <row r="3111" spans="1:2" x14ac:dyDescent="0.25">
      <c r="A3111" s="67"/>
      <c r="B3111" s="67"/>
    </row>
    <row r="3112" spans="1:2" x14ac:dyDescent="0.25">
      <c r="A3112" s="67"/>
      <c r="B3112" s="67"/>
    </row>
    <row r="3113" spans="1:2" x14ac:dyDescent="0.25">
      <c r="A3113" s="67"/>
      <c r="B3113" s="67"/>
    </row>
    <row r="3114" spans="1:2" x14ac:dyDescent="0.25">
      <c r="A3114" s="67"/>
      <c r="B3114" s="67"/>
    </row>
    <row r="3115" spans="1:2" x14ac:dyDescent="0.25">
      <c r="A3115" s="67"/>
      <c r="B3115" s="67"/>
    </row>
    <row r="3116" spans="1:2" x14ac:dyDescent="0.25">
      <c r="A3116" s="67"/>
      <c r="B3116" s="67"/>
    </row>
    <row r="3117" spans="1:2" x14ac:dyDescent="0.25">
      <c r="A3117" s="67"/>
      <c r="B3117" s="67"/>
    </row>
    <row r="3118" spans="1:2" x14ac:dyDescent="0.25">
      <c r="A3118" s="67"/>
      <c r="B3118" s="67"/>
    </row>
    <row r="3119" spans="1:2" x14ac:dyDescent="0.25">
      <c r="A3119" s="67"/>
      <c r="B3119" s="67"/>
    </row>
    <row r="3120" spans="1:2" x14ac:dyDescent="0.25">
      <c r="A3120" s="67"/>
      <c r="B3120" s="67"/>
    </row>
    <row r="3121" spans="1:2" x14ac:dyDescent="0.25">
      <c r="A3121" s="67"/>
      <c r="B3121" s="67"/>
    </row>
    <row r="3122" spans="1:2" x14ac:dyDescent="0.25">
      <c r="A3122" s="67"/>
      <c r="B3122" s="67"/>
    </row>
    <row r="3123" spans="1:2" x14ac:dyDescent="0.25">
      <c r="A3123" s="67"/>
      <c r="B3123" s="67"/>
    </row>
    <row r="3124" spans="1:2" x14ac:dyDescent="0.25">
      <c r="A3124" s="67"/>
      <c r="B3124" s="67"/>
    </row>
    <row r="3125" spans="1:2" x14ac:dyDescent="0.25">
      <c r="A3125" s="67"/>
      <c r="B3125" s="67"/>
    </row>
    <row r="3126" spans="1:2" x14ac:dyDescent="0.25">
      <c r="A3126" s="67"/>
      <c r="B3126" s="67"/>
    </row>
    <row r="3127" spans="1:2" x14ac:dyDescent="0.25">
      <c r="A3127" s="67"/>
      <c r="B3127" s="67"/>
    </row>
    <row r="3128" spans="1:2" x14ac:dyDescent="0.25">
      <c r="A3128" s="67"/>
      <c r="B3128" s="67"/>
    </row>
    <row r="3129" spans="1:2" x14ac:dyDescent="0.25">
      <c r="A3129" s="67"/>
      <c r="B3129" s="67"/>
    </row>
    <row r="3130" spans="1:2" x14ac:dyDescent="0.25">
      <c r="A3130" s="67"/>
      <c r="B3130" s="67"/>
    </row>
    <row r="3131" spans="1:2" x14ac:dyDescent="0.25">
      <c r="A3131" s="67"/>
      <c r="B3131" s="67"/>
    </row>
    <row r="3132" spans="1:2" x14ac:dyDescent="0.25">
      <c r="A3132" s="67"/>
      <c r="B3132" s="67"/>
    </row>
    <row r="3133" spans="1:2" x14ac:dyDescent="0.25">
      <c r="A3133" s="67"/>
      <c r="B3133" s="67"/>
    </row>
    <row r="3134" spans="1:2" x14ac:dyDescent="0.25">
      <c r="A3134" s="67"/>
      <c r="B3134" s="67"/>
    </row>
    <row r="3135" spans="1:2" x14ac:dyDescent="0.25">
      <c r="A3135" s="67"/>
      <c r="B3135" s="67"/>
    </row>
    <row r="3136" spans="1:2" x14ac:dyDescent="0.25">
      <c r="A3136" s="67"/>
      <c r="B3136" s="67"/>
    </row>
    <row r="3137" spans="1:2" x14ac:dyDescent="0.25">
      <c r="A3137" s="67"/>
      <c r="B3137" s="67"/>
    </row>
    <row r="3138" spans="1:2" x14ac:dyDescent="0.25">
      <c r="A3138" s="67"/>
      <c r="B3138" s="67"/>
    </row>
    <row r="3139" spans="1:2" x14ac:dyDescent="0.25">
      <c r="A3139" s="67"/>
      <c r="B3139" s="67"/>
    </row>
    <row r="3140" spans="1:2" x14ac:dyDescent="0.25">
      <c r="A3140" s="67"/>
      <c r="B3140" s="67"/>
    </row>
    <row r="3141" spans="1:2" x14ac:dyDescent="0.25">
      <c r="A3141" s="67"/>
      <c r="B3141" s="67"/>
    </row>
    <row r="3142" spans="1:2" x14ac:dyDescent="0.25">
      <c r="A3142" s="67"/>
      <c r="B3142" s="67"/>
    </row>
    <row r="3143" spans="1:2" x14ac:dyDescent="0.25">
      <c r="A3143" s="67"/>
      <c r="B3143" s="67"/>
    </row>
    <row r="3144" spans="1:2" x14ac:dyDescent="0.25">
      <c r="A3144" s="67"/>
      <c r="B3144" s="67"/>
    </row>
    <row r="3145" spans="1:2" x14ac:dyDescent="0.25">
      <c r="A3145" s="67"/>
      <c r="B3145" s="67"/>
    </row>
    <row r="3146" spans="1:2" x14ac:dyDescent="0.25">
      <c r="A3146" s="67"/>
      <c r="B3146" s="67"/>
    </row>
    <row r="3147" spans="1:2" x14ac:dyDescent="0.25">
      <c r="A3147" s="67"/>
      <c r="B3147" s="67"/>
    </row>
    <row r="3148" spans="1:2" x14ac:dyDescent="0.25">
      <c r="A3148" s="67"/>
      <c r="B3148" s="67"/>
    </row>
    <row r="3149" spans="1:2" x14ac:dyDescent="0.25">
      <c r="A3149" s="67"/>
      <c r="B3149" s="67"/>
    </row>
    <row r="3150" spans="1:2" x14ac:dyDescent="0.25">
      <c r="A3150" s="67"/>
      <c r="B3150" s="67"/>
    </row>
    <row r="3151" spans="1:2" x14ac:dyDescent="0.25">
      <c r="A3151" s="67"/>
      <c r="B3151" s="67"/>
    </row>
    <row r="3152" spans="1:2" x14ac:dyDescent="0.25">
      <c r="A3152" s="67"/>
      <c r="B3152" s="67"/>
    </row>
    <row r="3153" spans="1:2" x14ac:dyDescent="0.25">
      <c r="A3153" s="67"/>
      <c r="B3153" s="67"/>
    </row>
    <row r="3154" spans="1:2" x14ac:dyDescent="0.25">
      <c r="A3154" s="67"/>
      <c r="B3154" s="67"/>
    </row>
    <row r="3155" spans="1:2" x14ac:dyDescent="0.25">
      <c r="A3155" s="67"/>
      <c r="B3155" s="67"/>
    </row>
    <row r="3156" spans="1:2" x14ac:dyDescent="0.25">
      <c r="A3156" s="67"/>
      <c r="B3156" s="67"/>
    </row>
    <row r="3157" spans="1:2" x14ac:dyDescent="0.25">
      <c r="A3157" s="67"/>
      <c r="B3157" s="67"/>
    </row>
    <row r="3158" spans="1:2" x14ac:dyDescent="0.25">
      <c r="A3158" s="67"/>
      <c r="B3158" s="67"/>
    </row>
    <row r="3159" spans="1:2" x14ac:dyDescent="0.25">
      <c r="A3159" s="67"/>
      <c r="B3159" s="67"/>
    </row>
    <row r="3160" spans="1:2" x14ac:dyDescent="0.25">
      <c r="A3160" s="67"/>
      <c r="B3160" s="67"/>
    </row>
    <row r="3161" spans="1:2" x14ac:dyDescent="0.25">
      <c r="A3161" s="67"/>
      <c r="B3161" s="67"/>
    </row>
    <row r="3162" spans="1:2" x14ac:dyDescent="0.25">
      <c r="A3162" s="67"/>
      <c r="B3162" s="67"/>
    </row>
    <row r="3163" spans="1:2" x14ac:dyDescent="0.25">
      <c r="A3163" s="67"/>
      <c r="B3163" s="67"/>
    </row>
    <row r="3164" spans="1:2" x14ac:dyDescent="0.25">
      <c r="A3164" s="67"/>
      <c r="B3164" s="67"/>
    </row>
    <row r="3165" spans="1:2" x14ac:dyDescent="0.25">
      <c r="A3165" s="67"/>
      <c r="B3165" s="67"/>
    </row>
    <row r="3166" spans="1:2" x14ac:dyDescent="0.25">
      <c r="A3166" s="67"/>
      <c r="B3166" s="67"/>
    </row>
    <row r="3167" spans="1:2" x14ac:dyDescent="0.25">
      <c r="A3167" s="67"/>
      <c r="B3167" s="67"/>
    </row>
    <row r="3168" spans="1:2" x14ac:dyDescent="0.25">
      <c r="A3168" s="67"/>
      <c r="B3168" s="67"/>
    </row>
    <row r="3169" spans="1:2" x14ac:dyDescent="0.25">
      <c r="A3169" s="67"/>
      <c r="B3169" s="67"/>
    </row>
    <row r="3170" spans="1:2" x14ac:dyDescent="0.25">
      <c r="A3170" s="67"/>
      <c r="B3170" s="67"/>
    </row>
    <row r="3171" spans="1:2" x14ac:dyDescent="0.25">
      <c r="A3171" s="67"/>
      <c r="B3171" s="67"/>
    </row>
    <row r="3172" spans="1:2" x14ac:dyDescent="0.25">
      <c r="A3172" s="67"/>
      <c r="B3172" s="67"/>
    </row>
    <row r="3173" spans="1:2" x14ac:dyDescent="0.25">
      <c r="A3173" s="67"/>
      <c r="B3173" s="67"/>
    </row>
    <row r="3174" spans="1:2" x14ac:dyDescent="0.25">
      <c r="A3174" s="67"/>
      <c r="B3174" s="67"/>
    </row>
    <row r="3175" spans="1:2" x14ac:dyDescent="0.25">
      <c r="A3175" s="67"/>
      <c r="B3175" s="67"/>
    </row>
    <row r="3176" spans="1:2" x14ac:dyDescent="0.25">
      <c r="A3176" s="67"/>
      <c r="B3176" s="67"/>
    </row>
    <row r="3177" spans="1:2" x14ac:dyDescent="0.25">
      <c r="A3177" s="67"/>
      <c r="B3177" s="67"/>
    </row>
    <row r="3178" spans="1:2" x14ac:dyDescent="0.25">
      <c r="A3178" s="67"/>
      <c r="B3178" s="67"/>
    </row>
    <row r="3179" spans="1:2" x14ac:dyDescent="0.25">
      <c r="A3179" s="67"/>
      <c r="B3179" s="67"/>
    </row>
    <row r="3180" spans="1:2" x14ac:dyDescent="0.25">
      <c r="A3180" s="67"/>
      <c r="B3180" s="67"/>
    </row>
    <row r="3181" spans="1:2" x14ac:dyDescent="0.25">
      <c r="A3181" s="67"/>
      <c r="B3181" s="67"/>
    </row>
    <row r="3182" spans="1:2" x14ac:dyDescent="0.25">
      <c r="A3182" s="67"/>
      <c r="B3182" s="67"/>
    </row>
    <row r="3183" spans="1:2" x14ac:dyDescent="0.25">
      <c r="A3183" s="67"/>
      <c r="B3183" s="67"/>
    </row>
    <row r="3184" spans="1:2" x14ac:dyDescent="0.25">
      <c r="A3184" s="67"/>
      <c r="B3184" s="67"/>
    </row>
    <row r="3185" spans="1:2" x14ac:dyDescent="0.25">
      <c r="A3185" s="67"/>
      <c r="B3185" s="67"/>
    </row>
    <row r="3186" spans="1:2" x14ac:dyDescent="0.25">
      <c r="A3186" s="67"/>
      <c r="B3186" s="67"/>
    </row>
    <row r="3187" spans="1:2" x14ac:dyDescent="0.25">
      <c r="A3187" s="67"/>
      <c r="B3187" s="67"/>
    </row>
    <row r="3188" spans="1:2" x14ac:dyDescent="0.25">
      <c r="A3188" s="67"/>
      <c r="B3188" s="67"/>
    </row>
    <row r="3189" spans="1:2" x14ac:dyDescent="0.25">
      <c r="A3189" s="67"/>
      <c r="B3189" s="67"/>
    </row>
    <row r="3190" spans="1:2" x14ac:dyDescent="0.25">
      <c r="A3190" s="67"/>
      <c r="B3190" s="67"/>
    </row>
    <row r="3191" spans="1:2" x14ac:dyDescent="0.25">
      <c r="A3191" s="67"/>
      <c r="B3191" s="67"/>
    </row>
    <row r="3192" spans="1:2" x14ac:dyDescent="0.25">
      <c r="A3192" s="67"/>
      <c r="B3192" s="67"/>
    </row>
    <row r="3193" spans="1:2" x14ac:dyDescent="0.25">
      <c r="A3193" s="67"/>
      <c r="B3193" s="67"/>
    </row>
    <row r="3194" spans="1:2" x14ac:dyDescent="0.25">
      <c r="A3194" s="67"/>
      <c r="B3194" s="67"/>
    </row>
    <row r="3195" spans="1:2" x14ac:dyDescent="0.25">
      <c r="A3195" s="67"/>
      <c r="B3195" s="67"/>
    </row>
    <row r="3196" spans="1:2" x14ac:dyDescent="0.25">
      <c r="A3196" s="67"/>
      <c r="B3196" s="67"/>
    </row>
    <row r="3197" spans="1:2" x14ac:dyDescent="0.25">
      <c r="A3197" s="67"/>
      <c r="B3197" s="67"/>
    </row>
    <row r="3198" spans="1:2" x14ac:dyDescent="0.25">
      <c r="A3198" s="67"/>
      <c r="B3198" s="67"/>
    </row>
    <row r="3199" spans="1:2" x14ac:dyDescent="0.25">
      <c r="A3199" s="67"/>
      <c r="B3199" s="67"/>
    </row>
    <row r="3200" spans="1:2" x14ac:dyDescent="0.25">
      <c r="A3200" s="67"/>
      <c r="B3200" s="67"/>
    </row>
    <row r="3201" spans="1:2" x14ac:dyDescent="0.25">
      <c r="A3201" s="67"/>
      <c r="B3201" s="67"/>
    </row>
    <row r="3202" spans="1:2" x14ac:dyDescent="0.25">
      <c r="A3202" s="67"/>
      <c r="B3202" s="67"/>
    </row>
    <row r="3203" spans="1:2" x14ac:dyDescent="0.25">
      <c r="A3203" s="67"/>
      <c r="B3203" s="67"/>
    </row>
    <row r="3204" spans="1:2" x14ac:dyDescent="0.25">
      <c r="A3204" s="67"/>
      <c r="B3204" s="67"/>
    </row>
    <row r="3205" spans="1:2" x14ac:dyDescent="0.25">
      <c r="A3205" s="67"/>
      <c r="B3205" s="67"/>
    </row>
    <row r="3206" spans="1:2" x14ac:dyDescent="0.25">
      <c r="A3206" s="67"/>
      <c r="B3206" s="67"/>
    </row>
    <row r="3207" spans="1:2" x14ac:dyDescent="0.25">
      <c r="A3207" s="67"/>
      <c r="B3207" s="67"/>
    </row>
    <row r="3208" spans="1:2" x14ac:dyDescent="0.25">
      <c r="A3208" s="67"/>
      <c r="B3208" s="67"/>
    </row>
    <row r="3209" spans="1:2" x14ac:dyDescent="0.25">
      <c r="A3209" s="67"/>
      <c r="B3209" s="67"/>
    </row>
    <row r="3210" spans="1:2" x14ac:dyDescent="0.25">
      <c r="A3210" s="67"/>
      <c r="B3210" s="67"/>
    </row>
    <row r="3211" spans="1:2" x14ac:dyDescent="0.25">
      <c r="A3211" s="67"/>
      <c r="B3211" s="67"/>
    </row>
    <row r="3212" spans="1:2" x14ac:dyDescent="0.25">
      <c r="A3212" s="67"/>
      <c r="B3212" s="67"/>
    </row>
    <row r="3213" spans="1:2" x14ac:dyDescent="0.25">
      <c r="A3213" s="67"/>
      <c r="B3213" s="67"/>
    </row>
    <row r="3214" spans="1:2" x14ac:dyDescent="0.25">
      <c r="A3214" s="67"/>
      <c r="B3214" s="67"/>
    </row>
    <row r="3215" spans="1:2" x14ac:dyDescent="0.25">
      <c r="A3215" s="67"/>
      <c r="B3215" s="67"/>
    </row>
    <row r="3216" spans="1:2" x14ac:dyDescent="0.25">
      <c r="A3216" s="67"/>
      <c r="B3216" s="67"/>
    </row>
    <row r="3217" spans="1:2" x14ac:dyDescent="0.25">
      <c r="A3217" s="67"/>
      <c r="B3217" s="67"/>
    </row>
    <row r="3218" spans="1:2" x14ac:dyDescent="0.25">
      <c r="A3218" s="67"/>
      <c r="B3218" s="67"/>
    </row>
    <row r="3219" spans="1:2" x14ac:dyDescent="0.25">
      <c r="A3219" s="67"/>
      <c r="B3219" s="67"/>
    </row>
    <row r="3220" spans="1:2" x14ac:dyDescent="0.25">
      <c r="A3220" s="67"/>
      <c r="B3220" s="67"/>
    </row>
    <row r="3221" spans="1:2" x14ac:dyDescent="0.25">
      <c r="A3221" s="67"/>
      <c r="B3221" s="67"/>
    </row>
    <row r="3222" spans="1:2" x14ac:dyDescent="0.25">
      <c r="A3222" s="67"/>
      <c r="B3222" s="67"/>
    </row>
    <row r="3223" spans="1:2" x14ac:dyDescent="0.25">
      <c r="A3223" s="67"/>
      <c r="B3223" s="67"/>
    </row>
    <row r="3224" spans="1:2" x14ac:dyDescent="0.25">
      <c r="A3224" s="67"/>
      <c r="B3224" s="67"/>
    </row>
    <row r="3225" spans="1:2" x14ac:dyDescent="0.25">
      <c r="A3225" s="67"/>
      <c r="B3225" s="67"/>
    </row>
    <row r="3226" spans="1:2" x14ac:dyDescent="0.25">
      <c r="A3226" s="67"/>
      <c r="B3226" s="67"/>
    </row>
    <row r="3227" spans="1:2" x14ac:dyDescent="0.25">
      <c r="A3227" s="67"/>
      <c r="B3227" s="67"/>
    </row>
    <row r="3228" spans="1:2" x14ac:dyDescent="0.25">
      <c r="A3228" s="67"/>
      <c r="B3228" s="67"/>
    </row>
    <row r="3229" spans="1:2" x14ac:dyDescent="0.25">
      <c r="A3229" s="67"/>
      <c r="B3229" s="67"/>
    </row>
    <row r="3230" spans="1:2" x14ac:dyDescent="0.25">
      <c r="A3230" s="67"/>
      <c r="B3230" s="67"/>
    </row>
    <row r="3231" spans="1:2" x14ac:dyDescent="0.25">
      <c r="A3231" s="67"/>
      <c r="B3231" s="67"/>
    </row>
    <row r="3232" spans="1:2" x14ac:dyDescent="0.25">
      <c r="A3232" s="67"/>
      <c r="B3232" s="67"/>
    </row>
    <row r="3233" spans="1:2" x14ac:dyDescent="0.25">
      <c r="A3233" s="67"/>
      <c r="B3233" s="67"/>
    </row>
    <row r="3234" spans="1:2" x14ac:dyDescent="0.25">
      <c r="A3234" s="67"/>
      <c r="B3234" s="67"/>
    </row>
    <row r="3235" spans="1:2" x14ac:dyDescent="0.25">
      <c r="A3235" s="67"/>
      <c r="B3235" s="67"/>
    </row>
    <row r="3236" spans="1:2" x14ac:dyDescent="0.25">
      <c r="A3236" s="67"/>
      <c r="B3236" s="67"/>
    </row>
    <row r="3237" spans="1:2" x14ac:dyDescent="0.25">
      <c r="A3237" s="67"/>
      <c r="B3237" s="67"/>
    </row>
    <row r="3238" spans="1:2" x14ac:dyDescent="0.25">
      <c r="A3238" s="67"/>
      <c r="B3238" s="67"/>
    </row>
    <row r="3239" spans="1:2" x14ac:dyDescent="0.25">
      <c r="A3239" s="67"/>
      <c r="B3239" s="67"/>
    </row>
    <row r="3240" spans="1:2" x14ac:dyDescent="0.25">
      <c r="A3240" s="67"/>
      <c r="B3240" s="67"/>
    </row>
    <row r="3241" spans="1:2" x14ac:dyDescent="0.25">
      <c r="A3241" s="67"/>
      <c r="B3241" s="67"/>
    </row>
    <row r="3242" spans="1:2" x14ac:dyDescent="0.25">
      <c r="A3242" s="67"/>
      <c r="B3242" s="67"/>
    </row>
    <row r="3243" spans="1:2" x14ac:dyDescent="0.25">
      <c r="A3243" s="67"/>
      <c r="B3243" s="67"/>
    </row>
    <row r="3244" spans="1:2" x14ac:dyDescent="0.25">
      <c r="A3244" s="67"/>
      <c r="B3244" s="67"/>
    </row>
    <row r="3245" spans="1:2" x14ac:dyDescent="0.25">
      <c r="A3245" s="67"/>
      <c r="B3245" s="67"/>
    </row>
    <row r="3246" spans="1:2" x14ac:dyDescent="0.25">
      <c r="A3246" s="67"/>
      <c r="B3246" s="67"/>
    </row>
    <row r="3247" spans="1:2" x14ac:dyDescent="0.25">
      <c r="A3247" s="67"/>
      <c r="B3247" s="67"/>
    </row>
    <row r="3248" spans="1:2" x14ac:dyDescent="0.25">
      <c r="A3248" s="67"/>
      <c r="B3248" s="67"/>
    </row>
    <row r="3249" spans="1:2" x14ac:dyDescent="0.25">
      <c r="A3249" s="67"/>
      <c r="B3249" s="67"/>
    </row>
    <row r="3250" spans="1:2" x14ac:dyDescent="0.25">
      <c r="A3250" s="67"/>
      <c r="B3250" s="67"/>
    </row>
    <row r="3251" spans="1:2" x14ac:dyDescent="0.25">
      <c r="A3251" s="67"/>
      <c r="B3251" s="67"/>
    </row>
    <row r="3252" spans="1:2" x14ac:dyDescent="0.25">
      <c r="A3252" s="67"/>
      <c r="B3252" s="67"/>
    </row>
    <row r="3253" spans="1:2" x14ac:dyDescent="0.25">
      <c r="A3253" s="67"/>
      <c r="B3253" s="67"/>
    </row>
    <row r="3254" spans="1:2" x14ac:dyDescent="0.25">
      <c r="A3254" s="67"/>
      <c r="B3254" s="67"/>
    </row>
    <row r="3255" spans="1:2" x14ac:dyDescent="0.25">
      <c r="A3255" s="67"/>
      <c r="B3255" s="67"/>
    </row>
    <row r="3256" spans="1:2" x14ac:dyDescent="0.25">
      <c r="A3256" s="67"/>
      <c r="B3256" s="67"/>
    </row>
    <row r="3257" spans="1:2" x14ac:dyDescent="0.25">
      <c r="A3257" s="67"/>
      <c r="B3257" s="67"/>
    </row>
    <row r="3258" spans="1:2" x14ac:dyDescent="0.25">
      <c r="A3258" s="67"/>
      <c r="B3258" s="67"/>
    </row>
    <row r="3259" spans="1:2" x14ac:dyDescent="0.25">
      <c r="A3259" s="67"/>
      <c r="B3259" s="67"/>
    </row>
    <row r="3260" spans="1:2" x14ac:dyDescent="0.25">
      <c r="A3260" s="67"/>
      <c r="B3260" s="67"/>
    </row>
    <row r="3261" spans="1:2" x14ac:dyDescent="0.25">
      <c r="A3261" s="67"/>
      <c r="B3261" s="67"/>
    </row>
    <row r="3262" spans="1:2" x14ac:dyDescent="0.25">
      <c r="A3262" s="67"/>
      <c r="B3262" s="67"/>
    </row>
    <row r="3263" spans="1:2" x14ac:dyDescent="0.25">
      <c r="A3263" s="67"/>
      <c r="B3263" s="67"/>
    </row>
    <row r="3264" spans="1:2" x14ac:dyDescent="0.25">
      <c r="A3264" s="67"/>
      <c r="B3264" s="67"/>
    </row>
    <row r="3265" spans="1:2" x14ac:dyDescent="0.25">
      <c r="A3265" s="67"/>
      <c r="B3265" s="67"/>
    </row>
    <row r="3266" spans="1:2" x14ac:dyDescent="0.25">
      <c r="A3266" s="67"/>
      <c r="B3266" s="67"/>
    </row>
    <row r="3267" spans="1:2" x14ac:dyDescent="0.25">
      <c r="A3267" s="67"/>
      <c r="B3267" s="67"/>
    </row>
    <row r="3268" spans="1:2" x14ac:dyDescent="0.25">
      <c r="A3268" s="67"/>
      <c r="B3268" s="67"/>
    </row>
    <row r="3269" spans="1:2" x14ac:dyDescent="0.25">
      <c r="A3269" s="67"/>
      <c r="B3269" s="67"/>
    </row>
    <row r="3270" spans="1:2" x14ac:dyDescent="0.25">
      <c r="A3270" s="67"/>
      <c r="B3270" s="67"/>
    </row>
    <row r="3271" spans="1:2" x14ac:dyDescent="0.25">
      <c r="A3271" s="67"/>
      <c r="B3271" s="67"/>
    </row>
    <row r="3272" spans="1:2" x14ac:dyDescent="0.25">
      <c r="A3272" s="67"/>
      <c r="B3272" s="67"/>
    </row>
    <row r="3273" spans="1:2" x14ac:dyDescent="0.25">
      <c r="A3273" s="67"/>
      <c r="B3273" s="67"/>
    </row>
    <row r="3274" spans="1:2" x14ac:dyDescent="0.25">
      <c r="A3274" s="67"/>
      <c r="B3274" s="67"/>
    </row>
    <row r="3275" spans="1:2" x14ac:dyDescent="0.25">
      <c r="A3275" s="67"/>
      <c r="B3275" s="67"/>
    </row>
    <row r="3276" spans="1:2" x14ac:dyDescent="0.25">
      <c r="A3276" s="67"/>
      <c r="B3276" s="67"/>
    </row>
    <row r="3277" spans="1:2" x14ac:dyDescent="0.25">
      <c r="A3277" s="67"/>
      <c r="B3277" s="67"/>
    </row>
    <row r="3278" spans="1:2" x14ac:dyDescent="0.25">
      <c r="A3278" s="67"/>
      <c r="B3278" s="67"/>
    </row>
    <row r="3279" spans="1:2" x14ac:dyDescent="0.25">
      <c r="A3279" s="67"/>
      <c r="B3279" s="67"/>
    </row>
    <row r="3280" spans="1:2" x14ac:dyDescent="0.25">
      <c r="A3280" s="67"/>
      <c r="B3280" s="67"/>
    </row>
    <row r="3281" spans="1:2" x14ac:dyDescent="0.25">
      <c r="A3281" s="67"/>
      <c r="B3281" s="67"/>
    </row>
    <row r="3282" spans="1:2" x14ac:dyDescent="0.25">
      <c r="A3282" s="67"/>
      <c r="B3282" s="67"/>
    </row>
    <row r="3283" spans="1:2" x14ac:dyDescent="0.25">
      <c r="A3283" s="67"/>
      <c r="B3283" s="67"/>
    </row>
    <row r="3284" spans="1:2" x14ac:dyDescent="0.25">
      <c r="A3284" s="67"/>
      <c r="B3284" s="67"/>
    </row>
    <row r="3285" spans="1:2" x14ac:dyDescent="0.25">
      <c r="A3285" s="67"/>
      <c r="B3285" s="67"/>
    </row>
    <row r="3286" spans="1:2" x14ac:dyDescent="0.25">
      <c r="A3286" s="67"/>
      <c r="B3286" s="67"/>
    </row>
    <row r="3287" spans="1:2" x14ac:dyDescent="0.25">
      <c r="A3287" s="67"/>
      <c r="B3287" s="67"/>
    </row>
    <row r="3288" spans="1:2" x14ac:dyDescent="0.25">
      <c r="A3288" s="67"/>
      <c r="B3288" s="67"/>
    </row>
    <row r="3289" spans="1:2" x14ac:dyDescent="0.25">
      <c r="A3289" s="67"/>
      <c r="B3289" s="67"/>
    </row>
    <row r="3290" spans="1:2" x14ac:dyDescent="0.25">
      <c r="A3290" s="67"/>
      <c r="B3290" s="67"/>
    </row>
    <row r="3291" spans="1:2" x14ac:dyDescent="0.25">
      <c r="A3291" s="67"/>
      <c r="B3291" s="67"/>
    </row>
    <row r="3292" spans="1:2" x14ac:dyDescent="0.25">
      <c r="A3292" s="67"/>
      <c r="B3292" s="67"/>
    </row>
    <row r="3293" spans="1:2" x14ac:dyDescent="0.25">
      <c r="A3293" s="67"/>
      <c r="B3293" s="67"/>
    </row>
    <row r="3294" spans="1:2" x14ac:dyDescent="0.25">
      <c r="A3294" s="67"/>
      <c r="B3294" s="67"/>
    </row>
    <row r="3295" spans="1:2" x14ac:dyDescent="0.25">
      <c r="A3295" s="67"/>
      <c r="B3295" s="67"/>
    </row>
    <row r="3296" spans="1:2" x14ac:dyDescent="0.25">
      <c r="A3296" s="67"/>
      <c r="B3296" s="67"/>
    </row>
    <row r="3297" spans="1:2" x14ac:dyDescent="0.25">
      <c r="A3297" s="67"/>
      <c r="B3297" s="67"/>
    </row>
    <row r="3298" spans="1:2" x14ac:dyDescent="0.25">
      <c r="A3298" s="67"/>
      <c r="B3298" s="67"/>
    </row>
    <row r="3299" spans="1:2" x14ac:dyDescent="0.25">
      <c r="A3299" s="67"/>
      <c r="B3299" s="67"/>
    </row>
    <row r="3300" spans="1:2" x14ac:dyDescent="0.25">
      <c r="A3300" s="67"/>
      <c r="B3300" s="67"/>
    </row>
    <row r="3301" spans="1:2" x14ac:dyDescent="0.25">
      <c r="A3301" s="67"/>
      <c r="B3301" s="67"/>
    </row>
    <row r="3302" spans="1:2" x14ac:dyDescent="0.25">
      <c r="A3302" s="67"/>
      <c r="B3302" s="67"/>
    </row>
    <row r="3303" spans="1:2" x14ac:dyDescent="0.25">
      <c r="A3303" s="67"/>
      <c r="B3303" s="67"/>
    </row>
    <row r="3304" spans="1:2" x14ac:dyDescent="0.25">
      <c r="A3304" s="67"/>
      <c r="B3304" s="67"/>
    </row>
    <row r="3305" spans="1:2" x14ac:dyDescent="0.25">
      <c r="A3305" s="67"/>
      <c r="B3305" s="67"/>
    </row>
    <row r="3306" spans="1:2" x14ac:dyDescent="0.25">
      <c r="A3306" s="67"/>
      <c r="B3306" s="67"/>
    </row>
    <row r="3307" spans="1:2" x14ac:dyDescent="0.25">
      <c r="A3307" s="67"/>
      <c r="B3307" s="67"/>
    </row>
    <row r="3308" spans="1:2" x14ac:dyDescent="0.25">
      <c r="A3308" s="67"/>
      <c r="B3308" s="67"/>
    </row>
    <row r="3309" spans="1:2" x14ac:dyDescent="0.25">
      <c r="A3309" s="67"/>
      <c r="B3309" s="67"/>
    </row>
    <row r="3310" spans="1:2" x14ac:dyDescent="0.25">
      <c r="A3310" s="67"/>
      <c r="B3310" s="67"/>
    </row>
    <row r="3311" spans="1:2" x14ac:dyDescent="0.25">
      <c r="A3311" s="67"/>
      <c r="B3311" s="67"/>
    </row>
    <row r="3312" spans="1:2" x14ac:dyDescent="0.25">
      <c r="A3312" s="67"/>
      <c r="B3312" s="67"/>
    </row>
    <row r="3313" spans="1:2" x14ac:dyDescent="0.25">
      <c r="A3313" s="67"/>
      <c r="B3313" s="67"/>
    </row>
    <row r="3314" spans="1:2" x14ac:dyDescent="0.25">
      <c r="A3314" s="67"/>
      <c r="B3314" s="67"/>
    </row>
    <row r="3315" spans="1:2" x14ac:dyDescent="0.25">
      <c r="A3315" s="67"/>
      <c r="B3315" s="67"/>
    </row>
    <row r="3316" spans="1:2" x14ac:dyDescent="0.25">
      <c r="A3316" s="67"/>
      <c r="B3316" s="67"/>
    </row>
    <row r="3317" spans="1:2" x14ac:dyDescent="0.25">
      <c r="A3317" s="67"/>
      <c r="B3317" s="67"/>
    </row>
    <row r="3318" spans="1:2" x14ac:dyDescent="0.25">
      <c r="A3318" s="67"/>
      <c r="B3318" s="67"/>
    </row>
    <row r="3319" spans="1:2" x14ac:dyDescent="0.25">
      <c r="A3319" s="67"/>
      <c r="B3319" s="67"/>
    </row>
    <row r="3320" spans="1:2" x14ac:dyDescent="0.25">
      <c r="A3320" s="67"/>
      <c r="B3320" s="67"/>
    </row>
    <row r="3321" spans="1:2" x14ac:dyDescent="0.25">
      <c r="A3321" s="67"/>
      <c r="B3321" s="67"/>
    </row>
    <row r="3322" spans="1:2" x14ac:dyDescent="0.25">
      <c r="A3322" s="67"/>
      <c r="B3322" s="67"/>
    </row>
    <row r="3323" spans="1:2" x14ac:dyDescent="0.25">
      <c r="A3323" s="67"/>
      <c r="B3323" s="67"/>
    </row>
    <row r="3324" spans="1:2" x14ac:dyDescent="0.25">
      <c r="A3324" s="67"/>
      <c r="B3324" s="67"/>
    </row>
    <row r="3325" spans="1:2" x14ac:dyDescent="0.25">
      <c r="A3325" s="67"/>
      <c r="B3325" s="67"/>
    </row>
    <row r="3326" spans="1:2" x14ac:dyDescent="0.25">
      <c r="A3326" s="67"/>
      <c r="B3326" s="67"/>
    </row>
    <row r="3327" spans="1:2" x14ac:dyDescent="0.25">
      <c r="A3327" s="67"/>
      <c r="B3327" s="67"/>
    </row>
    <row r="3328" spans="1:2" x14ac:dyDescent="0.25">
      <c r="A3328" s="67"/>
      <c r="B3328" s="67"/>
    </row>
    <row r="3329" spans="1:2" x14ac:dyDescent="0.25">
      <c r="A3329" s="67"/>
      <c r="B3329" s="67"/>
    </row>
    <row r="3330" spans="1:2" x14ac:dyDescent="0.25">
      <c r="A3330" s="67"/>
      <c r="B3330" s="67"/>
    </row>
    <row r="3331" spans="1:2" x14ac:dyDescent="0.25">
      <c r="A3331" s="67"/>
      <c r="B3331" s="67"/>
    </row>
    <row r="3332" spans="1:2" x14ac:dyDescent="0.25">
      <c r="A3332" s="67"/>
      <c r="B3332" s="67"/>
    </row>
    <row r="3333" spans="1:2" x14ac:dyDescent="0.25">
      <c r="A3333" s="67"/>
      <c r="B3333" s="67"/>
    </row>
    <row r="3334" spans="1:2" x14ac:dyDescent="0.25">
      <c r="A3334" s="67"/>
      <c r="B3334" s="67"/>
    </row>
    <row r="3335" spans="1:2" x14ac:dyDescent="0.25">
      <c r="A3335" s="67"/>
      <c r="B3335" s="67"/>
    </row>
    <row r="3336" spans="1:2" x14ac:dyDescent="0.25">
      <c r="A3336" s="67"/>
      <c r="B3336" s="67"/>
    </row>
    <row r="3337" spans="1:2" x14ac:dyDescent="0.25">
      <c r="A3337" s="67"/>
      <c r="B3337" s="67"/>
    </row>
    <row r="3338" spans="1:2" x14ac:dyDescent="0.25">
      <c r="A3338" s="67"/>
      <c r="B3338" s="67"/>
    </row>
    <row r="3339" spans="1:2" x14ac:dyDescent="0.25">
      <c r="A3339" s="67"/>
      <c r="B3339" s="67"/>
    </row>
    <row r="3340" spans="1:2" x14ac:dyDescent="0.25">
      <c r="A3340" s="67"/>
      <c r="B3340" s="67"/>
    </row>
    <row r="3341" spans="1:2" x14ac:dyDescent="0.25">
      <c r="A3341" s="67"/>
      <c r="B3341" s="67"/>
    </row>
    <row r="3342" spans="1:2" x14ac:dyDescent="0.25">
      <c r="A3342" s="67"/>
      <c r="B3342" s="67"/>
    </row>
    <row r="3343" spans="1:2" x14ac:dyDescent="0.25">
      <c r="A3343" s="67"/>
      <c r="B3343" s="67"/>
    </row>
    <row r="3344" spans="1:2" x14ac:dyDescent="0.25">
      <c r="A3344" s="67"/>
      <c r="B3344" s="67"/>
    </row>
    <row r="3345" spans="1:2" x14ac:dyDescent="0.25">
      <c r="A3345" s="67"/>
      <c r="B3345" s="67"/>
    </row>
    <row r="3346" spans="1:2" x14ac:dyDescent="0.25">
      <c r="A3346" s="67"/>
      <c r="B3346" s="67"/>
    </row>
    <row r="3347" spans="1:2" x14ac:dyDescent="0.25">
      <c r="A3347" s="67"/>
      <c r="B3347" s="67"/>
    </row>
    <row r="3348" spans="1:2" x14ac:dyDescent="0.25">
      <c r="A3348" s="67"/>
      <c r="B3348" s="67"/>
    </row>
    <row r="3349" spans="1:2" x14ac:dyDescent="0.25">
      <c r="A3349" s="67"/>
      <c r="B3349" s="67"/>
    </row>
    <row r="3350" spans="1:2" x14ac:dyDescent="0.25">
      <c r="A3350" s="67"/>
      <c r="B3350" s="67"/>
    </row>
    <row r="3351" spans="1:2" x14ac:dyDescent="0.25">
      <c r="A3351" s="67"/>
      <c r="B3351" s="67"/>
    </row>
    <row r="3352" spans="1:2" x14ac:dyDescent="0.25">
      <c r="A3352" s="67"/>
      <c r="B3352" s="67"/>
    </row>
    <row r="3353" spans="1:2" x14ac:dyDescent="0.25">
      <c r="A3353" s="67"/>
      <c r="B3353" s="67"/>
    </row>
    <row r="3354" spans="1:2" x14ac:dyDescent="0.25">
      <c r="A3354" s="67"/>
      <c r="B3354" s="67"/>
    </row>
    <row r="3355" spans="1:2" x14ac:dyDescent="0.25">
      <c r="A3355" s="67"/>
      <c r="B3355" s="67"/>
    </row>
    <row r="3356" spans="1:2" x14ac:dyDescent="0.25">
      <c r="A3356" s="67"/>
      <c r="B3356" s="67"/>
    </row>
    <row r="3357" spans="1:2" x14ac:dyDescent="0.25">
      <c r="A3357" s="67"/>
      <c r="B3357" s="67"/>
    </row>
    <row r="3358" spans="1:2" x14ac:dyDescent="0.25">
      <c r="A3358" s="67"/>
      <c r="B3358" s="67"/>
    </row>
    <row r="3359" spans="1:2" x14ac:dyDescent="0.25">
      <c r="A3359" s="67"/>
      <c r="B3359" s="67"/>
    </row>
    <row r="3360" spans="1:2" x14ac:dyDescent="0.25">
      <c r="A3360" s="67"/>
      <c r="B3360" s="67"/>
    </row>
    <row r="3361" spans="1:2" x14ac:dyDescent="0.25">
      <c r="A3361" s="67"/>
      <c r="B3361" s="67"/>
    </row>
    <row r="3362" spans="1:2" x14ac:dyDescent="0.25">
      <c r="A3362" s="67"/>
      <c r="B3362" s="67"/>
    </row>
    <row r="3363" spans="1:2" x14ac:dyDescent="0.25">
      <c r="A3363" s="67"/>
      <c r="B3363" s="67"/>
    </row>
    <row r="3364" spans="1:2" x14ac:dyDescent="0.25">
      <c r="A3364" s="67"/>
      <c r="B3364" s="67"/>
    </row>
    <row r="3365" spans="1:2" x14ac:dyDescent="0.25">
      <c r="A3365" s="67"/>
      <c r="B3365" s="67"/>
    </row>
    <row r="3366" spans="1:2" x14ac:dyDescent="0.25">
      <c r="A3366" s="67"/>
      <c r="B3366" s="67"/>
    </row>
    <row r="3367" spans="1:2" x14ac:dyDescent="0.25">
      <c r="A3367" s="67"/>
      <c r="B3367" s="67"/>
    </row>
    <row r="3368" spans="1:2" x14ac:dyDescent="0.25">
      <c r="A3368" s="67"/>
      <c r="B3368" s="67"/>
    </row>
    <row r="3369" spans="1:2" x14ac:dyDescent="0.25">
      <c r="A3369" s="67"/>
      <c r="B3369" s="67"/>
    </row>
    <row r="3370" spans="1:2" x14ac:dyDescent="0.25">
      <c r="A3370" s="67"/>
      <c r="B3370" s="67"/>
    </row>
    <row r="3371" spans="1:2" x14ac:dyDescent="0.25">
      <c r="A3371" s="67"/>
      <c r="B3371" s="67"/>
    </row>
    <row r="3372" spans="1:2" x14ac:dyDescent="0.25">
      <c r="A3372" s="67"/>
      <c r="B3372" s="67"/>
    </row>
    <row r="3373" spans="1:2" x14ac:dyDescent="0.25">
      <c r="A3373" s="67"/>
      <c r="B3373" s="67"/>
    </row>
    <row r="3374" spans="1:2" x14ac:dyDescent="0.25">
      <c r="A3374" s="67"/>
      <c r="B3374" s="67"/>
    </row>
    <row r="3375" spans="1:2" x14ac:dyDescent="0.25">
      <c r="A3375" s="67"/>
      <c r="B3375" s="67"/>
    </row>
    <row r="3376" spans="1:2" x14ac:dyDescent="0.25">
      <c r="A3376" s="67"/>
      <c r="B3376" s="67"/>
    </row>
    <row r="3377" spans="1:2" x14ac:dyDescent="0.25">
      <c r="A3377" s="67"/>
      <c r="B3377" s="67"/>
    </row>
    <row r="3378" spans="1:2" x14ac:dyDescent="0.25">
      <c r="A3378" s="67"/>
      <c r="B3378" s="67"/>
    </row>
    <row r="3379" spans="1:2" x14ac:dyDescent="0.25">
      <c r="A3379" s="67"/>
      <c r="B3379" s="67"/>
    </row>
    <row r="3380" spans="1:2" x14ac:dyDescent="0.25">
      <c r="A3380" s="67"/>
      <c r="B3380" s="67"/>
    </row>
    <row r="3381" spans="1:2" x14ac:dyDescent="0.25">
      <c r="A3381" s="67"/>
      <c r="B3381" s="67"/>
    </row>
    <row r="3382" spans="1:2" x14ac:dyDescent="0.25">
      <c r="A3382" s="67"/>
      <c r="B3382" s="67"/>
    </row>
    <row r="3383" spans="1:2" x14ac:dyDescent="0.25">
      <c r="A3383" s="67"/>
      <c r="B3383" s="67"/>
    </row>
    <row r="3384" spans="1:2" x14ac:dyDescent="0.25">
      <c r="A3384" s="67"/>
      <c r="B3384" s="67"/>
    </row>
    <row r="3385" spans="1:2" x14ac:dyDescent="0.25">
      <c r="A3385" s="67"/>
      <c r="B3385" s="67"/>
    </row>
    <row r="3386" spans="1:2" x14ac:dyDescent="0.25">
      <c r="A3386" s="67"/>
      <c r="B3386" s="67"/>
    </row>
    <row r="3387" spans="1:2" x14ac:dyDescent="0.25">
      <c r="A3387" s="67"/>
      <c r="B3387" s="67"/>
    </row>
    <row r="3388" spans="1:2" x14ac:dyDescent="0.25">
      <c r="A3388" s="67"/>
      <c r="B3388" s="67"/>
    </row>
    <row r="3389" spans="1:2" x14ac:dyDescent="0.25">
      <c r="A3389" s="67"/>
      <c r="B3389" s="67"/>
    </row>
    <row r="3390" spans="1:2" x14ac:dyDescent="0.25">
      <c r="A3390" s="67"/>
      <c r="B3390" s="67"/>
    </row>
    <row r="3391" spans="1:2" x14ac:dyDescent="0.25">
      <c r="A3391" s="67"/>
      <c r="B3391" s="67"/>
    </row>
    <row r="3392" spans="1:2" x14ac:dyDescent="0.25">
      <c r="A3392" s="67"/>
      <c r="B3392" s="67"/>
    </row>
    <row r="3393" spans="1:2" x14ac:dyDescent="0.25">
      <c r="A3393" s="67"/>
      <c r="B3393" s="67"/>
    </row>
    <row r="3394" spans="1:2" x14ac:dyDescent="0.25">
      <c r="A3394" s="67"/>
      <c r="B3394" s="67"/>
    </row>
    <row r="3395" spans="1:2" x14ac:dyDescent="0.25">
      <c r="A3395" s="67"/>
      <c r="B3395" s="67"/>
    </row>
    <row r="3396" spans="1:2" x14ac:dyDescent="0.25">
      <c r="A3396" s="67"/>
      <c r="B3396" s="67"/>
    </row>
    <row r="3397" spans="1:2" x14ac:dyDescent="0.25">
      <c r="A3397" s="67"/>
      <c r="B3397" s="67"/>
    </row>
    <row r="3398" spans="1:2" x14ac:dyDescent="0.25">
      <c r="A3398" s="67"/>
      <c r="B3398" s="67"/>
    </row>
    <row r="3399" spans="1:2" x14ac:dyDescent="0.25">
      <c r="A3399" s="67"/>
      <c r="B3399" s="67"/>
    </row>
    <row r="3400" spans="1:2" x14ac:dyDescent="0.25">
      <c r="A3400" s="67"/>
      <c r="B3400" s="67"/>
    </row>
    <row r="3401" spans="1:2" x14ac:dyDescent="0.25">
      <c r="A3401" s="67"/>
      <c r="B3401" s="67"/>
    </row>
    <row r="3402" spans="1:2" x14ac:dyDescent="0.25">
      <c r="A3402" s="67"/>
      <c r="B3402" s="67"/>
    </row>
    <row r="3403" spans="1:2" x14ac:dyDescent="0.25">
      <c r="A3403" s="67"/>
      <c r="B3403" s="67"/>
    </row>
    <row r="3404" spans="1:2" x14ac:dyDescent="0.25">
      <c r="A3404" s="67"/>
      <c r="B3404" s="67"/>
    </row>
    <row r="3405" spans="1:2" x14ac:dyDescent="0.25">
      <c r="A3405" s="67"/>
      <c r="B3405" s="67"/>
    </row>
    <row r="3406" spans="1:2" x14ac:dyDescent="0.25">
      <c r="A3406" s="67"/>
      <c r="B3406" s="67"/>
    </row>
    <row r="3407" spans="1:2" x14ac:dyDescent="0.25">
      <c r="A3407" s="67"/>
      <c r="B3407" s="67"/>
    </row>
    <row r="3408" spans="1:2" x14ac:dyDescent="0.25">
      <c r="A3408" s="67"/>
      <c r="B3408" s="67"/>
    </row>
    <row r="3409" spans="1:2" x14ac:dyDescent="0.25">
      <c r="A3409" s="67"/>
      <c r="B3409" s="67"/>
    </row>
    <row r="3410" spans="1:2" x14ac:dyDescent="0.25">
      <c r="A3410" s="67"/>
      <c r="B3410" s="67"/>
    </row>
    <row r="3411" spans="1:2" x14ac:dyDescent="0.25">
      <c r="A3411" s="67"/>
      <c r="B3411" s="67"/>
    </row>
    <row r="3412" spans="1:2" x14ac:dyDescent="0.25">
      <c r="A3412" s="67"/>
      <c r="B3412" s="67"/>
    </row>
    <row r="3413" spans="1:2" x14ac:dyDescent="0.25">
      <c r="A3413" s="67"/>
      <c r="B3413" s="67"/>
    </row>
    <row r="3414" spans="1:2" x14ac:dyDescent="0.25">
      <c r="A3414" s="67"/>
      <c r="B3414" s="67"/>
    </row>
    <row r="3415" spans="1:2" x14ac:dyDescent="0.25">
      <c r="A3415" s="67"/>
      <c r="B3415" s="67"/>
    </row>
    <row r="3416" spans="1:2" x14ac:dyDescent="0.25">
      <c r="A3416" s="67"/>
      <c r="B3416" s="67"/>
    </row>
    <row r="3417" spans="1:2" x14ac:dyDescent="0.25">
      <c r="A3417" s="67"/>
      <c r="B3417" s="67"/>
    </row>
    <row r="3418" spans="1:2" x14ac:dyDescent="0.25">
      <c r="A3418" s="67"/>
      <c r="B3418" s="67"/>
    </row>
    <row r="3419" spans="1:2" x14ac:dyDescent="0.25">
      <c r="A3419" s="67"/>
      <c r="B3419" s="67"/>
    </row>
    <row r="3420" spans="1:2" x14ac:dyDescent="0.25">
      <c r="A3420" s="67"/>
      <c r="B3420" s="67"/>
    </row>
    <row r="3421" spans="1:2" x14ac:dyDescent="0.25">
      <c r="A3421" s="67"/>
      <c r="B3421" s="67"/>
    </row>
    <row r="3422" spans="1:2" x14ac:dyDescent="0.25">
      <c r="A3422" s="67"/>
      <c r="B3422" s="67"/>
    </row>
    <row r="3423" spans="1:2" x14ac:dyDescent="0.25">
      <c r="A3423" s="67"/>
      <c r="B3423" s="67"/>
    </row>
    <row r="3424" spans="1:2" x14ac:dyDescent="0.25">
      <c r="A3424" s="67"/>
      <c r="B3424" s="67"/>
    </row>
    <row r="3425" spans="1:2" x14ac:dyDescent="0.25">
      <c r="A3425" s="67"/>
      <c r="B3425" s="67"/>
    </row>
    <row r="3426" spans="1:2" x14ac:dyDescent="0.25">
      <c r="A3426" s="67"/>
      <c r="B3426" s="67"/>
    </row>
    <row r="3427" spans="1:2" x14ac:dyDescent="0.25">
      <c r="A3427" s="67"/>
      <c r="B3427" s="67"/>
    </row>
    <row r="3428" spans="1:2" x14ac:dyDescent="0.25">
      <c r="A3428" s="67"/>
      <c r="B3428" s="67"/>
    </row>
    <row r="3429" spans="1:2" x14ac:dyDescent="0.25">
      <c r="A3429" s="67"/>
      <c r="B3429" s="67"/>
    </row>
    <row r="3430" spans="1:2" x14ac:dyDescent="0.25">
      <c r="A3430" s="67"/>
      <c r="B3430" s="67"/>
    </row>
    <row r="3431" spans="1:2" x14ac:dyDescent="0.25">
      <c r="A3431" s="67"/>
      <c r="B3431" s="67"/>
    </row>
    <row r="3432" spans="1:2" x14ac:dyDescent="0.25">
      <c r="A3432" s="67"/>
      <c r="B3432" s="67"/>
    </row>
    <row r="3433" spans="1:2" x14ac:dyDescent="0.25">
      <c r="A3433" s="67"/>
      <c r="B3433" s="67"/>
    </row>
    <row r="3434" spans="1:2" x14ac:dyDescent="0.25">
      <c r="A3434" s="67"/>
      <c r="B3434" s="67"/>
    </row>
    <row r="3435" spans="1:2" x14ac:dyDescent="0.25">
      <c r="A3435" s="67"/>
      <c r="B3435" s="67"/>
    </row>
    <row r="3436" spans="1:2" x14ac:dyDescent="0.25">
      <c r="A3436" s="67"/>
      <c r="B3436" s="67"/>
    </row>
    <row r="3437" spans="1:2" x14ac:dyDescent="0.25">
      <c r="A3437" s="67"/>
      <c r="B3437" s="67"/>
    </row>
    <row r="3438" spans="1:2" x14ac:dyDescent="0.25">
      <c r="A3438" s="67"/>
      <c r="B3438" s="67"/>
    </row>
    <row r="3439" spans="1:2" x14ac:dyDescent="0.25">
      <c r="A3439" s="67"/>
      <c r="B3439" s="67"/>
    </row>
    <row r="3440" spans="1:2" x14ac:dyDescent="0.25">
      <c r="A3440" s="67"/>
      <c r="B3440" s="67"/>
    </row>
    <row r="3441" spans="1:2" x14ac:dyDescent="0.25">
      <c r="A3441" s="67"/>
      <c r="B3441" s="67"/>
    </row>
    <row r="3442" spans="1:2" x14ac:dyDescent="0.25">
      <c r="A3442" s="67"/>
      <c r="B3442" s="67"/>
    </row>
    <row r="3443" spans="1:2" x14ac:dyDescent="0.25">
      <c r="A3443" s="67"/>
      <c r="B3443" s="67"/>
    </row>
    <row r="3444" spans="1:2" x14ac:dyDescent="0.25">
      <c r="A3444" s="67"/>
      <c r="B3444" s="67"/>
    </row>
    <row r="3445" spans="1:2" x14ac:dyDescent="0.25">
      <c r="A3445" s="67"/>
      <c r="B3445" s="67"/>
    </row>
    <row r="3446" spans="1:2" x14ac:dyDescent="0.25">
      <c r="A3446" s="67"/>
      <c r="B3446" s="67"/>
    </row>
    <row r="3447" spans="1:2" x14ac:dyDescent="0.25">
      <c r="A3447" s="67"/>
      <c r="B3447" s="67"/>
    </row>
    <row r="3448" spans="1:2" x14ac:dyDescent="0.25">
      <c r="A3448" s="67"/>
      <c r="B3448" s="67"/>
    </row>
    <row r="3449" spans="1:2" x14ac:dyDescent="0.25">
      <c r="A3449" s="67"/>
      <c r="B3449" s="67"/>
    </row>
    <row r="3450" spans="1:2" x14ac:dyDescent="0.25">
      <c r="A3450" s="67"/>
      <c r="B3450" s="67"/>
    </row>
    <row r="3451" spans="1:2" x14ac:dyDescent="0.25">
      <c r="A3451" s="67"/>
      <c r="B3451" s="67"/>
    </row>
    <row r="3452" spans="1:2" x14ac:dyDescent="0.25">
      <c r="A3452" s="67"/>
      <c r="B3452" s="67"/>
    </row>
    <row r="3453" spans="1:2" x14ac:dyDescent="0.25">
      <c r="A3453" s="67"/>
      <c r="B3453" s="67"/>
    </row>
    <row r="3454" spans="1:2" x14ac:dyDescent="0.25">
      <c r="A3454" s="67"/>
      <c r="B3454" s="67"/>
    </row>
    <row r="3455" spans="1:2" x14ac:dyDescent="0.25">
      <c r="A3455" s="67"/>
      <c r="B3455" s="67"/>
    </row>
    <row r="3456" spans="1:2" x14ac:dyDescent="0.25">
      <c r="A3456" s="67"/>
      <c r="B3456" s="67"/>
    </row>
    <row r="3457" spans="1:2" x14ac:dyDescent="0.25">
      <c r="A3457" s="67"/>
      <c r="B3457" s="67"/>
    </row>
    <row r="3458" spans="1:2" x14ac:dyDescent="0.25">
      <c r="A3458" s="67"/>
      <c r="B3458" s="67"/>
    </row>
    <row r="3459" spans="1:2" x14ac:dyDescent="0.25">
      <c r="A3459" s="67"/>
      <c r="B3459" s="67"/>
    </row>
    <row r="3460" spans="1:2" x14ac:dyDescent="0.25">
      <c r="A3460" s="67"/>
      <c r="B3460" s="67"/>
    </row>
    <row r="3461" spans="1:2" x14ac:dyDescent="0.25">
      <c r="A3461" s="67"/>
      <c r="B3461" s="67"/>
    </row>
    <row r="3462" spans="1:2" x14ac:dyDescent="0.25">
      <c r="A3462" s="67"/>
      <c r="B3462" s="67"/>
    </row>
    <row r="3463" spans="1:2" x14ac:dyDescent="0.25">
      <c r="A3463" s="67"/>
      <c r="B3463" s="67"/>
    </row>
    <row r="3464" spans="1:2" x14ac:dyDescent="0.25">
      <c r="A3464" s="67"/>
      <c r="B3464" s="67"/>
    </row>
    <row r="3465" spans="1:2" x14ac:dyDescent="0.25">
      <c r="A3465" s="67"/>
      <c r="B3465" s="67"/>
    </row>
    <row r="3466" spans="1:2" x14ac:dyDescent="0.25">
      <c r="A3466" s="67"/>
      <c r="B3466" s="67"/>
    </row>
    <row r="3467" spans="1:2" x14ac:dyDescent="0.25">
      <c r="A3467" s="67"/>
      <c r="B3467" s="67"/>
    </row>
    <row r="3468" spans="1:2" x14ac:dyDescent="0.25">
      <c r="A3468" s="67"/>
      <c r="B3468" s="67"/>
    </row>
    <row r="3469" spans="1:2" x14ac:dyDescent="0.25">
      <c r="A3469" s="67"/>
      <c r="B3469" s="67"/>
    </row>
    <row r="3470" spans="1:2" x14ac:dyDescent="0.25">
      <c r="A3470" s="67"/>
      <c r="B3470" s="67"/>
    </row>
    <row r="3471" spans="1:2" x14ac:dyDescent="0.25">
      <c r="A3471" s="67"/>
      <c r="B3471" s="67"/>
    </row>
    <row r="3472" spans="1:2" x14ac:dyDescent="0.25">
      <c r="A3472" s="67"/>
      <c r="B3472" s="67"/>
    </row>
    <row r="3473" spans="1:2" x14ac:dyDescent="0.25">
      <c r="A3473" s="67"/>
      <c r="B3473" s="67"/>
    </row>
    <row r="3474" spans="1:2" x14ac:dyDescent="0.25">
      <c r="A3474" s="67"/>
      <c r="B3474" s="67"/>
    </row>
    <row r="3475" spans="1:2" x14ac:dyDescent="0.25">
      <c r="A3475" s="67"/>
      <c r="B3475" s="67"/>
    </row>
    <row r="3476" spans="1:2" x14ac:dyDescent="0.25">
      <c r="A3476" s="67"/>
      <c r="B3476" s="67"/>
    </row>
    <row r="3477" spans="1:2" x14ac:dyDescent="0.25">
      <c r="A3477" s="67"/>
      <c r="B3477" s="67"/>
    </row>
    <row r="3478" spans="1:2" x14ac:dyDescent="0.25">
      <c r="A3478" s="67"/>
      <c r="B3478" s="67"/>
    </row>
    <row r="3479" spans="1:2" x14ac:dyDescent="0.25">
      <c r="A3479" s="67"/>
      <c r="B3479" s="67"/>
    </row>
    <row r="3480" spans="1:2" x14ac:dyDescent="0.25">
      <c r="A3480" s="67"/>
      <c r="B3480" s="67"/>
    </row>
    <row r="3481" spans="1:2" x14ac:dyDescent="0.25">
      <c r="A3481" s="67"/>
      <c r="B3481" s="67"/>
    </row>
    <row r="3482" spans="1:2" x14ac:dyDescent="0.25">
      <c r="A3482" s="67"/>
      <c r="B3482" s="67"/>
    </row>
    <row r="3483" spans="1:2" x14ac:dyDescent="0.25">
      <c r="A3483" s="67"/>
      <c r="B3483" s="67"/>
    </row>
    <row r="3484" spans="1:2" x14ac:dyDescent="0.25">
      <c r="A3484" s="67"/>
      <c r="B3484" s="67"/>
    </row>
    <row r="3485" spans="1:2" x14ac:dyDescent="0.25">
      <c r="A3485" s="67"/>
      <c r="B3485" s="67"/>
    </row>
    <row r="3486" spans="1:2" x14ac:dyDescent="0.25">
      <c r="A3486" s="67"/>
      <c r="B3486" s="67"/>
    </row>
    <row r="3487" spans="1:2" x14ac:dyDescent="0.25">
      <c r="A3487" s="67"/>
      <c r="B3487" s="67"/>
    </row>
    <row r="3488" spans="1:2" x14ac:dyDescent="0.25">
      <c r="A3488" s="67"/>
      <c r="B3488" s="67"/>
    </row>
    <row r="3489" spans="1:2" x14ac:dyDescent="0.25">
      <c r="A3489" s="67"/>
      <c r="B3489" s="67"/>
    </row>
    <row r="3490" spans="1:2" x14ac:dyDescent="0.25">
      <c r="A3490" s="67"/>
      <c r="B3490" s="67"/>
    </row>
    <row r="3491" spans="1:2" x14ac:dyDescent="0.25">
      <c r="A3491" s="67"/>
      <c r="B3491" s="67"/>
    </row>
    <row r="3492" spans="1:2" x14ac:dyDescent="0.25">
      <c r="A3492" s="67"/>
      <c r="B3492" s="67"/>
    </row>
    <row r="3493" spans="1:2" x14ac:dyDescent="0.25">
      <c r="A3493" s="67"/>
      <c r="B3493" s="67"/>
    </row>
    <row r="3494" spans="1:2" x14ac:dyDescent="0.25">
      <c r="A3494" s="67"/>
      <c r="B3494" s="67"/>
    </row>
    <row r="3495" spans="1:2" x14ac:dyDescent="0.25">
      <c r="A3495" s="67"/>
      <c r="B3495" s="67"/>
    </row>
    <row r="3496" spans="1:2" x14ac:dyDescent="0.25">
      <c r="A3496" s="67"/>
      <c r="B3496" s="67"/>
    </row>
    <row r="3497" spans="1:2" x14ac:dyDescent="0.25">
      <c r="A3497" s="67"/>
      <c r="B3497" s="67"/>
    </row>
    <row r="3498" spans="1:2" x14ac:dyDescent="0.25">
      <c r="A3498" s="67"/>
      <c r="B3498" s="67"/>
    </row>
    <row r="3499" spans="1:2" x14ac:dyDescent="0.25">
      <c r="A3499" s="67"/>
      <c r="B3499" s="67"/>
    </row>
    <row r="3500" spans="1:2" x14ac:dyDescent="0.25">
      <c r="A3500" s="67"/>
      <c r="B3500" s="67"/>
    </row>
    <row r="3501" spans="1:2" x14ac:dyDescent="0.25">
      <c r="A3501" s="67"/>
      <c r="B3501" s="67"/>
    </row>
    <row r="3502" spans="1:2" x14ac:dyDescent="0.25">
      <c r="A3502" s="67"/>
      <c r="B3502" s="67"/>
    </row>
    <row r="3503" spans="1:2" x14ac:dyDescent="0.25">
      <c r="A3503" s="67"/>
      <c r="B3503" s="67"/>
    </row>
    <row r="3504" spans="1:2" x14ac:dyDescent="0.25">
      <c r="A3504" s="67"/>
      <c r="B3504" s="67"/>
    </row>
    <row r="3505" spans="1:2" x14ac:dyDescent="0.25">
      <c r="A3505" s="67"/>
      <c r="B3505" s="67"/>
    </row>
    <row r="3506" spans="1:2" x14ac:dyDescent="0.25">
      <c r="A3506" s="67"/>
      <c r="B3506" s="67"/>
    </row>
    <row r="3507" spans="1:2" x14ac:dyDescent="0.25">
      <c r="A3507" s="67"/>
      <c r="B3507" s="67"/>
    </row>
    <row r="3508" spans="1:2" x14ac:dyDescent="0.25">
      <c r="A3508" s="67"/>
      <c r="B3508" s="67"/>
    </row>
    <row r="3509" spans="1:2" x14ac:dyDescent="0.25">
      <c r="A3509" s="67"/>
      <c r="B3509" s="67"/>
    </row>
    <row r="3510" spans="1:2" x14ac:dyDescent="0.25">
      <c r="A3510" s="67"/>
      <c r="B3510" s="67"/>
    </row>
    <row r="3511" spans="1:2" x14ac:dyDescent="0.25">
      <c r="A3511" s="67"/>
      <c r="B3511" s="67"/>
    </row>
    <row r="3512" spans="1:2" x14ac:dyDescent="0.25">
      <c r="A3512" s="67"/>
      <c r="B3512" s="67"/>
    </row>
    <row r="3513" spans="1:2" x14ac:dyDescent="0.25">
      <c r="A3513" s="67"/>
      <c r="B3513" s="67"/>
    </row>
    <row r="3514" spans="1:2" x14ac:dyDescent="0.25">
      <c r="A3514" s="67"/>
      <c r="B3514" s="67"/>
    </row>
    <row r="3515" spans="1:2" x14ac:dyDescent="0.25">
      <c r="A3515" s="67"/>
      <c r="B3515" s="67"/>
    </row>
    <row r="3516" spans="1:2" x14ac:dyDescent="0.25">
      <c r="A3516" s="67"/>
      <c r="B3516" s="67"/>
    </row>
    <row r="3517" spans="1:2" x14ac:dyDescent="0.25">
      <c r="A3517" s="67"/>
      <c r="B3517" s="67"/>
    </row>
    <row r="3518" spans="1:2" x14ac:dyDescent="0.25">
      <c r="A3518" s="67"/>
      <c r="B3518" s="67"/>
    </row>
    <row r="3519" spans="1:2" x14ac:dyDescent="0.25">
      <c r="A3519" s="67"/>
      <c r="B3519" s="67"/>
    </row>
    <row r="3520" spans="1:2" x14ac:dyDescent="0.25">
      <c r="A3520" s="67"/>
      <c r="B3520" s="67"/>
    </row>
    <row r="3521" spans="1:2" x14ac:dyDescent="0.25">
      <c r="A3521" s="67"/>
      <c r="B3521" s="67"/>
    </row>
    <row r="3522" spans="1:2" x14ac:dyDescent="0.25">
      <c r="A3522" s="67"/>
      <c r="B3522" s="67"/>
    </row>
    <row r="3523" spans="1:2" x14ac:dyDescent="0.25">
      <c r="A3523" s="67"/>
      <c r="B3523" s="67"/>
    </row>
    <row r="3524" spans="1:2" x14ac:dyDescent="0.25">
      <c r="A3524" s="67"/>
      <c r="B3524" s="67"/>
    </row>
    <row r="3525" spans="1:2" x14ac:dyDescent="0.25">
      <c r="A3525" s="67"/>
      <c r="B3525" s="67"/>
    </row>
    <row r="3526" spans="1:2" x14ac:dyDescent="0.25">
      <c r="A3526" s="67"/>
      <c r="B3526" s="67"/>
    </row>
    <row r="3527" spans="1:2" x14ac:dyDescent="0.25">
      <c r="A3527" s="67"/>
      <c r="B3527" s="67"/>
    </row>
    <row r="3528" spans="1:2" x14ac:dyDescent="0.25">
      <c r="A3528" s="67"/>
      <c r="B3528" s="67"/>
    </row>
    <row r="3529" spans="1:2" x14ac:dyDescent="0.25">
      <c r="A3529" s="67"/>
      <c r="B3529" s="67"/>
    </row>
    <row r="3530" spans="1:2" x14ac:dyDescent="0.25">
      <c r="A3530" s="67"/>
      <c r="B3530" s="67"/>
    </row>
    <row r="3531" spans="1:2" x14ac:dyDescent="0.25">
      <c r="A3531" s="67"/>
      <c r="B3531" s="67"/>
    </row>
    <row r="3532" spans="1:2" x14ac:dyDescent="0.25">
      <c r="A3532" s="67"/>
      <c r="B3532" s="67"/>
    </row>
    <row r="3533" spans="1:2" x14ac:dyDescent="0.25">
      <c r="A3533" s="67"/>
      <c r="B3533" s="67"/>
    </row>
    <row r="3534" spans="1:2" x14ac:dyDescent="0.25">
      <c r="A3534" s="67"/>
      <c r="B3534" s="67"/>
    </row>
    <row r="3535" spans="1:2" x14ac:dyDescent="0.25">
      <c r="A3535" s="67"/>
      <c r="B3535" s="67"/>
    </row>
    <row r="3536" spans="1:2" x14ac:dyDescent="0.25">
      <c r="A3536" s="67"/>
      <c r="B3536" s="67"/>
    </row>
    <row r="3537" spans="1:2" x14ac:dyDescent="0.25">
      <c r="A3537" s="67"/>
      <c r="B3537" s="67"/>
    </row>
    <row r="3538" spans="1:2" x14ac:dyDescent="0.25">
      <c r="A3538" s="67"/>
      <c r="B3538" s="67"/>
    </row>
    <row r="3539" spans="1:2" x14ac:dyDescent="0.25">
      <c r="A3539" s="67"/>
      <c r="B3539" s="67"/>
    </row>
    <row r="3540" spans="1:2" x14ac:dyDescent="0.25">
      <c r="A3540" s="67"/>
      <c r="B3540" s="67"/>
    </row>
    <row r="3541" spans="1:2" x14ac:dyDescent="0.25">
      <c r="A3541" s="67"/>
      <c r="B3541" s="67"/>
    </row>
    <row r="3542" spans="1:2" x14ac:dyDescent="0.25">
      <c r="A3542" s="67"/>
      <c r="B3542" s="67"/>
    </row>
    <row r="3543" spans="1:2" x14ac:dyDescent="0.25">
      <c r="A3543" s="67"/>
      <c r="B3543" s="67"/>
    </row>
    <row r="3544" spans="1:2" x14ac:dyDescent="0.25">
      <c r="A3544" s="67"/>
      <c r="B3544" s="67"/>
    </row>
    <row r="3545" spans="1:2" x14ac:dyDescent="0.25">
      <c r="A3545" s="67"/>
      <c r="B3545" s="67"/>
    </row>
    <row r="3546" spans="1:2" x14ac:dyDescent="0.25">
      <c r="A3546" s="67"/>
      <c r="B3546" s="67"/>
    </row>
    <row r="3547" spans="1:2" x14ac:dyDescent="0.25">
      <c r="A3547" s="67"/>
      <c r="B3547" s="67"/>
    </row>
    <row r="3548" spans="1:2" x14ac:dyDescent="0.25">
      <c r="A3548" s="67"/>
      <c r="B3548" s="67"/>
    </row>
    <row r="3549" spans="1:2" x14ac:dyDescent="0.25">
      <c r="A3549" s="67"/>
      <c r="B3549" s="67"/>
    </row>
    <row r="3550" spans="1:2" x14ac:dyDescent="0.25">
      <c r="A3550" s="67"/>
      <c r="B3550" s="67"/>
    </row>
    <row r="3551" spans="1:2" x14ac:dyDescent="0.25">
      <c r="A3551" s="67"/>
      <c r="B3551" s="67"/>
    </row>
    <row r="3552" spans="1:2" x14ac:dyDescent="0.25">
      <c r="A3552" s="67"/>
      <c r="B3552" s="67"/>
    </row>
    <row r="3553" spans="1:2" x14ac:dyDescent="0.25">
      <c r="A3553" s="67"/>
      <c r="B3553" s="67"/>
    </row>
    <row r="3554" spans="1:2" x14ac:dyDescent="0.25">
      <c r="A3554" s="67"/>
      <c r="B3554" s="67"/>
    </row>
    <row r="3555" spans="1:2" x14ac:dyDescent="0.25">
      <c r="A3555" s="67"/>
      <c r="B3555" s="67"/>
    </row>
    <row r="3556" spans="1:2" x14ac:dyDescent="0.25">
      <c r="A3556" s="67"/>
      <c r="B3556" s="67"/>
    </row>
    <row r="3557" spans="1:2" x14ac:dyDescent="0.25">
      <c r="A3557" s="67"/>
      <c r="B3557" s="67"/>
    </row>
    <row r="3558" spans="1:2" x14ac:dyDescent="0.25">
      <c r="A3558" s="67"/>
      <c r="B3558" s="67"/>
    </row>
    <row r="3559" spans="1:2" x14ac:dyDescent="0.25">
      <c r="A3559" s="67"/>
      <c r="B3559" s="67"/>
    </row>
    <row r="3560" spans="1:2" x14ac:dyDescent="0.25">
      <c r="A3560" s="67"/>
      <c r="B3560" s="67"/>
    </row>
    <row r="3561" spans="1:2" x14ac:dyDescent="0.25">
      <c r="A3561" s="67"/>
      <c r="B3561" s="67"/>
    </row>
    <row r="3562" spans="1:2" x14ac:dyDescent="0.25">
      <c r="A3562" s="67"/>
      <c r="B3562" s="67"/>
    </row>
    <row r="3563" spans="1:2" x14ac:dyDescent="0.25">
      <c r="A3563" s="67"/>
      <c r="B3563" s="67"/>
    </row>
    <row r="3564" spans="1:2" x14ac:dyDescent="0.25">
      <c r="A3564" s="67"/>
      <c r="B3564" s="67"/>
    </row>
    <row r="3565" spans="1:2" x14ac:dyDescent="0.25">
      <c r="A3565" s="67"/>
      <c r="B3565" s="67"/>
    </row>
    <row r="3566" spans="1:2" x14ac:dyDescent="0.25">
      <c r="A3566" s="67"/>
      <c r="B3566" s="67"/>
    </row>
    <row r="3567" spans="1:2" x14ac:dyDescent="0.25">
      <c r="A3567" s="67"/>
      <c r="B3567" s="67"/>
    </row>
    <row r="3568" spans="1:2" x14ac:dyDescent="0.25">
      <c r="A3568" s="67"/>
      <c r="B3568" s="67"/>
    </row>
    <row r="3569" spans="1:2" x14ac:dyDescent="0.25">
      <c r="A3569" s="67"/>
      <c r="B3569" s="67"/>
    </row>
    <row r="3570" spans="1:2" x14ac:dyDescent="0.25">
      <c r="A3570" s="67"/>
      <c r="B3570" s="67"/>
    </row>
    <row r="3571" spans="1:2" x14ac:dyDescent="0.25">
      <c r="A3571" s="67"/>
      <c r="B3571" s="67"/>
    </row>
    <row r="3572" spans="1:2" x14ac:dyDescent="0.25">
      <c r="A3572" s="67"/>
      <c r="B3572" s="67"/>
    </row>
    <row r="3573" spans="1:2" x14ac:dyDescent="0.25">
      <c r="A3573" s="67"/>
      <c r="B3573" s="67"/>
    </row>
    <row r="3574" spans="1:2" x14ac:dyDescent="0.25">
      <c r="A3574" s="67"/>
      <c r="B3574" s="67"/>
    </row>
    <row r="3575" spans="1:2" x14ac:dyDescent="0.25">
      <c r="A3575" s="67"/>
      <c r="B3575" s="67"/>
    </row>
    <row r="3576" spans="1:2" x14ac:dyDescent="0.25">
      <c r="A3576" s="67"/>
      <c r="B3576" s="67"/>
    </row>
    <row r="3577" spans="1:2" x14ac:dyDescent="0.25">
      <c r="A3577" s="67"/>
      <c r="B3577" s="67"/>
    </row>
    <row r="3578" spans="1:2" x14ac:dyDescent="0.25">
      <c r="A3578" s="67"/>
      <c r="B3578" s="67"/>
    </row>
    <row r="3579" spans="1:2" x14ac:dyDescent="0.25">
      <c r="A3579" s="67"/>
      <c r="B3579" s="67"/>
    </row>
    <row r="3580" spans="1:2" x14ac:dyDescent="0.25">
      <c r="A3580" s="67"/>
      <c r="B3580" s="67"/>
    </row>
    <row r="3581" spans="1:2" x14ac:dyDescent="0.25">
      <c r="A3581" s="67"/>
      <c r="B3581" s="67"/>
    </row>
    <row r="3582" spans="1:2" x14ac:dyDescent="0.25">
      <c r="A3582" s="67"/>
      <c r="B3582" s="67"/>
    </row>
    <row r="3583" spans="1:2" x14ac:dyDescent="0.25">
      <c r="A3583" s="67"/>
      <c r="B3583" s="67"/>
    </row>
    <row r="3584" spans="1:2" x14ac:dyDescent="0.25">
      <c r="A3584" s="67"/>
      <c r="B3584" s="67"/>
    </row>
    <row r="3585" spans="1:2" x14ac:dyDescent="0.25">
      <c r="A3585" s="67"/>
      <c r="B3585" s="67"/>
    </row>
    <row r="3586" spans="1:2" x14ac:dyDescent="0.25">
      <c r="A3586" s="67"/>
      <c r="B3586" s="67"/>
    </row>
    <row r="3587" spans="1:2" x14ac:dyDescent="0.25">
      <c r="A3587" s="67"/>
      <c r="B3587" s="67"/>
    </row>
    <row r="3588" spans="1:2" x14ac:dyDescent="0.25">
      <c r="A3588" s="67"/>
      <c r="B3588" s="67"/>
    </row>
    <row r="3589" spans="1:2" x14ac:dyDescent="0.25">
      <c r="A3589" s="67"/>
      <c r="B3589" s="67"/>
    </row>
    <row r="3590" spans="1:2" x14ac:dyDescent="0.25">
      <c r="A3590" s="67"/>
      <c r="B3590" s="67"/>
    </row>
    <row r="3591" spans="1:2" x14ac:dyDescent="0.25">
      <c r="A3591" s="67"/>
      <c r="B3591" s="67"/>
    </row>
    <row r="3592" spans="1:2" x14ac:dyDescent="0.25">
      <c r="A3592" s="67"/>
      <c r="B3592" s="67"/>
    </row>
    <row r="3593" spans="1:2" x14ac:dyDescent="0.25">
      <c r="A3593" s="67"/>
      <c r="B3593" s="67"/>
    </row>
    <row r="3594" spans="1:2" x14ac:dyDescent="0.25">
      <c r="A3594" s="67"/>
      <c r="B3594" s="67"/>
    </row>
    <row r="3595" spans="1:2" x14ac:dyDescent="0.25">
      <c r="A3595" s="67"/>
      <c r="B3595" s="67"/>
    </row>
    <row r="3596" spans="1:2" x14ac:dyDescent="0.25">
      <c r="A3596" s="67"/>
      <c r="B3596" s="67"/>
    </row>
    <row r="3597" spans="1:2" x14ac:dyDescent="0.25">
      <c r="A3597" s="67"/>
      <c r="B3597" s="67"/>
    </row>
    <row r="3598" spans="1:2" x14ac:dyDescent="0.25">
      <c r="A3598" s="67"/>
      <c r="B3598" s="67"/>
    </row>
    <row r="3599" spans="1:2" x14ac:dyDescent="0.25">
      <c r="A3599" s="67"/>
      <c r="B3599" s="67"/>
    </row>
    <row r="3600" spans="1:2" x14ac:dyDescent="0.25">
      <c r="A3600" s="67"/>
      <c r="B3600" s="67"/>
    </row>
    <row r="3601" spans="1:2" x14ac:dyDescent="0.25">
      <c r="A3601" s="67"/>
      <c r="B3601" s="67"/>
    </row>
    <row r="3602" spans="1:2" x14ac:dyDescent="0.25">
      <c r="A3602" s="67"/>
      <c r="B3602" s="67"/>
    </row>
    <row r="3603" spans="1:2" x14ac:dyDescent="0.25">
      <c r="A3603" s="67"/>
      <c r="B3603" s="67"/>
    </row>
    <row r="3604" spans="1:2" x14ac:dyDescent="0.25">
      <c r="A3604" s="67"/>
      <c r="B3604" s="67"/>
    </row>
    <row r="3605" spans="1:2" x14ac:dyDescent="0.25">
      <c r="A3605" s="67"/>
      <c r="B3605" s="67"/>
    </row>
    <row r="3606" spans="1:2" x14ac:dyDescent="0.25">
      <c r="A3606" s="67"/>
      <c r="B3606" s="67"/>
    </row>
    <row r="3607" spans="1:2" x14ac:dyDescent="0.25">
      <c r="A3607" s="67"/>
      <c r="B3607" s="67"/>
    </row>
    <row r="3608" spans="1:2" x14ac:dyDescent="0.25">
      <c r="A3608" s="67"/>
      <c r="B3608" s="67"/>
    </row>
    <row r="3609" spans="1:2" x14ac:dyDescent="0.25">
      <c r="A3609" s="67"/>
      <c r="B3609" s="67"/>
    </row>
    <row r="3610" spans="1:2" x14ac:dyDescent="0.25">
      <c r="A3610" s="67"/>
      <c r="B3610" s="67"/>
    </row>
    <row r="3611" spans="1:2" x14ac:dyDescent="0.25">
      <c r="A3611" s="67"/>
      <c r="B3611" s="67"/>
    </row>
    <row r="3612" spans="1:2" x14ac:dyDescent="0.25">
      <c r="A3612" s="67"/>
      <c r="B3612" s="67"/>
    </row>
    <row r="3613" spans="1:2" x14ac:dyDescent="0.25">
      <c r="A3613" s="67"/>
      <c r="B3613" s="67"/>
    </row>
    <row r="3614" spans="1:2" x14ac:dyDescent="0.25">
      <c r="A3614" s="67"/>
      <c r="B3614" s="67"/>
    </row>
    <row r="3615" spans="1:2" x14ac:dyDescent="0.25">
      <c r="A3615" s="67"/>
      <c r="B3615" s="67"/>
    </row>
    <row r="3616" spans="1:2" x14ac:dyDescent="0.25">
      <c r="A3616" s="67"/>
      <c r="B3616" s="67"/>
    </row>
    <row r="3617" spans="1:2" x14ac:dyDescent="0.25">
      <c r="A3617" s="67"/>
      <c r="B3617" s="67"/>
    </row>
    <row r="3618" spans="1:2" x14ac:dyDescent="0.25">
      <c r="A3618" s="67"/>
      <c r="B3618" s="67"/>
    </row>
    <row r="3619" spans="1:2" x14ac:dyDescent="0.25">
      <c r="A3619" s="67"/>
      <c r="B3619" s="67"/>
    </row>
    <row r="3620" spans="1:2" x14ac:dyDescent="0.25">
      <c r="A3620" s="67"/>
      <c r="B3620" s="67"/>
    </row>
    <row r="3621" spans="1:2" x14ac:dyDescent="0.25">
      <c r="A3621" s="67"/>
      <c r="B3621" s="67"/>
    </row>
    <row r="3622" spans="1:2" x14ac:dyDescent="0.25">
      <c r="A3622" s="67"/>
      <c r="B3622" s="67"/>
    </row>
    <row r="3623" spans="1:2" x14ac:dyDescent="0.25">
      <c r="A3623" s="67"/>
      <c r="B3623" s="67"/>
    </row>
    <row r="3624" spans="1:2" x14ac:dyDescent="0.25">
      <c r="A3624" s="67"/>
      <c r="B3624" s="67"/>
    </row>
    <row r="3625" spans="1:2" x14ac:dyDescent="0.25">
      <c r="A3625" s="67"/>
      <c r="B3625" s="67"/>
    </row>
    <row r="3626" spans="1:2" x14ac:dyDescent="0.25">
      <c r="A3626" s="67"/>
      <c r="B3626" s="67"/>
    </row>
    <row r="3627" spans="1:2" x14ac:dyDescent="0.25">
      <c r="A3627" s="67"/>
      <c r="B3627" s="67"/>
    </row>
    <row r="3628" spans="1:2" x14ac:dyDescent="0.25">
      <c r="A3628" s="67"/>
      <c r="B3628" s="67"/>
    </row>
    <row r="3629" spans="1:2" x14ac:dyDescent="0.25">
      <c r="A3629" s="67"/>
      <c r="B3629" s="67"/>
    </row>
    <row r="3630" spans="1:2" x14ac:dyDescent="0.25">
      <c r="A3630" s="67"/>
      <c r="B3630" s="67"/>
    </row>
    <row r="3631" spans="1:2" x14ac:dyDescent="0.25">
      <c r="A3631" s="67"/>
      <c r="B3631" s="67"/>
    </row>
    <row r="3632" spans="1:2" x14ac:dyDescent="0.25">
      <c r="A3632" s="67"/>
      <c r="B3632" s="67"/>
    </row>
    <row r="3633" spans="1:2" x14ac:dyDescent="0.25">
      <c r="A3633" s="67"/>
      <c r="B3633" s="67"/>
    </row>
    <row r="3634" spans="1:2" x14ac:dyDescent="0.25">
      <c r="A3634" s="67"/>
      <c r="B3634" s="67"/>
    </row>
    <row r="3635" spans="1:2" x14ac:dyDescent="0.25">
      <c r="A3635" s="67"/>
      <c r="B3635" s="67"/>
    </row>
    <row r="3636" spans="1:2" x14ac:dyDescent="0.25">
      <c r="A3636" s="67"/>
      <c r="B3636" s="67"/>
    </row>
    <row r="3637" spans="1:2" x14ac:dyDescent="0.25">
      <c r="A3637" s="67"/>
      <c r="B3637" s="67"/>
    </row>
    <row r="3638" spans="1:2" x14ac:dyDescent="0.25">
      <c r="A3638" s="67"/>
      <c r="B3638" s="67"/>
    </row>
    <row r="3639" spans="1:2" x14ac:dyDescent="0.25">
      <c r="A3639" s="67"/>
      <c r="B3639" s="67"/>
    </row>
    <row r="3640" spans="1:2" x14ac:dyDescent="0.25">
      <c r="A3640" s="67"/>
      <c r="B3640" s="67"/>
    </row>
    <row r="3641" spans="1:2" x14ac:dyDescent="0.25">
      <c r="A3641" s="67"/>
      <c r="B3641" s="67"/>
    </row>
    <row r="3642" spans="1:2" x14ac:dyDescent="0.25">
      <c r="A3642" s="67"/>
      <c r="B3642" s="67"/>
    </row>
    <row r="3643" spans="1:2" x14ac:dyDescent="0.25">
      <c r="A3643" s="67"/>
      <c r="B3643" s="67"/>
    </row>
    <row r="3644" spans="1:2" x14ac:dyDescent="0.25">
      <c r="A3644" s="67"/>
      <c r="B3644" s="67"/>
    </row>
    <row r="3645" spans="1:2" x14ac:dyDescent="0.25">
      <c r="A3645" s="67"/>
      <c r="B3645" s="67"/>
    </row>
    <row r="3646" spans="1:2" x14ac:dyDescent="0.25">
      <c r="A3646" s="67"/>
      <c r="B3646" s="67"/>
    </row>
    <row r="3647" spans="1:2" x14ac:dyDescent="0.25">
      <c r="A3647" s="67"/>
      <c r="B3647" s="67"/>
    </row>
    <row r="3648" spans="1:2" x14ac:dyDescent="0.25">
      <c r="A3648" s="67"/>
      <c r="B3648" s="67"/>
    </row>
    <row r="3649" spans="1:2" x14ac:dyDescent="0.25">
      <c r="A3649" s="67"/>
      <c r="B3649" s="67"/>
    </row>
    <row r="3650" spans="1:2" x14ac:dyDescent="0.25">
      <c r="A3650" s="67"/>
      <c r="B3650" s="67"/>
    </row>
    <row r="3651" spans="1:2" x14ac:dyDescent="0.25">
      <c r="A3651" s="67"/>
      <c r="B3651" s="67"/>
    </row>
    <row r="3652" spans="1:2" x14ac:dyDescent="0.25">
      <c r="A3652" s="67"/>
      <c r="B3652" s="67"/>
    </row>
    <row r="3653" spans="1:2" x14ac:dyDescent="0.25">
      <c r="A3653" s="67"/>
      <c r="B3653" s="67"/>
    </row>
    <row r="3654" spans="1:2" x14ac:dyDescent="0.25">
      <c r="A3654" s="67"/>
      <c r="B3654" s="67"/>
    </row>
    <row r="3655" spans="1:2" x14ac:dyDescent="0.25">
      <c r="A3655" s="67"/>
      <c r="B3655" s="67"/>
    </row>
    <row r="3656" spans="1:2" x14ac:dyDescent="0.25">
      <c r="A3656" s="67"/>
      <c r="B3656" s="67"/>
    </row>
    <row r="3657" spans="1:2" x14ac:dyDescent="0.25">
      <c r="A3657" s="67"/>
      <c r="B3657" s="67"/>
    </row>
    <row r="3658" spans="1:2" x14ac:dyDescent="0.25">
      <c r="A3658" s="67"/>
      <c r="B3658" s="67"/>
    </row>
    <row r="3659" spans="1:2" x14ac:dyDescent="0.25">
      <c r="A3659" s="67"/>
      <c r="B3659" s="67"/>
    </row>
    <row r="3660" spans="1:2" x14ac:dyDescent="0.25">
      <c r="A3660" s="67"/>
      <c r="B3660" s="67"/>
    </row>
    <row r="3661" spans="1:2" x14ac:dyDescent="0.25">
      <c r="A3661" s="67"/>
      <c r="B3661" s="67"/>
    </row>
    <row r="3662" spans="1:2" x14ac:dyDescent="0.25">
      <c r="A3662" s="67"/>
      <c r="B3662" s="67"/>
    </row>
    <row r="3663" spans="1:2" x14ac:dyDescent="0.25">
      <c r="A3663" s="67"/>
      <c r="B3663" s="67"/>
    </row>
    <row r="3664" spans="1:2" x14ac:dyDescent="0.25">
      <c r="A3664" s="67"/>
      <c r="B3664" s="67"/>
    </row>
    <row r="3665" spans="1:2" x14ac:dyDescent="0.25">
      <c r="A3665" s="67"/>
      <c r="B3665" s="67"/>
    </row>
    <row r="3666" spans="1:2" x14ac:dyDescent="0.25">
      <c r="A3666" s="67"/>
      <c r="B3666" s="67"/>
    </row>
    <row r="3667" spans="1:2" x14ac:dyDescent="0.25">
      <c r="A3667" s="67"/>
      <c r="B3667" s="67"/>
    </row>
    <row r="3668" spans="1:2" x14ac:dyDescent="0.25">
      <c r="A3668" s="67"/>
      <c r="B3668" s="67"/>
    </row>
    <row r="3669" spans="1:2" x14ac:dyDescent="0.25">
      <c r="A3669" s="67"/>
      <c r="B3669" s="67"/>
    </row>
    <row r="3670" spans="1:2" x14ac:dyDescent="0.25">
      <c r="A3670" s="67"/>
      <c r="B3670" s="67"/>
    </row>
    <row r="3671" spans="1:2" x14ac:dyDescent="0.25">
      <c r="A3671" s="67"/>
      <c r="B3671" s="67"/>
    </row>
    <row r="3672" spans="1:2" x14ac:dyDescent="0.25">
      <c r="A3672" s="67"/>
      <c r="B3672" s="67"/>
    </row>
    <row r="3673" spans="1:2" x14ac:dyDescent="0.25">
      <c r="A3673" s="67"/>
      <c r="B3673" s="67"/>
    </row>
    <row r="3674" spans="1:2" x14ac:dyDescent="0.25">
      <c r="A3674" s="67"/>
      <c r="B3674" s="67"/>
    </row>
    <row r="3675" spans="1:2" x14ac:dyDescent="0.25">
      <c r="A3675" s="67"/>
      <c r="B3675" s="67"/>
    </row>
    <row r="3676" spans="1:2" x14ac:dyDescent="0.25">
      <c r="A3676" s="67"/>
      <c r="B3676" s="67"/>
    </row>
    <row r="3677" spans="1:2" x14ac:dyDescent="0.25">
      <c r="A3677" s="67"/>
      <c r="B3677" s="67"/>
    </row>
    <row r="3678" spans="1:2" x14ac:dyDescent="0.25">
      <c r="A3678" s="67"/>
      <c r="B3678" s="67"/>
    </row>
    <row r="3679" spans="1:2" x14ac:dyDescent="0.25">
      <c r="A3679" s="67"/>
      <c r="B3679" s="67"/>
    </row>
    <row r="3680" spans="1:2" x14ac:dyDescent="0.25">
      <c r="A3680" s="67"/>
      <c r="B3680" s="67"/>
    </row>
    <row r="3681" spans="1:2" x14ac:dyDescent="0.25">
      <c r="A3681" s="67"/>
      <c r="B3681" s="67"/>
    </row>
    <row r="3682" spans="1:2" x14ac:dyDescent="0.25">
      <c r="A3682" s="67"/>
      <c r="B3682" s="67"/>
    </row>
    <row r="3683" spans="1:2" x14ac:dyDescent="0.25">
      <c r="A3683" s="67"/>
      <c r="B3683" s="67"/>
    </row>
    <row r="3684" spans="1:2" x14ac:dyDescent="0.25">
      <c r="A3684" s="67"/>
      <c r="B3684" s="67"/>
    </row>
    <row r="3685" spans="1:2" x14ac:dyDescent="0.25">
      <c r="A3685" s="67"/>
      <c r="B3685" s="67"/>
    </row>
    <row r="3686" spans="1:2" x14ac:dyDescent="0.25">
      <c r="A3686" s="67"/>
      <c r="B3686" s="67"/>
    </row>
    <row r="3687" spans="1:2" x14ac:dyDescent="0.25">
      <c r="A3687" s="67"/>
      <c r="B3687" s="67"/>
    </row>
    <row r="3688" spans="1:2" x14ac:dyDescent="0.25">
      <c r="A3688" s="67"/>
      <c r="B3688" s="67"/>
    </row>
    <row r="3689" spans="1:2" x14ac:dyDescent="0.25">
      <c r="A3689" s="67"/>
      <c r="B3689" s="67"/>
    </row>
    <row r="3690" spans="1:2" x14ac:dyDescent="0.25">
      <c r="A3690" s="67"/>
      <c r="B3690" s="67"/>
    </row>
    <row r="3691" spans="1:2" x14ac:dyDescent="0.25">
      <c r="A3691" s="67"/>
      <c r="B3691" s="67"/>
    </row>
    <row r="3692" spans="1:2" x14ac:dyDescent="0.25">
      <c r="A3692" s="67"/>
      <c r="B3692" s="67"/>
    </row>
    <row r="3693" spans="1:2" x14ac:dyDescent="0.25">
      <c r="A3693" s="67"/>
      <c r="B3693" s="67"/>
    </row>
    <row r="3694" spans="1:2" x14ac:dyDescent="0.25">
      <c r="A3694" s="67"/>
      <c r="B3694" s="67"/>
    </row>
    <row r="3695" spans="1:2" x14ac:dyDescent="0.25">
      <c r="A3695" s="67"/>
      <c r="B3695" s="67"/>
    </row>
    <row r="3696" spans="1:2" x14ac:dyDescent="0.25">
      <c r="A3696" s="67"/>
      <c r="B3696" s="67"/>
    </row>
    <row r="3697" spans="1:2" x14ac:dyDescent="0.25">
      <c r="A3697" s="67"/>
      <c r="B3697" s="67"/>
    </row>
    <row r="3698" spans="1:2" x14ac:dyDescent="0.25">
      <c r="A3698" s="67"/>
      <c r="B3698" s="67"/>
    </row>
    <row r="3699" spans="1:2" x14ac:dyDescent="0.25">
      <c r="A3699" s="67"/>
      <c r="B3699" s="67"/>
    </row>
    <row r="3700" spans="1:2" x14ac:dyDescent="0.25">
      <c r="A3700" s="67"/>
      <c r="B3700" s="67"/>
    </row>
    <row r="3701" spans="1:2" x14ac:dyDescent="0.25">
      <c r="A3701" s="67"/>
      <c r="B3701" s="67"/>
    </row>
    <row r="3702" spans="1:2" x14ac:dyDescent="0.25">
      <c r="A3702" s="67"/>
      <c r="B3702" s="67"/>
    </row>
    <row r="3703" spans="1:2" x14ac:dyDescent="0.25">
      <c r="A3703" s="67"/>
      <c r="B3703" s="67"/>
    </row>
    <row r="3704" spans="1:2" x14ac:dyDescent="0.25">
      <c r="A3704" s="67"/>
      <c r="B3704" s="67"/>
    </row>
    <row r="3705" spans="1:2" x14ac:dyDescent="0.25">
      <c r="A3705" s="67"/>
      <c r="B3705" s="67"/>
    </row>
    <row r="3706" spans="1:2" x14ac:dyDescent="0.25">
      <c r="A3706" s="67"/>
      <c r="B3706" s="67"/>
    </row>
    <row r="3707" spans="1:2" x14ac:dyDescent="0.25">
      <c r="A3707" s="67"/>
      <c r="B3707" s="67"/>
    </row>
    <row r="3708" spans="1:2" x14ac:dyDescent="0.25">
      <c r="A3708" s="67"/>
      <c r="B3708" s="67"/>
    </row>
    <row r="3709" spans="1:2" x14ac:dyDescent="0.25">
      <c r="A3709" s="67"/>
      <c r="B3709" s="67"/>
    </row>
    <row r="3710" spans="1:2" x14ac:dyDescent="0.25">
      <c r="A3710" s="67"/>
      <c r="B3710" s="67"/>
    </row>
    <row r="3711" spans="1:2" x14ac:dyDescent="0.25">
      <c r="A3711" s="67"/>
      <c r="B3711" s="67"/>
    </row>
    <row r="3712" spans="1:2" x14ac:dyDescent="0.25">
      <c r="A3712" s="67"/>
      <c r="B3712" s="67"/>
    </row>
    <row r="3713" spans="1:2" x14ac:dyDescent="0.25">
      <c r="A3713" s="67"/>
      <c r="B3713" s="67"/>
    </row>
    <row r="3714" spans="1:2" x14ac:dyDescent="0.25">
      <c r="A3714" s="67"/>
      <c r="B3714" s="67"/>
    </row>
    <row r="3715" spans="1:2" x14ac:dyDescent="0.25">
      <c r="A3715" s="67"/>
      <c r="B3715" s="67"/>
    </row>
    <row r="3716" spans="1:2" x14ac:dyDescent="0.25">
      <c r="A3716" s="67"/>
      <c r="B3716" s="67"/>
    </row>
    <row r="3717" spans="1:2" x14ac:dyDescent="0.25">
      <c r="A3717" s="67"/>
      <c r="B3717" s="67"/>
    </row>
    <row r="3718" spans="1:2" x14ac:dyDescent="0.25">
      <c r="A3718" s="67"/>
      <c r="B3718" s="67"/>
    </row>
    <row r="3719" spans="1:2" x14ac:dyDescent="0.25">
      <c r="A3719" s="67"/>
      <c r="B3719" s="67"/>
    </row>
    <row r="3720" spans="1:2" x14ac:dyDescent="0.25">
      <c r="A3720" s="67"/>
      <c r="B3720" s="67"/>
    </row>
    <row r="3721" spans="1:2" x14ac:dyDescent="0.25">
      <c r="A3721" s="67"/>
      <c r="B3721" s="67"/>
    </row>
    <row r="3722" spans="1:2" x14ac:dyDescent="0.25">
      <c r="A3722" s="67"/>
      <c r="B3722" s="67"/>
    </row>
    <row r="3723" spans="1:2" x14ac:dyDescent="0.25">
      <c r="A3723" s="67"/>
      <c r="B3723" s="67"/>
    </row>
    <row r="3724" spans="1:2" x14ac:dyDescent="0.25">
      <c r="A3724" s="67"/>
      <c r="B3724" s="67"/>
    </row>
    <row r="3725" spans="1:2" x14ac:dyDescent="0.25">
      <c r="A3725" s="67"/>
      <c r="B3725" s="67"/>
    </row>
    <row r="3726" spans="1:2" x14ac:dyDescent="0.25">
      <c r="A3726" s="67"/>
      <c r="B3726" s="67"/>
    </row>
    <row r="3727" spans="1:2" x14ac:dyDescent="0.25">
      <c r="A3727" s="67"/>
      <c r="B3727" s="67"/>
    </row>
    <row r="3728" spans="1:2" x14ac:dyDescent="0.25">
      <c r="A3728" s="67"/>
      <c r="B3728" s="67"/>
    </row>
    <row r="3729" spans="1:2" x14ac:dyDescent="0.25">
      <c r="A3729" s="67"/>
      <c r="B3729" s="67"/>
    </row>
    <row r="3730" spans="1:2" x14ac:dyDescent="0.25">
      <c r="A3730" s="67"/>
      <c r="B3730" s="67"/>
    </row>
    <row r="3731" spans="1:2" x14ac:dyDescent="0.25">
      <c r="A3731" s="67"/>
      <c r="B3731" s="67"/>
    </row>
    <row r="3732" spans="1:2" x14ac:dyDescent="0.25">
      <c r="A3732" s="67"/>
      <c r="B3732" s="67"/>
    </row>
    <row r="3733" spans="1:2" x14ac:dyDescent="0.25">
      <c r="A3733" s="67"/>
      <c r="B3733" s="67"/>
    </row>
    <row r="3734" spans="1:2" x14ac:dyDescent="0.25">
      <c r="A3734" s="67"/>
      <c r="B3734" s="67"/>
    </row>
    <row r="3735" spans="1:2" x14ac:dyDescent="0.25">
      <c r="A3735" s="67"/>
      <c r="B3735" s="67"/>
    </row>
    <row r="3736" spans="1:2" x14ac:dyDescent="0.25">
      <c r="A3736" s="67"/>
      <c r="B3736" s="67"/>
    </row>
    <row r="3737" spans="1:2" x14ac:dyDescent="0.25">
      <c r="A3737" s="67"/>
      <c r="B3737" s="67"/>
    </row>
    <row r="3738" spans="1:2" x14ac:dyDescent="0.25">
      <c r="A3738" s="67"/>
      <c r="B3738" s="67"/>
    </row>
    <row r="3739" spans="1:2" x14ac:dyDescent="0.25">
      <c r="A3739" s="67"/>
      <c r="B3739" s="67"/>
    </row>
    <row r="3740" spans="1:2" x14ac:dyDescent="0.25">
      <c r="A3740" s="67"/>
      <c r="B3740" s="67"/>
    </row>
    <row r="3741" spans="1:2" x14ac:dyDescent="0.25">
      <c r="A3741" s="67"/>
      <c r="B3741" s="67"/>
    </row>
    <row r="3742" spans="1:2" x14ac:dyDescent="0.25">
      <c r="A3742" s="67"/>
      <c r="B3742" s="67"/>
    </row>
    <row r="3743" spans="1:2" x14ac:dyDescent="0.25">
      <c r="A3743" s="67"/>
      <c r="B3743" s="67"/>
    </row>
    <row r="3744" spans="1:2" x14ac:dyDescent="0.25">
      <c r="A3744" s="67"/>
      <c r="B3744" s="67"/>
    </row>
    <row r="3745" spans="1:2" x14ac:dyDescent="0.25">
      <c r="A3745" s="67"/>
      <c r="B3745" s="67"/>
    </row>
    <row r="3746" spans="1:2" x14ac:dyDescent="0.25">
      <c r="A3746" s="67"/>
      <c r="B3746" s="67"/>
    </row>
    <row r="3747" spans="1:2" x14ac:dyDescent="0.25">
      <c r="A3747" s="67"/>
      <c r="B3747" s="67"/>
    </row>
    <row r="3748" spans="1:2" x14ac:dyDescent="0.25">
      <c r="A3748" s="67"/>
      <c r="B3748" s="67"/>
    </row>
    <row r="3749" spans="1:2" x14ac:dyDescent="0.25">
      <c r="A3749" s="67"/>
      <c r="B3749" s="67"/>
    </row>
    <row r="3750" spans="1:2" x14ac:dyDescent="0.25">
      <c r="A3750" s="67"/>
      <c r="B3750" s="67"/>
    </row>
    <row r="3751" spans="1:2" x14ac:dyDescent="0.25">
      <c r="A3751" s="67"/>
      <c r="B3751" s="67"/>
    </row>
    <row r="3752" spans="1:2" x14ac:dyDescent="0.25">
      <c r="A3752" s="67"/>
      <c r="B3752" s="67"/>
    </row>
    <row r="3753" spans="1:2" x14ac:dyDescent="0.25">
      <c r="A3753" s="67"/>
      <c r="B3753" s="67"/>
    </row>
    <row r="3754" spans="1:2" x14ac:dyDescent="0.25">
      <c r="A3754" s="67"/>
      <c r="B3754" s="67"/>
    </row>
    <row r="3755" spans="1:2" x14ac:dyDescent="0.25">
      <c r="A3755" s="67"/>
      <c r="B3755" s="67"/>
    </row>
    <row r="3756" spans="1:2" x14ac:dyDescent="0.25">
      <c r="A3756" s="67"/>
      <c r="B3756" s="67"/>
    </row>
    <row r="3757" spans="1:2" x14ac:dyDescent="0.25">
      <c r="A3757" s="67"/>
      <c r="B3757" s="67"/>
    </row>
    <row r="3758" spans="1:2" x14ac:dyDescent="0.25">
      <c r="A3758" s="67"/>
      <c r="B3758" s="67"/>
    </row>
    <row r="3759" spans="1:2" x14ac:dyDescent="0.25">
      <c r="A3759" s="67"/>
      <c r="B3759" s="67"/>
    </row>
    <row r="3760" spans="1:2" x14ac:dyDescent="0.25">
      <c r="A3760" s="67"/>
      <c r="B3760" s="67"/>
    </row>
    <row r="3761" spans="1:2" x14ac:dyDescent="0.25">
      <c r="A3761" s="67"/>
      <c r="B3761" s="67"/>
    </row>
    <row r="3762" spans="1:2" x14ac:dyDescent="0.25">
      <c r="A3762" s="67"/>
      <c r="B3762" s="67"/>
    </row>
    <row r="3763" spans="1:2" x14ac:dyDescent="0.25">
      <c r="A3763" s="67"/>
      <c r="B3763" s="67"/>
    </row>
    <row r="3764" spans="1:2" x14ac:dyDescent="0.25">
      <c r="A3764" s="67"/>
      <c r="B3764" s="67"/>
    </row>
    <row r="3765" spans="1:2" x14ac:dyDescent="0.25">
      <c r="A3765" s="67"/>
      <c r="B3765" s="67"/>
    </row>
    <row r="3766" spans="1:2" x14ac:dyDescent="0.25">
      <c r="A3766" s="67"/>
      <c r="B3766" s="67"/>
    </row>
    <row r="3767" spans="1:2" x14ac:dyDescent="0.25">
      <c r="A3767" s="67"/>
      <c r="B3767" s="67"/>
    </row>
    <row r="3768" spans="1:2" x14ac:dyDescent="0.25">
      <c r="A3768" s="67"/>
      <c r="B3768" s="67"/>
    </row>
    <row r="3769" spans="1:2" x14ac:dyDescent="0.25">
      <c r="A3769" s="67"/>
      <c r="B3769" s="67"/>
    </row>
    <row r="3770" spans="1:2" x14ac:dyDescent="0.25">
      <c r="A3770" s="67"/>
      <c r="B3770" s="67"/>
    </row>
    <row r="3771" spans="1:2" x14ac:dyDescent="0.25">
      <c r="A3771" s="67"/>
      <c r="B3771" s="67"/>
    </row>
    <row r="3772" spans="1:2" x14ac:dyDescent="0.25">
      <c r="A3772" s="67"/>
      <c r="B3772" s="67"/>
    </row>
    <row r="3773" spans="1:2" x14ac:dyDescent="0.25">
      <c r="A3773" s="67"/>
      <c r="B3773" s="67"/>
    </row>
    <row r="3774" spans="1:2" x14ac:dyDescent="0.25">
      <c r="A3774" s="67"/>
      <c r="B3774" s="67"/>
    </row>
    <row r="3775" spans="1:2" x14ac:dyDescent="0.25">
      <c r="A3775" s="67"/>
      <c r="B3775" s="67"/>
    </row>
    <row r="3776" spans="1:2" x14ac:dyDescent="0.25">
      <c r="A3776" s="67"/>
      <c r="B3776" s="67"/>
    </row>
    <row r="3777" spans="1:2" x14ac:dyDescent="0.25">
      <c r="A3777" s="67"/>
      <c r="B3777" s="67"/>
    </row>
    <row r="3778" spans="1:2" x14ac:dyDescent="0.25">
      <c r="A3778" s="67"/>
      <c r="B3778" s="67"/>
    </row>
    <row r="3779" spans="1:2" x14ac:dyDescent="0.25">
      <c r="A3779" s="67"/>
      <c r="B3779" s="67"/>
    </row>
    <row r="3780" spans="1:2" x14ac:dyDescent="0.25">
      <c r="A3780" s="67"/>
      <c r="B3780" s="67"/>
    </row>
    <row r="3781" spans="1:2" x14ac:dyDescent="0.25">
      <c r="A3781" s="67"/>
      <c r="B3781" s="67"/>
    </row>
    <row r="3782" spans="1:2" x14ac:dyDescent="0.25">
      <c r="A3782" s="67"/>
      <c r="B3782" s="67"/>
    </row>
    <row r="3783" spans="1:2" x14ac:dyDescent="0.25">
      <c r="A3783" s="67"/>
      <c r="B3783" s="67"/>
    </row>
    <row r="3784" spans="1:2" x14ac:dyDescent="0.25">
      <c r="A3784" s="67"/>
      <c r="B3784" s="67"/>
    </row>
    <row r="3785" spans="1:2" x14ac:dyDescent="0.25">
      <c r="A3785" s="67"/>
      <c r="B3785" s="67"/>
    </row>
    <row r="3786" spans="1:2" x14ac:dyDescent="0.25">
      <c r="A3786" s="67"/>
      <c r="B3786" s="67"/>
    </row>
    <row r="3787" spans="1:2" x14ac:dyDescent="0.25">
      <c r="A3787" s="67"/>
      <c r="B3787" s="67"/>
    </row>
    <row r="3788" spans="1:2" x14ac:dyDescent="0.25">
      <c r="A3788" s="67"/>
      <c r="B3788" s="67"/>
    </row>
    <row r="3789" spans="1:2" x14ac:dyDescent="0.25">
      <c r="A3789" s="67"/>
      <c r="B3789" s="67"/>
    </row>
    <row r="3790" spans="1:2" x14ac:dyDescent="0.25">
      <c r="A3790" s="67"/>
      <c r="B3790" s="67"/>
    </row>
    <row r="3791" spans="1:2" x14ac:dyDescent="0.25">
      <c r="A3791" s="67"/>
      <c r="B3791" s="67"/>
    </row>
    <row r="3792" spans="1:2" x14ac:dyDescent="0.25">
      <c r="A3792" s="67"/>
      <c r="B3792" s="67"/>
    </row>
    <row r="3793" spans="1:2" x14ac:dyDescent="0.25">
      <c r="A3793" s="67"/>
      <c r="B3793" s="67"/>
    </row>
    <row r="3794" spans="1:2" x14ac:dyDescent="0.25">
      <c r="A3794" s="67"/>
      <c r="B3794" s="67"/>
    </row>
    <row r="3795" spans="1:2" x14ac:dyDescent="0.25">
      <c r="A3795" s="67"/>
      <c r="B3795" s="67"/>
    </row>
    <row r="3796" spans="1:2" x14ac:dyDescent="0.25">
      <c r="A3796" s="67"/>
      <c r="B3796" s="67"/>
    </row>
    <row r="3797" spans="1:2" x14ac:dyDescent="0.25">
      <c r="A3797" s="67"/>
      <c r="B3797" s="67"/>
    </row>
    <row r="3798" spans="1:2" x14ac:dyDescent="0.25">
      <c r="A3798" s="67"/>
      <c r="B3798" s="67"/>
    </row>
    <row r="3799" spans="1:2" x14ac:dyDescent="0.25">
      <c r="A3799" s="67"/>
      <c r="B3799" s="67"/>
    </row>
    <row r="3800" spans="1:2" x14ac:dyDescent="0.25">
      <c r="A3800" s="67"/>
      <c r="B3800" s="67"/>
    </row>
    <row r="3801" spans="1:2" x14ac:dyDescent="0.25">
      <c r="A3801" s="67"/>
      <c r="B3801" s="67"/>
    </row>
    <row r="3802" spans="1:2" x14ac:dyDescent="0.25">
      <c r="A3802" s="67"/>
      <c r="B3802" s="67"/>
    </row>
    <row r="3803" spans="1:2" x14ac:dyDescent="0.25">
      <c r="A3803" s="67"/>
      <c r="B3803" s="67"/>
    </row>
    <row r="3804" spans="1:2" x14ac:dyDescent="0.25">
      <c r="A3804" s="67"/>
      <c r="B3804" s="67"/>
    </row>
    <row r="3805" spans="1:2" x14ac:dyDescent="0.25">
      <c r="A3805" s="67"/>
      <c r="B3805" s="67"/>
    </row>
    <row r="3806" spans="1:2" x14ac:dyDescent="0.25">
      <c r="A3806" s="67"/>
      <c r="B3806" s="67"/>
    </row>
    <row r="3807" spans="1:2" x14ac:dyDescent="0.25">
      <c r="A3807" s="67"/>
      <c r="B3807" s="67"/>
    </row>
    <row r="3808" spans="1:2" x14ac:dyDescent="0.25">
      <c r="A3808" s="67"/>
      <c r="B3808" s="67"/>
    </row>
    <row r="3809" spans="1:2" x14ac:dyDescent="0.25">
      <c r="A3809" s="67"/>
      <c r="B3809" s="67"/>
    </row>
    <row r="3810" spans="1:2" x14ac:dyDescent="0.25">
      <c r="A3810" s="67"/>
      <c r="B3810" s="67"/>
    </row>
    <row r="3811" spans="1:2" x14ac:dyDescent="0.25">
      <c r="A3811" s="67"/>
      <c r="B3811" s="67"/>
    </row>
    <row r="3812" spans="1:2" x14ac:dyDescent="0.25">
      <c r="A3812" s="67"/>
      <c r="B3812" s="67"/>
    </row>
    <row r="3813" spans="1:2" x14ac:dyDescent="0.25">
      <c r="A3813" s="67"/>
      <c r="B3813" s="67"/>
    </row>
    <row r="3814" spans="1:2" x14ac:dyDescent="0.25">
      <c r="A3814" s="67"/>
      <c r="B3814" s="67"/>
    </row>
    <row r="3815" spans="1:2" x14ac:dyDescent="0.25">
      <c r="A3815" s="67"/>
      <c r="B3815" s="67"/>
    </row>
    <row r="3816" spans="1:2" x14ac:dyDescent="0.25">
      <c r="A3816" s="67"/>
      <c r="B3816" s="67"/>
    </row>
    <row r="3817" spans="1:2" x14ac:dyDescent="0.25">
      <c r="A3817" s="67"/>
      <c r="B3817" s="67"/>
    </row>
    <row r="3818" spans="1:2" x14ac:dyDescent="0.25">
      <c r="A3818" s="67"/>
      <c r="B3818" s="67"/>
    </row>
    <row r="3819" spans="1:2" x14ac:dyDescent="0.25">
      <c r="A3819" s="67"/>
      <c r="B3819" s="67"/>
    </row>
    <row r="3820" spans="1:2" x14ac:dyDescent="0.25">
      <c r="A3820" s="67"/>
      <c r="B3820" s="67"/>
    </row>
    <row r="3821" spans="1:2" x14ac:dyDescent="0.25">
      <c r="A3821" s="67"/>
      <c r="B3821" s="67"/>
    </row>
    <row r="3822" spans="1:2" x14ac:dyDescent="0.25">
      <c r="A3822" s="67"/>
      <c r="B3822" s="67"/>
    </row>
    <row r="3823" spans="1:2" x14ac:dyDescent="0.25">
      <c r="A3823" s="67"/>
      <c r="B3823" s="67"/>
    </row>
    <row r="3824" spans="1:2" x14ac:dyDescent="0.25">
      <c r="A3824" s="67"/>
      <c r="B3824" s="67"/>
    </row>
    <row r="3825" spans="1:2" x14ac:dyDescent="0.25">
      <c r="A3825" s="67"/>
      <c r="B3825" s="67"/>
    </row>
    <row r="3826" spans="1:2" x14ac:dyDescent="0.25">
      <c r="A3826" s="67"/>
      <c r="B3826" s="67"/>
    </row>
    <row r="3827" spans="1:2" x14ac:dyDescent="0.25">
      <c r="A3827" s="67"/>
      <c r="B3827" s="67"/>
    </row>
    <row r="3828" spans="1:2" x14ac:dyDescent="0.25">
      <c r="A3828" s="67"/>
      <c r="B3828" s="67"/>
    </row>
    <row r="3829" spans="1:2" x14ac:dyDescent="0.25">
      <c r="A3829" s="67"/>
      <c r="B3829" s="67"/>
    </row>
    <row r="3830" spans="1:2" x14ac:dyDescent="0.25">
      <c r="A3830" s="67"/>
      <c r="B3830" s="67"/>
    </row>
    <row r="3831" spans="1:2" x14ac:dyDescent="0.25">
      <c r="A3831" s="67"/>
      <c r="B3831" s="67"/>
    </row>
    <row r="3832" spans="1:2" x14ac:dyDescent="0.25">
      <c r="A3832" s="67"/>
      <c r="B3832" s="67"/>
    </row>
    <row r="3833" spans="1:2" x14ac:dyDescent="0.25">
      <c r="A3833" s="67"/>
      <c r="B3833" s="67"/>
    </row>
    <row r="3834" spans="1:2" x14ac:dyDescent="0.25">
      <c r="A3834" s="67"/>
      <c r="B3834" s="67"/>
    </row>
    <row r="3835" spans="1:2" x14ac:dyDescent="0.25">
      <c r="A3835" s="67"/>
      <c r="B3835" s="67"/>
    </row>
    <row r="3836" spans="1:2" x14ac:dyDescent="0.25">
      <c r="A3836" s="67"/>
      <c r="B3836" s="67"/>
    </row>
    <row r="3837" spans="1:2" x14ac:dyDescent="0.25">
      <c r="A3837" s="67"/>
      <c r="B3837" s="67"/>
    </row>
    <row r="3838" spans="1:2" x14ac:dyDescent="0.25">
      <c r="A3838" s="67"/>
      <c r="B3838" s="67"/>
    </row>
    <row r="3839" spans="1:2" x14ac:dyDescent="0.25">
      <c r="A3839" s="67"/>
      <c r="B3839" s="67"/>
    </row>
    <row r="3840" spans="1:2" x14ac:dyDescent="0.25">
      <c r="A3840" s="67"/>
      <c r="B3840" s="67"/>
    </row>
    <row r="3841" spans="1:2" x14ac:dyDescent="0.25">
      <c r="A3841" s="67"/>
      <c r="B3841" s="67"/>
    </row>
    <row r="3842" spans="1:2" x14ac:dyDescent="0.25">
      <c r="A3842" s="67"/>
      <c r="B3842" s="67"/>
    </row>
    <row r="3843" spans="1:2" x14ac:dyDescent="0.25">
      <c r="A3843" s="67"/>
      <c r="B3843" s="67"/>
    </row>
    <row r="3844" spans="1:2" x14ac:dyDescent="0.25">
      <c r="A3844" s="67"/>
      <c r="B3844" s="67"/>
    </row>
    <row r="3845" spans="1:2" x14ac:dyDescent="0.25">
      <c r="A3845" s="67"/>
      <c r="B3845" s="67"/>
    </row>
    <row r="3846" spans="1:2" x14ac:dyDescent="0.25">
      <c r="A3846" s="67"/>
      <c r="B3846" s="67"/>
    </row>
    <row r="3847" spans="1:2" x14ac:dyDescent="0.25">
      <c r="A3847" s="67"/>
      <c r="B3847" s="67"/>
    </row>
    <row r="3848" spans="1:2" x14ac:dyDescent="0.25">
      <c r="A3848" s="67"/>
      <c r="B3848" s="67"/>
    </row>
    <row r="3849" spans="1:2" x14ac:dyDescent="0.25">
      <c r="A3849" s="67"/>
      <c r="B3849" s="67"/>
    </row>
    <row r="3850" spans="1:2" x14ac:dyDescent="0.25">
      <c r="A3850" s="67"/>
      <c r="B3850" s="67"/>
    </row>
    <row r="3851" spans="1:2" x14ac:dyDescent="0.25">
      <c r="A3851" s="67"/>
      <c r="B3851" s="67"/>
    </row>
    <row r="3852" spans="1:2" x14ac:dyDescent="0.25">
      <c r="A3852" s="67"/>
      <c r="B3852" s="67"/>
    </row>
    <row r="3853" spans="1:2" x14ac:dyDescent="0.25">
      <c r="A3853" s="67"/>
      <c r="B3853" s="67"/>
    </row>
    <row r="3854" spans="1:2" x14ac:dyDescent="0.25">
      <c r="A3854" s="67"/>
      <c r="B3854" s="67"/>
    </row>
    <row r="3855" spans="1:2" x14ac:dyDescent="0.25">
      <c r="A3855" s="67"/>
      <c r="B3855" s="67"/>
    </row>
    <row r="3856" spans="1:2" x14ac:dyDescent="0.25">
      <c r="A3856" s="67"/>
      <c r="B3856" s="67"/>
    </row>
    <row r="3857" spans="1:2" x14ac:dyDescent="0.25">
      <c r="A3857" s="67"/>
      <c r="B3857" s="67"/>
    </row>
    <row r="3858" spans="1:2" x14ac:dyDescent="0.25">
      <c r="A3858" s="67"/>
      <c r="B3858" s="67"/>
    </row>
    <row r="3859" spans="1:2" x14ac:dyDescent="0.25">
      <c r="A3859" s="67"/>
      <c r="B3859" s="67"/>
    </row>
    <row r="3860" spans="1:2" x14ac:dyDescent="0.25">
      <c r="A3860" s="67"/>
      <c r="B3860" s="67"/>
    </row>
    <row r="3861" spans="1:2" x14ac:dyDescent="0.25">
      <c r="A3861" s="67"/>
      <c r="B3861" s="67"/>
    </row>
    <row r="3862" spans="1:2" x14ac:dyDescent="0.25">
      <c r="A3862" s="67"/>
      <c r="B3862" s="67"/>
    </row>
    <row r="3863" spans="1:2" x14ac:dyDescent="0.25">
      <c r="A3863" s="67"/>
      <c r="B3863" s="67"/>
    </row>
    <row r="3864" spans="1:2" x14ac:dyDescent="0.25">
      <c r="A3864" s="67"/>
      <c r="B3864" s="67"/>
    </row>
    <row r="3865" spans="1:2" x14ac:dyDescent="0.25">
      <c r="A3865" s="67"/>
      <c r="B3865" s="67"/>
    </row>
    <row r="3866" spans="1:2" x14ac:dyDescent="0.25">
      <c r="A3866" s="67"/>
      <c r="B3866" s="67"/>
    </row>
    <row r="3867" spans="1:2" x14ac:dyDescent="0.25">
      <c r="A3867" s="67"/>
      <c r="B3867" s="67"/>
    </row>
    <row r="3868" spans="1:2" x14ac:dyDescent="0.25">
      <c r="A3868" s="67"/>
      <c r="B3868" s="67"/>
    </row>
    <row r="3869" spans="1:2" x14ac:dyDescent="0.25">
      <c r="A3869" s="67"/>
      <c r="B3869" s="67"/>
    </row>
    <row r="3870" spans="1:2" x14ac:dyDescent="0.25">
      <c r="A3870" s="67"/>
      <c r="B3870" s="67"/>
    </row>
    <row r="3871" spans="1:2" x14ac:dyDescent="0.25">
      <c r="A3871" s="67"/>
      <c r="B3871" s="67"/>
    </row>
    <row r="3872" spans="1:2" x14ac:dyDescent="0.25">
      <c r="A3872" s="67"/>
      <c r="B3872" s="67"/>
    </row>
    <row r="3873" spans="1:2" x14ac:dyDescent="0.25">
      <c r="A3873" s="67"/>
      <c r="B3873" s="67"/>
    </row>
    <row r="3874" spans="1:2" x14ac:dyDescent="0.25">
      <c r="A3874" s="67"/>
      <c r="B3874" s="67"/>
    </row>
    <row r="3875" spans="1:2" x14ac:dyDescent="0.25">
      <c r="A3875" s="67"/>
      <c r="B3875" s="67"/>
    </row>
    <row r="3876" spans="1:2" x14ac:dyDescent="0.25">
      <c r="A3876" s="67"/>
      <c r="B3876" s="67"/>
    </row>
    <row r="3877" spans="1:2" x14ac:dyDescent="0.25">
      <c r="A3877" s="67"/>
      <c r="B3877" s="67"/>
    </row>
    <row r="3878" spans="1:2" x14ac:dyDescent="0.25">
      <c r="A3878" s="67"/>
      <c r="B3878" s="67"/>
    </row>
    <row r="3879" spans="1:2" x14ac:dyDescent="0.25">
      <c r="A3879" s="67"/>
      <c r="B3879" s="67"/>
    </row>
    <row r="3880" spans="1:2" x14ac:dyDescent="0.25">
      <c r="A3880" s="67"/>
      <c r="B3880" s="67"/>
    </row>
    <row r="3881" spans="1:2" x14ac:dyDescent="0.25">
      <c r="A3881" s="67"/>
      <c r="B3881" s="67"/>
    </row>
    <row r="3882" spans="1:2" x14ac:dyDescent="0.25">
      <c r="A3882" s="67"/>
      <c r="B3882" s="67"/>
    </row>
    <row r="3883" spans="1:2" x14ac:dyDescent="0.25">
      <c r="A3883" s="67"/>
      <c r="B3883" s="67"/>
    </row>
    <row r="3884" spans="1:2" x14ac:dyDescent="0.25">
      <c r="A3884" s="67"/>
      <c r="B3884" s="67"/>
    </row>
    <row r="3885" spans="1:2" x14ac:dyDescent="0.25">
      <c r="A3885" s="67"/>
      <c r="B3885" s="67"/>
    </row>
    <row r="3886" spans="1:2" x14ac:dyDescent="0.25">
      <c r="A3886" s="67"/>
      <c r="B3886" s="67"/>
    </row>
    <row r="3887" spans="1:2" x14ac:dyDescent="0.25">
      <c r="A3887" s="67"/>
      <c r="B3887" s="67"/>
    </row>
    <row r="3888" spans="1:2" x14ac:dyDescent="0.25">
      <c r="A3888" s="67"/>
      <c r="B3888" s="67"/>
    </row>
    <row r="3889" spans="1:2" x14ac:dyDescent="0.25">
      <c r="A3889" s="67"/>
      <c r="B3889" s="67"/>
    </row>
    <row r="3890" spans="1:2" x14ac:dyDescent="0.25">
      <c r="A3890" s="67"/>
      <c r="B3890" s="67"/>
    </row>
    <row r="3891" spans="1:2" x14ac:dyDescent="0.25">
      <c r="A3891" s="67"/>
      <c r="B3891" s="67"/>
    </row>
    <row r="3892" spans="1:2" x14ac:dyDescent="0.25">
      <c r="A3892" s="67"/>
      <c r="B3892" s="67"/>
    </row>
    <row r="3893" spans="1:2" x14ac:dyDescent="0.25">
      <c r="A3893" s="67"/>
      <c r="B3893" s="67"/>
    </row>
    <row r="3894" spans="1:2" x14ac:dyDescent="0.25">
      <c r="A3894" s="67"/>
      <c r="B3894" s="67"/>
    </row>
    <row r="3895" spans="1:2" x14ac:dyDescent="0.25">
      <c r="A3895" s="67"/>
      <c r="B3895" s="67"/>
    </row>
    <row r="3896" spans="1:2" x14ac:dyDescent="0.25">
      <c r="A3896" s="67"/>
      <c r="B3896" s="67"/>
    </row>
    <row r="3897" spans="1:2" x14ac:dyDescent="0.25">
      <c r="A3897" s="67"/>
      <c r="B3897" s="67"/>
    </row>
    <row r="3898" spans="1:2" x14ac:dyDescent="0.25">
      <c r="A3898" s="67"/>
      <c r="B3898" s="67"/>
    </row>
    <row r="3899" spans="1:2" x14ac:dyDescent="0.25">
      <c r="A3899" s="67"/>
      <c r="B3899" s="67"/>
    </row>
    <row r="3900" spans="1:2" x14ac:dyDescent="0.25">
      <c r="A3900" s="67"/>
      <c r="B3900" s="67"/>
    </row>
    <row r="3901" spans="1:2" x14ac:dyDescent="0.25">
      <c r="A3901" s="67"/>
      <c r="B3901" s="67"/>
    </row>
    <row r="3902" spans="1:2" x14ac:dyDescent="0.25">
      <c r="A3902" s="67"/>
      <c r="B3902" s="67"/>
    </row>
    <row r="3903" spans="1:2" x14ac:dyDescent="0.25">
      <c r="A3903" s="67"/>
      <c r="B3903" s="67"/>
    </row>
    <row r="3904" spans="1:2" x14ac:dyDescent="0.25">
      <c r="A3904" s="67"/>
      <c r="B3904" s="67"/>
    </row>
    <row r="3905" spans="1:2" x14ac:dyDescent="0.25">
      <c r="A3905" s="67"/>
      <c r="B3905" s="67"/>
    </row>
    <row r="3906" spans="1:2" x14ac:dyDescent="0.25">
      <c r="A3906" s="67"/>
      <c r="B3906" s="67"/>
    </row>
    <row r="3907" spans="1:2" x14ac:dyDescent="0.25">
      <c r="A3907" s="67"/>
      <c r="B3907" s="67"/>
    </row>
    <row r="3908" spans="1:2" x14ac:dyDescent="0.25">
      <c r="A3908" s="67"/>
      <c r="B3908" s="67"/>
    </row>
    <row r="3909" spans="1:2" x14ac:dyDescent="0.25">
      <c r="A3909" s="67"/>
      <c r="B3909" s="67"/>
    </row>
    <row r="3910" spans="1:2" x14ac:dyDescent="0.25">
      <c r="A3910" s="67"/>
      <c r="B3910" s="67"/>
    </row>
    <row r="3911" spans="1:2" x14ac:dyDescent="0.25">
      <c r="A3911" s="67"/>
      <c r="B3911" s="67"/>
    </row>
    <row r="3912" spans="1:2" x14ac:dyDescent="0.25">
      <c r="A3912" s="67"/>
      <c r="B3912" s="67"/>
    </row>
    <row r="3913" spans="1:2" x14ac:dyDescent="0.25">
      <c r="A3913" s="67"/>
      <c r="B3913" s="67"/>
    </row>
    <row r="3914" spans="1:2" x14ac:dyDescent="0.25">
      <c r="A3914" s="67"/>
      <c r="B3914" s="67"/>
    </row>
    <row r="3915" spans="1:2" x14ac:dyDescent="0.25">
      <c r="A3915" s="67"/>
      <c r="B3915" s="67"/>
    </row>
    <row r="3916" spans="1:2" x14ac:dyDescent="0.25">
      <c r="A3916" s="67"/>
      <c r="B3916" s="67"/>
    </row>
    <row r="3917" spans="1:2" x14ac:dyDescent="0.25">
      <c r="A3917" s="67"/>
      <c r="B3917" s="67"/>
    </row>
    <row r="3918" spans="1:2" x14ac:dyDescent="0.25">
      <c r="A3918" s="67"/>
      <c r="B3918" s="67"/>
    </row>
    <row r="3919" spans="1:2" x14ac:dyDescent="0.25">
      <c r="A3919" s="67"/>
      <c r="B3919" s="67"/>
    </row>
    <row r="3920" spans="1:2" x14ac:dyDescent="0.25">
      <c r="A3920" s="67"/>
      <c r="B3920" s="67"/>
    </row>
    <row r="3921" spans="1:2" x14ac:dyDescent="0.25">
      <c r="A3921" s="67"/>
      <c r="B3921" s="67"/>
    </row>
    <row r="3922" spans="1:2" x14ac:dyDescent="0.25">
      <c r="A3922" s="67"/>
      <c r="B3922" s="67"/>
    </row>
    <row r="3923" spans="1:2" x14ac:dyDescent="0.25">
      <c r="A3923" s="67"/>
      <c r="B3923" s="67"/>
    </row>
    <row r="3924" spans="1:2" x14ac:dyDescent="0.25">
      <c r="A3924" s="67"/>
      <c r="B3924" s="67"/>
    </row>
    <row r="3925" spans="1:2" x14ac:dyDescent="0.25">
      <c r="A3925" s="67"/>
      <c r="B3925" s="67"/>
    </row>
    <row r="3926" spans="1:2" x14ac:dyDescent="0.25">
      <c r="A3926" s="67"/>
      <c r="B3926" s="67"/>
    </row>
    <row r="3927" spans="1:2" x14ac:dyDescent="0.25">
      <c r="A3927" s="67"/>
      <c r="B3927" s="67"/>
    </row>
    <row r="3928" spans="1:2" x14ac:dyDescent="0.25">
      <c r="A3928" s="67"/>
      <c r="B3928" s="67"/>
    </row>
    <row r="3929" spans="1:2" x14ac:dyDescent="0.25">
      <c r="A3929" s="67"/>
      <c r="B3929" s="67"/>
    </row>
    <row r="3930" spans="1:2" x14ac:dyDescent="0.25">
      <c r="A3930" s="67"/>
      <c r="B3930" s="67"/>
    </row>
    <row r="3931" spans="1:2" x14ac:dyDescent="0.25">
      <c r="A3931" s="67"/>
      <c r="B3931" s="67"/>
    </row>
    <row r="3932" spans="1:2" x14ac:dyDescent="0.25">
      <c r="A3932" s="67"/>
      <c r="B3932" s="67"/>
    </row>
    <row r="3933" spans="1:2" x14ac:dyDescent="0.25">
      <c r="A3933" s="67"/>
      <c r="B3933" s="67"/>
    </row>
    <row r="3934" spans="1:2" x14ac:dyDescent="0.25">
      <c r="A3934" s="67"/>
      <c r="B3934" s="67"/>
    </row>
    <row r="3935" spans="1:2" x14ac:dyDescent="0.25">
      <c r="A3935" s="67"/>
      <c r="B3935" s="67"/>
    </row>
    <row r="3936" spans="1:2" x14ac:dyDescent="0.25">
      <c r="A3936" s="67"/>
      <c r="B3936" s="67"/>
    </row>
    <row r="3937" spans="1:2" x14ac:dyDescent="0.25">
      <c r="A3937" s="67"/>
      <c r="B3937" s="67"/>
    </row>
    <row r="3938" spans="1:2" x14ac:dyDescent="0.25">
      <c r="A3938" s="67"/>
      <c r="B3938" s="67"/>
    </row>
    <row r="3939" spans="1:2" x14ac:dyDescent="0.25">
      <c r="A3939" s="67"/>
      <c r="B3939" s="67"/>
    </row>
    <row r="3940" spans="1:2" x14ac:dyDescent="0.25">
      <c r="A3940" s="67"/>
      <c r="B3940" s="67"/>
    </row>
    <row r="3941" spans="1:2" x14ac:dyDescent="0.25">
      <c r="A3941" s="67"/>
      <c r="B3941" s="67"/>
    </row>
    <row r="3942" spans="1:2" x14ac:dyDescent="0.25">
      <c r="A3942" s="67"/>
      <c r="B3942" s="67"/>
    </row>
    <row r="3943" spans="1:2" x14ac:dyDescent="0.25">
      <c r="A3943" s="67"/>
      <c r="B3943" s="67"/>
    </row>
    <row r="3944" spans="1:2" x14ac:dyDescent="0.25">
      <c r="A3944" s="67"/>
      <c r="B3944" s="67"/>
    </row>
    <row r="3945" spans="1:2" x14ac:dyDescent="0.25">
      <c r="A3945" s="67"/>
      <c r="B3945" s="67"/>
    </row>
    <row r="3946" spans="1:2" x14ac:dyDescent="0.25">
      <c r="A3946" s="67"/>
      <c r="B3946" s="67"/>
    </row>
    <row r="3947" spans="1:2" x14ac:dyDescent="0.25">
      <c r="A3947" s="67"/>
      <c r="B3947" s="67"/>
    </row>
    <row r="3948" spans="1:2" x14ac:dyDescent="0.25">
      <c r="A3948" s="67"/>
      <c r="B3948" s="67"/>
    </row>
    <row r="3949" spans="1:2" x14ac:dyDescent="0.25">
      <c r="A3949" s="67"/>
      <c r="B3949" s="67"/>
    </row>
    <row r="3950" spans="1:2" x14ac:dyDescent="0.25">
      <c r="A3950" s="67"/>
      <c r="B3950" s="67"/>
    </row>
    <row r="3951" spans="1:2" x14ac:dyDescent="0.25">
      <c r="A3951" s="67"/>
      <c r="B3951" s="67"/>
    </row>
    <row r="3952" spans="1:2" x14ac:dyDescent="0.25">
      <c r="A3952" s="67"/>
      <c r="B3952" s="67"/>
    </row>
    <row r="3953" spans="1:2" x14ac:dyDescent="0.25">
      <c r="A3953" s="67"/>
      <c r="B3953" s="67"/>
    </row>
    <row r="3954" spans="1:2" x14ac:dyDescent="0.25">
      <c r="A3954" s="67"/>
      <c r="B3954" s="67"/>
    </row>
    <row r="3955" spans="1:2" x14ac:dyDescent="0.25">
      <c r="A3955" s="67"/>
      <c r="B3955" s="67"/>
    </row>
    <row r="3956" spans="1:2" x14ac:dyDescent="0.25">
      <c r="A3956" s="67"/>
      <c r="B3956" s="67"/>
    </row>
    <row r="3957" spans="1:2" x14ac:dyDescent="0.25">
      <c r="A3957" s="67"/>
      <c r="B3957" s="67"/>
    </row>
    <row r="3958" spans="1:2" x14ac:dyDescent="0.25">
      <c r="A3958" s="67"/>
      <c r="B3958" s="67"/>
    </row>
    <row r="3959" spans="1:2" x14ac:dyDescent="0.25">
      <c r="A3959" s="67"/>
      <c r="B3959" s="67"/>
    </row>
    <row r="3960" spans="1:2" x14ac:dyDescent="0.25">
      <c r="A3960" s="67"/>
      <c r="B3960" s="67"/>
    </row>
    <row r="3961" spans="1:2" x14ac:dyDescent="0.25">
      <c r="A3961" s="67"/>
      <c r="B3961" s="67"/>
    </row>
    <row r="3962" spans="1:2" x14ac:dyDescent="0.25">
      <c r="A3962" s="67"/>
      <c r="B3962" s="67"/>
    </row>
    <row r="3963" spans="1:2" x14ac:dyDescent="0.25">
      <c r="A3963" s="67"/>
      <c r="B3963" s="67"/>
    </row>
    <row r="3964" spans="1:2" x14ac:dyDescent="0.25">
      <c r="A3964" s="67"/>
      <c r="B3964" s="67"/>
    </row>
    <row r="3965" spans="1:2" x14ac:dyDescent="0.25">
      <c r="A3965" s="67"/>
      <c r="B3965" s="67"/>
    </row>
    <row r="3966" spans="1:2" x14ac:dyDescent="0.25">
      <c r="A3966" s="67"/>
      <c r="B3966" s="67"/>
    </row>
    <row r="3967" spans="1:2" x14ac:dyDescent="0.25">
      <c r="A3967" s="67"/>
      <c r="B3967" s="67"/>
    </row>
    <row r="3968" spans="1:2" x14ac:dyDescent="0.25">
      <c r="A3968" s="67"/>
      <c r="B3968" s="67"/>
    </row>
    <row r="3969" spans="1:2" x14ac:dyDescent="0.25">
      <c r="A3969" s="67"/>
      <c r="B3969" s="67"/>
    </row>
    <row r="3970" spans="1:2" x14ac:dyDescent="0.25">
      <c r="A3970" s="67"/>
      <c r="B3970" s="67"/>
    </row>
    <row r="3971" spans="1:2" x14ac:dyDescent="0.25">
      <c r="A3971" s="67"/>
      <c r="B3971" s="67"/>
    </row>
    <row r="3972" spans="1:2" x14ac:dyDescent="0.25">
      <c r="A3972" s="67"/>
      <c r="B3972" s="67"/>
    </row>
    <row r="3973" spans="1:2" x14ac:dyDescent="0.25">
      <c r="A3973" s="67"/>
      <c r="B3973" s="67"/>
    </row>
    <row r="3974" spans="1:2" x14ac:dyDescent="0.25">
      <c r="A3974" s="67"/>
      <c r="B3974" s="67"/>
    </row>
    <row r="3975" spans="1:2" x14ac:dyDescent="0.25">
      <c r="A3975" s="67"/>
      <c r="B3975" s="67"/>
    </row>
    <row r="3976" spans="1:2" x14ac:dyDescent="0.25">
      <c r="A3976" s="67"/>
      <c r="B3976" s="67"/>
    </row>
    <row r="3977" spans="1:2" x14ac:dyDescent="0.25">
      <c r="A3977" s="67"/>
      <c r="B3977" s="67"/>
    </row>
    <row r="3978" spans="1:2" x14ac:dyDescent="0.25">
      <c r="A3978" s="67"/>
      <c r="B3978" s="67"/>
    </row>
    <row r="3979" spans="1:2" x14ac:dyDescent="0.25">
      <c r="A3979" s="67"/>
      <c r="B3979" s="67"/>
    </row>
    <row r="3980" spans="1:2" x14ac:dyDescent="0.25">
      <c r="A3980" s="67"/>
      <c r="B3980" s="67"/>
    </row>
    <row r="3981" spans="1:2" x14ac:dyDescent="0.25">
      <c r="A3981" s="67"/>
      <c r="B3981" s="67"/>
    </row>
    <row r="3982" spans="1:2" x14ac:dyDescent="0.25">
      <c r="A3982" s="67"/>
      <c r="B3982" s="67"/>
    </row>
    <row r="3983" spans="1:2" x14ac:dyDescent="0.25">
      <c r="A3983" s="67"/>
      <c r="B3983" s="67"/>
    </row>
    <row r="3984" spans="1:2" x14ac:dyDescent="0.25">
      <c r="A3984" s="67"/>
      <c r="B3984" s="67"/>
    </row>
    <row r="3985" spans="1:2" x14ac:dyDescent="0.25">
      <c r="A3985" s="67"/>
      <c r="B3985" s="67"/>
    </row>
    <row r="3986" spans="1:2" x14ac:dyDescent="0.25">
      <c r="A3986" s="67"/>
      <c r="B3986" s="67"/>
    </row>
    <row r="3987" spans="1:2" x14ac:dyDescent="0.25">
      <c r="A3987" s="67"/>
      <c r="B3987" s="67"/>
    </row>
    <row r="3988" spans="1:2" x14ac:dyDescent="0.25">
      <c r="A3988" s="67"/>
      <c r="B3988" s="67"/>
    </row>
    <row r="3989" spans="1:2" x14ac:dyDescent="0.25">
      <c r="A3989" s="67"/>
      <c r="B3989" s="67"/>
    </row>
    <row r="3990" spans="1:2" x14ac:dyDescent="0.25">
      <c r="A3990" s="67"/>
      <c r="B3990" s="67"/>
    </row>
    <row r="3991" spans="1:2" x14ac:dyDescent="0.25">
      <c r="A3991" s="67"/>
      <c r="B3991" s="67"/>
    </row>
    <row r="3992" spans="1:2" x14ac:dyDescent="0.25">
      <c r="A3992" s="67"/>
      <c r="B3992" s="67"/>
    </row>
    <row r="3993" spans="1:2" x14ac:dyDescent="0.25">
      <c r="A3993" s="67"/>
      <c r="B3993" s="67"/>
    </row>
    <row r="3994" spans="1:2" x14ac:dyDescent="0.25">
      <c r="A3994" s="67"/>
      <c r="B3994" s="67"/>
    </row>
    <row r="3995" spans="1:2" x14ac:dyDescent="0.25">
      <c r="A3995" s="67"/>
      <c r="B3995" s="67"/>
    </row>
    <row r="3996" spans="1:2" x14ac:dyDescent="0.25">
      <c r="A3996" s="67"/>
      <c r="B3996" s="67"/>
    </row>
    <row r="3997" spans="1:2" x14ac:dyDescent="0.25">
      <c r="A3997" s="67"/>
      <c r="B3997" s="67"/>
    </row>
    <row r="3998" spans="1:2" x14ac:dyDescent="0.25">
      <c r="A3998" s="67"/>
      <c r="B3998" s="67"/>
    </row>
    <row r="3999" spans="1:2" x14ac:dyDescent="0.25">
      <c r="A3999" s="67"/>
      <c r="B3999" s="67"/>
    </row>
    <row r="4000" spans="1:2" x14ac:dyDescent="0.25">
      <c r="A4000" s="67"/>
      <c r="B4000" s="67"/>
    </row>
    <row r="4001" spans="1:2" x14ac:dyDescent="0.25">
      <c r="A4001" s="67"/>
      <c r="B4001" s="67"/>
    </row>
    <row r="4002" spans="1:2" x14ac:dyDescent="0.25">
      <c r="A4002" s="67"/>
      <c r="B4002" s="67"/>
    </row>
    <row r="4003" spans="1:2" x14ac:dyDescent="0.25">
      <c r="A4003" s="67"/>
      <c r="B4003" s="67"/>
    </row>
    <row r="4004" spans="1:2" x14ac:dyDescent="0.25">
      <c r="A4004" s="67"/>
      <c r="B4004" s="67"/>
    </row>
    <row r="4005" spans="1:2" x14ac:dyDescent="0.25">
      <c r="A4005" s="67"/>
      <c r="B4005" s="67"/>
    </row>
    <row r="4006" spans="1:2" x14ac:dyDescent="0.25">
      <c r="A4006" s="67"/>
      <c r="B4006" s="67"/>
    </row>
    <row r="4007" spans="1:2" x14ac:dyDescent="0.25">
      <c r="A4007" s="67"/>
      <c r="B4007" s="67"/>
    </row>
    <row r="4008" spans="1:2" x14ac:dyDescent="0.25">
      <c r="A4008" s="67"/>
      <c r="B4008" s="67"/>
    </row>
    <row r="4009" spans="1:2" x14ac:dyDescent="0.25">
      <c r="A4009" s="67"/>
      <c r="B4009" s="67"/>
    </row>
    <row r="4010" spans="1:2" x14ac:dyDescent="0.25">
      <c r="A4010" s="67"/>
      <c r="B4010" s="67"/>
    </row>
    <row r="4011" spans="1:2" x14ac:dyDescent="0.25">
      <c r="A4011" s="67"/>
      <c r="B4011" s="67"/>
    </row>
    <row r="4012" spans="1:2" x14ac:dyDescent="0.25">
      <c r="A4012" s="67"/>
      <c r="B4012" s="67"/>
    </row>
    <row r="4013" spans="1:2" x14ac:dyDescent="0.25">
      <c r="A4013" s="67"/>
      <c r="B4013" s="67"/>
    </row>
    <row r="4014" spans="1:2" x14ac:dyDescent="0.25">
      <c r="A4014" s="67"/>
      <c r="B4014" s="67"/>
    </row>
    <row r="4015" spans="1:2" x14ac:dyDescent="0.25">
      <c r="A4015" s="67"/>
      <c r="B4015" s="67"/>
    </row>
    <row r="4016" spans="1:2" x14ac:dyDescent="0.25">
      <c r="A4016" s="67"/>
      <c r="B4016" s="67"/>
    </row>
    <row r="4017" spans="1:2" x14ac:dyDescent="0.25">
      <c r="A4017" s="67"/>
      <c r="B4017" s="67"/>
    </row>
    <row r="4018" spans="1:2" x14ac:dyDescent="0.25">
      <c r="A4018" s="67"/>
      <c r="B4018" s="67"/>
    </row>
    <row r="4019" spans="1:2" x14ac:dyDescent="0.25">
      <c r="A4019" s="67"/>
      <c r="B4019" s="67"/>
    </row>
    <row r="4020" spans="1:2" x14ac:dyDescent="0.25">
      <c r="A4020" s="67"/>
      <c r="B4020" s="67"/>
    </row>
    <row r="4021" spans="1:2" x14ac:dyDescent="0.25">
      <c r="A4021" s="67"/>
      <c r="B4021" s="67"/>
    </row>
    <row r="4022" spans="1:2" x14ac:dyDescent="0.25">
      <c r="A4022" s="67"/>
      <c r="B4022" s="67"/>
    </row>
    <row r="4023" spans="1:2" x14ac:dyDescent="0.25">
      <c r="A4023" s="67"/>
      <c r="B4023" s="67"/>
    </row>
    <row r="4024" spans="1:2" x14ac:dyDescent="0.25">
      <c r="A4024" s="67"/>
      <c r="B4024" s="67"/>
    </row>
    <row r="4025" spans="1:2" x14ac:dyDescent="0.25">
      <c r="A4025" s="67"/>
      <c r="B4025" s="67"/>
    </row>
    <row r="4026" spans="1:2" x14ac:dyDescent="0.25">
      <c r="A4026" s="67"/>
      <c r="B4026" s="67"/>
    </row>
    <row r="4027" spans="1:2" x14ac:dyDescent="0.25">
      <c r="A4027" s="67"/>
      <c r="B4027" s="67"/>
    </row>
    <row r="4028" spans="1:2" x14ac:dyDescent="0.25">
      <c r="A4028" s="67"/>
      <c r="B4028" s="67"/>
    </row>
    <row r="4029" spans="1:2" x14ac:dyDescent="0.25">
      <c r="A4029" s="67"/>
      <c r="B4029" s="67"/>
    </row>
    <row r="4030" spans="1:2" x14ac:dyDescent="0.25">
      <c r="A4030" s="67"/>
      <c r="B4030" s="67"/>
    </row>
    <row r="4031" spans="1:2" x14ac:dyDescent="0.25">
      <c r="A4031" s="67"/>
      <c r="B4031" s="67"/>
    </row>
    <row r="4032" spans="1:2" x14ac:dyDescent="0.25">
      <c r="A4032" s="67"/>
      <c r="B4032" s="67"/>
    </row>
    <row r="4033" spans="1:2" x14ac:dyDescent="0.25">
      <c r="A4033" s="67"/>
      <c r="B4033" s="67"/>
    </row>
    <row r="4034" spans="1:2" x14ac:dyDescent="0.25">
      <c r="A4034" s="67"/>
      <c r="B4034" s="67"/>
    </row>
    <row r="4035" spans="1:2" x14ac:dyDescent="0.25">
      <c r="A4035" s="67"/>
      <c r="B4035" s="67"/>
    </row>
    <row r="4036" spans="1:2" x14ac:dyDescent="0.25">
      <c r="A4036" s="67"/>
      <c r="B4036" s="67"/>
    </row>
    <row r="4037" spans="1:2" x14ac:dyDescent="0.25">
      <c r="A4037" s="67"/>
      <c r="B4037" s="67"/>
    </row>
    <row r="4038" spans="1:2" x14ac:dyDescent="0.25">
      <c r="A4038" s="67"/>
      <c r="B4038" s="67"/>
    </row>
    <row r="4039" spans="1:2" x14ac:dyDescent="0.25">
      <c r="A4039" s="67"/>
      <c r="B4039" s="67"/>
    </row>
    <row r="4040" spans="1:2" x14ac:dyDescent="0.25">
      <c r="A4040" s="67"/>
      <c r="B4040" s="67"/>
    </row>
    <row r="4041" spans="1:2" x14ac:dyDescent="0.25">
      <c r="A4041" s="67"/>
      <c r="B4041" s="67"/>
    </row>
    <row r="4042" spans="1:2" x14ac:dyDescent="0.25">
      <c r="A4042" s="67"/>
      <c r="B4042" s="67"/>
    </row>
    <row r="4043" spans="1:2" x14ac:dyDescent="0.25">
      <c r="A4043" s="67"/>
      <c r="B4043" s="67"/>
    </row>
    <row r="4044" spans="1:2" x14ac:dyDescent="0.25">
      <c r="A4044" s="67"/>
      <c r="B4044" s="67"/>
    </row>
    <row r="4045" spans="1:2" x14ac:dyDescent="0.25">
      <c r="A4045" s="67"/>
      <c r="B4045" s="67"/>
    </row>
    <row r="4046" spans="1:2" x14ac:dyDescent="0.25">
      <c r="A4046" s="67"/>
      <c r="B4046" s="67"/>
    </row>
    <row r="4047" spans="1:2" x14ac:dyDescent="0.25">
      <c r="A4047" s="67"/>
      <c r="B4047" s="67"/>
    </row>
    <row r="4048" spans="1:2" x14ac:dyDescent="0.25">
      <c r="A4048" s="67"/>
      <c r="B4048" s="67"/>
    </row>
    <row r="4049" spans="1:2" x14ac:dyDescent="0.25">
      <c r="A4049" s="67"/>
      <c r="B4049" s="67"/>
    </row>
    <row r="4050" spans="1:2" x14ac:dyDescent="0.25">
      <c r="A4050" s="67"/>
      <c r="B4050" s="67"/>
    </row>
    <row r="4051" spans="1:2" x14ac:dyDescent="0.25">
      <c r="A4051" s="67"/>
      <c r="B4051" s="67"/>
    </row>
    <row r="4052" spans="1:2" x14ac:dyDescent="0.25">
      <c r="A4052" s="67"/>
      <c r="B4052" s="67"/>
    </row>
    <row r="4053" spans="1:2" x14ac:dyDescent="0.25">
      <c r="A4053" s="67"/>
      <c r="B4053" s="67"/>
    </row>
    <row r="4054" spans="1:2" x14ac:dyDescent="0.25">
      <c r="A4054" s="67"/>
      <c r="B4054" s="67"/>
    </row>
    <row r="4055" spans="1:2" x14ac:dyDescent="0.25">
      <c r="A4055" s="67"/>
      <c r="B4055" s="67"/>
    </row>
    <row r="4056" spans="1:2" x14ac:dyDescent="0.25">
      <c r="A4056" s="67"/>
      <c r="B4056" s="67"/>
    </row>
    <row r="4057" spans="1:2" x14ac:dyDescent="0.25">
      <c r="A4057" s="67"/>
      <c r="B4057" s="67"/>
    </row>
    <row r="4058" spans="1:2" x14ac:dyDescent="0.25">
      <c r="A4058" s="67"/>
      <c r="B4058" s="67"/>
    </row>
    <row r="4059" spans="1:2" x14ac:dyDescent="0.25">
      <c r="A4059" s="67"/>
      <c r="B4059" s="67"/>
    </row>
    <row r="4060" spans="1:2" x14ac:dyDescent="0.25">
      <c r="A4060" s="67"/>
      <c r="B4060" s="67"/>
    </row>
    <row r="4061" spans="1:2" x14ac:dyDescent="0.25">
      <c r="A4061" s="67"/>
      <c r="B4061" s="67"/>
    </row>
    <row r="4062" spans="1:2" x14ac:dyDescent="0.25">
      <c r="A4062" s="67"/>
      <c r="B4062" s="67"/>
    </row>
    <row r="4063" spans="1:2" x14ac:dyDescent="0.25">
      <c r="A4063" s="67"/>
      <c r="B4063" s="67"/>
    </row>
    <row r="4064" spans="1:2" x14ac:dyDescent="0.25">
      <c r="A4064" s="67"/>
      <c r="B4064" s="67"/>
    </row>
    <row r="4065" spans="1:2" x14ac:dyDescent="0.25">
      <c r="A4065" s="67"/>
      <c r="B4065" s="67"/>
    </row>
    <row r="4066" spans="1:2" x14ac:dyDescent="0.25">
      <c r="A4066" s="67"/>
      <c r="B4066" s="67"/>
    </row>
    <row r="4067" spans="1:2" x14ac:dyDescent="0.25">
      <c r="A4067" s="67"/>
      <c r="B4067" s="67"/>
    </row>
    <row r="4068" spans="1:2" x14ac:dyDescent="0.25">
      <c r="A4068" s="67"/>
      <c r="B4068" s="67"/>
    </row>
    <row r="4069" spans="1:2" x14ac:dyDescent="0.25">
      <c r="A4069" s="67"/>
      <c r="B4069" s="67"/>
    </row>
    <row r="4070" spans="1:2" x14ac:dyDescent="0.25">
      <c r="A4070" s="67"/>
      <c r="B4070" s="67"/>
    </row>
    <row r="4071" spans="1:2" x14ac:dyDescent="0.25">
      <c r="A4071" s="67"/>
      <c r="B4071" s="67"/>
    </row>
    <row r="4072" spans="1:2" x14ac:dyDescent="0.25">
      <c r="A4072" s="67"/>
      <c r="B4072" s="67"/>
    </row>
    <row r="4073" spans="1:2" x14ac:dyDescent="0.25">
      <c r="A4073" s="67"/>
      <c r="B4073" s="67"/>
    </row>
    <row r="4074" spans="1:2" x14ac:dyDescent="0.25">
      <c r="A4074" s="67"/>
      <c r="B4074" s="67"/>
    </row>
    <row r="4075" spans="1:2" x14ac:dyDescent="0.25">
      <c r="A4075" s="67"/>
      <c r="B4075" s="67"/>
    </row>
    <row r="4076" spans="1:2" x14ac:dyDescent="0.25">
      <c r="A4076" s="67"/>
      <c r="B4076" s="67"/>
    </row>
    <row r="4077" spans="1:2" x14ac:dyDescent="0.25">
      <c r="A4077" s="67"/>
      <c r="B4077" s="67"/>
    </row>
    <row r="4078" spans="1:2" x14ac:dyDescent="0.25">
      <c r="A4078" s="67"/>
      <c r="B4078" s="67"/>
    </row>
    <row r="4079" spans="1:2" x14ac:dyDescent="0.25">
      <c r="A4079" s="67"/>
      <c r="B4079" s="67"/>
    </row>
    <row r="4080" spans="1:2" x14ac:dyDescent="0.25">
      <c r="A4080" s="67"/>
      <c r="B4080" s="67"/>
    </row>
    <row r="4081" spans="1:2" x14ac:dyDescent="0.25">
      <c r="A4081" s="67"/>
      <c r="B4081" s="67"/>
    </row>
    <row r="4082" spans="1:2" x14ac:dyDescent="0.25">
      <c r="A4082" s="67"/>
      <c r="B4082" s="67"/>
    </row>
    <row r="4083" spans="1:2" x14ac:dyDescent="0.25">
      <c r="A4083" s="67"/>
      <c r="B4083" s="67"/>
    </row>
    <row r="4084" spans="1:2" x14ac:dyDescent="0.25">
      <c r="A4084" s="67"/>
      <c r="B4084" s="67"/>
    </row>
    <row r="4085" spans="1:2" x14ac:dyDescent="0.25">
      <c r="A4085" s="67"/>
      <c r="B4085" s="67"/>
    </row>
    <row r="4086" spans="1:2" x14ac:dyDescent="0.25">
      <c r="A4086" s="67"/>
      <c r="B4086" s="67"/>
    </row>
    <row r="4087" spans="1:2" x14ac:dyDescent="0.25">
      <c r="A4087" s="67"/>
      <c r="B4087" s="67"/>
    </row>
    <row r="4088" spans="1:2" x14ac:dyDescent="0.25">
      <c r="A4088" s="67"/>
      <c r="B4088" s="67"/>
    </row>
    <row r="4089" spans="1:2" x14ac:dyDescent="0.25">
      <c r="A4089" s="67"/>
      <c r="B4089" s="67"/>
    </row>
    <row r="4090" spans="1:2" x14ac:dyDescent="0.25">
      <c r="A4090" s="67"/>
      <c r="B4090" s="67"/>
    </row>
    <row r="4091" spans="1:2" x14ac:dyDescent="0.25">
      <c r="A4091" s="67"/>
      <c r="B4091" s="67"/>
    </row>
    <row r="4092" spans="1:2" x14ac:dyDescent="0.25">
      <c r="A4092" s="67"/>
      <c r="B4092" s="67"/>
    </row>
    <row r="4093" spans="1:2" x14ac:dyDescent="0.25">
      <c r="A4093" s="67"/>
      <c r="B4093" s="67"/>
    </row>
    <row r="4094" spans="1:2" x14ac:dyDescent="0.25">
      <c r="A4094" s="67"/>
      <c r="B4094" s="67"/>
    </row>
    <row r="4095" spans="1:2" x14ac:dyDescent="0.25">
      <c r="A4095" s="67"/>
      <c r="B4095" s="67"/>
    </row>
    <row r="4096" spans="1:2" x14ac:dyDescent="0.25">
      <c r="A4096" s="67"/>
      <c r="B4096" s="67"/>
    </row>
    <row r="4097" spans="1:2" x14ac:dyDescent="0.25">
      <c r="A4097" s="67"/>
      <c r="B4097" s="67"/>
    </row>
    <row r="4098" spans="1:2" x14ac:dyDescent="0.25">
      <c r="A4098" s="67"/>
      <c r="B4098" s="67"/>
    </row>
    <row r="4099" spans="1:2" x14ac:dyDescent="0.25">
      <c r="A4099" s="67"/>
      <c r="B4099" s="67"/>
    </row>
    <row r="4100" spans="1:2" x14ac:dyDescent="0.25">
      <c r="A4100" s="67"/>
      <c r="B4100" s="67"/>
    </row>
    <row r="4101" spans="1:2" x14ac:dyDescent="0.25">
      <c r="A4101" s="67"/>
      <c r="B4101" s="67"/>
    </row>
    <row r="4102" spans="1:2" x14ac:dyDescent="0.25">
      <c r="A4102" s="67"/>
      <c r="B4102" s="67"/>
    </row>
    <row r="4103" spans="1:2" x14ac:dyDescent="0.25">
      <c r="A4103" s="67"/>
      <c r="B4103" s="67"/>
    </row>
    <row r="4104" spans="1:2" x14ac:dyDescent="0.25">
      <c r="A4104" s="67"/>
      <c r="B4104" s="67"/>
    </row>
    <row r="4105" spans="1:2" x14ac:dyDescent="0.25">
      <c r="A4105" s="67"/>
      <c r="B4105" s="67"/>
    </row>
    <row r="4106" spans="1:2" x14ac:dyDescent="0.25">
      <c r="A4106" s="67"/>
      <c r="B4106" s="67"/>
    </row>
    <row r="4107" spans="1:2" x14ac:dyDescent="0.25">
      <c r="A4107" s="67"/>
      <c r="B4107" s="67"/>
    </row>
    <row r="4108" spans="1:2" x14ac:dyDescent="0.25">
      <c r="A4108" s="67"/>
      <c r="B4108" s="67"/>
    </row>
    <row r="4109" spans="1:2" x14ac:dyDescent="0.25">
      <c r="A4109" s="67"/>
      <c r="B4109" s="67"/>
    </row>
    <row r="4110" spans="1:2" x14ac:dyDescent="0.25">
      <c r="A4110" s="67"/>
      <c r="B4110" s="67"/>
    </row>
    <row r="4111" spans="1:2" x14ac:dyDescent="0.25">
      <c r="A4111" s="67"/>
      <c r="B4111" s="67"/>
    </row>
    <row r="4112" spans="1:2" x14ac:dyDescent="0.25">
      <c r="A4112" s="67"/>
      <c r="B4112" s="67"/>
    </row>
    <row r="4113" spans="1:2" x14ac:dyDescent="0.25">
      <c r="A4113" s="67"/>
      <c r="B4113" s="67"/>
    </row>
    <row r="4114" spans="1:2" x14ac:dyDescent="0.25">
      <c r="A4114" s="67"/>
      <c r="B4114" s="67"/>
    </row>
    <row r="4115" spans="1:2" x14ac:dyDescent="0.25">
      <c r="A4115" s="67"/>
      <c r="B4115" s="67"/>
    </row>
    <row r="4116" spans="1:2" x14ac:dyDescent="0.25">
      <c r="A4116" s="67"/>
      <c r="B4116" s="67"/>
    </row>
    <row r="4117" spans="1:2" x14ac:dyDescent="0.25">
      <c r="A4117" s="67"/>
      <c r="B4117" s="67"/>
    </row>
    <row r="4118" spans="1:2" x14ac:dyDescent="0.25">
      <c r="A4118" s="67"/>
      <c r="B4118" s="67"/>
    </row>
    <row r="4119" spans="1:2" x14ac:dyDescent="0.25">
      <c r="A4119" s="67"/>
      <c r="B4119" s="67"/>
    </row>
    <row r="4120" spans="1:2" x14ac:dyDescent="0.25">
      <c r="A4120" s="67"/>
      <c r="B4120" s="67"/>
    </row>
    <row r="4121" spans="1:2" x14ac:dyDescent="0.25">
      <c r="A4121" s="67"/>
      <c r="B4121" s="67"/>
    </row>
    <row r="4122" spans="1:2" x14ac:dyDescent="0.25">
      <c r="A4122" s="67"/>
      <c r="B4122" s="67"/>
    </row>
    <row r="4123" spans="1:2" x14ac:dyDescent="0.25">
      <c r="A4123" s="67"/>
      <c r="B4123" s="67"/>
    </row>
    <row r="4124" spans="1:2" x14ac:dyDescent="0.25">
      <c r="A4124" s="67"/>
      <c r="B4124" s="67"/>
    </row>
    <row r="4125" spans="1:2" x14ac:dyDescent="0.25">
      <c r="A4125" s="67"/>
      <c r="B4125" s="67"/>
    </row>
    <row r="4126" spans="1:2" x14ac:dyDescent="0.25">
      <c r="A4126" s="67"/>
      <c r="B4126" s="67"/>
    </row>
    <row r="4127" spans="1:2" x14ac:dyDescent="0.25">
      <c r="A4127" s="67"/>
      <c r="B4127" s="67"/>
    </row>
    <row r="4128" spans="1:2" x14ac:dyDescent="0.25">
      <c r="A4128" s="67"/>
      <c r="B4128" s="67"/>
    </row>
    <row r="4129" spans="1:2" x14ac:dyDescent="0.25">
      <c r="A4129" s="67"/>
      <c r="B4129" s="67"/>
    </row>
    <row r="4130" spans="1:2" x14ac:dyDescent="0.25">
      <c r="A4130" s="67"/>
      <c r="B4130" s="67"/>
    </row>
    <row r="4131" spans="1:2" x14ac:dyDescent="0.25">
      <c r="A4131" s="67"/>
      <c r="B4131" s="67"/>
    </row>
    <row r="4132" spans="1:2" x14ac:dyDescent="0.25">
      <c r="A4132" s="67"/>
      <c r="B4132" s="67"/>
    </row>
    <row r="4133" spans="1:2" x14ac:dyDescent="0.25">
      <c r="A4133" s="67"/>
      <c r="B4133" s="67"/>
    </row>
    <row r="4134" spans="1:2" x14ac:dyDescent="0.25">
      <c r="A4134" s="67"/>
      <c r="B4134" s="67"/>
    </row>
    <row r="4135" spans="1:2" x14ac:dyDescent="0.25">
      <c r="A4135" s="67"/>
      <c r="B4135" s="67"/>
    </row>
    <row r="4136" spans="1:2" x14ac:dyDescent="0.25">
      <c r="A4136" s="67"/>
      <c r="B4136" s="67"/>
    </row>
    <row r="4137" spans="1:2" x14ac:dyDescent="0.25">
      <c r="A4137" s="67"/>
      <c r="B4137" s="67"/>
    </row>
    <row r="4138" spans="1:2" x14ac:dyDescent="0.25">
      <c r="A4138" s="67"/>
      <c r="B4138" s="67"/>
    </row>
    <row r="4139" spans="1:2" x14ac:dyDescent="0.25">
      <c r="A4139" s="67"/>
      <c r="B4139" s="67"/>
    </row>
    <row r="4140" spans="1:2" x14ac:dyDescent="0.25">
      <c r="A4140" s="67"/>
      <c r="B4140" s="67"/>
    </row>
    <row r="4141" spans="1:2" x14ac:dyDescent="0.25">
      <c r="A4141" s="67"/>
      <c r="B4141" s="67"/>
    </row>
    <row r="4142" spans="1:2" x14ac:dyDescent="0.25">
      <c r="A4142" s="67"/>
      <c r="B4142" s="67"/>
    </row>
    <row r="4143" spans="1:2" x14ac:dyDescent="0.25">
      <c r="A4143" s="67"/>
      <c r="B4143" s="67"/>
    </row>
    <row r="4144" spans="1:2" x14ac:dyDescent="0.25">
      <c r="A4144" s="67"/>
      <c r="B4144" s="67"/>
    </row>
    <row r="4145" spans="1:2" x14ac:dyDescent="0.25">
      <c r="A4145" s="67"/>
      <c r="B4145" s="67"/>
    </row>
    <row r="4146" spans="1:2" x14ac:dyDescent="0.25">
      <c r="A4146" s="67"/>
      <c r="B4146" s="67"/>
    </row>
    <row r="4147" spans="1:2" x14ac:dyDescent="0.25">
      <c r="A4147" s="67"/>
      <c r="B4147" s="67"/>
    </row>
    <row r="4148" spans="1:2" x14ac:dyDescent="0.25">
      <c r="A4148" s="67"/>
      <c r="B4148" s="67"/>
    </row>
    <row r="4149" spans="1:2" x14ac:dyDescent="0.25">
      <c r="A4149" s="67"/>
      <c r="B4149" s="67"/>
    </row>
    <row r="4150" spans="1:2" x14ac:dyDescent="0.25">
      <c r="A4150" s="67"/>
      <c r="B4150" s="67"/>
    </row>
    <row r="4151" spans="1:2" x14ac:dyDescent="0.25">
      <c r="A4151" s="67"/>
      <c r="B4151" s="67"/>
    </row>
    <row r="4152" spans="1:2" x14ac:dyDescent="0.25">
      <c r="A4152" s="67"/>
      <c r="B4152" s="67"/>
    </row>
    <row r="4153" spans="1:2" x14ac:dyDescent="0.25">
      <c r="A4153" s="67"/>
      <c r="B4153" s="67"/>
    </row>
    <row r="4154" spans="1:2" x14ac:dyDescent="0.25">
      <c r="A4154" s="67"/>
      <c r="B4154" s="67"/>
    </row>
    <row r="4155" spans="1:2" x14ac:dyDescent="0.25">
      <c r="A4155" s="67"/>
      <c r="B4155" s="67"/>
    </row>
    <row r="4156" spans="1:2" x14ac:dyDescent="0.25">
      <c r="A4156" s="67"/>
      <c r="B4156" s="67"/>
    </row>
    <row r="4157" spans="1:2" x14ac:dyDescent="0.25">
      <c r="A4157" s="67"/>
      <c r="B4157" s="67"/>
    </row>
    <row r="4158" spans="1:2" x14ac:dyDescent="0.25">
      <c r="A4158" s="67"/>
      <c r="B4158" s="67"/>
    </row>
    <row r="4159" spans="1:2" x14ac:dyDescent="0.25">
      <c r="A4159" s="67"/>
      <c r="B4159" s="67"/>
    </row>
    <row r="4160" spans="1:2" x14ac:dyDescent="0.25">
      <c r="A4160" s="67"/>
      <c r="B4160" s="67"/>
    </row>
    <row r="4161" spans="1:2" x14ac:dyDescent="0.25">
      <c r="A4161" s="67"/>
      <c r="B4161" s="67"/>
    </row>
    <row r="4162" spans="1:2" x14ac:dyDescent="0.25">
      <c r="A4162" s="67"/>
      <c r="B4162" s="67"/>
    </row>
    <row r="4163" spans="1:2" x14ac:dyDescent="0.25">
      <c r="A4163" s="67"/>
      <c r="B4163" s="67"/>
    </row>
    <row r="4164" spans="1:2" x14ac:dyDescent="0.25">
      <c r="A4164" s="67"/>
      <c r="B4164" s="67"/>
    </row>
    <row r="4165" spans="1:2" x14ac:dyDescent="0.25">
      <c r="A4165" s="67"/>
      <c r="B4165" s="67"/>
    </row>
    <row r="4166" spans="1:2" x14ac:dyDescent="0.25">
      <c r="A4166" s="67"/>
      <c r="B4166" s="67"/>
    </row>
    <row r="4167" spans="1:2" x14ac:dyDescent="0.25">
      <c r="A4167" s="67"/>
      <c r="B4167" s="67"/>
    </row>
    <row r="4168" spans="1:2" x14ac:dyDescent="0.25">
      <c r="A4168" s="67"/>
      <c r="B4168" s="67"/>
    </row>
    <row r="4169" spans="1:2" x14ac:dyDescent="0.25">
      <c r="A4169" s="67"/>
      <c r="B4169" s="67"/>
    </row>
    <row r="4170" spans="1:2" x14ac:dyDescent="0.25">
      <c r="A4170" s="67"/>
      <c r="B4170" s="67"/>
    </row>
    <row r="4171" spans="1:2" x14ac:dyDescent="0.25">
      <c r="A4171" s="67"/>
      <c r="B4171" s="67"/>
    </row>
    <row r="4172" spans="1:2" x14ac:dyDescent="0.25">
      <c r="A4172" s="67"/>
      <c r="B4172" s="67"/>
    </row>
    <row r="4173" spans="1:2" x14ac:dyDescent="0.25">
      <c r="A4173" s="67"/>
      <c r="B4173" s="67"/>
    </row>
    <row r="4174" spans="1:2" x14ac:dyDescent="0.25">
      <c r="A4174" s="67"/>
      <c r="B4174" s="67"/>
    </row>
    <row r="4175" spans="1:2" x14ac:dyDescent="0.25">
      <c r="A4175" s="67"/>
      <c r="B4175" s="67"/>
    </row>
    <row r="4176" spans="1:2" x14ac:dyDescent="0.25">
      <c r="A4176" s="67"/>
      <c r="B4176" s="67"/>
    </row>
    <row r="4177" spans="1:2" x14ac:dyDescent="0.25">
      <c r="A4177" s="67"/>
      <c r="B4177" s="67"/>
    </row>
    <row r="4178" spans="1:2" x14ac:dyDescent="0.25">
      <c r="A4178" s="67"/>
      <c r="B4178" s="67"/>
    </row>
    <row r="4179" spans="1:2" x14ac:dyDescent="0.25">
      <c r="A4179" s="67"/>
      <c r="B4179" s="67"/>
    </row>
    <row r="4180" spans="1:2" x14ac:dyDescent="0.25">
      <c r="A4180" s="67"/>
      <c r="B4180" s="67"/>
    </row>
    <row r="4181" spans="1:2" x14ac:dyDescent="0.25">
      <c r="A4181" s="67"/>
      <c r="B4181" s="67"/>
    </row>
    <row r="4182" spans="1:2" x14ac:dyDescent="0.25">
      <c r="A4182" s="67"/>
      <c r="B4182" s="67"/>
    </row>
    <row r="4183" spans="1:2" x14ac:dyDescent="0.25">
      <c r="A4183" s="67"/>
      <c r="B4183" s="67"/>
    </row>
    <row r="4184" spans="1:2" x14ac:dyDescent="0.25">
      <c r="A4184" s="67"/>
      <c r="B4184" s="67"/>
    </row>
    <row r="4185" spans="1:2" x14ac:dyDescent="0.25">
      <c r="A4185" s="67"/>
      <c r="B4185" s="67"/>
    </row>
    <row r="4186" spans="1:2" x14ac:dyDescent="0.25">
      <c r="A4186" s="67"/>
      <c r="B4186" s="67"/>
    </row>
    <row r="4187" spans="1:2" x14ac:dyDescent="0.25">
      <c r="A4187" s="67"/>
      <c r="B4187" s="67"/>
    </row>
    <row r="4188" spans="1:2" x14ac:dyDescent="0.25">
      <c r="A4188" s="67"/>
      <c r="B4188" s="67"/>
    </row>
    <row r="4189" spans="1:2" x14ac:dyDescent="0.25">
      <c r="A4189" s="67"/>
      <c r="B4189" s="67"/>
    </row>
    <row r="4190" spans="1:2" x14ac:dyDescent="0.25">
      <c r="A4190" s="67"/>
      <c r="B4190" s="67"/>
    </row>
    <row r="4191" spans="1:2" x14ac:dyDescent="0.25">
      <c r="A4191" s="67"/>
      <c r="B4191" s="67"/>
    </row>
    <row r="4192" spans="1:2" x14ac:dyDescent="0.25">
      <c r="A4192" s="67"/>
      <c r="B4192" s="67"/>
    </row>
    <row r="4193" spans="1:2" x14ac:dyDescent="0.25">
      <c r="A4193" s="67"/>
      <c r="B4193" s="67"/>
    </row>
    <row r="4194" spans="1:2" x14ac:dyDescent="0.25">
      <c r="A4194" s="67"/>
      <c r="B4194" s="67"/>
    </row>
    <row r="4195" spans="1:2" x14ac:dyDescent="0.25">
      <c r="A4195" s="67"/>
      <c r="B4195" s="67"/>
    </row>
    <row r="4196" spans="1:2" x14ac:dyDescent="0.25">
      <c r="A4196" s="67"/>
      <c r="B4196" s="67"/>
    </row>
    <row r="4197" spans="1:2" x14ac:dyDescent="0.25">
      <c r="A4197" s="67"/>
      <c r="B4197" s="67"/>
    </row>
    <row r="4198" spans="1:2" x14ac:dyDescent="0.25">
      <c r="A4198" s="67"/>
      <c r="B4198" s="67"/>
    </row>
    <row r="4199" spans="1:2" x14ac:dyDescent="0.25">
      <c r="A4199" s="67"/>
      <c r="B4199" s="67"/>
    </row>
    <row r="4200" spans="1:2" x14ac:dyDescent="0.25">
      <c r="A4200" s="67"/>
      <c r="B4200" s="67"/>
    </row>
    <row r="4201" spans="1:2" x14ac:dyDescent="0.25">
      <c r="A4201" s="67"/>
      <c r="B4201" s="67"/>
    </row>
    <row r="4202" spans="1:2" x14ac:dyDescent="0.25">
      <c r="A4202" s="67"/>
      <c r="B4202" s="67"/>
    </row>
    <row r="4203" spans="1:2" x14ac:dyDescent="0.25">
      <c r="A4203" s="67"/>
      <c r="B4203" s="67"/>
    </row>
    <row r="4204" spans="1:2" x14ac:dyDescent="0.25">
      <c r="A4204" s="67"/>
      <c r="B4204" s="67"/>
    </row>
    <row r="4205" spans="1:2" x14ac:dyDescent="0.25">
      <c r="A4205" s="67"/>
      <c r="B4205" s="67"/>
    </row>
    <row r="4206" spans="1:2" x14ac:dyDescent="0.25">
      <c r="A4206" s="67"/>
      <c r="B4206" s="67"/>
    </row>
    <row r="4207" spans="1:2" x14ac:dyDescent="0.25">
      <c r="A4207" s="67"/>
      <c r="B4207" s="67"/>
    </row>
    <row r="4208" spans="1:2" x14ac:dyDescent="0.25">
      <c r="A4208" s="67"/>
      <c r="B4208" s="67"/>
    </row>
    <row r="4209" spans="1:2" x14ac:dyDescent="0.25">
      <c r="A4209" s="67"/>
      <c r="B4209" s="67"/>
    </row>
    <row r="4210" spans="1:2" x14ac:dyDescent="0.25">
      <c r="A4210" s="67"/>
      <c r="B4210" s="67"/>
    </row>
    <row r="4211" spans="1:2" x14ac:dyDescent="0.25">
      <c r="A4211" s="67"/>
      <c r="B4211" s="67"/>
    </row>
    <row r="4212" spans="1:2" x14ac:dyDescent="0.25">
      <c r="A4212" s="67"/>
      <c r="B4212" s="67"/>
    </row>
    <row r="4213" spans="1:2" x14ac:dyDescent="0.25">
      <c r="A4213" s="67"/>
      <c r="B4213" s="67"/>
    </row>
    <row r="4214" spans="1:2" x14ac:dyDescent="0.25">
      <c r="A4214" s="67"/>
      <c r="B4214" s="67"/>
    </row>
    <row r="4215" spans="1:2" x14ac:dyDescent="0.25">
      <c r="A4215" s="67"/>
      <c r="B4215" s="67"/>
    </row>
    <row r="4216" spans="1:2" x14ac:dyDescent="0.25">
      <c r="A4216" s="67"/>
      <c r="B4216" s="67"/>
    </row>
    <row r="4217" spans="1:2" x14ac:dyDescent="0.25">
      <c r="A4217" s="67"/>
      <c r="B4217" s="67"/>
    </row>
    <row r="4218" spans="1:2" x14ac:dyDescent="0.25">
      <c r="A4218" s="67"/>
      <c r="B4218" s="67"/>
    </row>
    <row r="4219" spans="1:2" x14ac:dyDescent="0.25">
      <c r="A4219" s="67"/>
      <c r="B4219" s="67"/>
    </row>
    <row r="4220" spans="1:2" x14ac:dyDescent="0.25">
      <c r="A4220" s="67"/>
      <c r="B4220" s="67"/>
    </row>
    <row r="4221" spans="1:2" x14ac:dyDescent="0.25">
      <c r="A4221" s="67"/>
      <c r="B4221" s="67"/>
    </row>
    <row r="4222" spans="1:2" x14ac:dyDescent="0.25">
      <c r="A4222" s="67"/>
      <c r="B4222" s="67"/>
    </row>
    <row r="4223" spans="1:2" x14ac:dyDescent="0.25">
      <c r="A4223" s="67"/>
      <c r="B4223" s="67"/>
    </row>
    <row r="4224" spans="1:2" x14ac:dyDescent="0.25">
      <c r="A4224" s="67"/>
      <c r="B4224" s="67"/>
    </row>
    <row r="4225" spans="1:2" x14ac:dyDescent="0.25">
      <c r="A4225" s="67"/>
      <c r="B4225" s="67"/>
    </row>
    <row r="4226" spans="1:2" x14ac:dyDescent="0.25">
      <c r="A4226" s="67"/>
      <c r="B4226" s="67"/>
    </row>
    <row r="4227" spans="1:2" x14ac:dyDescent="0.25">
      <c r="A4227" s="67"/>
      <c r="B4227" s="67"/>
    </row>
    <row r="4228" spans="1:2" x14ac:dyDescent="0.25">
      <c r="A4228" s="67"/>
      <c r="B4228" s="67"/>
    </row>
    <row r="4229" spans="1:2" x14ac:dyDescent="0.25">
      <c r="A4229" s="67"/>
      <c r="B4229" s="67"/>
    </row>
    <row r="4230" spans="1:2" x14ac:dyDescent="0.25">
      <c r="A4230" s="67"/>
      <c r="B4230" s="67"/>
    </row>
    <row r="4231" spans="1:2" x14ac:dyDescent="0.25">
      <c r="A4231" s="67"/>
      <c r="B4231" s="67"/>
    </row>
    <row r="4232" spans="1:2" x14ac:dyDescent="0.25">
      <c r="A4232" s="67"/>
      <c r="B4232" s="67"/>
    </row>
    <row r="4233" spans="1:2" x14ac:dyDescent="0.25">
      <c r="A4233" s="67"/>
      <c r="B4233" s="67"/>
    </row>
    <row r="4234" spans="1:2" x14ac:dyDescent="0.25">
      <c r="A4234" s="67"/>
      <c r="B4234" s="67"/>
    </row>
    <row r="4235" spans="1:2" x14ac:dyDescent="0.25">
      <c r="A4235" s="67"/>
      <c r="B4235" s="67"/>
    </row>
    <row r="4236" spans="1:2" x14ac:dyDescent="0.25">
      <c r="A4236" s="67"/>
      <c r="B4236" s="67"/>
    </row>
    <row r="4237" spans="1:2" x14ac:dyDescent="0.25">
      <c r="A4237" s="67"/>
      <c r="B4237" s="67"/>
    </row>
    <row r="4238" spans="1:2" x14ac:dyDescent="0.25">
      <c r="A4238" s="67"/>
      <c r="B4238" s="67"/>
    </row>
    <row r="4239" spans="1:2" x14ac:dyDescent="0.25">
      <c r="A4239" s="67"/>
      <c r="B4239" s="67"/>
    </row>
    <row r="4240" spans="1:2" x14ac:dyDescent="0.25">
      <c r="A4240" s="67"/>
      <c r="B4240" s="67"/>
    </row>
    <row r="4241" spans="1:2" x14ac:dyDescent="0.25">
      <c r="A4241" s="67"/>
      <c r="B4241" s="67"/>
    </row>
    <row r="4242" spans="1:2" x14ac:dyDescent="0.25">
      <c r="A4242" s="67"/>
      <c r="B4242" s="67"/>
    </row>
    <row r="4243" spans="1:2" x14ac:dyDescent="0.25">
      <c r="A4243" s="67"/>
      <c r="B4243" s="67"/>
    </row>
    <row r="4244" spans="1:2" x14ac:dyDescent="0.25">
      <c r="A4244" s="67"/>
      <c r="B4244" s="67"/>
    </row>
    <row r="4245" spans="1:2" x14ac:dyDescent="0.25">
      <c r="A4245" s="67"/>
      <c r="B4245" s="67"/>
    </row>
    <row r="4246" spans="1:2" x14ac:dyDescent="0.25">
      <c r="A4246" s="67"/>
      <c r="B4246" s="67"/>
    </row>
    <row r="4247" spans="1:2" x14ac:dyDescent="0.25">
      <c r="A4247" s="67"/>
      <c r="B4247" s="67"/>
    </row>
    <row r="4248" spans="1:2" x14ac:dyDescent="0.25">
      <c r="A4248" s="67"/>
      <c r="B4248" s="67"/>
    </row>
    <row r="4249" spans="1:2" x14ac:dyDescent="0.25">
      <c r="A4249" s="67"/>
      <c r="B4249" s="67"/>
    </row>
    <row r="4250" spans="1:2" x14ac:dyDescent="0.25">
      <c r="A4250" s="67"/>
      <c r="B4250" s="67"/>
    </row>
    <row r="4251" spans="1:2" x14ac:dyDescent="0.25">
      <c r="A4251" s="67"/>
      <c r="B4251" s="67"/>
    </row>
    <row r="4252" spans="1:2" x14ac:dyDescent="0.25">
      <c r="A4252" s="67"/>
      <c r="B4252" s="67"/>
    </row>
    <row r="4253" spans="1:2" x14ac:dyDescent="0.25">
      <c r="A4253" s="67"/>
      <c r="B4253" s="67"/>
    </row>
    <row r="4254" spans="1:2" x14ac:dyDescent="0.25">
      <c r="A4254" s="67"/>
      <c r="B4254" s="67"/>
    </row>
    <row r="4255" spans="1:2" x14ac:dyDescent="0.25">
      <c r="A4255" s="67"/>
      <c r="B4255" s="67"/>
    </row>
    <row r="4256" spans="1:2" x14ac:dyDescent="0.25">
      <c r="A4256" s="67"/>
      <c r="B4256" s="67"/>
    </row>
    <row r="4257" spans="1:2" x14ac:dyDescent="0.25">
      <c r="A4257" s="67"/>
      <c r="B4257" s="67"/>
    </row>
    <row r="4258" spans="1:2" x14ac:dyDescent="0.25">
      <c r="A4258" s="67"/>
      <c r="B4258" s="67"/>
    </row>
    <row r="4259" spans="1:2" x14ac:dyDescent="0.25">
      <c r="A4259" s="67"/>
      <c r="B4259" s="67"/>
    </row>
    <row r="4260" spans="1:2" x14ac:dyDescent="0.25">
      <c r="A4260" s="67"/>
      <c r="B4260" s="67"/>
    </row>
    <row r="4261" spans="1:2" x14ac:dyDescent="0.25">
      <c r="A4261" s="67"/>
      <c r="B4261" s="67"/>
    </row>
    <row r="4262" spans="1:2" x14ac:dyDescent="0.25">
      <c r="A4262" s="67"/>
      <c r="B4262" s="67"/>
    </row>
    <row r="4263" spans="1:2" x14ac:dyDescent="0.25">
      <c r="A4263" s="67"/>
      <c r="B4263" s="67"/>
    </row>
    <row r="4264" spans="1:2" x14ac:dyDescent="0.25">
      <c r="A4264" s="67"/>
      <c r="B4264" s="67"/>
    </row>
    <row r="4265" spans="1:2" x14ac:dyDescent="0.25">
      <c r="A4265" s="67"/>
      <c r="B4265" s="67"/>
    </row>
    <row r="4266" spans="1:2" x14ac:dyDescent="0.25">
      <c r="A4266" s="67"/>
      <c r="B4266" s="67"/>
    </row>
    <row r="4267" spans="1:2" x14ac:dyDescent="0.25">
      <c r="A4267" s="67"/>
      <c r="B4267" s="67"/>
    </row>
    <row r="4268" spans="1:2" x14ac:dyDescent="0.25">
      <c r="A4268" s="67"/>
      <c r="B4268" s="67"/>
    </row>
    <row r="4269" spans="1:2" x14ac:dyDescent="0.25">
      <c r="A4269" s="67"/>
      <c r="B4269" s="67"/>
    </row>
    <row r="4270" spans="1:2" x14ac:dyDescent="0.25">
      <c r="A4270" s="67"/>
      <c r="B4270" s="67"/>
    </row>
    <row r="4271" spans="1:2" x14ac:dyDescent="0.25">
      <c r="A4271" s="67"/>
      <c r="B4271" s="67"/>
    </row>
    <row r="4272" spans="1:2" x14ac:dyDescent="0.25">
      <c r="A4272" s="67"/>
      <c r="B4272" s="67"/>
    </row>
    <row r="4273" spans="1:2" x14ac:dyDescent="0.25">
      <c r="A4273" s="67"/>
      <c r="B4273" s="67"/>
    </row>
    <row r="4274" spans="1:2" x14ac:dyDescent="0.25">
      <c r="A4274" s="67"/>
      <c r="B4274" s="67"/>
    </row>
    <row r="4275" spans="1:2" x14ac:dyDescent="0.25">
      <c r="A4275" s="67"/>
      <c r="B4275" s="67"/>
    </row>
    <row r="4276" spans="1:2" x14ac:dyDescent="0.25">
      <c r="A4276" s="67"/>
      <c r="B4276" s="67"/>
    </row>
    <row r="4277" spans="1:2" x14ac:dyDescent="0.25">
      <c r="A4277" s="67"/>
      <c r="B4277" s="67"/>
    </row>
    <row r="4278" spans="1:2" x14ac:dyDescent="0.25">
      <c r="A4278" s="67"/>
      <c r="B4278" s="67"/>
    </row>
    <row r="4279" spans="1:2" x14ac:dyDescent="0.25">
      <c r="A4279" s="67"/>
      <c r="B4279" s="67"/>
    </row>
    <row r="4280" spans="1:2" x14ac:dyDescent="0.25">
      <c r="A4280" s="67"/>
      <c r="B4280" s="67"/>
    </row>
    <row r="4281" spans="1:2" x14ac:dyDescent="0.25">
      <c r="A4281" s="67"/>
      <c r="B4281" s="67"/>
    </row>
    <row r="4282" spans="1:2" x14ac:dyDescent="0.25">
      <c r="A4282" s="67"/>
      <c r="B4282" s="67"/>
    </row>
    <row r="4283" spans="1:2" x14ac:dyDescent="0.25">
      <c r="A4283" s="67"/>
      <c r="B4283" s="67"/>
    </row>
    <row r="4284" spans="1:2" x14ac:dyDescent="0.25">
      <c r="A4284" s="67"/>
      <c r="B4284" s="67"/>
    </row>
    <row r="4285" spans="1:2" x14ac:dyDescent="0.25">
      <c r="A4285" s="67"/>
      <c r="B4285" s="67"/>
    </row>
    <row r="4286" spans="1:2" x14ac:dyDescent="0.25">
      <c r="A4286" s="67"/>
      <c r="B4286" s="67"/>
    </row>
    <row r="4287" spans="1:2" x14ac:dyDescent="0.25">
      <c r="A4287" s="67"/>
      <c r="B4287" s="67"/>
    </row>
    <row r="4288" spans="1:2" x14ac:dyDescent="0.25">
      <c r="A4288" s="67"/>
      <c r="B4288" s="67"/>
    </row>
    <row r="4289" spans="1:2" x14ac:dyDescent="0.25">
      <c r="A4289" s="67"/>
      <c r="B4289" s="67"/>
    </row>
    <row r="4290" spans="1:2" x14ac:dyDescent="0.25">
      <c r="A4290" s="67"/>
      <c r="B4290" s="67"/>
    </row>
    <row r="4291" spans="1:2" x14ac:dyDescent="0.25">
      <c r="A4291" s="67"/>
      <c r="B4291" s="67"/>
    </row>
    <row r="4292" spans="1:2" x14ac:dyDescent="0.25">
      <c r="A4292" s="67"/>
      <c r="B4292" s="67"/>
    </row>
    <row r="4293" spans="1:2" x14ac:dyDescent="0.25">
      <c r="A4293" s="67"/>
      <c r="B4293" s="67"/>
    </row>
    <row r="4294" spans="1:2" x14ac:dyDescent="0.25">
      <c r="A4294" s="67"/>
      <c r="B4294" s="67"/>
    </row>
    <row r="4295" spans="1:2" x14ac:dyDescent="0.25">
      <c r="A4295" s="67"/>
      <c r="B4295" s="67"/>
    </row>
    <row r="4296" spans="1:2" x14ac:dyDescent="0.25">
      <c r="A4296" s="67"/>
      <c r="B4296" s="67"/>
    </row>
    <row r="4297" spans="1:2" x14ac:dyDescent="0.25">
      <c r="A4297" s="67"/>
      <c r="B4297" s="67"/>
    </row>
    <row r="4298" spans="1:2" x14ac:dyDescent="0.25">
      <c r="A4298" s="67"/>
      <c r="B4298" s="67"/>
    </row>
    <row r="4299" spans="1:2" x14ac:dyDescent="0.25">
      <c r="A4299" s="67"/>
      <c r="B4299" s="67"/>
    </row>
    <row r="4300" spans="1:2" x14ac:dyDescent="0.25">
      <c r="A4300" s="67"/>
      <c r="B4300" s="67"/>
    </row>
    <row r="4301" spans="1:2" x14ac:dyDescent="0.25">
      <c r="A4301" s="67"/>
      <c r="B4301" s="67"/>
    </row>
    <row r="4302" spans="1:2" x14ac:dyDescent="0.25">
      <c r="A4302" s="67"/>
      <c r="B4302" s="67"/>
    </row>
    <row r="4303" spans="1:2" x14ac:dyDescent="0.25">
      <c r="A4303" s="67"/>
      <c r="B4303" s="67"/>
    </row>
    <row r="4304" spans="1:2" x14ac:dyDescent="0.25">
      <c r="A4304" s="67"/>
      <c r="B4304" s="67"/>
    </row>
    <row r="4305" spans="1:2" x14ac:dyDescent="0.25">
      <c r="A4305" s="67"/>
      <c r="B4305" s="67"/>
    </row>
    <row r="4306" spans="1:2" x14ac:dyDescent="0.25">
      <c r="A4306" s="67"/>
      <c r="B4306" s="67"/>
    </row>
    <row r="4307" spans="1:2" x14ac:dyDescent="0.25">
      <c r="A4307" s="67"/>
      <c r="B4307" s="67"/>
    </row>
    <row r="4308" spans="1:2" x14ac:dyDescent="0.25">
      <c r="A4308" s="67"/>
      <c r="B4308" s="67"/>
    </row>
    <row r="4309" spans="1:2" x14ac:dyDescent="0.25">
      <c r="A4309" s="67"/>
      <c r="B4309" s="67"/>
    </row>
    <row r="4310" spans="1:2" x14ac:dyDescent="0.25">
      <c r="A4310" s="67"/>
      <c r="B4310" s="67"/>
    </row>
    <row r="4311" spans="1:2" x14ac:dyDescent="0.25">
      <c r="A4311" s="67"/>
      <c r="B4311" s="67"/>
    </row>
    <row r="4312" spans="1:2" x14ac:dyDescent="0.25">
      <c r="A4312" s="67"/>
      <c r="B4312" s="67"/>
    </row>
    <row r="4313" spans="1:2" x14ac:dyDescent="0.25">
      <c r="A4313" s="67"/>
      <c r="B4313" s="67"/>
    </row>
    <row r="4314" spans="1:2" x14ac:dyDescent="0.25">
      <c r="A4314" s="67"/>
      <c r="B4314" s="67"/>
    </row>
    <row r="4315" spans="1:2" x14ac:dyDescent="0.25">
      <c r="A4315" s="67"/>
      <c r="B4315" s="67"/>
    </row>
    <row r="4316" spans="1:2" x14ac:dyDescent="0.25">
      <c r="A4316" s="67"/>
      <c r="B4316" s="67"/>
    </row>
    <row r="4317" spans="1:2" x14ac:dyDescent="0.25">
      <c r="A4317" s="67"/>
      <c r="B4317" s="67"/>
    </row>
    <row r="4318" spans="1:2" x14ac:dyDescent="0.25">
      <c r="A4318" s="67"/>
      <c r="B4318" s="67"/>
    </row>
    <row r="4319" spans="1:2" x14ac:dyDescent="0.25">
      <c r="A4319" s="67"/>
      <c r="B4319" s="67"/>
    </row>
    <row r="4320" spans="1:2" x14ac:dyDescent="0.25">
      <c r="A4320" s="67"/>
      <c r="B4320" s="67"/>
    </row>
    <row r="4321" spans="1:2" x14ac:dyDescent="0.25">
      <c r="A4321" s="67"/>
      <c r="B4321" s="67"/>
    </row>
    <row r="4322" spans="1:2" x14ac:dyDescent="0.25">
      <c r="A4322" s="67"/>
      <c r="B4322" s="67"/>
    </row>
    <row r="4323" spans="1:2" x14ac:dyDescent="0.25">
      <c r="A4323" s="67"/>
      <c r="B4323" s="67"/>
    </row>
    <row r="4324" spans="1:2" x14ac:dyDescent="0.25">
      <c r="A4324" s="67"/>
      <c r="B4324" s="67"/>
    </row>
    <row r="4325" spans="1:2" x14ac:dyDescent="0.25">
      <c r="A4325" s="67"/>
      <c r="B4325" s="67"/>
    </row>
    <row r="4326" spans="1:2" x14ac:dyDescent="0.25">
      <c r="A4326" s="67"/>
      <c r="B4326" s="67"/>
    </row>
    <row r="4327" spans="1:2" x14ac:dyDescent="0.25">
      <c r="A4327" s="67"/>
      <c r="B4327" s="67"/>
    </row>
    <row r="4328" spans="1:2" x14ac:dyDescent="0.25">
      <c r="A4328" s="67"/>
      <c r="B4328" s="67"/>
    </row>
    <row r="4329" spans="1:2" x14ac:dyDescent="0.25">
      <c r="A4329" s="67"/>
      <c r="B4329" s="67"/>
    </row>
    <row r="4330" spans="1:2" x14ac:dyDescent="0.25">
      <c r="A4330" s="67"/>
      <c r="B4330" s="67"/>
    </row>
    <row r="4331" spans="1:2" x14ac:dyDescent="0.25">
      <c r="A4331" s="67"/>
      <c r="B4331" s="67"/>
    </row>
    <row r="4332" spans="1:2" x14ac:dyDescent="0.25">
      <c r="A4332" s="67"/>
      <c r="B4332" s="67"/>
    </row>
    <row r="4333" spans="1:2" x14ac:dyDescent="0.25">
      <c r="A4333" s="67"/>
      <c r="B4333" s="67"/>
    </row>
    <row r="4334" spans="1:2" x14ac:dyDescent="0.25">
      <c r="A4334" s="67"/>
      <c r="B4334" s="67"/>
    </row>
    <row r="4335" spans="1:2" x14ac:dyDescent="0.25">
      <c r="A4335" s="67"/>
      <c r="B4335" s="67"/>
    </row>
    <row r="4336" spans="1:2" x14ac:dyDescent="0.25">
      <c r="A4336" s="67"/>
      <c r="B4336" s="67"/>
    </row>
    <row r="4337" spans="1:2" x14ac:dyDescent="0.25">
      <c r="A4337" s="67"/>
      <c r="B4337" s="67"/>
    </row>
    <row r="4338" spans="1:2" x14ac:dyDescent="0.25">
      <c r="A4338" s="67"/>
      <c r="B4338" s="67"/>
    </row>
    <row r="4339" spans="1:2" x14ac:dyDescent="0.25">
      <c r="A4339" s="67"/>
      <c r="B4339" s="67"/>
    </row>
    <row r="4340" spans="1:2" x14ac:dyDescent="0.25">
      <c r="A4340" s="67"/>
      <c r="B4340" s="67"/>
    </row>
    <row r="4341" spans="1:2" x14ac:dyDescent="0.25">
      <c r="A4341" s="67"/>
      <c r="B4341" s="67"/>
    </row>
    <row r="4342" spans="1:2" x14ac:dyDescent="0.25">
      <c r="A4342" s="67"/>
      <c r="B4342" s="67"/>
    </row>
    <row r="4343" spans="1:2" x14ac:dyDescent="0.25">
      <c r="A4343" s="67"/>
      <c r="B4343" s="67"/>
    </row>
    <row r="4344" spans="1:2" x14ac:dyDescent="0.25">
      <c r="A4344" s="67"/>
      <c r="B4344" s="67"/>
    </row>
    <row r="4345" spans="1:2" x14ac:dyDescent="0.25">
      <c r="A4345" s="67"/>
      <c r="B4345" s="67"/>
    </row>
    <row r="4346" spans="1:2" x14ac:dyDescent="0.25">
      <c r="A4346" s="67"/>
      <c r="B4346" s="67"/>
    </row>
    <row r="4347" spans="1:2" x14ac:dyDescent="0.25">
      <c r="A4347" s="67"/>
      <c r="B4347" s="67"/>
    </row>
    <row r="4348" spans="1:2" x14ac:dyDescent="0.25">
      <c r="A4348" s="67"/>
      <c r="B4348" s="67"/>
    </row>
    <row r="4349" spans="1:2" x14ac:dyDescent="0.25">
      <c r="A4349" s="67"/>
      <c r="B4349" s="67"/>
    </row>
    <row r="4350" spans="1:2" x14ac:dyDescent="0.25">
      <c r="A4350" s="67"/>
      <c r="B4350" s="67"/>
    </row>
    <row r="4351" spans="1:2" x14ac:dyDescent="0.25">
      <c r="A4351" s="67"/>
      <c r="B4351" s="67"/>
    </row>
    <row r="4352" spans="1:2" x14ac:dyDescent="0.25">
      <c r="A4352" s="67"/>
      <c r="B4352" s="67"/>
    </row>
    <row r="4353" spans="1:2" x14ac:dyDescent="0.25">
      <c r="A4353" s="67"/>
      <c r="B4353" s="67"/>
    </row>
    <row r="4354" spans="1:2" x14ac:dyDescent="0.25">
      <c r="A4354" s="67"/>
      <c r="B4354" s="67"/>
    </row>
    <row r="4355" spans="1:2" x14ac:dyDescent="0.25">
      <c r="A4355" s="67"/>
      <c r="B4355" s="67"/>
    </row>
    <row r="4356" spans="1:2" x14ac:dyDescent="0.25">
      <c r="A4356" s="67"/>
      <c r="B4356" s="67"/>
    </row>
    <row r="4357" spans="1:2" x14ac:dyDescent="0.25">
      <c r="A4357" s="67"/>
      <c r="B4357" s="67"/>
    </row>
    <row r="4358" spans="1:2" x14ac:dyDescent="0.25">
      <c r="A4358" s="67"/>
      <c r="B4358" s="67"/>
    </row>
    <row r="4359" spans="1:2" x14ac:dyDescent="0.25">
      <c r="A4359" s="67"/>
      <c r="B4359" s="67"/>
    </row>
    <row r="4360" spans="1:2" x14ac:dyDescent="0.25">
      <c r="A4360" s="67"/>
      <c r="B4360" s="67"/>
    </row>
    <row r="4361" spans="1:2" x14ac:dyDescent="0.25">
      <c r="A4361" s="67"/>
      <c r="B4361" s="67"/>
    </row>
    <row r="4362" spans="1:2" x14ac:dyDescent="0.25">
      <c r="A4362" s="67"/>
      <c r="B4362" s="67"/>
    </row>
    <row r="4363" spans="1:2" x14ac:dyDescent="0.25">
      <c r="A4363" s="67"/>
      <c r="B4363" s="67"/>
    </row>
    <row r="4364" spans="1:2" x14ac:dyDescent="0.25">
      <c r="A4364" s="67"/>
      <c r="B4364" s="67"/>
    </row>
    <row r="4365" spans="1:2" x14ac:dyDescent="0.25">
      <c r="A4365" s="67"/>
      <c r="B4365" s="67"/>
    </row>
    <row r="4366" spans="1:2" x14ac:dyDescent="0.25">
      <c r="A4366" s="67"/>
      <c r="B4366" s="67"/>
    </row>
    <row r="4367" spans="1:2" x14ac:dyDescent="0.25">
      <c r="A4367" s="67"/>
      <c r="B4367" s="67"/>
    </row>
    <row r="4368" spans="1:2" x14ac:dyDescent="0.25">
      <c r="A4368" s="67"/>
      <c r="B4368" s="67"/>
    </row>
    <row r="4369" spans="1:2" x14ac:dyDescent="0.25">
      <c r="A4369" s="67"/>
      <c r="B4369" s="67"/>
    </row>
    <row r="4370" spans="1:2" x14ac:dyDescent="0.25">
      <c r="A4370" s="67"/>
      <c r="B4370" s="67"/>
    </row>
    <row r="4371" spans="1:2" x14ac:dyDescent="0.25">
      <c r="A4371" s="67"/>
      <c r="B4371" s="67"/>
    </row>
    <row r="4372" spans="1:2" x14ac:dyDescent="0.25">
      <c r="A4372" s="67"/>
      <c r="B4372" s="67"/>
    </row>
    <row r="4373" spans="1:2" x14ac:dyDescent="0.25">
      <c r="A4373" s="67"/>
      <c r="B4373" s="67"/>
    </row>
    <row r="4374" spans="1:2" x14ac:dyDescent="0.25">
      <c r="A4374" s="67"/>
      <c r="B4374" s="67"/>
    </row>
    <row r="4375" spans="1:2" x14ac:dyDescent="0.25">
      <c r="A4375" s="67"/>
      <c r="B4375" s="67"/>
    </row>
    <row r="4376" spans="1:2" x14ac:dyDescent="0.25">
      <c r="A4376" s="67"/>
      <c r="B4376" s="67"/>
    </row>
    <row r="4377" spans="1:2" x14ac:dyDescent="0.25">
      <c r="A4377" s="67"/>
      <c r="B4377" s="67"/>
    </row>
    <row r="4378" spans="1:2" x14ac:dyDescent="0.25">
      <c r="A4378" s="67"/>
      <c r="B4378" s="67"/>
    </row>
    <row r="4379" spans="1:2" x14ac:dyDescent="0.25">
      <c r="A4379" s="67"/>
      <c r="B4379" s="67"/>
    </row>
    <row r="4380" spans="1:2" x14ac:dyDescent="0.25">
      <c r="A4380" s="67"/>
      <c r="B4380" s="67"/>
    </row>
    <row r="4381" spans="1:2" x14ac:dyDescent="0.25">
      <c r="A4381" s="67"/>
      <c r="B4381" s="67"/>
    </row>
    <row r="4382" spans="1:2" x14ac:dyDescent="0.25">
      <c r="A4382" s="67"/>
      <c r="B4382" s="67"/>
    </row>
    <row r="4383" spans="1:2" x14ac:dyDescent="0.25">
      <c r="A4383" s="67"/>
      <c r="B4383" s="67"/>
    </row>
    <row r="4384" spans="1:2" x14ac:dyDescent="0.25">
      <c r="A4384" s="67"/>
      <c r="B4384" s="67"/>
    </row>
    <row r="4385" spans="1:2" x14ac:dyDescent="0.25">
      <c r="A4385" s="67"/>
      <c r="B4385" s="67"/>
    </row>
    <row r="4386" spans="1:2" x14ac:dyDescent="0.25">
      <c r="A4386" s="67"/>
      <c r="B4386" s="67"/>
    </row>
    <row r="4387" spans="1:2" x14ac:dyDescent="0.25">
      <c r="A4387" s="67"/>
      <c r="B4387" s="67"/>
    </row>
    <row r="4388" spans="1:2" x14ac:dyDescent="0.25">
      <c r="A4388" s="67"/>
      <c r="B4388" s="67"/>
    </row>
    <row r="4389" spans="1:2" x14ac:dyDescent="0.25">
      <c r="A4389" s="67"/>
      <c r="B4389" s="67"/>
    </row>
    <row r="4390" spans="1:2" x14ac:dyDescent="0.25">
      <c r="A4390" s="67"/>
      <c r="B4390" s="67"/>
    </row>
    <row r="4391" spans="1:2" x14ac:dyDescent="0.25">
      <c r="A4391" s="67"/>
      <c r="B4391" s="67"/>
    </row>
    <row r="4392" spans="1:2" x14ac:dyDescent="0.25">
      <c r="A4392" s="67"/>
      <c r="B4392" s="67"/>
    </row>
    <row r="4393" spans="1:2" x14ac:dyDescent="0.25">
      <c r="A4393" s="67"/>
      <c r="B4393" s="67"/>
    </row>
    <row r="4394" spans="1:2" x14ac:dyDescent="0.25">
      <c r="A4394" s="67"/>
      <c r="B4394" s="67"/>
    </row>
    <row r="4395" spans="1:2" x14ac:dyDescent="0.25">
      <c r="A4395" s="67"/>
      <c r="B4395" s="67"/>
    </row>
    <row r="4396" spans="1:2" x14ac:dyDescent="0.25">
      <c r="A4396" s="67"/>
      <c r="B4396" s="67"/>
    </row>
    <row r="4397" spans="1:2" x14ac:dyDescent="0.25">
      <c r="A4397" s="67"/>
      <c r="B4397" s="67"/>
    </row>
    <row r="4398" spans="1:2" x14ac:dyDescent="0.25">
      <c r="A4398" s="67"/>
      <c r="B4398" s="67"/>
    </row>
    <row r="4399" spans="1:2" x14ac:dyDescent="0.25">
      <c r="A4399" s="67"/>
      <c r="B4399" s="67"/>
    </row>
    <row r="4400" spans="1:2" x14ac:dyDescent="0.25">
      <c r="A4400" s="67"/>
      <c r="B4400" s="67"/>
    </row>
    <row r="4401" spans="1:2" x14ac:dyDescent="0.25">
      <c r="A4401" s="67"/>
      <c r="B4401" s="67"/>
    </row>
    <row r="4402" spans="1:2" x14ac:dyDescent="0.25">
      <c r="A4402" s="67"/>
      <c r="B4402" s="67"/>
    </row>
    <row r="4403" spans="1:2" x14ac:dyDescent="0.25">
      <c r="A4403" s="67"/>
      <c r="B4403" s="67"/>
    </row>
    <row r="4404" spans="1:2" x14ac:dyDescent="0.25">
      <c r="A4404" s="67"/>
      <c r="B4404" s="67"/>
    </row>
    <row r="4405" spans="1:2" x14ac:dyDescent="0.25">
      <c r="A4405" s="67"/>
      <c r="B4405" s="67"/>
    </row>
    <row r="4406" spans="1:2" x14ac:dyDescent="0.25">
      <c r="A4406" s="67"/>
      <c r="B4406" s="67"/>
    </row>
    <row r="4407" spans="1:2" x14ac:dyDescent="0.25">
      <c r="A4407" s="67"/>
      <c r="B4407" s="67"/>
    </row>
    <row r="4408" spans="1:2" x14ac:dyDescent="0.25">
      <c r="A4408" s="67"/>
      <c r="B4408" s="67"/>
    </row>
    <row r="4409" spans="1:2" x14ac:dyDescent="0.25">
      <c r="A4409" s="67"/>
      <c r="B4409" s="67"/>
    </row>
    <row r="4410" spans="1:2" x14ac:dyDescent="0.25">
      <c r="A4410" s="67"/>
      <c r="B4410" s="67"/>
    </row>
    <row r="4411" spans="1:2" x14ac:dyDescent="0.25">
      <c r="A4411" s="67"/>
      <c r="B4411" s="67"/>
    </row>
    <row r="4412" spans="1:2" x14ac:dyDescent="0.25">
      <c r="A4412" s="67"/>
      <c r="B4412" s="67"/>
    </row>
    <row r="4413" spans="1:2" x14ac:dyDescent="0.25">
      <c r="A4413" s="67"/>
      <c r="B4413" s="67"/>
    </row>
    <row r="4414" spans="1:2" x14ac:dyDescent="0.25">
      <c r="A4414" s="67"/>
      <c r="B4414" s="67"/>
    </row>
    <row r="4415" spans="1:2" x14ac:dyDescent="0.25">
      <c r="A4415" s="67"/>
      <c r="B4415" s="67"/>
    </row>
    <row r="4416" spans="1:2" x14ac:dyDescent="0.25">
      <c r="A4416" s="67"/>
      <c r="B4416" s="67"/>
    </row>
    <row r="4417" spans="1:2" x14ac:dyDescent="0.25">
      <c r="A4417" s="67"/>
      <c r="B4417" s="67"/>
    </row>
    <row r="4418" spans="1:2" x14ac:dyDescent="0.25">
      <c r="A4418" s="67"/>
      <c r="B4418" s="67"/>
    </row>
    <row r="4419" spans="1:2" x14ac:dyDescent="0.25">
      <c r="A4419" s="67"/>
      <c r="B4419" s="67"/>
    </row>
    <row r="4420" spans="1:2" x14ac:dyDescent="0.25">
      <c r="A4420" s="67"/>
      <c r="B4420" s="67"/>
    </row>
    <row r="4421" spans="1:2" x14ac:dyDescent="0.25">
      <c r="A4421" s="67"/>
      <c r="B4421" s="67"/>
    </row>
    <row r="4422" spans="1:2" x14ac:dyDescent="0.25">
      <c r="A4422" s="67"/>
      <c r="B4422" s="67"/>
    </row>
    <row r="4423" spans="1:2" x14ac:dyDescent="0.25">
      <c r="A4423" s="67"/>
      <c r="B4423" s="67"/>
    </row>
    <row r="4424" spans="1:2" x14ac:dyDescent="0.25">
      <c r="A4424" s="67"/>
      <c r="B4424" s="67"/>
    </row>
    <row r="4425" spans="1:2" x14ac:dyDescent="0.25">
      <c r="A4425" s="67"/>
      <c r="B4425" s="67"/>
    </row>
    <row r="4426" spans="1:2" x14ac:dyDescent="0.25">
      <c r="A4426" s="67"/>
      <c r="B4426" s="67"/>
    </row>
    <row r="4427" spans="1:2" x14ac:dyDescent="0.25">
      <c r="A4427" s="67"/>
      <c r="B4427" s="67"/>
    </row>
    <row r="4428" spans="1:2" x14ac:dyDescent="0.25">
      <c r="A4428" s="67"/>
      <c r="B4428" s="67"/>
    </row>
    <row r="4429" spans="1:2" x14ac:dyDescent="0.25">
      <c r="A4429" s="67"/>
      <c r="B4429" s="67"/>
    </row>
    <row r="4430" spans="1:2" x14ac:dyDescent="0.25">
      <c r="A4430" s="67"/>
      <c r="B4430" s="67"/>
    </row>
    <row r="4431" spans="1:2" x14ac:dyDescent="0.25">
      <c r="A4431" s="67"/>
      <c r="B4431" s="67"/>
    </row>
    <row r="4432" spans="1:2" x14ac:dyDescent="0.25">
      <c r="A4432" s="67"/>
      <c r="B4432" s="67"/>
    </row>
    <row r="4433" spans="1:2" x14ac:dyDescent="0.25">
      <c r="A4433" s="67"/>
      <c r="B4433" s="67"/>
    </row>
    <row r="4434" spans="1:2" x14ac:dyDescent="0.25">
      <c r="A4434" s="67"/>
      <c r="B4434" s="67"/>
    </row>
    <row r="4435" spans="1:2" x14ac:dyDescent="0.25">
      <c r="A4435" s="67"/>
      <c r="B4435" s="67"/>
    </row>
    <row r="4436" spans="1:2" x14ac:dyDescent="0.25">
      <c r="A4436" s="67"/>
      <c r="B4436" s="67"/>
    </row>
    <row r="4437" spans="1:2" x14ac:dyDescent="0.25">
      <c r="A4437" s="67"/>
      <c r="B4437" s="67"/>
    </row>
    <row r="4438" spans="1:2" x14ac:dyDescent="0.25">
      <c r="A4438" s="67"/>
      <c r="B4438" s="67"/>
    </row>
    <row r="4439" spans="1:2" x14ac:dyDescent="0.25">
      <c r="A4439" s="67"/>
      <c r="B4439" s="67"/>
    </row>
    <row r="4440" spans="1:2" x14ac:dyDescent="0.25">
      <c r="A4440" s="67"/>
      <c r="B4440" s="67"/>
    </row>
    <row r="4441" spans="1:2" x14ac:dyDescent="0.25">
      <c r="A4441" s="67"/>
      <c r="B4441" s="67"/>
    </row>
    <row r="4442" spans="1:2" x14ac:dyDescent="0.25">
      <c r="A4442" s="67"/>
      <c r="B4442" s="67"/>
    </row>
    <row r="4443" spans="1:2" x14ac:dyDescent="0.25">
      <c r="A4443" s="67"/>
      <c r="B4443" s="67"/>
    </row>
    <row r="4444" spans="1:2" x14ac:dyDescent="0.25">
      <c r="A4444" s="67"/>
      <c r="B4444" s="67"/>
    </row>
    <row r="4445" spans="1:2" x14ac:dyDescent="0.25">
      <c r="A4445" s="67"/>
      <c r="B4445" s="67"/>
    </row>
    <row r="4446" spans="1:2" x14ac:dyDescent="0.25">
      <c r="A4446" s="67"/>
      <c r="B4446" s="67"/>
    </row>
    <row r="4447" spans="1:2" x14ac:dyDescent="0.25">
      <c r="A4447" s="67"/>
      <c r="B4447" s="67"/>
    </row>
    <row r="4448" spans="1:2" x14ac:dyDescent="0.25">
      <c r="A4448" s="67"/>
      <c r="B4448" s="67"/>
    </row>
    <row r="4449" spans="1:2" x14ac:dyDescent="0.25">
      <c r="A4449" s="67"/>
      <c r="B4449" s="67"/>
    </row>
    <row r="4450" spans="1:2" x14ac:dyDescent="0.25">
      <c r="A4450" s="67"/>
      <c r="B4450" s="67"/>
    </row>
    <row r="4451" spans="1:2" x14ac:dyDescent="0.25">
      <c r="A4451" s="67"/>
      <c r="B4451" s="67"/>
    </row>
    <row r="4452" spans="1:2" x14ac:dyDescent="0.25">
      <c r="A4452" s="67"/>
      <c r="B4452" s="67"/>
    </row>
    <row r="4453" spans="1:2" x14ac:dyDescent="0.25">
      <c r="A4453" s="67"/>
      <c r="B4453" s="67"/>
    </row>
    <row r="4454" spans="1:2" x14ac:dyDescent="0.25">
      <c r="A4454" s="67"/>
      <c r="B4454" s="67"/>
    </row>
    <row r="4455" spans="1:2" x14ac:dyDescent="0.25">
      <c r="A4455" s="67"/>
      <c r="B4455" s="67"/>
    </row>
    <row r="4456" spans="1:2" x14ac:dyDescent="0.25">
      <c r="A4456" s="67"/>
      <c r="B4456" s="67"/>
    </row>
    <row r="4457" spans="1:2" x14ac:dyDescent="0.25">
      <c r="A4457" s="67"/>
      <c r="B4457" s="67"/>
    </row>
    <row r="4458" spans="1:2" x14ac:dyDescent="0.25">
      <c r="A4458" s="67"/>
      <c r="B4458" s="67"/>
    </row>
    <row r="4459" spans="1:2" x14ac:dyDescent="0.25">
      <c r="A4459" s="67"/>
      <c r="B4459" s="67"/>
    </row>
    <row r="4460" spans="1:2" x14ac:dyDescent="0.25">
      <c r="A4460" s="67"/>
      <c r="B4460" s="67"/>
    </row>
    <row r="4461" spans="1:2" x14ac:dyDescent="0.25">
      <c r="A4461" s="67"/>
      <c r="B4461" s="67"/>
    </row>
    <row r="4462" spans="1:2" x14ac:dyDescent="0.25">
      <c r="A4462" s="67"/>
      <c r="B4462" s="67"/>
    </row>
    <row r="4463" spans="1:2" x14ac:dyDescent="0.25">
      <c r="A4463" s="67"/>
      <c r="B4463" s="67"/>
    </row>
    <row r="4464" spans="1:2" x14ac:dyDescent="0.25">
      <c r="A4464" s="67"/>
      <c r="B4464" s="67"/>
    </row>
    <row r="4465" spans="1:2" x14ac:dyDescent="0.25">
      <c r="A4465" s="67"/>
      <c r="B4465" s="67"/>
    </row>
    <row r="4466" spans="1:2" x14ac:dyDescent="0.25">
      <c r="A4466" s="67"/>
      <c r="B4466" s="67"/>
    </row>
    <row r="4467" spans="1:2" x14ac:dyDescent="0.25">
      <c r="A4467" s="67"/>
      <c r="B4467" s="67"/>
    </row>
    <row r="4468" spans="1:2" x14ac:dyDescent="0.25">
      <c r="A4468" s="67"/>
      <c r="B4468" s="67"/>
    </row>
    <row r="4469" spans="1:2" x14ac:dyDescent="0.25">
      <c r="A4469" s="67"/>
      <c r="B4469" s="67"/>
    </row>
    <row r="4470" spans="1:2" x14ac:dyDescent="0.25">
      <c r="A4470" s="67"/>
      <c r="B4470" s="67"/>
    </row>
    <row r="4471" spans="1:2" x14ac:dyDescent="0.25">
      <c r="A4471" s="67"/>
      <c r="B4471" s="67"/>
    </row>
    <row r="4472" spans="1:2" x14ac:dyDescent="0.25">
      <c r="A4472" s="67"/>
      <c r="B4472" s="67"/>
    </row>
    <row r="4473" spans="1:2" x14ac:dyDescent="0.25">
      <c r="A4473" s="67"/>
      <c r="B4473" s="67"/>
    </row>
    <row r="4474" spans="1:2" x14ac:dyDescent="0.25">
      <c r="A4474" s="67"/>
      <c r="B4474" s="67"/>
    </row>
    <row r="4475" spans="1:2" x14ac:dyDescent="0.25">
      <c r="A4475" s="67"/>
      <c r="B4475" s="67"/>
    </row>
    <row r="4476" spans="1:2" x14ac:dyDescent="0.25">
      <c r="A4476" s="67"/>
      <c r="B4476" s="67"/>
    </row>
    <row r="4477" spans="1:2" x14ac:dyDescent="0.25">
      <c r="A4477" s="67"/>
      <c r="B4477" s="67"/>
    </row>
    <row r="4478" spans="1:2" x14ac:dyDescent="0.25">
      <c r="A4478" s="67"/>
      <c r="B4478" s="67"/>
    </row>
    <row r="4479" spans="1:2" x14ac:dyDescent="0.25">
      <c r="A4479" s="67"/>
      <c r="B4479" s="67"/>
    </row>
    <row r="4480" spans="1:2" x14ac:dyDescent="0.25">
      <c r="A4480" s="67"/>
      <c r="B4480" s="67"/>
    </row>
    <row r="4481" spans="1:2" x14ac:dyDescent="0.25">
      <c r="A4481" s="67"/>
      <c r="B4481" s="67"/>
    </row>
    <row r="4482" spans="1:2" x14ac:dyDescent="0.25">
      <c r="A4482" s="67"/>
      <c r="B4482" s="67"/>
    </row>
    <row r="4483" spans="1:2" x14ac:dyDescent="0.25">
      <c r="A4483" s="67"/>
      <c r="B4483" s="67"/>
    </row>
    <row r="4484" spans="1:2" x14ac:dyDescent="0.25">
      <c r="A4484" s="67"/>
      <c r="B4484" s="67"/>
    </row>
    <row r="4485" spans="1:2" x14ac:dyDescent="0.25">
      <c r="A4485" s="67"/>
      <c r="B4485" s="67"/>
    </row>
    <row r="4486" spans="1:2" x14ac:dyDescent="0.25">
      <c r="A4486" s="67"/>
      <c r="B4486" s="67"/>
    </row>
    <row r="4487" spans="1:2" x14ac:dyDescent="0.25">
      <c r="A4487" s="67"/>
      <c r="B4487" s="67"/>
    </row>
    <row r="4488" spans="1:2" x14ac:dyDescent="0.25">
      <c r="A4488" s="67"/>
      <c r="B4488" s="67"/>
    </row>
    <row r="4489" spans="1:2" x14ac:dyDescent="0.25">
      <c r="A4489" s="67"/>
      <c r="B4489" s="67"/>
    </row>
    <row r="4490" spans="1:2" x14ac:dyDescent="0.25">
      <c r="A4490" s="67"/>
      <c r="B4490" s="67"/>
    </row>
    <row r="4491" spans="1:2" x14ac:dyDescent="0.25">
      <c r="A4491" s="67"/>
      <c r="B4491" s="67"/>
    </row>
    <row r="4492" spans="1:2" x14ac:dyDescent="0.25">
      <c r="A4492" s="67"/>
      <c r="B4492" s="67"/>
    </row>
    <row r="4493" spans="1:2" x14ac:dyDescent="0.25">
      <c r="A4493" s="67"/>
      <c r="B4493" s="67"/>
    </row>
    <row r="4494" spans="1:2" x14ac:dyDescent="0.25">
      <c r="A4494" s="67"/>
      <c r="B4494" s="67"/>
    </row>
    <row r="4495" spans="1:2" x14ac:dyDescent="0.25">
      <c r="A4495" s="67"/>
      <c r="B4495" s="67"/>
    </row>
    <row r="4496" spans="1:2" x14ac:dyDescent="0.25">
      <c r="A4496" s="67"/>
      <c r="B4496" s="67"/>
    </row>
    <row r="4497" spans="1:2" x14ac:dyDescent="0.25">
      <c r="A4497" s="67"/>
      <c r="B4497" s="67"/>
    </row>
    <row r="4498" spans="1:2" x14ac:dyDescent="0.25">
      <c r="A4498" s="67"/>
      <c r="B4498" s="67"/>
    </row>
    <row r="4499" spans="1:2" x14ac:dyDescent="0.25">
      <c r="A4499" s="67"/>
      <c r="B4499" s="67"/>
    </row>
    <row r="4500" spans="1:2" x14ac:dyDescent="0.25">
      <c r="A4500" s="67"/>
      <c r="B4500" s="67"/>
    </row>
    <row r="4501" spans="1:2" x14ac:dyDescent="0.25">
      <c r="A4501" s="67"/>
      <c r="B4501" s="67"/>
    </row>
    <row r="4502" spans="1:2" x14ac:dyDescent="0.25">
      <c r="A4502" s="67"/>
      <c r="B4502" s="67"/>
    </row>
    <row r="4503" spans="1:2" x14ac:dyDescent="0.25">
      <c r="A4503" s="67"/>
      <c r="B4503" s="67"/>
    </row>
    <row r="4504" spans="1:2" x14ac:dyDescent="0.25">
      <c r="A4504" s="67"/>
      <c r="B4504" s="67"/>
    </row>
    <row r="4505" spans="1:2" x14ac:dyDescent="0.25">
      <c r="A4505" s="67"/>
      <c r="B4505" s="67"/>
    </row>
    <row r="4506" spans="1:2" x14ac:dyDescent="0.25">
      <c r="A4506" s="67"/>
      <c r="B4506" s="67"/>
    </row>
    <row r="4507" spans="1:2" x14ac:dyDescent="0.25">
      <c r="A4507" s="67"/>
      <c r="B4507" s="67"/>
    </row>
    <row r="4508" spans="1:2" x14ac:dyDescent="0.25">
      <c r="A4508" s="67"/>
      <c r="B4508" s="67"/>
    </row>
    <row r="4509" spans="1:2" x14ac:dyDescent="0.25">
      <c r="A4509" s="67"/>
      <c r="B4509" s="67"/>
    </row>
    <row r="4510" spans="1:2" x14ac:dyDescent="0.25">
      <c r="A4510" s="67"/>
      <c r="B4510" s="67"/>
    </row>
    <row r="4511" spans="1:2" x14ac:dyDescent="0.25">
      <c r="A4511" s="67"/>
      <c r="B4511" s="67"/>
    </row>
    <row r="4512" spans="1:2" x14ac:dyDescent="0.25">
      <c r="A4512" s="67"/>
      <c r="B4512" s="67"/>
    </row>
    <row r="4513" spans="1:2" x14ac:dyDescent="0.25">
      <c r="A4513" s="67"/>
      <c r="B4513" s="67"/>
    </row>
    <row r="4514" spans="1:2" x14ac:dyDescent="0.25">
      <c r="A4514" s="67"/>
      <c r="B4514" s="67"/>
    </row>
    <row r="4515" spans="1:2" x14ac:dyDescent="0.25">
      <c r="A4515" s="67"/>
      <c r="B4515" s="67"/>
    </row>
    <row r="4516" spans="1:2" x14ac:dyDescent="0.25">
      <c r="A4516" s="67"/>
      <c r="B4516" s="67"/>
    </row>
    <row r="4517" spans="1:2" x14ac:dyDescent="0.25">
      <c r="A4517" s="67"/>
      <c r="B4517" s="67"/>
    </row>
    <row r="4518" spans="1:2" x14ac:dyDescent="0.25">
      <c r="A4518" s="67"/>
      <c r="B4518" s="67"/>
    </row>
    <row r="4519" spans="1:2" x14ac:dyDescent="0.25">
      <c r="A4519" s="67"/>
      <c r="B4519" s="67"/>
    </row>
    <row r="4520" spans="1:2" x14ac:dyDescent="0.25">
      <c r="A4520" s="67"/>
      <c r="B4520" s="67"/>
    </row>
    <row r="4521" spans="1:2" x14ac:dyDescent="0.25">
      <c r="A4521" s="67"/>
      <c r="B4521" s="67"/>
    </row>
    <row r="4522" spans="1:2" x14ac:dyDescent="0.25">
      <c r="A4522" s="67"/>
      <c r="B4522" s="67"/>
    </row>
    <row r="4523" spans="1:2" x14ac:dyDescent="0.25">
      <c r="A4523" s="67"/>
      <c r="B4523" s="67"/>
    </row>
    <row r="4524" spans="1:2" x14ac:dyDescent="0.25">
      <c r="A4524" s="67"/>
      <c r="B4524" s="67"/>
    </row>
    <row r="4525" spans="1:2" x14ac:dyDescent="0.25">
      <c r="A4525" s="67"/>
      <c r="B4525" s="67"/>
    </row>
    <row r="4526" spans="1:2" x14ac:dyDescent="0.25">
      <c r="A4526" s="67"/>
      <c r="B4526" s="67"/>
    </row>
    <row r="4527" spans="1:2" x14ac:dyDescent="0.25">
      <c r="A4527" s="67"/>
      <c r="B4527" s="67"/>
    </row>
    <row r="4528" spans="1:2" x14ac:dyDescent="0.25">
      <c r="A4528" s="67"/>
      <c r="B4528" s="67"/>
    </row>
    <row r="4529" spans="1:2" x14ac:dyDescent="0.25">
      <c r="A4529" s="67"/>
      <c r="B4529" s="67"/>
    </row>
    <row r="4530" spans="1:2" x14ac:dyDescent="0.25">
      <c r="A4530" s="67"/>
      <c r="B4530" s="67"/>
    </row>
    <row r="4531" spans="1:2" x14ac:dyDescent="0.25">
      <c r="A4531" s="67"/>
      <c r="B4531" s="67"/>
    </row>
    <row r="4532" spans="1:2" x14ac:dyDescent="0.25">
      <c r="A4532" s="67"/>
      <c r="B4532" s="67"/>
    </row>
    <row r="4533" spans="1:2" x14ac:dyDescent="0.25">
      <c r="A4533" s="67"/>
      <c r="B4533" s="67"/>
    </row>
    <row r="4534" spans="1:2" x14ac:dyDescent="0.25">
      <c r="A4534" s="67"/>
      <c r="B4534" s="67"/>
    </row>
    <row r="4535" spans="1:2" x14ac:dyDescent="0.25">
      <c r="A4535" s="67"/>
      <c r="B4535" s="67"/>
    </row>
    <row r="4536" spans="1:2" x14ac:dyDescent="0.25">
      <c r="A4536" s="67"/>
      <c r="B4536" s="67"/>
    </row>
    <row r="4537" spans="1:2" x14ac:dyDescent="0.25">
      <c r="A4537" s="67"/>
      <c r="B4537" s="67"/>
    </row>
    <row r="4538" spans="1:2" x14ac:dyDescent="0.25">
      <c r="A4538" s="67"/>
      <c r="B4538" s="67"/>
    </row>
    <row r="4539" spans="1:2" x14ac:dyDescent="0.25">
      <c r="A4539" s="67"/>
      <c r="B4539" s="67"/>
    </row>
    <row r="4540" spans="1:2" x14ac:dyDescent="0.25">
      <c r="A4540" s="67"/>
      <c r="B4540" s="67"/>
    </row>
    <row r="4541" spans="1:2" x14ac:dyDescent="0.25">
      <c r="A4541" s="67"/>
      <c r="B4541" s="67"/>
    </row>
    <row r="4542" spans="1:2" x14ac:dyDescent="0.25">
      <c r="A4542" s="67"/>
      <c r="B4542" s="67"/>
    </row>
    <row r="4543" spans="1:2" x14ac:dyDescent="0.25">
      <c r="A4543" s="67"/>
      <c r="B4543" s="67"/>
    </row>
    <row r="4544" spans="1:2" x14ac:dyDescent="0.25">
      <c r="A4544" s="67"/>
      <c r="B4544" s="67"/>
    </row>
    <row r="4545" spans="1:2" x14ac:dyDescent="0.25">
      <c r="A4545" s="67"/>
      <c r="B4545" s="67"/>
    </row>
    <row r="4546" spans="1:2" x14ac:dyDescent="0.25">
      <c r="A4546" s="67"/>
      <c r="B4546" s="67"/>
    </row>
    <row r="4547" spans="1:2" x14ac:dyDescent="0.25">
      <c r="A4547" s="67"/>
      <c r="B4547" s="67"/>
    </row>
    <row r="4548" spans="1:2" x14ac:dyDescent="0.25">
      <c r="A4548" s="67"/>
      <c r="B4548" s="67"/>
    </row>
    <row r="4549" spans="1:2" x14ac:dyDescent="0.25">
      <c r="A4549" s="67"/>
      <c r="B4549" s="67"/>
    </row>
    <row r="4550" spans="1:2" x14ac:dyDescent="0.25">
      <c r="A4550" s="67"/>
      <c r="B4550" s="67"/>
    </row>
    <row r="4551" spans="1:2" x14ac:dyDescent="0.25">
      <c r="A4551" s="67"/>
      <c r="B4551" s="67"/>
    </row>
    <row r="4552" spans="1:2" x14ac:dyDescent="0.25">
      <c r="A4552" s="67"/>
      <c r="B4552" s="67"/>
    </row>
    <row r="4553" spans="1:2" x14ac:dyDescent="0.25">
      <c r="A4553" s="67"/>
      <c r="B4553" s="67"/>
    </row>
    <row r="4554" spans="1:2" x14ac:dyDescent="0.25">
      <c r="A4554" s="67"/>
      <c r="B4554" s="67"/>
    </row>
    <row r="4555" spans="1:2" x14ac:dyDescent="0.25">
      <c r="A4555" s="67"/>
      <c r="B4555" s="67"/>
    </row>
    <row r="4556" spans="1:2" x14ac:dyDescent="0.25">
      <c r="A4556" s="67"/>
      <c r="B4556" s="67"/>
    </row>
    <row r="4557" spans="1:2" x14ac:dyDescent="0.25">
      <c r="A4557" s="67"/>
      <c r="B4557" s="67"/>
    </row>
    <row r="4558" spans="1:2" x14ac:dyDescent="0.25">
      <c r="A4558" s="67"/>
      <c r="B4558" s="67"/>
    </row>
    <row r="4559" spans="1:2" x14ac:dyDescent="0.25">
      <c r="A4559" s="67"/>
      <c r="B4559" s="67"/>
    </row>
    <row r="4560" spans="1:2" x14ac:dyDescent="0.25">
      <c r="A4560" s="67"/>
      <c r="B4560" s="67"/>
    </row>
    <row r="4561" spans="1:2" x14ac:dyDescent="0.25">
      <c r="A4561" s="67"/>
      <c r="B4561" s="67"/>
    </row>
    <row r="4562" spans="1:2" x14ac:dyDescent="0.25">
      <c r="A4562" s="67"/>
      <c r="B4562" s="67"/>
    </row>
    <row r="4563" spans="1:2" x14ac:dyDescent="0.25">
      <c r="A4563" s="67"/>
      <c r="B4563" s="67"/>
    </row>
    <row r="4564" spans="1:2" x14ac:dyDescent="0.25">
      <c r="A4564" s="67"/>
      <c r="B4564" s="67"/>
    </row>
    <row r="4565" spans="1:2" x14ac:dyDescent="0.25">
      <c r="A4565" s="67"/>
      <c r="B4565" s="67"/>
    </row>
    <row r="4566" spans="1:2" x14ac:dyDescent="0.25">
      <c r="A4566" s="67"/>
      <c r="B4566" s="67"/>
    </row>
    <row r="4567" spans="1:2" x14ac:dyDescent="0.25">
      <c r="A4567" s="67"/>
      <c r="B4567" s="67"/>
    </row>
    <row r="4568" spans="1:2" x14ac:dyDescent="0.25">
      <c r="A4568" s="67"/>
      <c r="B4568" s="67"/>
    </row>
    <row r="4569" spans="1:2" x14ac:dyDescent="0.25">
      <c r="A4569" s="67"/>
      <c r="B4569" s="67"/>
    </row>
    <row r="4570" spans="1:2" x14ac:dyDescent="0.25">
      <c r="A4570" s="67"/>
      <c r="B4570" s="67"/>
    </row>
    <row r="4571" spans="1:2" x14ac:dyDescent="0.25">
      <c r="A4571" s="67"/>
      <c r="B4571" s="67"/>
    </row>
    <row r="4572" spans="1:2" x14ac:dyDescent="0.25">
      <c r="A4572" s="67"/>
      <c r="B4572" s="67"/>
    </row>
    <row r="4573" spans="1:2" x14ac:dyDescent="0.25">
      <c r="A4573" s="67"/>
      <c r="B4573" s="67"/>
    </row>
    <row r="4574" spans="1:2" x14ac:dyDescent="0.25">
      <c r="A4574" s="67"/>
      <c r="B4574" s="67"/>
    </row>
    <row r="4575" spans="1:2" x14ac:dyDescent="0.25">
      <c r="A4575" s="67"/>
      <c r="B4575" s="67"/>
    </row>
    <row r="4576" spans="1:2" x14ac:dyDescent="0.25">
      <c r="A4576" s="67"/>
      <c r="B4576" s="67"/>
    </row>
    <row r="4577" spans="1:2" x14ac:dyDescent="0.25">
      <c r="A4577" s="67"/>
      <c r="B4577" s="67"/>
    </row>
    <row r="4578" spans="1:2" x14ac:dyDescent="0.25">
      <c r="A4578" s="67"/>
      <c r="B4578" s="67"/>
    </row>
    <row r="4579" spans="1:2" x14ac:dyDescent="0.25">
      <c r="A4579" s="67"/>
      <c r="B4579" s="67"/>
    </row>
    <row r="4580" spans="1:2" x14ac:dyDescent="0.25">
      <c r="A4580" s="67"/>
      <c r="B4580" s="67"/>
    </row>
    <row r="4581" spans="1:2" x14ac:dyDescent="0.25">
      <c r="A4581" s="67"/>
      <c r="B4581" s="67"/>
    </row>
    <row r="4582" spans="1:2" x14ac:dyDescent="0.25">
      <c r="A4582" s="67"/>
      <c r="B4582" s="67"/>
    </row>
    <row r="4583" spans="1:2" x14ac:dyDescent="0.25">
      <c r="A4583" s="67"/>
      <c r="B4583" s="67"/>
    </row>
    <row r="4584" spans="1:2" x14ac:dyDescent="0.25">
      <c r="A4584" s="67"/>
      <c r="B4584" s="67"/>
    </row>
    <row r="4585" spans="1:2" x14ac:dyDescent="0.25">
      <c r="A4585" s="67"/>
      <c r="B4585" s="67"/>
    </row>
    <row r="4586" spans="1:2" x14ac:dyDescent="0.25">
      <c r="A4586" s="67"/>
      <c r="B4586" s="67"/>
    </row>
    <row r="4587" spans="1:2" x14ac:dyDescent="0.25">
      <c r="A4587" s="67"/>
      <c r="B4587" s="67"/>
    </row>
    <row r="4588" spans="1:2" x14ac:dyDescent="0.25">
      <c r="A4588" s="67"/>
      <c r="B4588" s="67"/>
    </row>
    <row r="4589" spans="1:2" x14ac:dyDescent="0.25">
      <c r="A4589" s="67"/>
      <c r="B4589" s="67"/>
    </row>
    <row r="4590" spans="1:2" x14ac:dyDescent="0.25">
      <c r="A4590" s="67"/>
      <c r="B4590" s="67"/>
    </row>
    <row r="4591" spans="1:2" x14ac:dyDescent="0.25">
      <c r="A4591" s="67"/>
      <c r="B4591" s="67"/>
    </row>
    <row r="4592" spans="1:2" x14ac:dyDescent="0.25">
      <c r="A4592" s="67"/>
      <c r="B4592" s="67"/>
    </row>
    <row r="4593" spans="1:2" x14ac:dyDescent="0.25">
      <c r="A4593" s="67"/>
      <c r="B4593" s="67"/>
    </row>
    <row r="4594" spans="1:2" x14ac:dyDescent="0.25">
      <c r="A4594" s="67"/>
      <c r="B4594" s="67"/>
    </row>
    <row r="4595" spans="1:2" x14ac:dyDescent="0.25">
      <c r="A4595" s="67"/>
      <c r="B4595" s="67"/>
    </row>
    <row r="4596" spans="1:2" x14ac:dyDescent="0.25">
      <c r="A4596" s="67"/>
      <c r="B4596" s="67"/>
    </row>
    <row r="4597" spans="1:2" x14ac:dyDescent="0.25">
      <c r="A4597" s="67"/>
      <c r="B4597" s="67"/>
    </row>
    <row r="4598" spans="1:2" x14ac:dyDescent="0.25">
      <c r="A4598" s="67"/>
      <c r="B4598" s="67"/>
    </row>
    <row r="4599" spans="1:2" x14ac:dyDescent="0.25">
      <c r="A4599" s="67"/>
      <c r="B4599" s="67"/>
    </row>
    <row r="4600" spans="1:2" x14ac:dyDescent="0.25">
      <c r="A4600" s="67"/>
      <c r="B4600" s="67"/>
    </row>
    <row r="4601" spans="1:2" x14ac:dyDescent="0.25">
      <c r="A4601" s="67"/>
      <c r="B4601" s="67"/>
    </row>
    <row r="4602" spans="1:2" x14ac:dyDescent="0.25">
      <c r="A4602" s="67"/>
      <c r="B4602" s="67"/>
    </row>
    <row r="4603" spans="1:2" x14ac:dyDescent="0.25">
      <c r="A4603" s="67"/>
      <c r="B4603" s="67"/>
    </row>
    <row r="4604" spans="1:2" x14ac:dyDescent="0.25">
      <c r="A4604" s="67"/>
      <c r="B4604" s="67"/>
    </row>
    <row r="4605" spans="1:2" x14ac:dyDescent="0.25">
      <c r="A4605" s="67"/>
      <c r="B4605" s="67"/>
    </row>
    <row r="4606" spans="1:2" x14ac:dyDescent="0.25">
      <c r="A4606" s="67"/>
      <c r="B4606" s="67"/>
    </row>
    <row r="4607" spans="1:2" x14ac:dyDescent="0.25">
      <c r="A4607" s="67"/>
      <c r="B4607" s="67"/>
    </row>
    <row r="4608" spans="1:2" x14ac:dyDescent="0.25">
      <c r="A4608" s="67"/>
      <c r="B4608" s="67"/>
    </row>
    <row r="4609" spans="1:2" x14ac:dyDescent="0.25">
      <c r="A4609" s="67"/>
      <c r="B4609" s="67"/>
    </row>
    <row r="4610" spans="1:2" x14ac:dyDescent="0.25">
      <c r="A4610" s="67"/>
      <c r="B4610" s="67"/>
    </row>
    <row r="4611" spans="1:2" x14ac:dyDescent="0.25">
      <c r="A4611" s="67"/>
      <c r="B4611" s="67"/>
    </row>
    <row r="4612" spans="1:2" x14ac:dyDescent="0.25">
      <c r="A4612" s="67"/>
      <c r="B4612" s="67"/>
    </row>
    <row r="4613" spans="1:2" x14ac:dyDescent="0.25">
      <c r="A4613" s="67"/>
      <c r="B4613" s="67"/>
    </row>
    <row r="4614" spans="1:2" x14ac:dyDescent="0.25">
      <c r="A4614" s="67"/>
      <c r="B4614" s="67"/>
    </row>
    <row r="4615" spans="1:2" x14ac:dyDescent="0.25">
      <c r="A4615" s="67"/>
      <c r="B4615" s="67"/>
    </row>
    <row r="4616" spans="1:2" x14ac:dyDescent="0.25">
      <c r="A4616" s="67"/>
      <c r="B4616" s="67"/>
    </row>
    <row r="4617" spans="1:2" x14ac:dyDescent="0.25">
      <c r="A4617" s="67"/>
      <c r="B4617" s="67"/>
    </row>
    <row r="4618" spans="1:2" x14ac:dyDescent="0.25">
      <c r="A4618" s="67"/>
      <c r="B4618" s="67"/>
    </row>
    <row r="4619" spans="1:2" x14ac:dyDescent="0.25">
      <c r="A4619" s="67"/>
      <c r="B4619" s="67"/>
    </row>
    <row r="4620" spans="1:2" x14ac:dyDescent="0.25">
      <c r="A4620" s="67"/>
      <c r="B4620" s="67"/>
    </row>
    <row r="4621" spans="1:2" x14ac:dyDescent="0.25">
      <c r="A4621" s="67"/>
      <c r="B4621" s="67"/>
    </row>
    <row r="4622" spans="1:2" x14ac:dyDescent="0.25">
      <c r="A4622" s="67"/>
      <c r="B4622" s="67"/>
    </row>
    <row r="4623" spans="1:2" x14ac:dyDescent="0.25">
      <c r="A4623" s="67"/>
      <c r="B4623" s="67"/>
    </row>
    <row r="4624" spans="1:2" x14ac:dyDescent="0.25">
      <c r="A4624" s="67"/>
      <c r="B4624" s="67"/>
    </row>
    <row r="4625" spans="1:2" x14ac:dyDescent="0.25">
      <c r="A4625" s="67"/>
      <c r="B4625" s="67"/>
    </row>
    <row r="4626" spans="1:2" x14ac:dyDescent="0.25">
      <c r="A4626" s="67"/>
      <c r="B4626" s="67"/>
    </row>
    <row r="4627" spans="1:2" x14ac:dyDescent="0.25">
      <c r="A4627" s="67"/>
      <c r="B4627" s="67"/>
    </row>
    <row r="4628" spans="1:2" x14ac:dyDescent="0.25">
      <c r="A4628" s="67"/>
      <c r="B4628" s="67"/>
    </row>
    <row r="4629" spans="1:2" x14ac:dyDescent="0.25">
      <c r="A4629" s="67"/>
      <c r="B4629" s="67"/>
    </row>
    <row r="4630" spans="1:2" x14ac:dyDescent="0.25">
      <c r="A4630" s="67"/>
      <c r="B4630" s="67"/>
    </row>
    <row r="4631" spans="1:2" x14ac:dyDescent="0.25">
      <c r="A4631" s="67"/>
      <c r="B4631" s="67"/>
    </row>
    <row r="4632" spans="1:2" x14ac:dyDescent="0.25">
      <c r="A4632" s="67"/>
      <c r="B4632" s="67"/>
    </row>
    <row r="4633" spans="1:2" x14ac:dyDescent="0.25">
      <c r="A4633" s="67"/>
      <c r="B4633" s="67"/>
    </row>
    <row r="4634" spans="1:2" x14ac:dyDescent="0.25">
      <c r="A4634" s="67"/>
      <c r="B4634" s="67"/>
    </row>
    <row r="4635" spans="1:2" x14ac:dyDescent="0.25">
      <c r="A4635" s="67"/>
      <c r="B4635" s="67"/>
    </row>
    <row r="4636" spans="1:2" x14ac:dyDescent="0.25">
      <c r="A4636" s="67"/>
      <c r="B4636" s="67"/>
    </row>
    <row r="4637" spans="1:2" x14ac:dyDescent="0.25">
      <c r="A4637" s="67"/>
      <c r="B4637" s="67"/>
    </row>
    <row r="4638" spans="1:2" x14ac:dyDescent="0.25">
      <c r="A4638" s="67"/>
      <c r="B4638" s="67"/>
    </row>
    <row r="4639" spans="1:2" x14ac:dyDescent="0.25">
      <c r="A4639" s="67"/>
      <c r="B4639" s="67"/>
    </row>
    <row r="4640" spans="1:2" x14ac:dyDescent="0.25">
      <c r="A4640" s="67"/>
      <c r="B4640" s="67"/>
    </row>
    <row r="4641" spans="1:2" x14ac:dyDescent="0.25">
      <c r="A4641" s="67"/>
      <c r="B4641" s="67"/>
    </row>
    <row r="4642" spans="1:2" x14ac:dyDescent="0.25">
      <c r="A4642" s="67"/>
      <c r="B4642" s="67"/>
    </row>
    <row r="4643" spans="1:2" x14ac:dyDescent="0.25">
      <c r="A4643" s="67"/>
      <c r="B4643" s="67"/>
    </row>
    <row r="4644" spans="1:2" x14ac:dyDescent="0.25">
      <c r="A4644" s="67"/>
      <c r="B4644" s="67"/>
    </row>
    <row r="4645" spans="1:2" x14ac:dyDescent="0.25">
      <c r="A4645" s="67"/>
      <c r="B4645" s="67"/>
    </row>
    <row r="4646" spans="1:2" x14ac:dyDescent="0.25">
      <c r="A4646" s="67"/>
      <c r="B4646" s="67"/>
    </row>
    <row r="4647" spans="1:2" x14ac:dyDescent="0.25">
      <c r="A4647" s="67"/>
      <c r="B4647" s="67"/>
    </row>
    <row r="4648" spans="1:2" x14ac:dyDescent="0.25">
      <c r="A4648" s="67"/>
      <c r="B4648" s="67"/>
    </row>
    <row r="4649" spans="1:2" x14ac:dyDescent="0.25">
      <c r="A4649" s="67"/>
      <c r="B4649" s="67"/>
    </row>
    <row r="4650" spans="1:2" x14ac:dyDescent="0.25">
      <c r="A4650" s="67"/>
      <c r="B4650" s="67"/>
    </row>
    <row r="4651" spans="1:2" x14ac:dyDescent="0.25">
      <c r="A4651" s="67"/>
      <c r="B4651" s="67"/>
    </row>
    <row r="4652" spans="1:2" x14ac:dyDescent="0.25">
      <c r="A4652" s="67"/>
      <c r="B4652" s="67"/>
    </row>
    <row r="4653" spans="1:2" x14ac:dyDescent="0.25">
      <c r="A4653" s="67"/>
      <c r="B4653" s="67"/>
    </row>
    <row r="4654" spans="1:2" x14ac:dyDescent="0.25">
      <c r="A4654" s="67"/>
      <c r="B4654" s="67"/>
    </row>
    <row r="4655" spans="1:2" x14ac:dyDescent="0.25">
      <c r="A4655" s="67"/>
      <c r="B4655" s="67"/>
    </row>
    <row r="4656" spans="1:2" x14ac:dyDescent="0.25">
      <c r="A4656" s="67"/>
      <c r="B4656" s="67"/>
    </row>
    <row r="4657" spans="1:2" x14ac:dyDescent="0.25">
      <c r="A4657" s="67"/>
      <c r="B4657" s="67"/>
    </row>
    <row r="4658" spans="1:2" x14ac:dyDescent="0.25">
      <c r="A4658" s="67"/>
      <c r="B4658" s="67"/>
    </row>
    <row r="4659" spans="1:2" x14ac:dyDescent="0.25">
      <c r="A4659" s="67"/>
      <c r="B4659" s="67"/>
    </row>
    <row r="4660" spans="1:2" x14ac:dyDescent="0.25">
      <c r="A4660" s="67"/>
      <c r="B4660" s="67"/>
    </row>
    <row r="4661" spans="1:2" x14ac:dyDescent="0.25">
      <c r="A4661" s="67"/>
      <c r="B4661" s="67"/>
    </row>
    <row r="4662" spans="1:2" x14ac:dyDescent="0.25">
      <c r="A4662" s="67"/>
      <c r="B4662" s="67"/>
    </row>
    <row r="4663" spans="1:2" x14ac:dyDescent="0.25">
      <c r="A4663" s="67"/>
      <c r="B4663" s="67"/>
    </row>
    <row r="4664" spans="1:2" x14ac:dyDescent="0.25">
      <c r="A4664" s="67"/>
      <c r="B4664" s="67"/>
    </row>
    <row r="4665" spans="1:2" x14ac:dyDescent="0.25">
      <c r="A4665" s="67"/>
      <c r="B4665" s="67"/>
    </row>
    <row r="4666" spans="1:2" x14ac:dyDescent="0.25">
      <c r="A4666" s="67"/>
      <c r="B4666" s="67"/>
    </row>
    <row r="4667" spans="1:2" x14ac:dyDescent="0.25">
      <c r="A4667" s="67"/>
      <c r="B4667" s="67"/>
    </row>
    <row r="4668" spans="1:2" x14ac:dyDescent="0.25">
      <c r="A4668" s="67"/>
      <c r="B4668" s="67"/>
    </row>
    <row r="4669" spans="1:2" x14ac:dyDescent="0.25">
      <c r="A4669" s="67"/>
      <c r="B4669" s="67"/>
    </row>
    <row r="4670" spans="1:2" x14ac:dyDescent="0.25">
      <c r="A4670" s="67"/>
      <c r="B4670" s="67"/>
    </row>
    <row r="4671" spans="1:2" x14ac:dyDescent="0.25">
      <c r="A4671" s="67"/>
      <c r="B4671" s="67"/>
    </row>
    <row r="4672" spans="1:2" x14ac:dyDescent="0.25">
      <c r="A4672" s="67"/>
      <c r="B4672" s="67"/>
    </row>
    <row r="4673" spans="1:2" x14ac:dyDescent="0.25">
      <c r="A4673" s="67"/>
      <c r="B4673" s="67"/>
    </row>
    <row r="4674" spans="1:2" x14ac:dyDescent="0.25">
      <c r="A4674" s="67"/>
      <c r="B4674" s="67"/>
    </row>
    <row r="4675" spans="1:2" x14ac:dyDescent="0.25">
      <c r="A4675" s="67"/>
      <c r="B4675" s="67"/>
    </row>
    <row r="4676" spans="1:2" x14ac:dyDescent="0.25">
      <c r="A4676" s="67"/>
      <c r="B4676" s="67"/>
    </row>
    <row r="4677" spans="1:2" x14ac:dyDescent="0.25">
      <c r="A4677" s="67"/>
      <c r="B4677" s="67"/>
    </row>
    <row r="4678" spans="1:2" x14ac:dyDescent="0.25">
      <c r="A4678" s="67"/>
      <c r="B4678" s="67"/>
    </row>
    <row r="4679" spans="1:2" x14ac:dyDescent="0.25">
      <c r="A4679" s="67"/>
      <c r="B4679" s="67"/>
    </row>
    <row r="4680" spans="1:2" x14ac:dyDescent="0.25">
      <c r="A4680" s="67"/>
      <c r="B4680" s="67"/>
    </row>
    <row r="4681" spans="1:2" x14ac:dyDescent="0.25">
      <c r="A4681" s="67"/>
      <c r="B4681" s="67"/>
    </row>
    <row r="4682" spans="1:2" x14ac:dyDescent="0.25">
      <c r="A4682" s="67"/>
      <c r="B4682" s="67"/>
    </row>
    <row r="4683" spans="1:2" x14ac:dyDescent="0.25">
      <c r="A4683" s="67"/>
      <c r="B4683" s="67"/>
    </row>
    <row r="4684" spans="1:2" x14ac:dyDescent="0.25">
      <c r="A4684" s="67"/>
      <c r="B4684" s="67"/>
    </row>
    <row r="4685" spans="1:2" x14ac:dyDescent="0.25">
      <c r="A4685" s="67"/>
      <c r="B4685" s="67"/>
    </row>
    <row r="4686" spans="1:2" x14ac:dyDescent="0.25">
      <c r="A4686" s="67"/>
      <c r="B4686" s="67"/>
    </row>
    <row r="4687" spans="1:2" x14ac:dyDescent="0.25">
      <c r="A4687" s="67"/>
      <c r="B4687" s="67"/>
    </row>
    <row r="4688" spans="1:2" x14ac:dyDescent="0.25">
      <c r="A4688" s="67"/>
      <c r="B4688" s="67"/>
    </row>
    <row r="4689" spans="1:2" x14ac:dyDescent="0.25">
      <c r="A4689" s="67"/>
      <c r="B4689" s="67"/>
    </row>
    <row r="4690" spans="1:2" x14ac:dyDescent="0.25">
      <c r="A4690" s="67"/>
      <c r="B4690" s="67"/>
    </row>
    <row r="4691" spans="1:2" x14ac:dyDescent="0.25">
      <c r="A4691" s="67"/>
      <c r="B4691" s="67"/>
    </row>
    <row r="4692" spans="1:2" x14ac:dyDescent="0.25">
      <c r="A4692" s="67"/>
      <c r="B4692" s="67"/>
    </row>
    <row r="4693" spans="1:2" x14ac:dyDescent="0.25">
      <c r="A4693" s="67"/>
      <c r="B4693" s="67"/>
    </row>
    <row r="4694" spans="1:2" x14ac:dyDescent="0.25">
      <c r="A4694" s="67"/>
      <c r="B4694" s="67"/>
    </row>
    <row r="4695" spans="1:2" x14ac:dyDescent="0.25">
      <c r="A4695" s="67"/>
      <c r="B4695" s="67"/>
    </row>
    <row r="4696" spans="1:2" x14ac:dyDescent="0.25">
      <c r="A4696" s="67"/>
      <c r="B4696" s="67"/>
    </row>
    <row r="4697" spans="1:2" x14ac:dyDescent="0.25">
      <c r="A4697" s="67"/>
      <c r="B4697" s="67"/>
    </row>
    <row r="4698" spans="1:2" x14ac:dyDescent="0.25">
      <c r="A4698" s="67"/>
      <c r="B4698" s="67"/>
    </row>
    <row r="4699" spans="1:2" x14ac:dyDescent="0.25">
      <c r="A4699" s="67"/>
      <c r="B4699" s="67"/>
    </row>
    <row r="4700" spans="1:2" x14ac:dyDescent="0.25">
      <c r="A4700" s="67"/>
      <c r="B4700" s="67"/>
    </row>
    <row r="4701" spans="1:2" x14ac:dyDescent="0.25">
      <c r="A4701" s="67"/>
      <c r="B4701" s="67"/>
    </row>
    <row r="4702" spans="1:2" x14ac:dyDescent="0.25">
      <c r="A4702" s="67"/>
      <c r="B4702" s="67"/>
    </row>
    <row r="4703" spans="1:2" x14ac:dyDescent="0.25">
      <c r="A4703" s="67"/>
      <c r="B4703" s="67"/>
    </row>
    <row r="4704" spans="1:2" x14ac:dyDescent="0.25">
      <c r="A4704" s="67"/>
      <c r="B4704" s="67"/>
    </row>
    <row r="4705" spans="1:2" x14ac:dyDescent="0.25">
      <c r="A4705" s="67"/>
      <c r="B4705" s="67"/>
    </row>
    <row r="4706" spans="1:2" x14ac:dyDescent="0.25">
      <c r="A4706" s="67"/>
      <c r="B4706" s="67"/>
    </row>
    <row r="4707" spans="1:2" x14ac:dyDescent="0.25">
      <c r="A4707" s="67"/>
      <c r="B4707" s="67"/>
    </row>
    <row r="4708" spans="1:2" x14ac:dyDescent="0.25">
      <c r="A4708" s="67"/>
      <c r="B4708" s="67"/>
    </row>
    <row r="4709" spans="1:2" x14ac:dyDescent="0.25">
      <c r="A4709" s="67"/>
      <c r="B4709" s="67"/>
    </row>
    <row r="4710" spans="1:2" x14ac:dyDescent="0.25">
      <c r="A4710" s="67"/>
      <c r="B4710" s="67"/>
    </row>
    <row r="4711" spans="1:2" x14ac:dyDescent="0.25">
      <c r="A4711" s="67"/>
      <c r="B4711" s="67"/>
    </row>
    <row r="4712" spans="1:2" x14ac:dyDescent="0.25">
      <c r="A4712" s="67"/>
      <c r="B4712" s="67"/>
    </row>
    <row r="4713" spans="1:2" x14ac:dyDescent="0.25">
      <c r="A4713" s="67"/>
      <c r="B4713" s="67"/>
    </row>
    <row r="4714" spans="1:2" x14ac:dyDescent="0.25">
      <c r="A4714" s="67"/>
      <c r="B4714" s="67"/>
    </row>
    <row r="4715" spans="1:2" x14ac:dyDescent="0.25">
      <c r="A4715" s="67"/>
      <c r="B4715" s="67"/>
    </row>
    <row r="4716" spans="1:2" x14ac:dyDescent="0.25">
      <c r="A4716" s="67"/>
      <c r="B4716" s="67"/>
    </row>
    <row r="4717" spans="1:2" x14ac:dyDescent="0.25">
      <c r="A4717" s="67"/>
      <c r="B4717" s="67"/>
    </row>
    <row r="4718" spans="1:2" x14ac:dyDescent="0.25">
      <c r="A4718" s="67"/>
      <c r="B4718" s="67"/>
    </row>
    <row r="4719" spans="1:2" x14ac:dyDescent="0.25">
      <c r="A4719" s="67"/>
      <c r="B4719" s="67"/>
    </row>
    <row r="4720" spans="1:2" x14ac:dyDescent="0.25">
      <c r="A4720" s="67"/>
      <c r="B4720" s="67"/>
    </row>
    <row r="4721" spans="1:2" x14ac:dyDescent="0.25">
      <c r="A4721" s="67"/>
      <c r="B4721" s="67"/>
    </row>
    <row r="4722" spans="1:2" x14ac:dyDescent="0.25">
      <c r="A4722" s="67"/>
      <c r="B4722" s="67"/>
    </row>
    <row r="4723" spans="1:2" x14ac:dyDescent="0.25">
      <c r="A4723" s="67"/>
      <c r="B4723" s="67"/>
    </row>
    <row r="4724" spans="1:2" x14ac:dyDescent="0.25">
      <c r="A4724" s="67"/>
      <c r="B4724" s="67"/>
    </row>
    <row r="4725" spans="1:2" x14ac:dyDescent="0.25">
      <c r="A4725" s="67"/>
      <c r="B4725" s="67"/>
    </row>
    <row r="4726" spans="1:2" x14ac:dyDescent="0.25">
      <c r="A4726" s="67"/>
      <c r="B4726" s="67"/>
    </row>
    <row r="4727" spans="1:2" x14ac:dyDescent="0.25">
      <c r="A4727" s="67"/>
      <c r="B4727" s="67"/>
    </row>
    <row r="4728" spans="1:2" x14ac:dyDescent="0.25">
      <c r="A4728" s="67"/>
      <c r="B4728" s="67"/>
    </row>
    <row r="4729" spans="1:2" x14ac:dyDescent="0.25">
      <c r="A4729" s="67"/>
      <c r="B4729" s="67"/>
    </row>
    <row r="4730" spans="1:2" x14ac:dyDescent="0.25">
      <c r="A4730" s="67"/>
      <c r="B4730" s="67"/>
    </row>
    <row r="4731" spans="1:2" x14ac:dyDescent="0.25">
      <c r="A4731" s="67"/>
      <c r="B4731" s="67"/>
    </row>
    <row r="4732" spans="1:2" x14ac:dyDescent="0.25">
      <c r="A4732" s="67"/>
      <c r="B4732" s="67"/>
    </row>
    <row r="4733" spans="1:2" x14ac:dyDescent="0.25">
      <c r="A4733" s="67"/>
      <c r="B4733" s="67"/>
    </row>
    <row r="4734" spans="1:2" x14ac:dyDescent="0.25">
      <c r="A4734" s="67"/>
      <c r="B4734" s="67"/>
    </row>
    <row r="4735" spans="1:2" x14ac:dyDescent="0.25">
      <c r="A4735" s="67"/>
      <c r="B4735" s="67"/>
    </row>
    <row r="4736" spans="1:2" x14ac:dyDescent="0.25">
      <c r="A4736" s="67"/>
      <c r="B4736" s="67"/>
    </row>
    <row r="4737" spans="1:2" x14ac:dyDescent="0.25">
      <c r="A4737" s="67"/>
      <c r="B4737" s="67"/>
    </row>
    <row r="4738" spans="1:2" x14ac:dyDescent="0.25">
      <c r="A4738" s="67"/>
      <c r="B4738" s="67"/>
    </row>
    <row r="4739" spans="1:2" x14ac:dyDescent="0.25">
      <c r="A4739" s="67"/>
      <c r="B4739" s="67"/>
    </row>
    <row r="4740" spans="1:2" x14ac:dyDescent="0.25">
      <c r="A4740" s="67"/>
      <c r="B4740" s="67"/>
    </row>
    <row r="4741" spans="1:2" x14ac:dyDescent="0.25">
      <c r="A4741" s="67"/>
      <c r="B4741" s="67"/>
    </row>
    <row r="4742" spans="1:2" x14ac:dyDescent="0.25">
      <c r="A4742" s="67"/>
      <c r="B4742" s="67"/>
    </row>
    <row r="4743" spans="1:2" x14ac:dyDescent="0.25">
      <c r="A4743" s="67"/>
      <c r="B4743" s="67"/>
    </row>
    <row r="4744" spans="1:2" x14ac:dyDescent="0.25">
      <c r="A4744" s="67"/>
      <c r="B4744" s="67"/>
    </row>
    <row r="4745" spans="1:2" x14ac:dyDescent="0.25">
      <c r="A4745" s="67"/>
      <c r="B4745" s="67"/>
    </row>
    <row r="4746" spans="1:2" x14ac:dyDescent="0.25">
      <c r="A4746" s="67"/>
      <c r="B4746" s="67"/>
    </row>
    <row r="4747" spans="1:2" x14ac:dyDescent="0.25">
      <c r="A4747" s="67"/>
      <c r="B4747" s="67"/>
    </row>
    <row r="4748" spans="1:2" x14ac:dyDescent="0.25">
      <c r="A4748" s="67"/>
      <c r="B4748" s="67"/>
    </row>
    <row r="4749" spans="1:2" x14ac:dyDescent="0.25">
      <c r="A4749" s="67"/>
      <c r="B4749" s="67"/>
    </row>
    <row r="4750" spans="1:2" x14ac:dyDescent="0.25">
      <c r="A4750" s="67"/>
      <c r="B4750" s="67"/>
    </row>
    <row r="4751" spans="1:2" x14ac:dyDescent="0.25">
      <c r="A4751" s="67"/>
      <c r="B4751" s="67"/>
    </row>
    <row r="4752" spans="1:2" x14ac:dyDescent="0.25">
      <c r="A4752" s="67"/>
      <c r="B4752" s="67"/>
    </row>
    <row r="4753" spans="1:2" x14ac:dyDescent="0.25">
      <c r="A4753" s="67"/>
      <c r="B4753" s="67"/>
    </row>
    <row r="4754" spans="1:2" x14ac:dyDescent="0.25">
      <c r="A4754" s="67"/>
      <c r="B4754" s="67"/>
    </row>
    <row r="4755" spans="1:2" x14ac:dyDescent="0.25">
      <c r="A4755" s="67"/>
      <c r="B4755" s="67"/>
    </row>
    <row r="4756" spans="1:2" x14ac:dyDescent="0.25">
      <c r="A4756" s="67"/>
      <c r="B4756" s="67"/>
    </row>
    <row r="4757" spans="1:2" x14ac:dyDescent="0.25">
      <c r="A4757" s="67"/>
      <c r="B4757" s="67"/>
    </row>
    <row r="4758" spans="1:2" x14ac:dyDescent="0.25">
      <c r="A4758" s="67"/>
      <c r="B4758" s="67"/>
    </row>
    <row r="4759" spans="1:2" x14ac:dyDescent="0.25">
      <c r="A4759" s="67"/>
      <c r="B4759" s="67"/>
    </row>
    <row r="4760" spans="1:2" x14ac:dyDescent="0.25">
      <c r="A4760" s="67"/>
      <c r="B4760" s="67"/>
    </row>
    <row r="4761" spans="1:2" x14ac:dyDescent="0.25">
      <c r="A4761" s="67"/>
      <c r="B4761" s="67"/>
    </row>
    <row r="4762" spans="1:2" x14ac:dyDescent="0.25">
      <c r="A4762" s="67"/>
      <c r="B4762" s="67"/>
    </row>
    <row r="4763" spans="1:2" x14ac:dyDescent="0.25">
      <c r="A4763" s="67"/>
      <c r="B4763" s="67"/>
    </row>
    <row r="4764" spans="1:2" x14ac:dyDescent="0.25">
      <c r="A4764" s="67"/>
      <c r="B4764" s="67"/>
    </row>
    <row r="4765" spans="1:2" x14ac:dyDescent="0.25">
      <c r="A4765" s="67"/>
      <c r="B4765" s="67"/>
    </row>
    <row r="4766" spans="1:2" x14ac:dyDescent="0.25">
      <c r="A4766" s="67"/>
      <c r="B4766" s="67"/>
    </row>
    <row r="4767" spans="1:2" x14ac:dyDescent="0.25">
      <c r="A4767" s="67"/>
      <c r="B4767" s="67"/>
    </row>
    <row r="4768" spans="1:2" x14ac:dyDescent="0.25">
      <c r="A4768" s="67"/>
      <c r="B4768" s="67"/>
    </row>
    <row r="4769" spans="1:2" x14ac:dyDescent="0.25">
      <c r="A4769" s="67"/>
      <c r="B4769" s="67"/>
    </row>
    <row r="4770" spans="1:2" x14ac:dyDescent="0.25">
      <c r="A4770" s="67"/>
      <c r="B4770" s="67"/>
    </row>
    <row r="4771" spans="1:2" x14ac:dyDescent="0.25">
      <c r="A4771" s="67"/>
      <c r="B4771" s="67"/>
    </row>
    <row r="4772" spans="1:2" x14ac:dyDescent="0.25">
      <c r="A4772" s="67"/>
      <c r="B4772" s="67"/>
    </row>
    <row r="4773" spans="1:2" x14ac:dyDescent="0.25">
      <c r="A4773" s="67"/>
      <c r="B4773" s="67"/>
    </row>
    <row r="4774" spans="1:2" x14ac:dyDescent="0.25">
      <c r="A4774" s="67"/>
      <c r="B4774" s="67"/>
    </row>
    <row r="4775" spans="1:2" x14ac:dyDescent="0.25">
      <c r="A4775" s="67"/>
      <c r="B4775" s="67"/>
    </row>
    <row r="4776" spans="1:2" x14ac:dyDescent="0.25">
      <c r="A4776" s="67"/>
      <c r="B4776" s="67"/>
    </row>
    <row r="4777" spans="1:2" x14ac:dyDescent="0.25">
      <c r="A4777" s="67"/>
      <c r="B4777" s="67"/>
    </row>
    <row r="4778" spans="1:2" x14ac:dyDescent="0.25">
      <c r="A4778" s="67"/>
      <c r="B4778" s="67"/>
    </row>
    <row r="4779" spans="1:2" x14ac:dyDescent="0.25">
      <c r="A4779" s="67"/>
      <c r="B4779" s="67"/>
    </row>
    <row r="4780" spans="1:2" x14ac:dyDescent="0.25">
      <c r="A4780" s="67"/>
      <c r="B4780" s="67"/>
    </row>
    <row r="4781" spans="1:2" x14ac:dyDescent="0.25">
      <c r="A4781" s="67"/>
      <c r="B4781" s="67"/>
    </row>
    <row r="4782" spans="1:2" x14ac:dyDescent="0.25">
      <c r="A4782" s="67"/>
      <c r="B4782" s="67"/>
    </row>
    <row r="4783" spans="1:2" x14ac:dyDescent="0.25">
      <c r="A4783" s="67"/>
      <c r="B4783" s="67"/>
    </row>
    <row r="4784" spans="1:2" x14ac:dyDescent="0.25">
      <c r="A4784" s="67"/>
      <c r="B4784" s="67"/>
    </row>
    <row r="4785" spans="1:2" x14ac:dyDescent="0.25">
      <c r="A4785" s="67"/>
      <c r="B4785" s="67"/>
    </row>
    <row r="4786" spans="1:2" x14ac:dyDescent="0.25">
      <c r="A4786" s="67"/>
      <c r="B4786" s="67"/>
    </row>
    <row r="4787" spans="1:2" x14ac:dyDescent="0.25">
      <c r="A4787" s="67"/>
      <c r="B4787" s="67"/>
    </row>
    <row r="4788" spans="1:2" x14ac:dyDescent="0.25">
      <c r="A4788" s="67"/>
      <c r="B4788" s="67"/>
    </row>
    <row r="4789" spans="1:2" x14ac:dyDescent="0.25">
      <c r="A4789" s="67"/>
      <c r="B4789" s="67"/>
    </row>
    <row r="4790" spans="1:2" x14ac:dyDescent="0.25">
      <c r="A4790" s="67"/>
      <c r="B4790" s="67"/>
    </row>
    <row r="4791" spans="1:2" x14ac:dyDescent="0.25">
      <c r="A4791" s="67"/>
      <c r="B4791" s="67"/>
    </row>
    <row r="4792" spans="1:2" x14ac:dyDescent="0.25">
      <c r="A4792" s="67"/>
      <c r="B4792" s="67"/>
    </row>
    <row r="4793" spans="1:2" x14ac:dyDescent="0.25">
      <c r="A4793" s="67"/>
      <c r="B4793" s="67"/>
    </row>
    <row r="4794" spans="1:2" x14ac:dyDescent="0.25">
      <c r="A4794" s="67"/>
      <c r="B4794" s="67"/>
    </row>
    <row r="4795" spans="1:2" x14ac:dyDescent="0.25">
      <c r="A4795" s="67"/>
      <c r="B4795" s="67"/>
    </row>
    <row r="4796" spans="1:2" x14ac:dyDescent="0.25">
      <c r="A4796" s="67"/>
      <c r="B4796" s="67"/>
    </row>
    <row r="4797" spans="1:2" x14ac:dyDescent="0.25">
      <c r="A4797" s="67"/>
      <c r="B4797" s="67"/>
    </row>
    <row r="4798" spans="1:2" x14ac:dyDescent="0.25">
      <c r="A4798" s="67"/>
      <c r="B4798" s="67"/>
    </row>
    <row r="4799" spans="1:2" x14ac:dyDescent="0.25">
      <c r="A4799" s="67"/>
      <c r="B4799" s="67"/>
    </row>
    <row r="4800" spans="1:2" x14ac:dyDescent="0.25">
      <c r="A4800" s="67"/>
      <c r="B4800" s="67"/>
    </row>
    <row r="4801" spans="1:2" x14ac:dyDescent="0.25">
      <c r="A4801" s="67"/>
      <c r="B4801" s="67"/>
    </row>
    <row r="4802" spans="1:2" x14ac:dyDescent="0.25">
      <c r="A4802" s="67"/>
      <c r="B4802" s="67"/>
    </row>
    <row r="4803" spans="1:2" x14ac:dyDescent="0.25">
      <c r="A4803" s="67"/>
      <c r="B4803" s="67"/>
    </row>
    <row r="4804" spans="1:2" x14ac:dyDescent="0.25">
      <c r="A4804" s="67"/>
      <c r="B4804" s="67"/>
    </row>
    <row r="4805" spans="1:2" x14ac:dyDescent="0.25">
      <c r="A4805" s="67"/>
      <c r="B4805" s="67"/>
    </row>
    <row r="4806" spans="1:2" x14ac:dyDescent="0.25">
      <c r="A4806" s="67"/>
      <c r="B4806" s="67"/>
    </row>
    <row r="4807" spans="1:2" x14ac:dyDescent="0.25">
      <c r="A4807" s="67"/>
      <c r="B4807" s="67"/>
    </row>
    <row r="4808" spans="1:2" x14ac:dyDescent="0.25">
      <c r="A4808" s="67"/>
      <c r="B4808" s="67"/>
    </row>
    <row r="4809" spans="1:2" x14ac:dyDescent="0.25">
      <c r="A4809" s="67"/>
      <c r="B4809" s="67"/>
    </row>
    <row r="4810" spans="1:2" x14ac:dyDescent="0.25">
      <c r="A4810" s="67"/>
      <c r="B4810" s="67"/>
    </row>
    <row r="4811" spans="1:2" x14ac:dyDescent="0.25">
      <c r="A4811" s="67"/>
      <c r="B4811" s="67"/>
    </row>
    <row r="4812" spans="1:2" x14ac:dyDescent="0.25">
      <c r="A4812" s="67"/>
      <c r="B4812" s="67"/>
    </row>
    <row r="4813" spans="1:2" x14ac:dyDescent="0.25">
      <c r="A4813" s="67"/>
      <c r="B4813" s="67"/>
    </row>
    <row r="4814" spans="1:2" x14ac:dyDescent="0.25">
      <c r="A4814" s="67"/>
      <c r="B4814" s="67"/>
    </row>
    <row r="4815" spans="1:2" x14ac:dyDescent="0.25">
      <c r="A4815" s="67"/>
      <c r="B4815" s="67"/>
    </row>
    <row r="4816" spans="1:2" x14ac:dyDescent="0.25">
      <c r="A4816" s="67"/>
      <c r="B4816" s="67"/>
    </row>
    <row r="4817" spans="1:2" x14ac:dyDescent="0.25">
      <c r="A4817" s="67"/>
      <c r="B4817" s="67"/>
    </row>
    <row r="4818" spans="1:2" x14ac:dyDescent="0.25">
      <c r="A4818" s="67"/>
      <c r="B4818" s="67"/>
    </row>
    <row r="4819" spans="1:2" x14ac:dyDescent="0.25">
      <c r="A4819" s="67"/>
      <c r="B4819" s="67"/>
    </row>
    <row r="4820" spans="1:2" x14ac:dyDescent="0.25">
      <c r="A4820" s="67"/>
      <c r="B4820" s="67"/>
    </row>
    <row r="4821" spans="1:2" x14ac:dyDescent="0.25">
      <c r="A4821" s="67"/>
      <c r="B4821" s="67"/>
    </row>
    <row r="4822" spans="1:2" x14ac:dyDescent="0.25">
      <c r="A4822" s="67"/>
      <c r="B4822" s="67"/>
    </row>
    <row r="4823" spans="1:2" x14ac:dyDescent="0.25">
      <c r="A4823" s="67"/>
      <c r="B4823" s="67"/>
    </row>
    <row r="4824" spans="1:2" x14ac:dyDescent="0.25">
      <c r="A4824" s="67"/>
      <c r="B4824" s="67"/>
    </row>
    <row r="4825" spans="1:2" x14ac:dyDescent="0.25">
      <c r="A4825" s="67"/>
      <c r="B4825" s="67"/>
    </row>
    <row r="4826" spans="1:2" x14ac:dyDescent="0.25">
      <c r="A4826" s="67"/>
      <c r="B4826" s="67"/>
    </row>
    <row r="4827" spans="1:2" x14ac:dyDescent="0.25">
      <c r="A4827" s="67"/>
      <c r="B4827" s="67"/>
    </row>
    <row r="4828" spans="1:2" x14ac:dyDescent="0.25">
      <c r="A4828" s="67"/>
      <c r="B4828" s="67"/>
    </row>
    <row r="4829" spans="1:2" x14ac:dyDescent="0.25">
      <c r="A4829" s="67"/>
      <c r="B4829" s="67"/>
    </row>
    <row r="4830" spans="1:2" x14ac:dyDescent="0.25">
      <c r="A4830" s="67"/>
      <c r="B4830" s="67"/>
    </row>
    <row r="4831" spans="1:2" x14ac:dyDescent="0.25">
      <c r="A4831" s="67"/>
      <c r="B4831" s="67"/>
    </row>
    <row r="4832" spans="1:2" x14ac:dyDescent="0.25">
      <c r="A4832" s="67"/>
      <c r="B4832" s="67"/>
    </row>
    <row r="4833" spans="1:2" x14ac:dyDescent="0.25">
      <c r="A4833" s="67"/>
      <c r="B4833" s="67"/>
    </row>
    <row r="4834" spans="1:2" x14ac:dyDescent="0.25">
      <c r="A4834" s="67"/>
      <c r="B4834" s="67"/>
    </row>
    <row r="4835" spans="1:2" x14ac:dyDescent="0.25">
      <c r="A4835" s="67"/>
      <c r="B4835" s="67"/>
    </row>
    <row r="4836" spans="1:2" x14ac:dyDescent="0.25">
      <c r="A4836" s="67"/>
      <c r="B4836" s="67"/>
    </row>
    <row r="4837" spans="1:2" x14ac:dyDescent="0.25">
      <c r="A4837" s="67"/>
      <c r="B4837" s="67"/>
    </row>
    <row r="4838" spans="1:2" x14ac:dyDescent="0.25">
      <c r="A4838" s="67"/>
      <c r="B4838" s="67"/>
    </row>
    <row r="4839" spans="1:2" x14ac:dyDescent="0.25">
      <c r="A4839" s="67"/>
      <c r="B4839" s="67"/>
    </row>
    <row r="4840" spans="1:2" x14ac:dyDescent="0.25">
      <c r="A4840" s="67"/>
      <c r="B4840" s="67"/>
    </row>
    <row r="4841" spans="1:2" x14ac:dyDescent="0.25">
      <c r="A4841" s="67"/>
      <c r="B4841" s="67"/>
    </row>
    <row r="4842" spans="1:2" x14ac:dyDescent="0.25">
      <c r="A4842" s="67"/>
      <c r="B4842" s="67"/>
    </row>
    <row r="4843" spans="1:2" x14ac:dyDescent="0.25">
      <c r="A4843" s="67"/>
      <c r="B4843" s="67"/>
    </row>
    <row r="4844" spans="1:2" x14ac:dyDescent="0.25">
      <c r="A4844" s="67"/>
      <c r="B4844" s="67"/>
    </row>
    <row r="4845" spans="1:2" x14ac:dyDescent="0.25">
      <c r="A4845" s="67"/>
      <c r="B4845" s="67"/>
    </row>
    <row r="4846" spans="1:2" x14ac:dyDescent="0.25">
      <c r="A4846" s="67"/>
      <c r="B4846" s="67"/>
    </row>
    <row r="4847" spans="1:2" x14ac:dyDescent="0.25">
      <c r="A4847" s="67"/>
      <c r="B4847" s="67"/>
    </row>
    <row r="4848" spans="1:2" x14ac:dyDescent="0.25">
      <c r="A4848" s="67"/>
      <c r="B4848" s="67"/>
    </row>
    <row r="4849" spans="1:2" x14ac:dyDescent="0.25">
      <c r="A4849" s="67"/>
      <c r="B4849" s="67"/>
    </row>
    <row r="4850" spans="1:2" x14ac:dyDescent="0.25">
      <c r="A4850" s="67"/>
      <c r="B4850" s="67"/>
    </row>
    <row r="4851" spans="1:2" x14ac:dyDescent="0.25">
      <c r="A4851" s="67"/>
      <c r="B4851" s="67"/>
    </row>
    <row r="4852" spans="1:2" x14ac:dyDescent="0.25">
      <c r="A4852" s="67"/>
      <c r="B4852" s="67"/>
    </row>
    <row r="4853" spans="1:2" x14ac:dyDescent="0.25">
      <c r="A4853" s="67"/>
      <c r="B4853" s="67"/>
    </row>
    <row r="4854" spans="1:2" x14ac:dyDescent="0.25">
      <c r="A4854" s="67"/>
      <c r="B4854" s="67"/>
    </row>
    <row r="4855" spans="1:2" x14ac:dyDescent="0.25">
      <c r="A4855" s="67"/>
      <c r="B4855" s="67"/>
    </row>
    <row r="4856" spans="1:2" x14ac:dyDescent="0.25">
      <c r="A4856" s="67"/>
      <c r="B4856" s="67"/>
    </row>
    <row r="4857" spans="1:2" x14ac:dyDescent="0.25">
      <c r="A4857" s="67"/>
      <c r="B4857" s="67"/>
    </row>
    <row r="4858" spans="1:2" x14ac:dyDescent="0.25">
      <c r="A4858" s="67"/>
      <c r="B4858" s="67"/>
    </row>
    <row r="4859" spans="1:2" x14ac:dyDescent="0.25">
      <c r="A4859" s="67"/>
      <c r="B4859" s="67"/>
    </row>
    <row r="4860" spans="1:2" x14ac:dyDescent="0.25">
      <c r="A4860" s="67"/>
      <c r="B4860" s="67"/>
    </row>
    <row r="4861" spans="1:2" x14ac:dyDescent="0.25">
      <c r="A4861" s="67"/>
      <c r="B4861" s="67"/>
    </row>
    <row r="4862" spans="1:2" x14ac:dyDescent="0.25">
      <c r="A4862" s="67"/>
      <c r="B4862" s="67"/>
    </row>
    <row r="4863" spans="1:2" x14ac:dyDescent="0.25">
      <c r="A4863" s="67"/>
      <c r="B4863" s="67"/>
    </row>
    <row r="4864" spans="1:2" x14ac:dyDescent="0.25">
      <c r="A4864" s="67"/>
      <c r="B4864" s="67"/>
    </row>
    <row r="4865" spans="1:2" x14ac:dyDescent="0.25">
      <c r="A4865" s="67"/>
      <c r="B4865" s="67"/>
    </row>
    <row r="4866" spans="1:2" x14ac:dyDescent="0.25">
      <c r="A4866" s="67"/>
      <c r="B4866" s="67"/>
    </row>
    <row r="4867" spans="1:2" x14ac:dyDescent="0.25">
      <c r="A4867" s="67"/>
      <c r="B4867" s="67"/>
    </row>
    <row r="4868" spans="1:2" x14ac:dyDescent="0.25">
      <c r="A4868" s="67"/>
      <c r="B4868" s="67"/>
    </row>
    <row r="4869" spans="1:2" x14ac:dyDescent="0.25">
      <c r="A4869" s="67"/>
      <c r="B4869" s="67"/>
    </row>
    <row r="4870" spans="1:2" x14ac:dyDescent="0.25">
      <c r="A4870" s="67"/>
      <c r="B4870" s="67"/>
    </row>
    <row r="4871" spans="1:2" x14ac:dyDescent="0.25">
      <c r="A4871" s="67"/>
      <c r="B4871" s="67"/>
    </row>
    <row r="4872" spans="1:2" x14ac:dyDescent="0.25">
      <c r="A4872" s="67"/>
      <c r="B4872" s="67"/>
    </row>
    <row r="4873" spans="1:2" x14ac:dyDescent="0.25">
      <c r="A4873" s="67"/>
      <c r="B4873" s="67"/>
    </row>
    <row r="4874" spans="1:2" x14ac:dyDescent="0.25">
      <c r="A4874" s="67"/>
      <c r="B4874" s="67"/>
    </row>
    <row r="4875" spans="1:2" x14ac:dyDescent="0.25">
      <c r="A4875" s="67"/>
      <c r="B4875" s="67"/>
    </row>
    <row r="4876" spans="1:2" x14ac:dyDescent="0.25">
      <c r="A4876" s="67"/>
      <c r="B4876" s="67"/>
    </row>
    <row r="4877" spans="1:2" x14ac:dyDescent="0.25">
      <c r="A4877" s="67"/>
      <c r="B4877" s="67"/>
    </row>
    <row r="4878" spans="1:2" x14ac:dyDescent="0.25">
      <c r="A4878" s="67"/>
      <c r="B4878" s="67"/>
    </row>
    <row r="4879" spans="1:2" x14ac:dyDescent="0.25">
      <c r="A4879" s="67"/>
      <c r="B4879" s="67"/>
    </row>
    <row r="4880" spans="1:2" x14ac:dyDescent="0.25">
      <c r="A4880" s="67"/>
      <c r="B4880" s="67"/>
    </row>
    <row r="4881" spans="1:2" x14ac:dyDescent="0.25">
      <c r="A4881" s="67"/>
      <c r="B4881" s="67"/>
    </row>
    <row r="4882" spans="1:2" x14ac:dyDescent="0.25">
      <c r="A4882" s="67"/>
      <c r="B4882" s="67"/>
    </row>
    <row r="4883" spans="1:2" x14ac:dyDescent="0.25">
      <c r="A4883" s="67"/>
      <c r="B4883" s="67"/>
    </row>
    <row r="4884" spans="1:2" x14ac:dyDescent="0.25">
      <c r="A4884" s="67"/>
      <c r="B4884" s="67"/>
    </row>
    <row r="4885" spans="1:2" x14ac:dyDescent="0.25">
      <c r="A4885" s="67"/>
      <c r="B4885" s="67"/>
    </row>
    <row r="4886" spans="1:2" x14ac:dyDescent="0.25">
      <c r="A4886" s="67"/>
      <c r="B4886" s="67"/>
    </row>
    <row r="4887" spans="1:2" x14ac:dyDescent="0.25">
      <c r="A4887" s="67"/>
      <c r="B4887" s="67"/>
    </row>
    <row r="4888" spans="1:2" x14ac:dyDescent="0.25">
      <c r="A4888" s="67"/>
      <c r="B4888" s="67"/>
    </row>
    <row r="4889" spans="1:2" x14ac:dyDescent="0.25">
      <c r="A4889" s="67"/>
      <c r="B4889" s="67"/>
    </row>
    <row r="4890" spans="1:2" x14ac:dyDescent="0.25">
      <c r="A4890" s="67"/>
      <c r="B4890" s="67"/>
    </row>
    <row r="4891" spans="1:2" x14ac:dyDescent="0.25">
      <c r="A4891" s="67"/>
      <c r="B4891" s="67"/>
    </row>
    <row r="4892" spans="1:2" x14ac:dyDescent="0.25">
      <c r="A4892" s="67"/>
      <c r="B4892" s="67"/>
    </row>
    <row r="4893" spans="1:2" x14ac:dyDescent="0.25">
      <c r="A4893" s="67"/>
      <c r="B4893" s="67"/>
    </row>
    <row r="4894" spans="1:2" x14ac:dyDescent="0.25">
      <c r="A4894" s="67"/>
      <c r="B4894" s="67"/>
    </row>
    <row r="4895" spans="1:2" x14ac:dyDescent="0.25">
      <c r="A4895" s="67"/>
      <c r="B4895" s="67"/>
    </row>
    <row r="4896" spans="1:2" x14ac:dyDescent="0.25">
      <c r="A4896" s="67"/>
      <c r="B4896" s="67"/>
    </row>
    <row r="4897" spans="1:2" x14ac:dyDescent="0.25">
      <c r="A4897" s="67"/>
      <c r="B4897" s="67"/>
    </row>
    <row r="4898" spans="1:2" x14ac:dyDescent="0.25">
      <c r="A4898" s="67"/>
      <c r="B4898" s="67"/>
    </row>
    <row r="4899" spans="1:2" x14ac:dyDescent="0.25">
      <c r="A4899" s="67"/>
      <c r="B4899" s="67"/>
    </row>
    <row r="4900" spans="1:2" x14ac:dyDescent="0.25">
      <c r="A4900" s="67"/>
      <c r="B4900" s="67"/>
    </row>
    <row r="4901" spans="1:2" x14ac:dyDescent="0.25">
      <c r="A4901" s="67"/>
      <c r="B4901" s="67"/>
    </row>
    <row r="4902" spans="1:2" x14ac:dyDescent="0.25">
      <c r="A4902" s="67"/>
      <c r="B4902" s="67"/>
    </row>
    <row r="4903" spans="1:2" x14ac:dyDescent="0.25">
      <c r="A4903" s="67"/>
      <c r="B4903" s="67"/>
    </row>
    <row r="4904" spans="1:2" x14ac:dyDescent="0.25">
      <c r="A4904" s="67"/>
      <c r="B4904" s="67"/>
    </row>
    <row r="4905" spans="1:2" x14ac:dyDescent="0.25">
      <c r="A4905" s="67"/>
      <c r="B4905" s="67"/>
    </row>
    <row r="4906" spans="1:2" x14ac:dyDescent="0.25">
      <c r="A4906" s="67"/>
      <c r="B4906" s="67"/>
    </row>
    <row r="4907" spans="1:2" x14ac:dyDescent="0.25">
      <c r="A4907" s="67"/>
      <c r="B4907" s="67"/>
    </row>
    <row r="4908" spans="1:2" x14ac:dyDescent="0.25">
      <c r="A4908" s="67"/>
      <c r="B4908" s="67"/>
    </row>
    <row r="4909" spans="1:2" x14ac:dyDescent="0.25">
      <c r="A4909" s="67"/>
      <c r="B4909" s="67"/>
    </row>
    <row r="4910" spans="1:2" x14ac:dyDescent="0.25">
      <c r="A4910" s="67"/>
      <c r="B4910" s="67"/>
    </row>
    <row r="4911" spans="1:2" x14ac:dyDescent="0.25">
      <c r="A4911" s="67"/>
      <c r="B4911" s="67"/>
    </row>
    <row r="4912" spans="1:2" x14ac:dyDescent="0.25">
      <c r="A4912" s="67"/>
      <c r="B4912" s="67"/>
    </row>
    <row r="4913" spans="1:2" x14ac:dyDescent="0.25">
      <c r="A4913" s="67"/>
      <c r="B4913" s="67"/>
    </row>
    <row r="4914" spans="1:2" x14ac:dyDescent="0.25">
      <c r="A4914" s="67"/>
      <c r="B4914" s="67"/>
    </row>
    <row r="4915" spans="1:2" x14ac:dyDescent="0.25">
      <c r="A4915" s="67"/>
      <c r="B4915" s="67"/>
    </row>
    <row r="4916" spans="1:2" x14ac:dyDescent="0.25">
      <c r="A4916" s="67"/>
      <c r="B4916" s="67"/>
    </row>
    <row r="4917" spans="1:2" x14ac:dyDescent="0.25">
      <c r="A4917" s="67"/>
      <c r="B4917" s="67"/>
    </row>
    <row r="4918" spans="1:2" x14ac:dyDescent="0.25">
      <c r="A4918" s="67"/>
      <c r="B4918" s="67"/>
    </row>
    <row r="4919" spans="1:2" x14ac:dyDescent="0.25">
      <c r="A4919" s="67"/>
      <c r="B4919" s="67"/>
    </row>
    <row r="4920" spans="1:2" x14ac:dyDescent="0.25">
      <c r="A4920" s="67"/>
      <c r="B4920" s="67"/>
    </row>
    <row r="4921" spans="1:2" x14ac:dyDescent="0.25">
      <c r="A4921" s="67"/>
      <c r="B4921" s="67"/>
    </row>
    <row r="4922" spans="1:2" x14ac:dyDescent="0.25">
      <c r="A4922" s="67"/>
      <c r="B4922" s="67"/>
    </row>
    <row r="4923" spans="1:2" x14ac:dyDescent="0.25">
      <c r="A4923" s="67"/>
      <c r="B4923" s="67"/>
    </row>
    <row r="4924" spans="1:2" x14ac:dyDescent="0.25">
      <c r="A4924" s="67"/>
      <c r="B4924" s="67"/>
    </row>
    <row r="4925" spans="1:2" x14ac:dyDescent="0.25">
      <c r="A4925" s="67"/>
      <c r="B4925" s="67"/>
    </row>
    <row r="4926" spans="1:2" x14ac:dyDescent="0.25">
      <c r="A4926" s="67"/>
      <c r="B4926" s="67"/>
    </row>
    <row r="4927" spans="1:2" x14ac:dyDescent="0.25">
      <c r="A4927" s="67"/>
      <c r="B4927" s="67"/>
    </row>
    <row r="4928" spans="1:2" x14ac:dyDescent="0.25">
      <c r="A4928" s="67"/>
      <c r="B4928" s="67"/>
    </row>
    <row r="4929" spans="1:2" x14ac:dyDescent="0.25">
      <c r="A4929" s="67"/>
      <c r="B4929" s="67"/>
    </row>
    <row r="4930" spans="1:2" x14ac:dyDescent="0.25">
      <c r="A4930" s="67"/>
      <c r="B4930" s="67"/>
    </row>
    <row r="4931" spans="1:2" x14ac:dyDescent="0.25">
      <c r="A4931" s="67"/>
      <c r="B4931" s="67"/>
    </row>
    <row r="4932" spans="1:2" x14ac:dyDescent="0.25">
      <c r="A4932" s="67"/>
      <c r="B4932" s="67"/>
    </row>
    <row r="4933" spans="1:2" x14ac:dyDescent="0.25">
      <c r="A4933" s="67"/>
      <c r="B4933" s="67"/>
    </row>
    <row r="4934" spans="1:2" x14ac:dyDescent="0.25">
      <c r="A4934" s="67"/>
      <c r="B4934" s="67"/>
    </row>
    <row r="4935" spans="1:2" x14ac:dyDescent="0.25">
      <c r="A4935" s="67"/>
      <c r="B4935" s="67"/>
    </row>
    <row r="4936" spans="1:2" x14ac:dyDescent="0.25">
      <c r="A4936" s="67"/>
      <c r="B4936" s="67"/>
    </row>
    <row r="4937" spans="1:2" x14ac:dyDescent="0.25">
      <c r="A4937" s="67"/>
      <c r="B4937" s="67"/>
    </row>
    <row r="4938" spans="1:2" x14ac:dyDescent="0.25">
      <c r="A4938" s="67"/>
      <c r="B4938" s="67"/>
    </row>
    <row r="4939" spans="1:2" x14ac:dyDescent="0.25">
      <c r="A4939" s="67"/>
      <c r="B4939" s="67"/>
    </row>
    <row r="4940" spans="1:2" x14ac:dyDescent="0.25">
      <c r="A4940" s="67"/>
      <c r="B4940" s="67"/>
    </row>
    <row r="4941" spans="1:2" x14ac:dyDescent="0.25">
      <c r="A4941" s="67"/>
      <c r="B4941" s="67"/>
    </row>
    <row r="4942" spans="1:2" x14ac:dyDescent="0.25">
      <c r="A4942" s="67"/>
      <c r="B4942" s="67"/>
    </row>
    <row r="4943" spans="1:2" x14ac:dyDescent="0.25">
      <c r="A4943" s="67"/>
      <c r="B4943" s="67"/>
    </row>
    <row r="4944" spans="1:2" x14ac:dyDescent="0.25">
      <c r="A4944" s="67"/>
      <c r="B4944" s="67"/>
    </row>
    <row r="4945" spans="1:2" x14ac:dyDescent="0.25">
      <c r="A4945" s="67"/>
      <c r="B4945" s="67"/>
    </row>
    <row r="4946" spans="1:2" x14ac:dyDescent="0.25">
      <c r="A4946" s="67"/>
      <c r="B4946" s="67"/>
    </row>
    <row r="4947" spans="1:2" x14ac:dyDescent="0.25">
      <c r="A4947" s="67"/>
      <c r="B4947" s="67"/>
    </row>
    <row r="4948" spans="1:2" x14ac:dyDescent="0.25">
      <c r="A4948" s="67"/>
      <c r="B4948" s="67"/>
    </row>
    <row r="4949" spans="1:2" x14ac:dyDescent="0.25">
      <c r="A4949" s="67"/>
      <c r="B4949" s="67"/>
    </row>
  </sheetData>
  <mergeCells count="8">
    <mergeCell ref="A1:K1"/>
    <mergeCell ref="A2:K2"/>
    <mergeCell ref="A3:K3"/>
    <mergeCell ref="A6:A7"/>
    <mergeCell ref="B6:B7"/>
    <mergeCell ref="C6:E6"/>
    <mergeCell ref="F6:H6"/>
    <mergeCell ref="I6:K6"/>
  </mergeCells>
  <printOptions horizontalCentered="1"/>
  <pageMargins left="0.51181102362204722" right="0.51181102362204722" top="0.47244094488188981" bottom="0.74803149606299213" header="0.31496062992125984" footer="0.31496062992125984"/>
  <pageSetup paperSize="9" scale="68" orientation="landscape" r:id="rId1"/>
  <headerFooter>
    <oddHeader>&amp;R&amp;"Times New Roman CE,Félkövér"&amp;11 3. melléklet a 6/2019. (II.22.) önkormányzati rendelethez&amp;"Times New Roman CE,Dőlt"&amp;10
3. melléklet
a 3/2018.(II.8.) önkormányzati rendelethez</oddHeader>
  </headerFooter>
  <rowBreaks count="2" manualBreakCount="2">
    <brk id="26" max="10" man="1"/>
    <brk id="5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R38"/>
  <sheetViews>
    <sheetView topLeftCell="A4" zoomScaleNormal="100" workbookViewId="0">
      <selection activeCell="AD41" sqref="AD41"/>
    </sheetView>
  </sheetViews>
  <sheetFormatPr defaultRowHeight="15.75" x14ac:dyDescent="0.25"/>
  <cols>
    <col min="1" max="1" width="35.75" style="86" customWidth="1"/>
    <col min="2" max="2" width="11" style="86" customWidth="1"/>
    <col min="3" max="3" width="14.75" style="108" customWidth="1"/>
    <col min="4" max="4" width="14.5" style="108" customWidth="1"/>
    <col min="5" max="5" width="15" style="108" customWidth="1"/>
    <col min="6" max="6" width="14.375" style="108" customWidth="1"/>
    <col min="7" max="7" width="14.25" style="108" customWidth="1"/>
    <col min="8" max="8" width="14.625" style="108" customWidth="1"/>
    <col min="9" max="9" width="14.75" style="108" customWidth="1"/>
    <col min="10" max="10" width="14.375" style="108" customWidth="1"/>
    <col min="11" max="11" width="14.75" style="108" customWidth="1"/>
    <col min="12" max="252" width="9" style="86"/>
  </cols>
  <sheetData>
    <row r="1" spans="1:252" x14ac:dyDescent="0.25">
      <c r="A1" s="983" t="s">
        <v>192</v>
      </c>
      <c r="B1" s="983"/>
      <c r="C1" s="983"/>
      <c r="D1" s="983"/>
      <c r="E1" s="983"/>
      <c r="F1" s="983"/>
      <c r="G1" s="983"/>
      <c r="H1" s="983"/>
      <c r="I1" s="983"/>
      <c r="J1" s="983"/>
      <c r="K1" s="983"/>
    </row>
    <row r="2" spans="1:252" x14ac:dyDescent="0.25">
      <c r="A2" s="983" t="s">
        <v>595</v>
      </c>
      <c r="B2" s="983"/>
      <c r="C2" s="983"/>
      <c r="D2" s="983"/>
      <c r="E2" s="983"/>
      <c r="F2" s="983"/>
      <c r="G2" s="983"/>
      <c r="H2" s="983"/>
      <c r="I2" s="983"/>
      <c r="J2" s="983"/>
      <c r="K2" s="983"/>
    </row>
    <row r="3" spans="1:252" x14ac:dyDescent="0.25">
      <c r="A3" s="983" t="s">
        <v>850</v>
      </c>
      <c r="B3" s="983"/>
      <c r="C3" s="983"/>
      <c r="D3" s="983"/>
      <c r="E3" s="983"/>
      <c r="F3" s="983"/>
      <c r="G3" s="983"/>
      <c r="H3" s="983"/>
      <c r="I3" s="983"/>
      <c r="J3" s="983"/>
      <c r="K3" s="983"/>
    </row>
    <row r="5" spans="1:252" ht="16.5" thickBot="1" x14ac:dyDescent="0.3"/>
    <row r="6" spans="1:252" ht="46.5" customHeight="1" thickTop="1" thickBot="1" x14ac:dyDescent="0.3">
      <c r="A6" s="991" t="s">
        <v>145</v>
      </c>
      <c r="B6" s="991" t="s">
        <v>162</v>
      </c>
      <c r="C6" s="974" t="s">
        <v>22</v>
      </c>
      <c r="D6" s="975"/>
      <c r="E6" s="976"/>
      <c r="F6" s="984" t="s">
        <v>193</v>
      </c>
      <c r="G6" s="985"/>
      <c r="H6" s="986"/>
      <c r="I6" s="993" t="s">
        <v>152</v>
      </c>
      <c r="J6" s="994"/>
      <c r="K6" s="995"/>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c r="CW6" s="71"/>
      <c r="CX6" s="71"/>
      <c r="CY6" s="71"/>
      <c r="CZ6" s="71"/>
      <c r="DA6" s="71"/>
      <c r="DB6" s="71"/>
      <c r="DC6" s="71"/>
      <c r="DD6" s="71"/>
      <c r="DE6" s="71"/>
      <c r="DF6" s="71"/>
      <c r="DG6" s="71"/>
      <c r="DH6" s="71"/>
      <c r="DI6" s="71"/>
      <c r="DJ6" s="71"/>
      <c r="DK6" s="71"/>
      <c r="DL6" s="71"/>
      <c r="DM6" s="71"/>
      <c r="DN6" s="71"/>
      <c r="DO6" s="71"/>
      <c r="DP6" s="71"/>
      <c r="DQ6" s="71"/>
      <c r="DR6" s="71"/>
      <c r="DS6" s="71"/>
      <c r="DT6" s="71"/>
      <c r="DU6" s="71"/>
      <c r="DV6" s="71"/>
      <c r="DW6" s="71"/>
      <c r="DX6" s="71"/>
      <c r="DY6" s="71"/>
      <c r="DZ6" s="71"/>
      <c r="EA6" s="71"/>
      <c r="EB6" s="71"/>
      <c r="EC6" s="71"/>
      <c r="ED6" s="71"/>
      <c r="EE6" s="71"/>
      <c r="EF6" s="71"/>
      <c r="EG6" s="71"/>
      <c r="EH6" s="71"/>
      <c r="EI6" s="71"/>
      <c r="EJ6" s="71"/>
      <c r="EK6" s="71"/>
      <c r="EL6" s="71"/>
      <c r="EM6" s="71"/>
      <c r="EN6" s="71"/>
      <c r="EO6" s="71"/>
      <c r="EP6" s="71"/>
      <c r="EQ6" s="71"/>
      <c r="ER6" s="71"/>
      <c r="ES6" s="71"/>
      <c r="ET6" s="71"/>
      <c r="EU6" s="71"/>
      <c r="EV6" s="71"/>
      <c r="EW6" s="71"/>
      <c r="EX6" s="71"/>
      <c r="EY6" s="71"/>
      <c r="EZ6" s="71"/>
      <c r="FA6" s="71"/>
      <c r="FB6" s="71"/>
      <c r="FC6" s="71"/>
      <c r="FD6" s="71"/>
      <c r="FE6" s="71"/>
      <c r="FF6" s="71"/>
      <c r="FG6" s="71"/>
      <c r="FH6" s="71"/>
      <c r="FI6" s="71"/>
      <c r="FJ6" s="71"/>
      <c r="FK6" s="71"/>
      <c r="FL6" s="71"/>
      <c r="FM6" s="71"/>
      <c r="FN6" s="71"/>
      <c r="FO6" s="71"/>
      <c r="FP6" s="71"/>
      <c r="FQ6" s="71"/>
      <c r="FR6" s="71"/>
      <c r="FS6" s="71"/>
      <c r="FT6" s="71"/>
      <c r="FU6" s="71"/>
      <c r="FV6" s="71"/>
      <c r="FW6" s="71"/>
      <c r="FX6" s="71"/>
      <c r="FY6" s="71"/>
      <c r="FZ6" s="71"/>
      <c r="GA6" s="71"/>
      <c r="GB6" s="71"/>
      <c r="GC6" s="71"/>
      <c r="GD6" s="71"/>
      <c r="GE6" s="71"/>
      <c r="GF6" s="71"/>
      <c r="GG6" s="71"/>
      <c r="GH6" s="71"/>
      <c r="GI6" s="71"/>
      <c r="GJ6" s="71"/>
      <c r="GK6" s="71"/>
      <c r="GL6" s="71"/>
      <c r="GM6" s="71"/>
      <c r="GN6" s="71"/>
      <c r="GO6" s="71"/>
      <c r="GP6" s="71"/>
      <c r="GQ6" s="71"/>
      <c r="GR6" s="71"/>
      <c r="GS6" s="71"/>
      <c r="GT6" s="71"/>
      <c r="GU6" s="71"/>
      <c r="GV6" s="71"/>
      <c r="GW6" s="71"/>
      <c r="GX6" s="71"/>
      <c r="GY6" s="71"/>
      <c r="GZ6" s="71"/>
      <c r="HA6" s="71"/>
      <c r="HB6" s="71"/>
      <c r="HC6" s="71"/>
      <c r="HD6" s="71"/>
      <c r="HE6" s="71"/>
      <c r="HF6" s="71"/>
      <c r="HG6" s="71"/>
      <c r="HH6" s="71"/>
      <c r="HI6" s="71"/>
      <c r="HJ6" s="71"/>
      <c r="HK6" s="71"/>
      <c r="HL6" s="71"/>
      <c r="HM6" s="71"/>
      <c r="HN6" s="71"/>
      <c r="HO6" s="71"/>
      <c r="HP6" s="71"/>
      <c r="HQ6" s="71"/>
      <c r="HR6" s="71"/>
      <c r="HS6" s="71"/>
      <c r="HT6" s="71"/>
      <c r="HU6" s="71"/>
      <c r="HV6" s="71"/>
      <c r="HW6" s="71"/>
      <c r="HX6" s="71"/>
      <c r="HY6" s="71"/>
      <c r="HZ6" s="71"/>
      <c r="IA6" s="71"/>
      <c r="IB6" s="71"/>
      <c r="IC6" s="71"/>
      <c r="ID6" s="71"/>
      <c r="IE6" s="71"/>
      <c r="IF6" s="71"/>
      <c r="IG6" s="71"/>
      <c r="IH6" s="71"/>
      <c r="II6" s="71"/>
      <c r="IJ6" s="71"/>
      <c r="IK6" s="71"/>
      <c r="IL6" s="71"/>
      <c r="IM6" s="71"/>
      <c r="IN6" s="71"/>
      <c r="IO6" s="71"/>
      <c r="IP6" s="71"/>
      <c r="IQ6" s="71"/>
      <c r="IR6" s="71"/>
    </row>
    <row r="7" spans="1:252" ht="33" thickTop="1" thickBot="1" x14ac:dyDescent="0.3">
      <c r="A7" s="992"/>
      <c r="B7" s="992"/>
      <c r="C7" s="339" t="s">
        <v>387</v>
      </c>
      <c r="D7" s="360" t="s">
        <v>388</v>
      </c>
      <c r="E7" s="360" t="s">
        <v>784</v>
      </c>
      <c r="F7" s="360" t="s">
        <v>387</v>
      </c>
      <c r="G7" s="360" t="s">
        <v>388</v>
      </c>
      <c r="H7" s="360" t="s">
        <v>784</v>
      </c>
      <c r="I7" s="360" t="s">
        <v>387</v>
      </c>
      <c r="J7" s="340" t="s">
        <v>388</v>
      </c>
      <c r="K7" s="340" t="s">
        <v>784</v>
      </c>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73"/>
      <c r="BX7" s="73"/>
      <c r="BY7" s="73"/>
      <c r="BZ7" s="73"/>
      <c r="CA7" s="73"/>
      <c r="CB7" s="73"/>
      <c r="CC7" s="73"/>
      <c r="CD7" s="73"/>
      <c r="CE7" s="73"/>
      <c r="CF7" s="73"/>
      <c r="CG7" s="73"/>
      <c r="CH7" s="73"/>
      <c r="CI7" s="73"/>
      <c r="CJ7" s="73"/>
      <c r="CK7" s="73"/>
      <c r="CL7" s="73"/>
      <c r="CM7" s="73"/>
      <c r="CN7" s="73"/>
      <c r="CO7" s="73"/>
      <c r="CP7" s="73"/>
      <c r="CQ7" s="73"/>
      <c r="CR7" s="73"/>
      <c r="CS7" s="73"/>
      <c r="CT7" s="73"/>
      <c r="CU7" s="73"/>
      <c r="CV7" s="73"/>
      <c r="CW7" s="73"/>
      <c r="CX7" s="73"/>
      <c r="CY7" s="73"/>
      <c r="CZ7" s="73"/>
      <c r="DA7" s="73"/>
      <c r="DB7" s="73"/>
      <c r="DC7" s="73"/>
      <c r="DD7" s="73"/>
      <c r="DE7" s="73"/>
      <c r="DF7" s="73"/>
      <c r="DG7" s="73"/>
      <c r="DH7" s="73"/>
      <c r="DI7" s="73"/>
      <c r="DJ7" s="73"/>
      <c r="DK7" s="73"/>
      <c r="DL7" s="73"/>
      <c r="DM7" s="73"/>
      <c r="DN7" s="73"/>
      <c r="DO7" s="73"/>
      <c r="DP7" s="73"/>
      <c r="DQ7" s="73"/>
      <c r="DR7" s="73"/>
      <c r="DS7" s="73"/>
      <c r="DT7" s="73"/>
      <c r="DU7" s="73"/>
      <c r="DV7" s="73"/>
      <c r="DW7" s="73"/>
      <c r="DX7" s="73"/>
      <c r="DY7" s="73"/>
      <c r="DZ7" s="73"/>
      <c r="EA7" s="73"/>
      <c r="EB7" s="73"/>
      <c r="EC7" s="73"/>
      <c r="ED7" s="73"/>
      <c r="EE7" s="73"/>
      <c r="EF7" s="73"/>
      <c r="EG7" s="73"/>
      <c r="EH7" s="73"/>
      <c r="EI7" s="73"/>
      <c r="EJ7" s="73"/>
      <c r="EK7" s="73"/>
      <c r="EL7" s="73"/>
      <c r="EM7" s="73"/>
      <c r="EN7" s="73"/>
      <c r="EO7" s="73"/>
      <c r="EP7" s="73"/>
      <c r="EQ7" s="73"/>
      <c r="ER7" s="73"/>
      <c r="ES7" s="73"/>
      <c r="ET7" s="73"/>
      <c r="EU7" s="73"/>
      <c r="EV7" s="73"/>
      <c r="EW7" s="73"/>
      <c r="EX7" s="73"/>
      <c r="EY7" s="73"/>
      <c r="EZ7" s="73"/>
      <c r="FA7" s="73"/>
      <c r="FB7" s="73"/>
      <c r="FC7" s="73"/>
      <c r="FD7" s="73"/>
      <c r="FE7" s="73"/>
      <c r="FF7" s="73"/>
      <c r="FG7" s="73"/>
      <c r="FH7" s="73"/>
      <c r="FI7" s="73"/>
      <c r="FJ7" s="73"/>
      <c r="FK7" s="73"/>
      <c r="FL7" s="73"/>
      <c r="FM7" s="73"/>
      <c r="FN7" s="73"/>
      <c r="FO7" s="73"/>
      <c r="FP7" s="73"/>
      <c r="FQ7" s="73"/>
      <c r="FR7" s="73"/>
      <c r="FS7" s="73"/>
      <c r="FT7" s="73"/>
      <c r="FU7" s="73"/>
      <c r="FV7" s="73"/>
      <c r="FW7" s="73"/>
      <c r="FX7" s="73"/>
      <c r="FY7" s="73"/>
      <c r="FZ7" s="73"/>
      <c r="GA7" s="73"/>
      <c r="GB7" s="73"/>
      <c r="GC7" s="73"/>
      <c r="GD7" s="73"/>
      <c r="GE7" s="73"/>
      <c r="GF7" s="73"/>
      <c r="GG7" s="73"/>
      <c r="GH7" s="73"/>
      <c r="GI7" s="73"/>
      <c r="GJ7" s="73"/>
      <c r="GK7" s="73"/>
      <c r="GL7" s="73"/>
      <c r="GM7" s="73"/>
      <c r="GN7" s="73"/>
      <c r="GO7" s="73"/>
      <c r="GP7" s="73"/>
      <c r="GQ7" s="73"/>
      <c r="GR7" s="73"/>
      <c r="GS7" s="73"/>
      <c r="GT7" s="73"/>
      <c r="GU7" s="73"/>
      <c r="GV7" s="73"/>
      <c r="GW7" s="73"/>
      <c r="GX7" s="73"/>
      <c r="GY7" s="73"/>
      <c r="GZ7" s="73"/>
      <c r="HA7" s="73"/>
      <c r="HB7" s="73"/>
      <c r="HC7" s="73"/>
      <c r="HD7" s="73"/>
      <c r="HE7" s="73"/>
      <c r="HF7" s="73"/>
      <c r="HG7" s="73"/>
      <c r="HH7" s="73"/>
      <c r="HI7" s="73"/>
      <c r="HJ7" s="73"/>
      <c r="HK7" s="73"/>
      <c r="HL7" s="73"/>
      <c r="HM7" s="73"/>
      <c r="HN7" s="73"/>
      <c r="HO7" s="73"/>
      <c r="HP7" s="73"/>
      <c r="HQ7" s="73"/>
      <c r="HR7" s="73"/>
      <c r="HS7" s="73"/>
      <c r="HT7" s="73"/>
      <c r="HU7" s="73"/>
      <c r="HV7" s="73"/>
      <c r="HW7" s="73"/>
      <c r="HX7" s="73"/>
      <c r="HY7" s="73"/>
      <c r="HZ7" s="73"/>
      <c r="IA7" s="73"/>
      <c r="IB7" s="73"/>
      <c r="IC7" s="73"/>
      <c r="ID7" s="73"/>
      <c r="IE7" s="73"/>
      <c r="IF7" s="73"/>
      <c r="IG7" s="73"/>
      <c r="IH7" s="73"/>
      <c r="II7" s="73"/>
      <c r="IJ7" s="73"/>
      <c r="IK7" s="73"/>
      <c r="IL7" s="73"/>
      <c r="IM7" s="73"/>
      <c r="IN7" s="73"/>
      <c r="IO7" s="73"/>
      <c r="IP7" s="73"/>
      <c r="IQ7" s="73"/>
      <c r="IR7" s="73"/>
    </row>
    <row r="8" spans="1:252" ht="17.25" thickTop="1" thickBot="1" x14ac:dyDescent="0.3">
      <c r="A8" s="201" t="s">
        <v>146</v>
      </c>
      <c r="B8" s="203"/>
      <c r="C8" s="4" t="s">
        <v>194</v>
      </c>
      <c r="D8" s="4" t="s">
        <v>389</v>
      </c>
      <c r="E8" s="4" t="s">
        <v>390</v>
      </c>
      <c r="F8" s="202" t="s">
        <v>195</v>
      </c>
      <c r="G8" s="202" t="s">
        <v>391</v>
      </c>
      <c r="H8" s="202" t="s">
        <v>392</v>
      </c>
      <c r="I8" s="4" t="s">
        <v>196</v>
      </c>
      <c r="J8" s="4" t="s">
        <v>393</v>
      </c>
      <c r="K8" s="4" t="s">
        <v>394</v>
      </c>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c r="CP8" s="73"/>
      <c r="CQ8" s="73"/>
      <c r="CR8" s="73"/>
      <c r="CS8" s="73"/>
      <c r="CT8" s="73"/>
      <c r="CU8" s="73"/>
      <c r="CV8" s="73"/>
      <c r="CW8" s="73"/>
      <c r="CX8" s="73"/>
      <c r="CY8" s="73"/>
      <c r="CZ8" s="73"/>
      <c r="DA8" s="73"/>
      <c r="DB8" s="73"/>
      <c r="DC8" s="73"/>
      <c r="DD8" s="73"/>
      <c r="DE8" s="73"/>
      <c r="DF8" s="73"/>
      <c r="DG8" s="73"/>
      <c r="DH8" s="73"/>
      <c r="DI8" s="73"/>
      <c r="DJ8" s="73"/>
      <c r="DK8" s="73"/>
      <c r="DL8" s="73"/>
      <c r="DM8" s="73"/>
      <c r="DN8" s="73"/>
      <c r="DO8" s="73"/>
      <c r="DP8" s="73"/>
      <c r="DQ8" s="73"/>
      <c r="DR8" s="73"/>
      <c r="DS8" s="73"/>
      <c r="DT8" s="73"/>
      <c r="DU8" s="73"/>
      <c r="DV8" s="73"/>
      <c r="DW8" s="73"/>
      <c r="DX8" s="73"/>
      <c r="DY8" s="73"/>
      <c r="DZ8" s="73"/>
      <c r="EA8" s="73"/>
      <c r="EB8" s="73"/>
      <c r="EC8" s="73"/>
      <c r="ED8" s="73"/>
      <c r="EE8" s="73"/>
      <c r="EF8" s="73"/>
      <c r="EG8" s="73"/>
      <c r="EH8" s="73"/>
      <c r="EI8" s="73"/>
      <c r="EJ8" s="73"/>
      <c r="EK8" s="73"/>
      <c r="EL8" s="73"/>
      <c r="EM8" s="73"/>
      <c r="EN8" s="73"/>
      <c r="EO8" s="73"/>
      <c r="EP8" s="73"/>
      <c r="EQ8" s="73"/>
      <c r="ER8" s="73"/>
      <c r="ES8" s="73"/>
      <c r="ET8" s="73"/>
      <c r="EU8" s="73"/>
      <c r="EV8" s="73"/>
      <c r="EW8" s="73"/>
      <c r="EX8" s="73"/>
      <c r="EY8" s="73"/>
      <c r="EZ8" s="73"/>
      <c r="FA8" s="73"/>
      <c r="FB8" s="73"/>
      <c r="FC8" s="73"/>
      <c r="FD8" s="73"/>
      <c r="FE8" s="73"/>
      <c r="FF8" s="73"/>
      <c r="FG8" s="73"/>
      <c r="FH8" s="73"/>
      <c r="FI8" s="73"/>
      <c r="FJ8" s="73"/>
      <c r="FK8" s="73"/>
      <c r="FL8" s="73"/>
      <c r="FM8" s="73"/>
      <c r="FN8" s="73"/>
      <c r="FO8" s="73"/>
      <c r="FP8" s="73"/>
      <c r="FQ8" s="73"/>
      <c r="FR8" s="73"/>
      <c r="FS8" s="73"/>
      <c r="FT8" s="73"/>
      <c r="FU8" s="73"/>
      <c r="FV8" s="73"/>
      <c r="FW8" s="73"/>
      <c r="FX8" s="73"/>
      <c r="FY8" s="73"/>
      <c r="FZ8" s="73"/>
      <c r="GA8" s="73"/>
      <c r="GB8" s="73"/>
      <c r="GC8" s="73"/>
      <c r="GD8" s="73"/>
      <c r="GE8" s="73"/>
      <c r="GF8" s="73"/>
      <c r="GG8" s="73"/>
      <c r="GH8" s="73"/>
      <c r="GI8" s="73"/>
      <c r="GJ8" s="73"/>
      <c r="GK8" s="73"/>
      <c r="GL8" s="73"/>
      <c r="GM8" s="73"/>
      <c r="GN8" s="73"/>
      <c r="GO8" s="73"/>
      <c r="GP8" s="73"/>
      <c r="GQ8" s="73"/>
      <c r="GR8" s="73"/>
      <c r="GS8" s="73"/>
      <c r="GT8" s="73"/>
      <c r="GU8" s="73"/>
      <c r="GV8" s="73"/>
      <c r="GW8" s="73"/>
      <c r="GX8" s="73"/>
      <c r="GY8" s="73"/>
      <c r="GZ8" s="73"/>
      <c r="HA8" s="73"/>
      <c r="HB8" s="73"/>
      <c r="HC8" s="73"/>
      <c r="HD8" s="73"/>
      <c r="HE8" s="73"/>
      <c r="HF8" s="73"/>
      <c r="HG8" s="73"/>
      <c r="HH8" s="73"/>
      <c r="HI8" s="73"/>
      <c r="HJ8" s="73"/>
      <c r="HK8" s="73"/>
      <c r="HL8" s="73"/>
      <c r="HM8" s="73"/>
      <c r="HN8" s="73"/>
      <c r="HO8" s="73"/>
      <c r="HP8" s="73"/>
      <c r="HQ8" s="73"/>
      <c r="HR8" s="73"/>
      <c r="HS8" s="73"/>
      <c r="HT8" s="73"/>
      <c r="HU8" s="73"/>
      <c r="HV8" s="73"/>
      <c r="HW8" s="73"/>
      <c r="HX8" s="73"/>
      <c r="HY8" s="73"/>
      <c r="HZ8" s="73"/>
      <c r="IA8" s="73"/>
      <c r="IB8" s="73"/>
      <c r="IC8" s="73"/>
      <c r="ID8" s="73"/>
      <c r="IE8" s="73"/>
      <c r="IF8" s="73"/>
      <c r="IG8" s="73"/>
      <c r="IH8" s="73"/>
      <c r="II8" s="73"/>
      <c r="IJ8" s="73"/>
      <c r="IK8" s="73"/>
      <c r="IL8" s="73"/>
      <c r="IM8" s="73"/>
      <c r="IN8" s="73"/>
      <c r="IO8" s="73"/>
      <c r="IP8" s="73"/>
      <c r="IQ8" s="73"/>
      <c r="IR8" s="73"/>
    </row>
    <row r="9" spans="1:252" ht="16.5" thickTop="1" x14ac:dyDescent="0.25">
      <c r="A9" s="77" t="s">
        <v>27</v>
      </c>
      <c r="B9" s="77" t="s">
        <v>163</v>
      </c>
      <c r="C9" s="81">
        <v>482653</v>
      </c>
      <c r="D9" s="81">
        <f>+'10 ök kiadás'!C290</f>
        <v>-70409</v>
      </c>
      <c r="E9" s="81">
        <f>SUM(C9:D9)</f>
        <v>412244</v>
      </c>
      <c r="F9" s="81">
        <v>7725124</v>
      </c>
      <c r="G9" s="81">
        <v>122141</v>
      </c>
      <c r="H9" s="81">
        <f>SUM(F9:G9)</f>
        <v>7847265</v>
      </c>
      <c r="I9" s="252">
        <f>SUM(C9+F9)</f>
        <v>8207777</v>
      </c>
      <c r="J9" s="252">
        <f t="shared" ref="J9:K13" si="0">SUM(D9+G9)</f>
        <v>51732</v>
      </c>
      <c r="K9" s="252">
        <f t="shared" si="0"/>
        <v>8259509</v>
      </c>
    </row>
    <row r="10" spans="1:252" ht="31.5" x14ac:dyDescent="0.25">
      <c r="A10" s="87" t="s">
        <v>28</v>
      </c>
      <c r="B10" s="87" t="s">
        <v>164</v>
      </c>
      <c r="C10" s="88">
        <v>116317</v>
      </c>
      <c r="D10" s="88">
        <f>+'10 ök kiadás'!D290</f>
        <v>-19847</v>
      </c>
      <c r="E10" s="88">
        <f t="shared" ref="E10:E13" si="1">SUM(C10:D10)</f>
        <v>96470</v>
      </c>
      <c r="F10" s="88">
        <v>1618415</v>
      </c>
      <c r="G10" s="88">
        <v>47205</v>
      </c>
      <c r="H10" s="88">
        <f>SUM(F10:G10)</f>
        <v>1665620</v>
      </c>
      <c r="I10" s="93">
        <f>SUM(C10+F10)</f>
        <v>1734732</v>
      </c>
      <c r="J10" s="93">
        <f t="shared" si="0"/>
        <v>27358</v>
      </c>
      <c r="K10" s="93">
        <f t="shared" si="0"/>
        <v>1762090</v>
      </c>
    </row>
    <row r="11" spans="1:252" x14ac:dyDescent="0.25">
      <c r="A11" s="94" t="s">
        <v>29</v>
      </c>
      <c r="B11" s="94" t="s">
        <v>165</v>
      </c>
      <c r="C11" s="88">
        <v>8880476</v>
      </c>
      <c r="D11" s="88">
        <f>+'10 ök kiadás'!E290</f>
        <v>-992862</v>
      </c>
      <c r="E11" s="88">
        <f t="shared" si="1"/>
        <v>7887614</v>
      </c>
      <c r="F11" s="88">
        <v>5221118</v>
      </c>
      <c r="G11" s="88">
        <v>203209</v>
      </c>
      <c r="H11" s="88">
        <f t="shared" ref="H11:H17" si="2">SUM(F11:G11)</f>
        <v>5424327</v>
      </c>
      <c r="I11" s="93">
        <f>SUM(C11+F11)</f>
        <v>14101594</v>
      </c>
      <c r="J11" s="93">
        <f t="shared" si="0"/>
        <v>-789653</v>
      </c>
      <c r="K11" s="93">
        <f t="shared" si="0"/>
        <v>13311941</v>
      </c>
    </row>
    <row r="12" spans="1:252" x14ac:dyDescent="0.25">
      <c r="A12" s="94" t="s">
        <v>500</v>
      </c>
      <c r="B12" s="94" t="s">
        <v>166</v>
      </c>
      <c r="C12" s="88">
        <v>41014</v>
      </c>
      <c r="D12" s="88">
        <f>+'10 ök kiadás'!F290</f>
        <v>3137</v>
      </c>
      <c r="E12" s="88">
        <f t="shared" si="1"/>
        <v>44151</v>
      </c>
      <c r="F12" s="88">
        <v>73244</v>
      </c>
      <c r="G12" s="88">
        <v>1126</v>
      </c>
      <c r="H12" s="88">
        <f t="shared" si="2"/>
        <v>74370</v>
      </c>
      <c r="I12" s="93">
        <f>SUM(C12+F12)</f>
        <v>114258</v>
      </c>
      <c r="J12" s="93">
        <f t="shared" si="0"/>
        <v>4263</v>
      </c>
      <c r="K12" s="93">
        <f t="shared" si="0"/>
        <v>118521</v>
      </c>
    </row>
    <row r="13" spans="1:252" ht="31.5" x14ac:dyDescent="0.25">
      <c r="A13" s="87" t="s">
        <v>190</v>
      </c>
      <c r="B13" s="87" t="s">
        <v>330</v>
      </c>
      <c r="C13" s="88">
        <v>14478738</v>
      </c>
      <c r="D13" s="81">
        <f>+'10 ök kiadás'!G290</f>
        <v>85552</v>
      </c>
      <c r="E13" s="88">
        <f t="shared" si="1"/>
        <v>14564290</v>
      </c>
      <c r="F13" s="81">
        <v>134</v>
      </c>
      <c r="G13" s="81">
        <v>19507</v>
      </c>
      <c r="H13" s="88">
        <f t="shared" si="2"/>
        <v>19641</v>
      </c>
      <c r="I13" s="93">
        <f>SUM(C13+F13)</f>
        <v>14478872</v>
      </c>
      <c r="J13" s="93">
        <f t="shared" si="0"/>
        <v>105059</v>
      </c>
      <c r="K13" s="93">
        <f t="shared" si="0"/>
        <v>14583931</v>
      </c>
    </row>
    <row r="14" spans="1:252" ht="31.5" x14ac:dyDescent="0.25">
      <c r="A14" s="336" t="s">
        <v>374</v>
      </c>
      <c r="B14" s="99"/>
      <c r="C14" s="100">
        <f>SUM(C9+C10+C11+C12+C13)</f>
        <v>23999198</v>
      </c>
      <c r="D14" s="100">
        <f t="shared" ref="D14:E14" si="3">SUM(D9+D10+D11+D12+D13)</f>
        <v>-994429</v>
      </c>
      <c r="E14" s="100">
        <f t="shared" si="3"/>
        <v>23004769</v>
      </c>
      <c r="F14" s="100">
        <f>SUM(F9+F10+F11+F12+F13)</f>
        <v>14638035</v>
      </c>
      <c r="G14" s="100">
        <f t="shared" ref="G14:H14" si="4">SUM(G9+G10+G11+G12+G13)</f>
        <v>393188</v>
      </c>
      <c r="H14" s="100">
        <f t="shared" si="4"/>
        <v>15031223</v>
      </c>
      <c r="I14" s="100">
        <f>SUM(I9:I12,I13)</f>
        <v>38637233</v>
      </c>
      <c r="J14" s="100">
        <f t="shared" ref="J14:K14" si="5">SUM(J9:J12,J13)</f>
        <v>-601241</v>
      </c>
      <c r="K14" s="100">
        <f t="shared" si="5"/>
        <v>38035992</v>
      </c>
    </row>
    <row r="15" spans="1:252" x14ac:dyDescent="0.25">
      <c r="A15" s="94" t="s">
        <v>170</v>
      </c>
      <c r="B15" s="94" t="s">
        <v>167</v>
      </c>
      <c r="C15" s="89">
        <v>28968963</v>
      </c>
      <c r="D15" s="89">
        <f>+'10 ök kiadás'!I290</f>
        <v>-3906025</v>
      </c>
      <c r="E15" s="89">
        <f>SUM(C15:D15)</f>
        <v>25062938</v>
      </c>
      <c r="F15" s="89">
        <v>297705</v>
      </c>
      <c r="G15" s="89">
        <v>106334</v>
      </c>
      <c r="H15" s="89">
        <f t="shared" si="2"/>
        <v>404039</v>
      </c>
      <c r="I15" s="93">
        <f>SUM(C15+F15)</f>
        <v>29266668</v>
      </c>
      <c r="J15" s="93">
        <f t="shared" ref="J15:K17" si="6">SUM(D15+G15)</f>
        <v>-3799691</v>
      </c>
      <c r="K15" s="93">
        <f t="shared" si="6"/>
        <v>25466977</v>
      </c>
    </row>
    <row r="16" spans="1:252" x14ac:dyDescent="0.25">
      <c r="A16" s="94" t="s">
        <v>171</v>
      </c>
      <c r="B16" s="94" t="s">
        <v>168</v>
      </c>
      <c r="C16" s="89">
        <v>3957490</v>
      </c>
      <c r="D16" s="89">
        <f>+'10 ök kiadás'!J290</f>
        <v>-2439776</v>
      </c>
      <c r="E16" s="89">
        <f>SUM(C16:D16)</f>
        <v>1517714</v>
      </c>
      <c r="F16" s="89">
        <v>40505</v>
      </c>
      <c r="G16" s="89">
        <v>1509</v>
      </c>
      <c r="H16" s="89">
        <f t="shared" si="2"/>
        <v>42014</v>
      </c>
      <c r="I16" s="93">
        <f>SUM(C16+F16)</f>
        <v>3997995</v>
      </c>
      <c r="J16" s="93">
        <f t="shared" si="6"/>
        <v>-2438267</v>
      </c>
      <c r="K16" s="93">
        <f t="shared" si="6"/>
        <v>1559728</v>
      </c>
    </row>
    <row r="17" spans="1:252" x14ac:dyDescent="0.25">
      <c r="A17" s="94" t="s">
        <v>281</v>
      </c>
      <c r="B17" s="94" t="s">
        <v>169</v>
      </c>
      <c r="C17" s="89">
        <v>1341685</v>
      </c>
      <c r="D17" s="89">
        <f>+'10 ök kiadás'!K290</f>
        <v>-830</v>
      </c>
      <c r="E17" s="89">
        <f>SUM(C17:D17)</f>
        <v>1340855</v>
      </c>
      <c r="F17" s="89">
        <v>0</v>
      </c>
      <c r="G17" s="89">
        <v>0</v>
      </c>
      <c r="H17" s="89">
        <f t="shared" si="2"/>
        <v>0</v>
      </c>
      <c r="I17" s="93">
        <f>SUM(C17+F17)</f>
        <v>1341685</v>
      </c>
      <c r="J17" s="93">
        <f t="shared" si="6"/>
        <v>-830</v>
      </c>
      <c r="K17" s="93">
        <f t="shared" si="6"/>
        <v>1340855</v>
      </c>
    </row>
    <row r="18" spans="1:252" ht="31.5" x14ac:dyDescent="0.25">
      <c r="A18" s="336" t="s">
        <v>375</v>
      </c>
      <c r="B18" s="190"/>
      <c r="C18" s="101">
        <f>SUM(C15:C17)</f>
        <v>34268138</v>
      </c>
      <c r="D18" s="101">
        <f t="shared" ref="D18:E18" si="7">SUM(D15:D17)</f>
        <v>-6346631</v>
      </c>
      <c r="E18" s="101">
        <f t="shared" si="7"/>
        <v>27921507</v>
      </c>
      <c r="F18" s="100">
        <f>SUM(F15:F17)</f>
        <v>338210</v>
      </c>
      <c r="G18" s="100">
        <f t="shared" ref="G18:H18" si="8">SUM(G15:G17)</f>
        <v>107843</v>
      </c>
      <c r="H18" s="100">
        <f t="shared" si="8"/>
        <v>446053</v>
      </c>
      <c r="I18" s="100">
        <f>SUM(I15:I17)</f>
        <v>34606348</v>
      </c>
      <c r="J18" s="100">
        <f t="shared" ref="J18:K18" si="9">SUM(J15:J17)</f>
        <v>-6238788</v>
      </c>
      <c r="K18" s="100">
        <f t="shared" si="9"/>
        <v>28367560</v>
      </c>
    </row>
    <row r="19" spans="1:252" s="215" customFormat="1" x14ac:dyDescent="0.25">
      <c r="A19" s="211" t="s">
        <v>217</v>
      </c>
      <c r="B19" s="211"/>
      <c r="C19" s="212">
        <v>40356</v>
      </c>
      <c r="D19" s="212">
        <v>0</v>
      </c>
      <c r="E19" s="212">
        <f>SUM(C19:D19)</f>
        <v>40356</v>
      </c>
      <c r="F19" s="212">
        <v>0</v>
      </c>
      <c r="G19" s="212">
        <v>0</v>
      </c>
      <c r="H19" s="212">
        <f>SUM(F19:G19)</f>
        <v>0</v>
      </c>
      <c r="I19" s="253">
        <f>SUM(C19+F19)</f>
        <v>40356</v>
      </c>
      <c r="J19" s="253">
        <f t="shared" ref="J19:K20" si="10">SUM(D19+G19)</f>
        <v>0</v>
      </c>
      <c r="K19" s="253">
        <f t="shared" si="10"/>
        <v>40356</v>
      </c>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c r="BI19" s="214"/>
      <c r="BJ19" s="214"/>
      <c r="BK19" s="214"/>
      <c r="BL19" s="214"/>
      <c r="BM19" s="214"/>
      <c r="BN19" s="214"/>
      <c r="BO19" s="214"/>
      <c r="BP19" s="214"/>
      <c r="BQ19" s="214"/>
      <c r="BR19" s="214"/>
      <c r="BS19" s="214"/>
      <c r="BT19" s="214"/>
      <c r="BU19" s="214"/>
      <c r="BV19" s="214"/>
      <c r="BW19" s="214"/>
      <c r="BX19" s="214"/>
      <c r="BY19" s="214"/>
      <c r="BZ19" s="214"/>
      <c r="CA19" s="214"/>
      <c r="CB19" s="214"/>
      <c r="CC19" s="214"/>
      <c r="CD19" s="214"/>
      <c r="CE19" s="214"/>
      <c r="CF19" s="214"/>
      <c r="CG19" s="214"/>
      <c r="CH19" s="214"/>
      <c r="CI19" s="214"/>
      <c r="CJ19" s="214"/>
      <c r="CK19" s="214"/>
      <c r="CL19" s="214"/>
      <c r="CM19" s="214"/>
      <c r="CN19" s="214"/>
      <c r="CO19" s="214"/>
      <c r="CP19" s="214"/>
      <c r="CQ19" s="214"/>
      <c r="CR19" s="214"/>
      <c r="CS19" s="214"/>
      <c r="CT19" s="214"/>
      <c r="CU19" s="214"/>
      <c r="CV19" s="214"/>
      <c r="CW19" s="214"/>
      <c r="CX19" s="214"/>
      <c r="CY19" s="214"/>
      <c r="CZ19" s="214"/>
      <c r="DA19" s="214"/>
      <c r="DB19" s="214"/>
      <c r="DC19" s="214"/>
      <c r="DD19" s="214"/>
      <c r="DE19" s="214"/>
      <c r="DF19" s="214"/>
      <c r="DG19" s="214"/>
      <c r="DH19" s="214"/>
      <c r="DI19" s="214"/>
      <c r="DJ19" s="214"/>
      <c r="DK19" s="214"/>
      <c r="DL19" s="214"/>
      <c r="DM19" s="214"/>
      <c r="DN19" s="214"/>
      <c r="DO19" s="214"/>
      <c r="DP19" s="214"/>
      <c r="DQ19" s="214"/>
      <c r="DR19" s="214"/>
      <c r="DS19" s="214"/>
      <c r="DT19" s="214"/>
      <c r="DU19" s="214"/>
      <c r="DV19" s="214"/>
      <c r="DW19" s="214"/>
      <c r="DX19" s="214"/>
      <c r="DY19" s="214"/>
      <c r="DZ19" s="214"/>
      <c r="EA19" s="214"/>
      <c r="EB19" s="214"/>
      <c r="EC19" s="214"/>
      <c r="ED19" s="214"/>
      <c r="EE19" s="214"/>
      <c r="EF19" s="214"/>
      <c r="EG19" s="214"/>
      <c r="EH19" s="214"/>
      <c r="EI19" s="214"/>
      <c r="EJ19" s="214"/>
      <c r="EK19" s="214"/>
      <c r="EL19" s="214"/>
      <c r="EM19" s="214"/>
      <c r="EN19" s="214"/>
      <c r="EO19" s="214"/>
      <c r="EP19" s="214"/>
      <c r="EQ19" s="214"/>
      <c r="ER19" s="214"/>
      <c r="ES19" s="214"/>
      <c r="ET19" s="214"/>
      <c r="EU19" s="214"/>
      <c r="EV19" s="214"/>
      <c r="EW19" s="214"/>
      <c r="EX19" s="214"/>
      <c r="EY19" s="214"/>
      <c r="EZ19" s="214"/>
      <c r="FA19" s="214"/>
      <c r="FB19" s="214"/>
      <c r="FC19" s="214"/>
      <c r="FD19" s="214"/>
      <c r="FE19" s="214"/>
      <c r="FF19" s="214"/>
      <c r="FG19" s="214"/>
      <c r="FH19" s="214"/>
      <c r="FI19" s="214"/>
      <c r="FJ19" s="214"/>
      <c r="FK19" s="214"/>
      <c r="FL19" s="214"/>
      <c r="FM19" s="214"/>
      <c r="FN19" s="214"/>
      <c r="FO19" s="214"/>
      <c r="FP19" s="214"/>
      <c r="FQ19" s="214"/>
      <c r="FR19" s="214"/>
      <c r="FS19" s="214"/>
      <c r="FT19" s="214"/>
      <c r="FU19" s="214"/>
      <c r="FV19" s="214"/>
      <c r="FW19" s="214"/>
      <c r="FX19" s="214"/>
      <c r="FY19" s="214"/>
      <c r="FZ19" s="214"/>
      <c r="GA19" s="214"/>
      <c r="GB19" s="214"/>
      <c r="GC19" s="214"/>
      <c r="GD19" s="214"/>
      <c r="GE19" s="214"/>
      <c r="GF19" s="214"/>
      <c r="GG19" s="214"/>
      <c r="GH19" s="214"/>
      <c r="GI19" s="214"/>
      <c r="GJ19" s="214"/>
      <c r="GK19" s="214"/>
      <c r="GL19" s="214"/>
      <c r="GM19" s="214"/>
      <c r="GN19" s="214"/>
      <c r="GO19" s="214"/>
      <c r="GP19" s="214"/>
      <c r="GQ19" s="214"/>
      <c r="GR19" s="214"/>
      <c r="GS19" s="214"/>
      <c r="GT19" s="214"/>
      <c r="GU19" s="214"/>
      <c r="GV19" s="214"/>
      <c r="GW19" s="214"/>
      <c r="GX19" s="214"/>
      <c r="GY19" s="214"/>
      <c r="GZ19" s="214"/>
      <c r="HA19" s="214"/>
      <c r="HB19" s="214"/>
      <c r="HC19" s="214"/>
      <c r="HD19" s="214"/>
      <c r="HE19" s="214"/>
      <c r="HF19" s="214"/>
      <c r="HG19" s="214"/>
      <c r="HH19" s="214"/>
      <c r="HI19" s="214"/>
      <c r="HJ19" s="214"/>
      <c r="HK19" s="214"/>
      <c r="HL19" s="214"/>
      <c r="HM19" s="214"/>
      <c r="HN19" s="214"/>
      <c r="HO19" s="214"/>
      <c r="HP19" s="214"/>
      <c r="HQ19" s="214"/>
      <c r="HR19" s="214"/>
      <c r="HS19" s="214"/>
      <c r="HT19" s="214"/>
      <c r="HU19" s="214"/>
      <c r="HV19" s="214"/>
      <c r="HW19" s="214"/>
      <c r="HX19" s="214"/>
      <c r="HY19" s="214"/>
      <c r="HZ19" s="214"/>
      <c r="IA19" s="214"/>
      <c r="IB19" s="214"/>
      <c r="IC19" s="214"/>
      <c r="ID19" s="214"/>
      <c r="IE19" s="214"/>
      <c r="IF19" s="214"/>
      <c r="IG19" s="214"/>
      <c r="IH19" s="214"/>
      <c r="II19" s="214"/>
      <c r="IJ19" s="214"/>
      <c r="IK19" s="214"/>
      <c r="IL19" s="214"/>
      <c r="IM19" s="214"/>
      <c r="IN19" s="214"/>
      <c r="IO19" s="214"/>
      <c r="IP19" s="214"/>
      <c r="IQ19" s="214"/>
      <c r="IR19" s="214"/>
    </row>
    <row r="20" spans="1:252" s="215" customFormat="1" x14ac:dyDescent="0.25">
      <c r="A20" s="211" t="s">
        <v>218</v>
      </c>
      <c r="B20" s="220"/>
      <c r="C20" s="212">
        <v>2171368</v>
      </c>
      <c r="D20" s="212">
        <f>+'10 ök kiadás'!N290</f>
        <v>2228432</v>
      </c>
      <c r="E20" s="212">
        <f>SUM(C20:D20)</f>
        <v>4399800</v>
      </c>
      <c r="F20" s="212">
        <v>0</v>
      </c>
      <c r="G20" s="212">
        <v>0</v>
      </c>
      <c r="H20" s="212">
        <f>SUM(F20:G20)</f>
        <v>0</v>
      </c>
      <c r="I20" s="253">
        <f>SUM(C20+F20)</f>
        <v>2171368</v>
      </c>
      <c r="J20" s="253">
        <f t="shared" si="10"/>
        <v>2228432</v>
      </c>
      <c r="K20" s="253">
        <f t="shared" si="10"/>
        <v>4399800</v>
      </c>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c r="BI20" s="214"/>
      <c r="BJ20" s="214"/>
      <c r="BK20" s="214"/>
      <c r="BL20" s="214"/>
      <c r="BM20" s="214"/>
      <c r="BN20" s="214"/>
      <c r="BO20" s="214"/>
      <c r="BP20" s="214"/>
      <c r="BQ20" s="214"/>
      <c r="BR20" s="214"/>
      <c r="BS20" s="214"/>
      <c r="BT20" s="214"/>
      <c r="BU20" s="214"/>
      <c r="BV20" s="214"/>
      <c r="BW20" s="214"/>
      <c r="BX20" s="214"/>
      <c r="BY20" s="214"/>
      <c r="BZ20" s="214"/>
      <c r="CA20" s="214"/>
      <c r="CB20" s="214"/>
      <c r="CC20" s="214"/>
      <c r="CD20" s="214"/>
      <c r="CE20" s="214"/>
      <c r="CF20" s="214"/>
      <c r="CG20" s="214"/>
      <c r="CH20" s="214"/>
      <c r="CI20" s="214"/>
      <c r="CJ20" s="214"/>
      <c r="CK20" s="214"/>
      <c r="CL20" s="214"/>
      <c r="CM20" s="214"/>
      <c r="CN20" s="214"/>
      <c r="CO20" s="214"/>
      <c r="CP20" s="214"/>
      <c r="CQ20" s="214"/>
      <c r="CR20" s="214"/>
      <c r="CS20" s="214"/>
      <c r="CT20" s="214"/>
      <c r="CU20" s="214"/>
      <c r="CV20" s="214"/>
      <c r="CW20" s="214"/>
      <c r="CX20" s="214"/>
      <c r="CY20" s="214"/>
      <c r="CZ20" s="214"/>
      <c r="DA20" s="214"/>
      <c r="DB20" s="214"/>
      <c r="DC20" s="214"/>
      <c r="DD20" s="214"/>
      <c r="DE20" s="214"/>
      <c r="DF20" s="214"/>
      <c r="DG20" s="214"/>
      <c r="DH20" s="214"/>
      <c r="DI20" s="214"/>
      <c r="DJ20" s="214"/>
      <c r="DK20" s="214"/>
      <c r="DL20" s="214"/>
      <c r="DM20" s="214"/>
      <c r="DN20" s="214"/>
      <c r="DO20" s="214"/>
      <c r="DP20" s="214"/>
      <c r="DQ20" s="214"/>
      <c r="DR20" s="214"/>
      <c r="DS20" s="214"/>
      <c r="DT20" s="214"/>
      <c r="DU20" s="214"/>
      <c r="DV20" s="214"/>
      <c r="DW20" s="214"/>
      <c r="DX20" s="214"/>
      <c r="DY20" s="214"/>
      <c r="DZ20" s="214"/>
      <c r="EA20" s="214"/>
      <c r="EB20" s="214"/>
      <c r="EC20" s="214"/>
      <c r="ED20" s="214"/>
      <c r="EE20" s="214"/>
      <c r="EF20" s="214"/>
      <c r="EG20" s="214"/>
      <c r="EH20" s="214"/>
      <c r="EI20" s="214"/>
      <c r="EJ20" s="214"/>
      <c r="EK20" s="214"/>
      <c r="EL20" s="214"/>
      <c r="EM20" s="214"/>
      <c r="EN20" s="214"/>
      <c r="EO20" s="214"/>
      <c r="EP20" s="214"/>
      <c r="EQ20" s="214"/>
      <c r="ER20" s="214"/>
      <c r="ES20" s="214"/>
      <c r="ET20" s="214"/>
      <c r="EU20" s="214"/>
      <c r="EV20" s="214"/>
      <c r="EW20" s="214"/>
      <c r="EX20" s="214"/>
      <c r="EY20" s="214"/>
      <c r="EZ20" s="214"/>
      <c r="FA20" s="214"/>
      <c r="FB20" s="214"/>
      <c r="FC20" s="214"/>
      <c r="FD20" s="214"/>
      <c r="FE20" s="214"/>
      <c r="FF20" s="214"/>
      <c r="FG20" s="214"/>
      <c r="FH20" s="214"/>
      <c r="FI20" s="214"/>
      <c r="FJ20" s="214"/>
      <c r="FK20" s="214"/>
      <c r="FL20" s="214"/>
      <c r="FM20" s="214"/>
      <c r="FN20" s="214"/>
      <c r="FO20" s="214"/>
      <c r="FP20" s="214"/>
      <c r="FQ20" s="214"/>
      <c r="FR20" s="214"/>
      <c r="FS20" s="214"/>
      <c r="FT20" s="214"/>
      <c r="FU20" s="214"/>
      <c r="FV20" s="214"/>
      <c r="FW20" s="214"/>
      <c r="FX20" s="214"/>
      <c r="FY20" s="214"/>
      <c r="FZ20" s="214"/>
      <c r="GA20" s="214"/>
      <c r="GB20" s="214"/>
      <c r="GC20" s="214"/>
      <c r="GD20" s="214"/>
      <c r="GE20" s="214"/>
      <c r="GF20" s="214"/>
      <c r="GG20" s="214"/>
      <c r="GH20" s="214"/>
      <c r="GI20" s="214"/>
      <c r="GJ20" s="214"/>
      <c r="GK20" s="214"/>
      <c r="GL20" s="214"/>
      <c r="GM20" s="214"/>
      <c r="GN20" s="214"/>
      <c r="GO20" s="214"/>
      <c r="GP20" s="214"/>
      <c r="GQ20" s="214"/>
      <c r="GR20" s="214"/>
      <c r="GS20" s="214"/>
      <c r="GT20" s="214"/>
      <c r="GU20" s="214"/>
      <c r="GV20" s="214"/>
      <c r="GW20" s="214"/>
      <c r="GX20" s="214"/>
      <c r="GY20" s="214"/>
      <c r="GZ20" s="214"/>
      <c r="HA20" s="214"/>
      <c r="HB20" s="214"/>
      <c r="HC20" s="214"/>
      <c r="HD20" s="214"/>
      <c r="HE20" s="214"/>
      <c r="HF20" s="214"/>
      <c r="HG20" s="214"/>
      <c r="HH20" s="214"/>
      <c r="HI20" s="214"/>
      <c r="HJ20" s="214"/>
      <c r="HK20" s="214"/>
      <c r="HL20" s="214"/>
      <c r="HM20" s="214"/>
      <c r="HN20" s="214"/>
      <c r="HO20" s="214"/>
      <c r="HP20" s="214"/>
      <c r="HQ20" s="214"/>
      <c r="HR20" s="214"/>
      <c r="HS20" s="214"/>
      <c r="HT20" s="214"/>
      <c r="HU20" s="214"/>
      <c r="HV20" s="214"/>
      <c r="HW20" s="214"/>
      <c r="HX20" s="214"/>
      <c r="HY20" s="214"/>
      <c r="HZ20" s="214"/>
      <c r="IA20" s="214"/>
      <c r="IB20" s="214"/>
      <c r="IC20" s="214"/>
      <c r="ID20" s="214"/>
      <c r="IE20" s="214"/>
      <c r="IF20" s="214"/>
      <c r="IG20" s="214"/>
      <c r="IH20" s="214"/>
      <c r="II20" s="214"/>
      <c r="IJ20" s="214"/>
      <c r="IK20" s="214"/>
      <c r="IL20" s="214"/>
      <c r="IM20" s="214"/>
      <c r="IN20" s="214"/>
      <c r="IO20" s="214"/>
      <c r="IP20" s="214"/>
      <c r="IQ20" s="214"/>
      <c r="IR20" s="214"/>
    </row>
    <row r="21" spans="1:252" s="219" customFormat="1" ht="16.5" thickBot="1" x14ac:dyDescent="0.3">
      <c r="A21" s="216" t="s">
        <v>219</v>
      </c>
      <c r="B21" s="221" t="s">
        <v>331</v>
      </c>
      <c r="C21" s="217">
        <f>SUM(C19:C20)</f>
        <v>2211724</v>
      </c>
      <c r="D21" s="217">
        <f t="shared" ref="D21:E21" si="11">SUM(D19:D20)</f>
        <v>2228432</v>
      </c>
      <c r="E21" s="217">
        <f t="shared" si="11"/>
        <v>4440156</v>
      </c>
      <c r="F21" s="217">
        <f>SUM(F19:F20)</f>
        <v>0</v>
      </c>
      <c r="G21" s="217">
        <f t="shared" ref="G21:H21" si="12">SUM(G19:G20)</f>
        <v>0</v>
      </c>
      <c r="H21" s="217">
        <f t="shared" si="12"/>
        <v>0</v>
      </c>
      <c r="I21" s="257">
        <f>SUM(I19:I20)</f>
        <v>2211724</v>
      </c>
      <c r="J21" s="257">
        <f t="shared" ref="J21:K21" si="13">SUM(J19:J20)</f>
        <v>2228432</v>
      </c>
      <c r="K21" s="257">
        <f t="shared" si="13"/>
        <v>4440156</v>
      </c>
      <c r="L21" s="218"/>
      <c r="M21" s="218"/>
      <c r="N21" s="218"/>
      <c r="O21" s="218"/>
      <c r="P21" s="218"/>
      <c r="Q21" s="218"/>
      <c r="R21" s="218"/>
      <c r="S21" s="218"/>
      <c r="T21" s="218"/>
      <c r="U21" s="218"/>
      <c r="V21" s="218"/>
      <c r="W21" s="218"/>
      <c r="X21" s="218"/>
      <c r="Y21" s="218"/>
      <c r="Z21" s="218"/>
      <c r="AA21" s="218"/>
      <c r="AB21" s="218"/>
      <c r="AC21" s="218"/>
      <c r="AD21" s="218"/>
      <c r="AE21" s="218"/>
      <c r="AF21" s="218"/>
      <c r="AG21" s="218"/>
      <c r="AH21" s="218"/>
      <c r="AI21" s="218"/>
      <c r="AJ21" s="218"/>
      <c r="AK21" s="218"/>
      <c r="AL21" s="218"/>
      <c r="AM21" s="218"/>
      <c r="AN21" s="218"/>
      <c r="AO21" s="218"/>
      <c r="AP21" s="218"/>
      <c r="AQ21" s="218"/>
      <c r="AR21" s="218"/>
      <c r="AS21" s="218"/>
      <c r="AT21" s="218"/>
      <c r="AU21" s="218"/>
      <c r="AV21" s="218"/>
      <c r="AW21" s="218"/>
      <c r="AX21" s="218"/>
      <c r="AY21" s="218"/>
      <c r="AZ21" s="218"/>
      <c r="BA21" s="218"/>
      <c r="BB21" s="218"/>
      <c r="BC21" s="218"/>
      <c r="BD21" s="218"/>
      <c r="BE21" s="218"/>
      <c r="BF21" s="218"/>
      <c r="BG21" s="218"/>
      <c r="BH21" s="218"/>
      <c r="BI21" s="218"/>
      <c r="BJ21" s="218"/>
      <c r="BK21" s="218"/>
      <c r="BL21" s="218"/>
      <c r="BM21" s="218"/>
      <c r="BN21" s="218"/>
      <c r="BO21" s="218"/>
      <c r="BP21" s="218"/>
      <c r="BQ21" s="218"/>
      <c r="BR21" s="218"/>
      <c r="BS21" s="218"/>
      <c r="BT21" s="218"/>
      <c r="BU21" s="218"/>
      <c r="BV21" s="218"/>
      <c r="BW21" s="218"/>
      <c r="BX21" s="218"/>
      <c r="BY21" s="218"/>
      <c r="BZ21" s="218"/>
      <c r="CA21" s="218"/>
      <c r="CB21" s="218"/>
      <c r="CC21" s="218"/>
      <c r="CD21" s="218"/>
      <c r="CE21" s="218"/>
      <c r="CF21" s="218"/>
      <c r="CG21" s="218"/>
      <c r="CH21" s="218"/>
      <c r="CI21" s="218"/>
      <c r="CJ21" s="218"/>
      <c r="CK21" s="218"/>
      <c r="CL21" s="218"/>
      <c r="CM21" s="218"/>
      <c r="CN21" s="218"/>
      <c r="CO21" s="218"/>
      <c r="CP21" s="218"/>
      <c r="CQ21" s="218"/>
      <c r="CR21" s="218"/>
      <c r="CS21" s="218"/>
      <c r="CT21" s="218"/>
      <c r="CU21" s="218"/>
      <c r="CV21" s="218"/>
      <c r="CW21" s="218"/>
      <c r="CX21" s="218"/>
      <c r="CY21" s="218"/>
      <c r="CZ21" s="218"/>
      <c r="DA21" s="218"/>
      <c r="DB21" s="218"/>
      <c r="DC21" s="218"/>
      <c r="DD21" s="218"/>
      <c r="DE21" s="218"/>
      <c r="DF21" s="218"/>
      <c r="DG21" s="218"/>
      <c r="DH21" s="218"/>
      <c r="DI21" s="218"/>
      <c r="DJ21" s="218"/>
      <c r="DK21" s="218"/>
      <c r="DL21" s="218"/>
      <c r="DM21" s="218"/>
      <c r="DN21" s="218"/>
      <c r="DO21" s="218"/>
      <c r="DP21" s="218"/>
      <c r="DQ21" s="218"/>
      <c r="DR21" s="218"/>
      <c r="DS21" s="218"/>
      <c r="DT21" s="218"/>
      <c r="DU21" s="218"/>
      <c r="DV21" s="218"/>
      <c r="DW21" s="218"/>
      <c r="DX21" s="218"/>
      <c r="DY21" s="218"/>
      <c r="DZ21" s="218"/>
      <c r="EA21" s="218"/>
      <c r="EB21" s="218"/>
      <c r="EC21" s="218"/>
      <c r="ED21" s="218"/>
      <c r="EE21" s="218"/>
      <c r="EF21" s="218"/>
      <c r="EG21" s="218"/>
      <c r="EH21" s="218"/>
      <c r="EI21" s="218"/>
      <c r="EJ21" s="218"/>
      <c r="EK21" s="218"/>
      <c r="EL21" s="218"/>
      <c r="EM21" s="218"/>
      <c r="EN21" s="218"/>
      <c r="EO21" s="218"/>
      <c r="EP21" s="218"/>
      <c r="EQ21" s="218"/>
      <c r="ER21" s="218"/>
      <c r="ES21" s="218"/>
      <c r="ET21" s="218"/>
      <c r="EU21" s="218"/>
      <c r="EV21" s="218"/>
      <c r="EW21" s="218"/>
      <c r="EX21" s="218"/>
      <c r="EY21" s="218"/>
      <c r="EZ21" s="218"/>
      <c r="FA21" s="218"/>
      <c r="FB21" s="218"/>
      <c r="FC21" s="218"/>
      <c r="FD21" s="218"/>
      <c r="FE21" s="218"/>
      <c r="FF21" s="218"/>
      <c r="FG21" s="218"/>
      <c r="FH21" s="218"/>
      <c r="FI21" s="218"/>
      <c r="FJ21" s="218"/>
      <c r="FK21" s="218"/>
      <c r="FL21" s="218"/>
      <c r="FM21" s="218"/>
      <c r="FN21" s="218"/>
      <c r="FO21" s="218"/>
      <c r="FP21" s="218"/>
      <c r="FQ21" s="218"/>
      <c r="FR21" s="218"/>
      <c r="FS21" s="218"/>
      <c r="FT21" s="218"/>
      <c r="FU21" s="218"/>
      <c r="FV21" s="218"/>
      <c r="FW21" s="218"/>
      <c r="FX21" s="218"/>
      <c r="FY21" s="218"/>
      <c r="FZ21" s="218"/>
      <c r="GA21" s="218"/>
      <c r="GB21" s="218"/>
      <c r="GC21" s="218"/>
      <c r="GD21" s="218"/>
      <c r="GE21" s="218"/>
      <c r="GF21" s="218"/>
      <c r="GG21" s="218"/>
      <c r="GH21" s="218"/>
      <c r="GI21" s="218"/>
      <c r="GJ21" s="218"/>
      <c r="GK21" s="218"/>
      <c r="GL21" s="218"/>
      <c r="GM21" s="218"/>
      <c r="GN21" s="218"/>
      <c r="GO21" s="218"/>
      <c r="GP21" s="218"/>
      <c r="GQ21" s="218"/>
      <c r="GR21" s="218"/>
      <c r="GS21" s="218"/>
      <c r="GT21" s="218"/>
      <c r="GU21" s="218"/>
      <c r="GV21" s="218"/>
      <c r="GW21" s="218"/>
      <c r="GX21" s="218"/>
      <c r="GY21" s="218"/>
      <c r="GZ21" s="218"/>
      <c r="HA21" s="218"/>
      <c r="HB21" s="218"/>
      <c r="HC21" s="218"/>
      <c r="HD21" s="218"/>
      <c r="HE21" s="218"/>
      <c r="HF21" s="218"/>
      <c r="HG21" s="218"/>
      <c r="HH21" s="218"/>
      <c r="HI21" s="218"/>
      <c r="HJ21" s="218"/>
      <c r="HK21" s="218"/>
      <c r="HL21" s="218"/>
      <c r="HM21" s="218"/>
      <c r="HN21" s="218"/>
      <c r="HO21" s="218"/>
      <c r="HP21" s="218"/>
      <c r="HQ21" s="218"/>
      <c r="HR21" s="218"/>
      <c r="HS21" s="218"/>
      <c r="HT21" s="218"/>
      <c r="HU21" s="218"/>
      <c r="HV21" s="218"/>
      <c r="HW21" s="218"/>
      <c r="HX21" s="218"/>
      <c r="HY21" s="218"/>
      <c r="HZ21" s="218"/>
      <c r="IA21" s="218"/>
      <c r="IB21" s="218"/>
      <c r="IC21" s="218"/>
      <c r="ID21" s="218"/>
      <c r="IE21" s="218"/>
      <c r="IF21" s="218"/>
      <c r="IG21" s="218"/>
      <c r="IH21" s="218"/>
      <c r="II21" s="218"/>
      <c r="IJ21" s="218"/>
      <c r="IK21" s="218"/>
      <c r="IL21" s="218"/>
      <c r="IM21" s="218"/>
      <c r="IN21" s="218"/>
      <c r="IO21" s="218"/>
      <c r="IP21" s="218"/>
      <c r="IQ21" s="218"/>
      <c r="IR21" s="218"/>
    </row>
    <row r="22" spans="1:252" ht="17.25" thickTop="1" thickBot="1" x14ac:dyDescent="0.3">
      <c r="A22" s="104" t="s">
        <v>220</v>
      </c>
      <c r="B22" s="193" t="s">
        <v>286</v>
      </c>
      <c r="C22" s="105">
        <f>+C21+C18+C14</f>
        <v>60479060</v>
      </c>
      <c r="D22" s="105">
        <f t="shared" ref="D22:E22" si="14">+D21+D18+D14</f>
        <v>-5112628</v>
      </c>
      <c r="E22" s="105">
        <f t="shared" si="14"/>
        <v>55366432</v>
      </c>
      <c r="F22" s="105">
        <f>+F21+F18+F14</f>
        <v>14976245</v>
      </c>
      <c r="G22" s="105">
        <f t="shared" ref="G22:H22" si="15">+G21+G18+G14</f>
        <v>501031</v>
      </c>
      <c r="H22" s="105">
        <f t="shared" si="15"/>
        <v>15477276</v>
      </c>
      <c r="I22" s="105">
        <f>+I21+I18+I14</f>
        <v>75455305</v>
      </c>
      <c r="J22" s="105">
        <f t="shared" ref="J22:K22" si="16">+J21+J18+J14</f>
        <v>-4611597</v>
      </c>
      <c r="K22" s="105">
        <f t="shared" si="16"/>
        <v>70843708</v>
      </c>
    </row>
    <row r="23" spans="1:252" ht="32.25" thickTop="1" x14ac:dyDescent="0.25">
      <c r="A23" s="323" t="s">
        <v>501</v>
      </c>
      <c r="B23" s="324" t="s">
        <v>495</v>
      </c>
      <c r="C23" s="308">
        <v>32805492</v>
      </c>
      <c r="D23" s="308">
        <v>-9651412</v>
      </c>
      <c r="E23" s="308">
        <f>SUM(C23:D23)</f>
        <v>23154080</v>
      </c>
      <c r="F23" s="308"/>
      <c r="G23" s="308"/>
      <c r="H23" s="308">
        <f>SUM(F23:G23)</f>
        <v>0</v>
      </c>
      <c r="I23" s="308">
        <f>SUM(C23+F23)</f>
        <v>32805492</v>
      </c>
      <c r="J23" s="308">
        <f>SUM(D23+G23)</f>
        <v>-9651412</v>
      </c>
      <c r="K23" s="308">
        <f>SUM(E23+H23)</f>
        <v>23154080</v>
      </c>
      <c r="IQ23"/>
      <c r="IR23"/>
    </row>
    <row r="24" spans="1:252" ht="31.5" x14ac:dyDescent="0.25">
      <c r="A24" s="561" t="s">
        <v>804</v>
      </c>
      <c r="B24" s="562" t="s">
        <v>502</v>
      </c>
      <c r="C24" s="376">
        <v>130927</v>
      </c>
      <c r="D24" s="376">
        <v>328960</v>
      </c>
      <c r="E24" s="376">
        <f>SUM(C24:D24)</f>
        <v>459887</v>
      </c>
      <c r="F24" s="376"/>
      <c r="G24" s="376"/>
      <c r="H24" s="376"/>
      <c r="I24" s="308">
        <f>SUM(C24+F24)</f>
        <v>130927</v>
      </c>
      <c r="J24" s="308">
        <f t="shared" ref="J24:J25" si="17">SUM(D24+G24)</f>
        <v>328960</v>
      </c>
      <c r="K24" s="376">
        <f t="shared" ref="K24" si="18">SUM(E24:H24)</f>
        <v>459887</v>
      </c>
      <c r="IQ24"/>
      <c r="IR24"/>
    </row>
    <row r="25" spans="1:252" ht="16.5" thickBot="1" x14ac:dyDescent="0.3">
      <c r="A25" s="329" t="s">
        <v>503</v>
      </c>
      <c r="B25" s="560" t="s">
        <v>328</v>
      </c>
      <c r="C25" s="307">
        <v>11307037</v>
      </c>
      <c r="D25" s="307">
        <v>38940</v>
      </c>
      <c r="E25" s="307">
        <f>SUM(C25:D25)</f>
        <v>11345977</v>
      </c>
      <c r="F25" s="768"/>
      <c r="G25" s="307"/>
      <c r="H25" s="307"/>
      <c r="I25" s="308">
        <f>SUM(C25+F25)</f>
        <v>11307037</v>
      </c>
      <c r="J25" s="308">
        <f t="shared" si="17"/>
        <v>38940</v>
      </c>
      <c r="K25" s="376">
        <f t="shared" ref="K25" si="19">SUM(E25:H25)</f>
        <v>11345977</v>
      </c>
      <c r="IQ25"/>
      <c r="IR25"/>
    </row>
    <row r="26" spans="1:252" s="326" customFormat="1" ht="17.25" thickTop="1" thickBot="1" x14ac:dyDescent="0.3">
      <c r="A26" s="106" t="s">
        <v>504</v>
      </c>
      <c r="B26" s="191" t="s">
        <v>221</v>
      </c>
      <c r="C26" s="258">
        <f>SUM(C23:C25)</f>
        <v>44243456</v>
      </c>
      <c r="D26" s="258">
        <f>SUM(D23:D25)</f>
        <v>-9283512</v>
      </c>
      <c r="E26" s="258">
        <f>SUM(E23:E25)</f>
        <v>34959944</v>
      </c>
      <c r="F26" s="258">
        <f>SUM(F23:F24)</f>
        <v>0</v>
      </c>
      <c r="G26" s="258">
        <f>SUM(G23:G24)</f>
        <v>0</v>
      </c>
      <c r="H26" s="258">
        <f>SUM(H23:H24)</f>
        <v>0</v>
      </c>
      <c r="I26" s="258">
        <f>SUM(I23:I25)</f>
        <v>44243456</v>
      </c>
      <c r="J26" s="258">
        <f t="shared" ref="J26:K26" si="20">SUM(J23:J25)</f>
        <v>-9283512</v>
      </c>
      <c r="K26" s="258">
        <f t="shared" si="20"/>
        <v>34959944</v>
      </c>
      <c r="L26" s="325"/>
      <c r="M26" s="325"/>
      <c r="N26" s="325"/>
      <c r="O26" s="325"/>
      <c r="P26" s="325"/>
      <c r="Q26" s="325"/>
      <c r="R26" s="325"/>
      <c r="S26" s="325"/>
      <c r="T26" s="325"/>
      <c r="U26" s="325"/>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c r="DN26" s="325"/>
      <c r="DO26" s="325"/>
      <c r="DP26" s="325"/>
      <c r="DQ26" s="325"/>
      <c r="DR26" s="325"/>
      <c r="DS26" s="325"/>
      <c r="DT26" s="325"/>
      <c r="DU26" s="325"/>
      <c r="DV26" s="325"/>
      <c r="DW26" s="325"/>
      <c r="DX26" s="325"/>
      <c r="DY26" s="325"/>
      <c r="DZ26" s="325"/>
      <c r="EA26" s="325"/>
      <c r="EB26" s="325"/>
      <c r="EC26" s="325"/>
      <c r="ED26" s="325"/>
      <c r="EE26" s="325"/>
      <c r="EF26" s="325"/>
      <c r="EG26" s="325"/>
      <c r="EH26" s="325"/>
      <c r="EI26" s="325"/>
      <c r="EJ26" s="325"/>
      <c r="EK26" s="325"/>
      <c r="EL26" s="325"/>
      <c r="EM26" s="325"/>
      <c r="EN26" s="325"/>
      <c r="EO26" s="325"/>
      <c r="EP26" s="325"/>
      <c r="EQ26" s="325"/>
      <c r="ER26" s="325"/>
      <c r="ES26" s="325"/>
      <c r="ET26" s="325"/>
      <c r="EU26" s="325"/>
      <c r="EV26" s="325"/>
      <c r="EW26" s="325"/>
      <c r="EX26" s="325"/>
      <c r="EY26" s="325"/>
      <c r="EZ26" s="325"/>
      <c r="FA26" s="325"/>
      <c r="FB26" s="325"/>
      <c r="FC26" s="325"/>
      <c r="FD26" s="325"/>
      <c r="FE26" s="325"/>
      <c r="FF26" s="325"/>
      <c r="FG26" s="325"/>
      <c r="FH26" s="325"/>
      <c r="FI26" s="325"/>
      <c r="FJ26" s="325"/>
      <c r="FK26" s="325"/>
      <c r="FL26" s="325"/>
      <c r="FM26" s="325"/>
      <c r="FN26" s="325"/>
      <c r="FO26" s="325"/>
      <c r="FP26" s="325"/>
      <c r="FQ26" s="325"/>
      <c r="FR26" s="325"/>
      <c r="FS26" s="325"/>
      <c r="FT26" s="325"/>
      <c r="FU26" s="325"/>
      <c r="FV26" s="325"/>
      <c r="FW26" s="325"/>
      <c r="FX26" s="325"/>
      <c r="FY26" s="325"/>
      <c r="FZ26" s="325"/>
      <c r="GA26" s="325"/>
      <c r="GB26" s="325"/>
      <c r="GC26" s="325"/>
      <c r="GD26" s="325"/>
      <c r="GE26" s="325"/>
      <c r="GF26" s="325"/>
      <c r="GG26" s="325"/>
      <c r="GH26" s="325"/>
      <c r="GI26" s="325"/>
      <c r="GJ26" s="325"/>
      <c r="GK26" s="325"/>
      <c r="GL26" s="325"/>
      <c r="GM26" s="325"/>
      <c r="GN26" s="325"/>
      <c r="GO26" s="325"/>
      <c r="GP26" s="325"/>
      <c r="GQ26" s="325"/>
      <c r="GR26" s="325"/>
      <c r="GS26" s="325"/>
      <c r="GT26" s="325"/>
      <c r="GU26" s="325"/>
      <c r="GV26" s="325"/>
      <c r="GW26" s="325"/>
      <c r="GX26" s="325"/>
      <c r="GY26" s="325"/>
      <c r="GZ26" s="325"/>
      <c r="HA26" s="325"/>
      <c r="HB26" s="325"/>
      <c r="HC26" s="325"/>
      <c r="HD26" s="325"/>
      <c r="HE26" s="325"/>
      <c r="HF26" s="325"/>
      <c r="HG26" s="325"/>
      <c r="HH26" s="325"/>
      <c r="HI26" s="325"/>
      <c r="HJ26" s="325"/>
      <c r="HK26" s="325"/>
      <c r="HL26" s="325"/>
      <c r="HM26" s="325"/>
      <c r="HN26" s="325"/>
      <c r="HO26" s="325"/>
      <c r="HP26" s="325"/>
      <c r="HQ26" s="325"/>
      <c r="HR26" s="325"/>
      <c r="HS26" s="325"/>
      <c r="HT26" s="325"/>
      <c r="HU26" s="325"/>
      <c r="HV26" s="325"/>
      <c r="HW26" s="325"/>
      <c r="HX26" s="325"/>
      <c r="HY26" s="325"/>
      <c r="HZ26" s="325"/>
      <c r="IA26" s="325"/>
      <c r="IB26" s="325"/>
      <c r="IC26" s="325"/>
      <c r="ID26" s="325"/>
      <c r="IE26" s="325"/>
      <c r="IF26" s="325"/>
      <c r="IG26" s="325"/>
      <c r="IH26" s="325"/>
      <c r="II26" s="325"/>
      <c r="IJ26" s="325"/>
      <c r="IK26" s="325"/>
      <c r="IL26" s="325"/>
      <c r="IM26" s="325"/>
      <c r="IN26" s="325"/>
      <c r="IO26" s="325"/>
      <c r="IP26" s="325"/>
    </row>
    <row r="27" spans="1:252" s="215" customFormat="1" ht="17.25" thickTop="1" thickBot="1" x14ac:dyDescent="0.3">
      <c r="A27" s="770" t="s">
        <v>371</v>
      </c>
      <c r="B27" s="771"/>
      <c r="C27" s="772"/>
      <c r="D27" s="772"/>
      <c r="E27" s="772"/>
      <c r="F27" s="773">
        <v>1921.93</v>
      </c>
      <c r="G27" s="773">
        <v>0</v>
      </c>
      <c r="H27" s="773">
        <f>SUM(F27:G27)</f>
        <v>1921.93</v>
      </c>
      <c r="I27" s="773">
        <f>F27</f>
        <v>1921.93</v>
      </c>
      <c r="J27" s="773">
        <f t="shared" ref="J27:K27" si="21">G27</f>
        <v>0</v>
      </c>
      <c r="K27" s="773">
        <f t="shared" si="21"/>
        <v>1921.93</v>
      </c>
      <c r="L27" s="774"/>
      <c r="M27" s="774"/>
      <c r="N27" s="774"/>
      <c r="O27" s="774"/>
      <c r="P27" s="774"/>
      <c r="Q27" s="774"/>
      <c r="R27" s="774"/>
      <c r="S27" s="774"/>
      <c r="T27" s="774"/>
      <c r="U27" s="774"/>
      <c r="V27" s="774"/>
      <c r="W27" s="774"/>
      <c r="X27" s="774"/>
      <c r="Y27" s="774"/>
      <c r="Z27" s="774"/>
      <c r="AA27" s="774"/>
      <c r="AB27" s="774"/>
      <c r="AC27" s="774"/>
      <c r="AD27" s="774"/>
      <c r="AE27" s="774"/>
      <c r="AF27" s="774"/>
      <c r="AG27" s="774"/>
      <c r="AH27" s="774"/>
      <c r="AI27" s="774"/>
      <c r="AJ27" s="774"/>
      <c r="AK27" s="774"/>
      <c r="AL27" s="774"/>
      <c r="AM27" s="774"/>
      <c r="AN27" s="774"/>
      <c r="AO27" s="774"/>
      <c r="AP27" s="774"/>
      <c r="AQ27" s="774"/>
      <c r="AR27" s="774"/>
      <c r="AS27" s="774"/>
      <c r="AT27" s="774"/>
      <c r="AU27" s="774"/>
      <c r="AV27" s="774"/>
      <c r="AW27" s="774"/>
      <c r="AX27" s="774"/>
      <c r="AY27" s="774"/>
      <c r="AZ27" s="774"/>
      <c r="BA27" s="774"/>
      <c r="BB27" s="774"/>
      <c r="BC27" s="774"/>
      <c r="BD27" s="774"/>
      <c r="BE27" s="774"/>
      <c r="BF27" s="774"/>
      <c r="BG27" s="774"/>
      <c r="BH27" s="774"/>
      <c r="BI27" s="774"/>
      <c r="BJ27" s="774"/>
      <c r="BK27" s="774"/>
      <c r="BL27" s="774"/>
      <c r="BM27" s="774"/>
      <c r="BN27" s="774"/>
      <c r="BO27" s="774"/>
      <c r="BP27" s="774"/>
      <c r="BQ27" s="774"/>
      <c r="BR27" s="774"/>
      <c r="BS27" s="774"/>
      <c r="BT27" s="774"/>
      <c r="BU27" s="774"/>
      <c r="BV27" s="774"/>
      <c r="BW27" s="774"/>
      <c r="BX27" s="774"/>
      <c r="BY27" s="774"/>
      <c r="BZ27" s="774"/>
      <c r="CA27" s="774"/>
      <c r="CB27" s="774"/>
      <c r="CC27" s="774"/>
      <c r="CD27" s="774"/>
      <c r="CE27" s="774"/>
      <c r="CF27" s="774"/>
      <c r="CG27" s="774"/>
      <c r="CH27" s="774"/>
      <c r="CI27" s="774"/>
      <c r="CJ27" s="774"/>
      <c r="CK27" s="774"/>
      <c r="CL27" s="774"/>
      <c r="CM27" s="774"/>
      <c r="CN27" s="774"/>
      <c r="CO27" s="774"/>
      <c r="CP27" s="774"/>
      <c r="CQ27" s="774"/>
      <c r="CR27" s="774"/>
      <c r="CS27" s="774"/>
      <c r="CT27" s="774"/>
      <c r="CU27" s="774"/>
      <c r="CV27" s="774"/>
      <c r="CW27" s="774"/>
      <c r="CX27" s="774"/>
      <c r="CY27" s="774"/>
      <c r="CZ27" s="774"/>
      <c r="DA27" s="774"/>
      <c r="DB27" s="774"/>
      <c r="DC27" s="774"/>
      <c r="DD27" s="774"/>
      <c r="DE27" s="774"/>
      <c r="DF27" s="774"/>
      <c r="DG27" s="774"/>
      <c r="DH27" s="774"/>
      <c r="DI27" s="774"/>
      <c r="DJ27" s="774"/>
      <c r="DK27" s="774"/>
      <c r="DL27" s="774"/>
      <c r="DM27" s="774"/>
      <c r="DN27" s="774"/>
      <c r="DO27" s="774"/>
      <c r="DP27" s="774"/>
      <c r="DQ27" s="774"/>
      <c r="DR27" s="774"/>
      <c r="DS27" s="774"/>
      <c r="DT27" s="774"/>
      <c r="DU27" s="774"/>
      <c r="DV27" s="774"/>
      <c r="DW27" s="774"/>
      <c r="DX27" s="774"/>
      <c r="DY27" s="774"/>
      <c r="DZ27" s="774"/>
      <c r="EA27" s="774"/>
      <c r="EB27" s="774"/>
      <c r="EC27" s="774"/>
      <c r="ED27" s="774"/>
      <c r="EE27" s="774"/>
      <c r="EF27" s="774"/>
      <c r="EG27" s="774"/>
      <c r="EH27" s="774"/>
      <c r="EI27" s="774"/>
      <c r="EJ27" s="774"/>
      <c r="EK27" s="774"/>
      <c r="EL27" s="774"/>
      <c r="EM27" s="774"/>
      <c r="EN27" s="774"/>
      <c r="EO27" s="774"/>
      <c r="EP27" s="774"/>
      <c r="EQ27" s="774"/>
      <c r="ER27" s="774"/>
      <c r="ES27" s="774"/>
      <c r="ET27" s="774"/>
      <c r="EU27" s="774"/>
      <c r="EV27" s="774"/>
      <c r="EW27" s="774"/>
      <c r="EX27" s="774"/>
      <c r="EY27" s="774"/>
      <c r="EZ27" s="774"/>
      <c r="FA27" s="774"/>
      <c r="FB27" s="774"/>
      <c r="FC27" s="774"/>
      <c r="FD27" s="774"/>
      <c r="FE27" s="774"/>
      <c r="FF27" s="774"/>
      <c r="FG27" s="774"/>
      <c r="FH27" s="774"/>
      <c r="FI27" s="774"/>
      <c r="FJ27" s="774"/>
      <c r="FK27" s="774"/>
      <c r="FL27" s="774"/>
      <c r="FM27" s="774"/>
      <c r="FN27" s="774"/>
      <c r="FO27" s="774"/>
      <c r="FP27" s="774"/>
      <c r="FQ27" s="774"/>
      <c r="FR27" s="774"/>
      <c r="FS27" s="774"/>
      <c r="FT27" s="774"/>
      <c r="FU27" s="774"/>
      <c r="FV27" s="774"/>
      <c r="FW27" s="774"/>
      <c r="FX27" s="774"/>
      <c r="FY27" s="774"/>
      <c r="FZ27" s="774"/>
      <c r="GA27" s="774"/>
      <c r="GB27" s="774"/>
      <c r="GC27" s="774"/>
      <c r="GD27" s="774"/>
      <c r="GE27" s="774"/>
      <c r="GF27" s="774"/>
      <c r="GG27" s="774"/>
      <c r="GH27" s="774"/>
      <c r="GI27" s="774"/>
      <c r="GJ27" s="774"/>
      <c r="GK27" s="774"/>
      <c r="GL27" s="774"/>
      <c r="GM27" s="774"/>
      <c r="GN27" s="774"/>
      <c r="GO27" s="774"/>
      <c r="GP27" s="774"/>
      <c r="GQ27" s="774"/>
      <c r="GR27" s="774"/>
      <c r="GS27" s="774"/>
      <c r="GT27" s="774"/>
      <c r="GU27" s="774"/>
      <c r="GV27" s="774"/>
      <c r="GW27" s="774"/>
      <c r="GX27" s="774"/>
      <c r="GY27" s="774"/>
      <c r="GZ27" s="774"/>
      <c r="HA27" s="774"/>
      <c r="HB27" s="774"/>
      <c r="HC27" s="774"/>
      <c r="HD27" s="774"/>
      <c r="HE27" s="774"/>
      <c r="HF27" s="774"/>
      <c r="HG27" s="774"/>
      <c r="HH27" s="774"/>
      <c r="HI27" s="774"/>
      <c r="HJ27" s="774"/>
      <c r="HK27" s="774"/>
      <c r="HL27" s="774"/>
      <c r="HM27" s="774"/>
      <c r="HN27" s="774"/>
      <c r="HO27" s="774"/>
      <c r="HP27" s="774"/>
      <c r="HQ27" s="774"/>
      <c r="HR27" s="774"/>
      <c r="HS27" s="774"/>
      <c r="HT27" s="774"/>
      <c r="HU27" s="774"/>
      <c r="HV27" s="774"/>
      <c r="HW27" s="774"/>
      <c r="HX27" s="774"/>
      <c r="HY27" s="774"/>
      <c r="HZ27" s="774"/>
      <c r="IA27" s="774"/>
      <c r="IB27" s="774"/>
      <c r="IC27" s="774"/>
      <c r="ID27" s="774"/>
      <c r="IE27" s="774"/>
      <c r="IF27" s="774"/>
      <c r="IG27" s="774"/>
      <c r="IH27" s="774"/>
      <c r="II27" s="774"/>
      <c r="IJ27" s="774"/>
      <c r="IK27" s="774"/>
      <c r="IL27" s="774"/>
      <c r="IM27" s="774"/>
      <c r="IN27" s="774"/>
      <c r="IO27" s="774"/>
      <c r="IP27" s="774"/>
    </row>
    <row r="28" spans="1:252" ht="16.5" thickTop="1" x14ac:dyDescent="0.25">
      <c r="A28" s="108"/>
      <c r="B28" s="108"/>
      <c r="C28" s="86"/>
      <c r="D28" s="86"/>
      <c r="E28" s="86"/>
      <c r="F28" s="86"/>
      <c r="G28" s="86"/>
      <c r="H28" s="86"/>
    </row>
    <row r="29" spans="1:252" x14ac:dyDescent="0.25">
      <c r="A29" s="108"/>
      <c r="B29" s="108"/>
      <c r="C29" s="86"/>
      <c r="D29" s="86"/>
      <c r="E29" s="86"/>
      <c r="F29" s="86"/>
      <c r="G29" s="86"/>
      <c r="H29" s="86"/>
    </row>
    <row r="30" spans="1:252" x14ac:dyDescent="0.25">
      <c r="A30" s="108"/>
      <c r="B30" s="108"/>
      <c r="C30" s="86"/>
      <c r="D30" s="86"/>
      <c r="E30" s="86"/>
      <c r="F30" s="86"/>
      <c r="G30" s="86"/>
      <c r="H30" s="86"/>
    </row>
    <row r="31" spans="1:252" x14ac:dyDescent="0.25">
      <c r="A31" s="108"/>
      <c r="B31" s="108"/>
      <c r="C31" s="86"/>
      <c r="D31" s="86"/>
      <c r="E31" s="86"/>
      <c r="F31" s="86"/>
      <c r="G31" s="86"/>
      <c r="H31" s="86"/>
    </row>
    <row r="32" spans="1:252" x14ac:dyDescent="0.25">
      <c r="A32" s="108"/>
      <c r="B32" s="108"/>
      <c r="C32" s="86"/>
      <c r="D32" s="86"/>
      <c r="E32" s="86"/>
      <c r="F32" s="86"/>
      <c r="G32" s="86"/>
      <c r="H32" s="86"/>
    </row>
    <row r="33" spans="1:8" x14ac:dyDescent="0.25">
      <c r="A33" s="108"/>
      <c r="B33" s="108"/>
      <c r="C33" s="86"/>
      <c r="D33" s="86"/>
      <c r="E33" s="86"/>
      <c r="F33" s="86"/>
      <c r="G33" s="86"/>
      <c r="H33" s="86"/>
    </row>
    <row r="34" spans="1:8" x14ac:dyDescent="0.25">
      <c r="A34" s="108"/>
      <c r="B34" s="108"/>
      <c r="C34" s="86"/>
      <c r="D34" s="86"/>
      <c r="E34" s="86"/>
      <c r="F34" s="86"/>
      <c r="G34" s="86"/>
      <c r="H34" s="86"/>
    </row>
    <row r="35" spans="1:8" x14ac:dyDescent="0.25">
      <c r="A35" s="108"/>
      <c r="B35" s="108"/>
      <c r="C35" s="86"/>
      <c r="D35" s="86"/>
      <c r="E35" s="86"/>
      <c r="F35" s="86"/>
      <c r="G35" s="86"/>
      <c r="H35" s="86"/>
    </row>
    <row r="36" spans="1:8" x14ac:dyDescent="0.25">
      <c r="A36" s="108"/>
      <c r="B36" s="108"/>
      <c r="C36" s="86"/>
      <c r="D36" s="86"/>
      <c r="E36" s="86"/>
      <c r="F36" s="86"/>
      <c r="G36" s="86"/>
      <c r="H36" s="86"/>
    </row>
    <row r="37" spans="1:8" x14ac:dyDescent="0.25">
      <c r="A37" s="61"/>
      <c r="B37" s="61"/>
      <c r="C37" s="86"/>
      <c r="D37" s="86"/>
      <c r="E37" s="86"/>
      <c r="F37" s="86"/>
      <c r="G37" s="86"/>
      <c r="H37" s="86"/>
    </row>
    <row r="38" spans="1:8" x14ac:dyDescent="0.25">
      <c r="C38" s="57"/>
      <c r="D38" s="57"/>
      <c r="E38" s="57"/>
    </row>
  </sheetData>
  <mergeCells count="8">
    <mergeCell ref="A1:K1"/>
    <mergeCell ref="A2:K2"/>
    <mergeCell ref="A3:K3"/>
    <mergeCell ref="A6:A7"/>
    <mergeCell ref="B6:B7"/>
    <mergeCell ref="C6:E6"/>
    <mergeCell ref="F6:H6"/>
    <mergeCell ref="I6:K6"/>
  </mergeCells>
  <pageMargins left="0.51181102362204722" right="0.51181102362204722" top="0.94488188976377963" bottom="0.74803149606299213" header="0.31496062992125984" footer="0.31496062992125984"/>
  <pageSetup paperSize="9" scale="71" orientation="landscape" r:id="rId1"/>
  <headerFooter>
    <oddHeader>&amp;R&amp;"Times New Roman CE,Félkövér"&amp;11 4. melléklet a 6/2019. (II.22.) önkormányzati rendelethez&amp;"Times New Roman CE,Dőlt"&amp;10
4. melléklet
a 3/2018.(II.8.) önkormányzati rendelethez</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7"/>
  <sheetViews>
    <sheetView workbookViewId="0">
      <selection activeCell="AD41" sqref="AD41"/>
    </sheetView>
  </sheetViews>
  <sheetFormatPr defaultRowHeight="15.75" x14ac:dyDescent="0.25"/>
  <cols>
    <col min="1" max="1" width="44.5" style="86" customWidth="1"/>
    <col min="2" max="2" width="14.25" style="107" customWidth="1"/>
    <col min="3" max="3" width="16.125" style="108" customWidth="1"/>
  </cols>
  <sheetData>
    <row r="1" spans="1:3" x14ac:dyDescent="0.25">
      <c r="A1" s="983" t="s">
        <v>234</v>
      </c>
      <c r="B1" s="983"/>
      <c r="C1" s="983"/>
    </row>
    <row r="2" spans="1:3" x14ac:dyDescent="0.25">
      <c r="A2" s="983" t="s">
        <v>594</v>
      </c>
      <c r="B2" s="983"/>
      <c r="C2" s="983"/>
    </row>
    <row r="3" spans="1:3" x14ac:dyDescent="0.25">
      <c r="A3" s="983" t="s">
        <v>850</v>
      </c>
      <c r="B3" s="983"/>
      <c r="C3" s="983"/>
    </row>
    <row r="5" spans="1:3" ht="16.5" thickBot="1" x14ac:dyDescent="0.3"/>
    <row r="6" spans="1:3" ht="17.25" customHeight="1" thickTop="1" thickBot="1" x14ac:dyDescent="0.3">
      <c r="A6" s="254" t="s">
        <v>145</v>
      </c>
      <c r="B6" s="255" t="s">
        <v>162</v>
      </c>
      <c r="C6" s="251" t="s">
        <v>152</v>
      </c>
    </row>
    <row r="7" spans="1:3" ht="16.5" thickTop="1" x14ac:dyDescent="0.25">
      <c r="A7" s="249" t="s">
        <v>229</v>
      </c>
      <c r="B7" s="250" t="s">
        <v>235</v>
      </c>
      <c r="C7" s="327">
        <f>'3 bevétel(szűkített)'!K56</f>
        <v>43232644</v>
      </c>
    </row>
    <row r="8" spans="1:3" x14ac:dyDescent="0.25">
      <c r="A8" s="247" t="s">
        <v>236</v>
      </c>
      <c r="B8" s="248"/>
      <c r="C8" s="252">
        <f>'3 bevétel(szűkített)'!K62</f>
        <v>13397483</v>
      </c>
    </row>
    <row r="9" spans="1:3" x14ac:dyDescent="0.25">
      <c r="A9" s="87" t="s">
        <v>320</v>
      </c>
      <c r="B9" s="243"/>
      <c r="C9" s="93">
        <f>'3 bevétel(szűkített)'!K64</f>
        <v>11345977</v>
      </c>
    </row>
    <row r="10" spans="1:3" ht="31.5" x14ac:dyDescent="0.25">
      <c r="A10" s="87" t="s">
        <v>507</v>
      </c>
      <c r="B10" s="243"/>
      <c r="C10" s="93">
        <f>'3 bevétel(szűkített)'!K65</f>
        <v>37498588</v>
      </c>
    </row>
    <row r="11" spans="1:3" x14ac:dyDescent="0.25">
      <c r="A11" s="87" t="s">
        <v>1033</v>
      </c>
      <c r="B11" s="243"/>
      <c r="C11" s="93">
        <f>+'3 bevétel(szűkített)'!K63</f>
        <v>328960</v>
      </c>
    </row>
    <row r="12" spans="1:3" s="240" customFormat="1" x14ac:dyDescent="0.25">
      <c r="A12" s="99" t="s">
        <v>329</v>
      </c>
      <c r="B12" s="242" t="s">
        <v>182</v>
      </c>
      <c r="C12" s="93">
        <f>SUM(C8:C11)</f>
        <v>62571008</v>
      </c>
    </row>
    <row r="13" spans="1:3" x14ac:dyDescent="0.25">
      <c r="A13" s="94"/>
      <c r="B13" s="99"/>
      <c r="C13" s="93"/>
    </row>
    <row r="14" spans="1:3" s="240" customFormat="1" x14ac:dyDescent="0.25">
      <c r="A14" s="99" t="s">
        <v>230</v>
      </c>
      <c r="B14" s="99" t="s">
        <v>172</v>
      </c>
      <c r="C14" s="93">
        <f>'4 kiadás(szűkített)'!K22</f>
        <v>70843708</v>
      </c>
    </row>
    <row r="15" spans="1:3" x14ac:dyDescent="0.25">
      <c r="A15" s="87" t="s">
        <v>508</v>
      </c>
      <c r="B15" s="213"/>
      <c r="C15" s="253">
        <f>'4 kiadás(szűkített)'!K23</f>
        <v>23154080</v>
      </c>
    </row>
    <row r="16" spans="1:3" ht="31.5" x14ac:dyDescent="0.25">
      <c r="A16" s="328" t="s">
        <v>805</v>
      </c>
      <c r="B16" s="244"/>
      <c r="C16" s="253">
        <f>'4 kiadás(szűkített)'!K24</f>
        <v>459887</v>
      </c>
    </row>
    <row r="17" spans="1:6" x14ac:dyDescent="0.25">
      <c r="A17" s="328" t="s">
        <v>509</v>
      </c>
      <c r="B17" s="244"/>
      <c r="C17" s="253">
        <f>'4 kiadás(szűkített)'!K25</f>
        <v>11345977</v>
      </c>
    </row>
    <row r="18" spans="1:6" x14ac:dyDescent="0.25">
      <c r="A18" s="244" t="s">
        <v>510</v>
      </c>
      <c r="B18" s="244" t="s">
        <v>221</v>
      </c>
      <c r="C18" s="245">
        <f>SUM(C15+C16+C17)</f>
        <v>34959944</v>
      </c>
    </row>
    <row r="19" spans="1:6" x14ac:dyDescent="0.25">
      <c r="A19" s="94"/>
      <c r="B19" s="99"/>
      <c r="C19" s="88"/>
    </row>
    <row r="20" spans="1:6" s="240" customFormat="1" x14ac:dyDescent="0.25">
      <c r="A20" s="99" t="s">
        <v>231</v>
      </c>
      <c r="B20" s="99"/>
      <c r="C20" s="93">
        <f>SUM(C7-C14)</f>
        <v>-27611064</v>
      </c>
    </row>
    <row r="21" spans="1:6" s="240" customFormat="1" x14ac:dyDescent="0.25">
      <c r="A21" s="99" t="s">
        <v>232</v>
      </c>
      <c r="B21" s="99"/>
      <c r="C21" s="93">
        <f>SUM(C12-C18)</f>
        <v>27611064</v>
      </c>
    </row>
    <row r="22" spans="1:6" s="240" customFormat="1" ht="16.5" thickBot="1" x14ac:dyDescent="0.3">
      <c r="A22" s="246" t="s">
        <v>233</v>
      </c>
      <c r="B22" s="246"/>
      <c r="C22" s="241">
        <f>SUM(C20+C21)</f>
        <v>0</v>
      </c>
    </row>
    <row r="23" spans="1:6" ht="16.5" thickTop="1" x14ac:dyDescent="0.25"/>
    <row r="25" spans="1:6" x14ac:dyDescent="0.25">
      <c r="F25" s="215"/>
    </row>
    <row r="26" spans="1:6" x14ac:dyDescent="0.25">
      <c r="F26" s="215"/>
    </row>
    <row r="27" spans="1:6" x14ac:dyDescent="0.25">
      <c r="F27" s="215"/>
    </row>
  </sheetData>
  <mergeCells count="3">
    <mergeCell ref="A1:C1"/>
    <mergeCell ref="A2:C2"/>
    <mergeCell ref="A3:C3"/>
  </mergeCells>
  <pageMargins left="0.70866141732283472" right="0.70866141732283472" top="1.1417322834645669" bottom="0.74803149606299213" header="0.31496062992125984" footer="0.31496062992125984"/>
  <pageSetup paperSize="9" orientation="portrait" r:id="rId1"/>
  <headerFooter>
    <oddHeader>&amp;R&amp;"Times New Roman CE,Félkövér"&amp;10 5. melléklet a 6/2019. (II.22.) önkormányzati rendelethez&amp;"Times New Roman CE,Dőlt"
5. melléklet
a 3/2018.(II.8.) önkormányzati rendelethez</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512"/>
  <sheetViews>
    <sheetView zoomScaleNormal="100" workbookViewId="0">
      <pane xSplit="2" ySplit="6" topLeftCell="C383" activePane="bottomRight" state="frozen"/>
      <selection activeCell="AD41" sqref="AD41"/>
      <selection pane="topRight" activeCell="AD41" sqref="AD41"/>
      <selection pane="bottomLeft" activeCell="AD41" sqref="AD41"/>
      <selection pane="bottomRight" activeCell="AD41" sqref="AD41"/>
    </sheetView>
  </sheetViews>
  <sheetFormatPr defaultRowHeight="15.75" x14ac:dyDescent="0.25"/>
  <cols>
    <col min="1" max="1" width="3.125" style="832" customWidth="1"/>
    <col min="2" max="2" width="38.25" style="405" customWidth="1"/>
    <col min="3" max="3" width="15.75" style="827" customWidth="1"/>
    <col min="4" max="4" width="16.875" style="827" customWidth="1"/>
    <col min="5" max="5" width="11.75" style="827" customWidth="1"/>
    <col min="6" max="6" width="10.125" style="827" customWidth="1"/>
    <col min="7" max="7" width="12.625" style="827" customWidth="1"/>
    <col min="8" max="8" width="13.25" style="827" customWidth="1"/>
    <col min="9" max="9" width="12.375" style="827" customWidth="1"/>
    <col min="10" max="10" width="13.75" style="827" customWidth="1"/>
    <col min="11" max="11" width="13.375" style="827" customWidth="1"/>
    <col min="12" max="12" width="14" style="827" customWidth="1"/>
    <col min="13" max="13" width="14.875" style="827" customWidth="1"/>
    <col min="14" max="14" width="12.5" style="827" customWidth="1"/>
    <col min="15" max="15" width="11.125" style="827" customWidth="1"/>
    <col min="16" max="16" width="10.25" style="827" hidden="1" customWidth="1"/>
    <col min="17" max="17" width="9.25" style="827" bestFit="1" customWidth="1"/>
    <col min="18" max="16384" width="9" style="827"/>
  </cols>
  <sheetData>
    <row r="1" spans="1:15" ht="15.75" customHeight="1" x14ac:dyDescent="0.25">
      <c r="A1" s="998" t="s">
        <v>1206</v>
      </c>
      <c r="B1" s="998"/>
      <c r="C1" s="998"/>
      <c r="D1" s="998"/>
      <c r="E1" s="998"/>
      <c r="F1" s="998"/>
      <c r="G1" s="998"/>
      <c r="H1" s="998"/>
      <c r="I1" s="998"/>
      <c r="J1" s="998"/>
      <c r="K1" s="998"/>
      <c r="L1" s="998"/>
      <c r="M1" s="998"/>
      <c r="N1" s="998"/>
      <c r="O1" s="998"/>
    </row>
    <row r="2" spans="1:15" ht="16.5" thickBot="1" x14ac:dyDescent="0.3"/>
    <row r="3" spans="1:15" ht="21.75" customHeight="1" thickBot="1" x14ac:dyDescent="0.3">
      <c r="A3" s="1005" t="s">
        <v>464</v>
      </c>
      <c r="B3" s="996" t="s">
        <v>463</v>
      </c>
      <c r="C3" s="996" t="s">
        <v>272</v>
      </c>
      <c r="D3" s="996" t="s">
        <v>273</v>
      </c>
      <c r="E3" s="996" t="s">
        <v>462</v>
      </c>
      <c r="F3" s="996" t="s">
        <v>53</v>
      </c>
      <c r="G3" s="996" t="s">
        <v>58</v>
      </c>
      <c r="H3" s="996" t="s">
        <v>274</v>
      </c>
      <c r="I3" s="996" t="s">
        <v>275</v>
      </c>
      <c r="J3" s="996" t="s">
        <v>481</v>
      </c>
      <c r="K3" s="996" t="s">
        <v>482</v>
      </c>
      <c r="L3" s="996" t="s">
        <v>461</v>
      </c>
      <c r="M3" s="999" t="s">
        <v>460</v>
      </c>
      <c r="N3" s="1000"/>
      <c r="O3" s="996" t="s">
        <v>459</v>
      </c>
    </row>
    <row r="4" spans="1:15" ht="33.75" customHeight="1" thickBot="1" x14ac:dyDescent="0.3">
      <c r="A4" s="1006"/>
      <c r="B4" s="997"/>
      <c r="C4" s="997"/>
      <c r="D4" s="997"/>
      <c r="E4" s="997"/>
      <c r="F4" s="997"/>
      <c r="G4" s="997"/>
      <c r="H4" s="997"/>
      <c r="I4" s="997"/>
      <c r="J4" s="997"/>
      <c r="K4" s="997"/>
      <c r="L4" s="997"/>
      <c r="M4" s="446" t="s">
        <v>458</v>
      </c>
      <c r="N4" s="445" t="s">
        <v>276</v>
      </c>
      <c r="O4" s="997"/>
    </row>
    <row r="5" spans="1:15" thickBot="1" x14ac:dyDescent="0.3">
      <c r="A5" s="1007"/>
      <c r="B5" s="815"/>
      <c r="C5" s="816" t="s">
        <v>173</v>
      </c>
      <c r="D5" s="816" t="s">
        <v>174</v>
      </c>
      <c r="E5" s="816" t="s">
        <v>175</v>
      </c>
      <c r="F5" s="816" t="s">
        <v>176</v>
      </c>
      <c r="G5" s="816" t="s">
        <v>177</v>
      </c>
      <c r="H5" s="816" t="s">
        <v>178</v>
      </c>
      <c r="I5" s="816" t="s">
        <v>179</v>
      </c>
      <c r="J5" s="444" t="s">
        <v>457</v>
      </c>
      <c r="K5" s="443" t="s">
        <v>456</v>
      </c>
      <c r="L5" s="816" t="s">
        <v>455</v>
      </c>
      <c r="M5" s="1001" t="s">
        <v>182</v>
      </c>
      <c r="N5" s="1002"/>
      <c r="O5" s="442" t="s">
        <v>454</v>
      </c>
    </row>
    <row r="6" spans="1:15" ht="17.25" thickTop="1" thickBot="1" x14ac:dyDescent="0.3">
      <c r="A6" s="407"/>
      <c r="B6" s="441" t="s">
        <v>147</v>
      </c>
      <c r="C6" s="440" t="s">
        <v>148</v>
      </c>
      <c r="D6" s="440" t="s">
        <v>149</v>
      </c>
      <c r="E6" s="440" t="s">
        <v>150</v>
      </c>
      <c r="F6" s="440" t="s">
        <v>151</v>
      </c>
      <c r="G6" s="440" t="s">
        <v>453</v>
      </c>
      <c r="H6" s="440" t="s">
        <v>34</v>
      </c>
      <c r="I6" s="440" t="s">
        <v>35</v>
      </c>
      <c r="J6" s="440" t="s">
        <v>452</v>
      </c>
      <c r="K6" s="440" t="s">
        <v>451</v>
      </c>
      <c r="L6" s="440" t="s">
        <v>450</v>
      </c>
      <c r="M6" s="1003" t="s">
        <v>39</v>
      </c>
      <c r="N6" s="1004"/>
      <c r="O6" s="439" t="s">
        <v>277</v>
      </c>
    </row>
    <row r="7" spans="1:15" ht="16.5" thickTop="1" x14ac:dyDescent="0.25">
      <c r="A7" s="416" t="s">
        <v>153</v>
      </c>
      <c r="B7" s="418" t="s">
        <v>449</v>
      </c>
      <c r="C7" s="418"/>
      <c r="D7" s="418"/>
      <c r="E7" s="418"/>
      <c r="F7" s="418"/>
      <c r="G7" s="418"/>
      <c r="H7" s="418"/>
      <c r="I7" s="418"/>
      <c r="J7" s="418"/>
      <c r="K7" s="418"/>
      <c r="L7" s="418"/>
      <c r="M7" s="418"/>
      <c r="N7" s="418"/>
      <c r="O7" s="418"/>
    </row>
    <row r="8" spans="1:15" x14ac:dyDescent="0.25">
      <c r="A8" s="416"/>
      <c r="B8" s="414" t="s">
        <v>387</v>
      </c>
      <c r="C8" s="414">
        <v>550640</v>
      </c>
      <c r="D8" s="414"/>
      <c r="E8" s="414"/>
      <c r="F8" s="414">
        <v>20305</v>
      </c>
      <c r="G8" s="414"/>
      <c r="H8" s="414"/>
      <c r="I8" s="414"/>
      <c r="J8" s="414">
        <f>SUM(C8+E8+F8+H8)</f>
        <v>570945</v>
      </c>
      <c r="K8" s="414">
        <f>SUM(D8+G8+I8)</f>
        <v>0</v>
      </c>
      <c r="L8" s="414">
        <f>SUM(J8:K8)</f>
        <v>570945</v>
      </c>
      <c r="M8" s="414">
        <v>272981</v>
      </c>
      <c r="N8" s="414">
        <v>90634</v>
      </c>
      <c r="O8" s="414">
        <f>SUM(L8:N8)</f>
        <v>934560</v>
      </c>
    </row>
    <row r="9" spans="1:15" s="828" customFormat="1" x14ac:dyDescent="0.25">
      <c r="A9" s="423"/>
      <c r="B9" s="415" t="s">
        <v>418</v>
      </c>
      <c r="C9" s="415">
        <v>363710</v>
      </c>
      <c r="D9" s="415"/>
      <c r="E9" s="415"/>
      <c r="F9" s="415">
        <v>19830</v>
      </c>
      <c r="G9" s="415"/>
      <c r="H9" s="415"/>
      <c r="I9" s="421"/>
      <c r="J9" s="421">
        <f>SUM(C9+E9+F9+H9)</f>
        <v>383540</v>
      </c>
      <c r="K9" s="421">
        <f>SUM(D9+G9+I9)</f>
        <v>0</v>
      </c>
      <c r="L9" s="421">
        <f>SUM(J9:K9)</f>
        <v>383540</v>
      </c>
      <c r="M9" s="421">
        <v>181843</v>
      </c>
      <c r="N9" s="421">
        <v>90634</v>
      </c>
      <c r="O9" s="421">
        <f>SUM(L9:N9)</f>
        <v>656017</v>
      </c>
    </row>
    <row r="10" spans="1:15" s="828" customFormat="1" x14ac:dyDescent="0.25">
      <c r="A10" s="423"/>
      <c r="B10" s="415" t="s">
        <v>417</v>
      </c>
      <c r="C10" s="415">
        <v>186930</v>
      </c>
      <c r="D10" s="415"/>
      <c r="E10" s="415"/>
      <c r="F10" s="415">
        <v>475</v>
      </c>
      <c r="G10" s="415"/>
      <c r="H10" s="415"/>
      <c r="I10" s="421"/>
      <c r="J10" s="421">
        <f>SUM(C10+E10+F10+H10)</f>
        <v>187405</v>
      </c>
      <c r="K10" s="421">
        <f>SUM(D10+G10+I10)</f>
        <v>0</v>
      </c>
      <c r="L10" s="421">
        <f>SUM(J10:K10)</f>
        <v>187405</v>
      </c>
      <c r="M10" s="421">
        <v>91138</v>
      </c>
      <c r="N10" s="421"/>
      <c r="O10" s="421">
        <f>SUM(L10:N10)</f>
        <v>278543</v>
      </c>
    </row>
    <row r="11" spans="1:15" s="828" customFormat="1" x14ac:dyDescent="0.25">
      <c r="A11" s="423"/>
      <c r="B11" s="415" t="s">
        <v>139</v>
      </c>
      <c r="C11" s="608"/>
      <c r="D11" s="608"/>
      <c r="E11" s="608"/>
      <c r="F11" s="608"/>
      <c r="G11" s="608"/>
      <c r="H11" s="608"/>
      <c r="I11" s="608"/>
      <c r="J11" s="608"/>
      <c r="K11" s="608"/>
      <c r="L11" s="608"/>
      <c r="M11" s="608"/>
      <c r="N11" s="608"/>
      <c r="O11" s="608"/>
    </row>
    <row r="12" spans="1:15" s="829" customFormat="1" x14ac:dyDescent="0.25">
      <c r="A12" s="416"/>
      <c r="B12" s="608" t="s">
        <v>1034</v>
      </c>
      <c r="C12" s="608"/>
      <c r="D12" s="608"/>
      <c r="E12" s="608"/>
      <c r="F12" s="608"/>
      <c r="G12" s="608"/>
      <c r="H12" s="608"/>
      <c r="I12" s="608"/>
      <c r="J12" s="608">
        <f t="shared" ref="J12:J17" si="0">SUM(C12+E12+F12+H12)</f>
        <v>0</v>
      </c>
      <c r="K12" s="608">
        <f t="shared" ref="K12:K17" si="1">SUM(D12+G12+I12)</f>
        <v>0</v>
      </c>
      <c r="L12" s="608">
        <f t="shared" ref="L12:L17" si="2">SUM(J12:K12)</f>
        <v>0</v>
      </c>
      <c r="M12" s="608">
        <v>664</v>
      </c>
      <c r="N12" s="608"/>
      <c r="O12" s="608">
        <f t="shared" ref="O12:O17" si="3">SUM(L12:N12)</f>
        <v>664</v>
      </c>
    </row>
    <row r="13" spans="1:15" s="829" customFormat="1" x14ac:dyDescent="0.25">
      <c r="A13" s="416"/>
      <c r="B13" s="608" t="s">
        <v>1035</v>
      </c>
      <c r="C13" s="608"/>
      <c r="D13" s="608"/>
      <c r="E13" s="608"/>
      <c r="F13" s="608"/>
      <c r="G13" s="608"/>
      <c r="H13" s="608"/>
      <c r="I13" s="608"/>
      <c r="J13" s="608">
        <f t="shared" si="0"/>
        <v>0</v>
      </c>
      <c r="K13" s="608">
        <f t="shared" si="1"/>
        <v>0</v>
      </c>
      <c r="L13" s="608">
        <f t="shared" si="2"/>
        <v>0</v>
      </c>
      <c r="M13" s="608">
        <v>330</v>
      </c>
      <c r="N13" s="608"/>
      <c r="O13" s="608">
        <f t="shared" si="3"/>
        <v>330</v>
      </c>
    </row>
    <row r="14" spans="1:15" s="829" customFormat="1" ht="47.25" x14ac:dyDescent="0.25">
      <c r="A14" s="416"/>
      <c r="B14" s="608" t="s">
        <v>1036</v>
      </c>
      <c r="C14" s="608"/>
      <c r="D14" s="608"/>
      <c r="E14" s="608"/>
      <c r="F14" s="608"/>
      <c r="G14" s="608"/>
      <c r="H14" s="608"/>
      <c r="I14" s="608"/>
      <c r="J14" s="608">
        <f t="shared" si="0"/>
        <v>0</v>
      </c>
      <c r="K14" s="608">
        <f t="shared" si="1"/>
        <v>0</v>
      </c>
      <c r="L14" s="608">
        <f t="shared" si="2"/>
        <v>0</v>
      </c>
      <c r="M14" s="608">
        <v>1177</v>
      </c>
      <c r="N14" s="608"/>
      <c r="O14" s="608">
        <f t="shared" si="3"/>
        <v>1177</v>
      </c>
    </row>
    <row r="15" spans="1:15" s="829" customFormat="1" ht="31.5" x14ac:dyDescent="0.25">
      <c r="A15" s="416"/>
      <c r="B15" s="608" t="s">
        <v>766</v>
      </c>
      <c r="C15" s="608">
        <v>67211</v>
      </c>
      <c r="D15" s="608"/>
      <c r="E15" s="608"/>
      <c r="F15" s="608">
        <v>14306</v>
      </c>
      <c r="G15" s="608">
        <v>300</v>
      </c>
      <c r="H15" s="608"/>
      <c r="I15" s="608"/>
      <c r="J15" s="608">
        <f t="shared" si="0"/>
        <v>81517</v>
      </c>
      <c r="K15" s="608">
        <f t="shared" si="1"/>
        <v>300</v>
      </c>
      <c r="L15" s="608">
        <f t="shared" si="2"/>
        <v>81817</v>
      </c>
      <c r="M15" s="608">
        <v>-2881</v>
      </c>
      <c r="N15" s="608"/>
      <c r="O15" s="608">
        <f t="shared" si="3"/>
        <v>78936</v>
      </c>
    </row>
    <row r="16" spans="1:15" s="828" customFormat="1" x14ac:dyDescent="0.25">
      <c r="A16" s="423"/>
      <c r="B16" s="415" t="s">
        <v>140</v>
      </c>
      <c r="C16" s="608"/>
      <c r="D16" s="608"/>
      <c r="E16" s="608"/>
      <c r="F16" s="608"/>
      <c r="G16" s="608"/>
      <c r="H16" s="608"/>
      <c r="I16" s="608"/>
      <c r="J16" s="608"/>
      <c r="K16" s="608"/>
      <c r="L16" s="608"/>
      <c r="M16" s="608"/>
      <c r="N16" s="608"/>
      <c r="O16" s="608"/>
    </row>
    <row r="17" spans="1:16" s="829" customFormat="1" ht="16.5" thickBot="1" x14ac:dyDescent="0.3">
      <c r="A17" s="416"/>
      <c r="B17" s="608" t="s">
        <v>1037</v>
      </c>
      <c r="C17" s="608"/>
      <c r="D17" s="608"/>
      <c r="E17" s="608"/>
      <c r="F17" s="608"/>
      <c r="G17" s="608"/>
      <c r="H17" s="608"/>
      <c r="I17" s="608"/>
      <c r="J17" s="608">
        <f t="shared" si="0"/>
        <v>0</v>
      </c>
      <c r="K17" s="608">
        <f t="shared" si="1"/>
        <v>0</v>
      </c>
      <c r="L17" s="608">
        <f t="shared" si="2"/>
        <v>0</v>
      </c>
      <c r="M17" s="608">
        <v>2772</v>
      </c>
      <c r="N17" s="608"/>
      <c r="O17" s="608">
        <f t="shared" si="3"/>
        <v>2772</v>
      </c>
    </row>
    <row r="18" spans="1:16" ht="17.25" thickTop="1" thickBot="1" x14ac:dyDescent="0.3">
      <c r="A18" s="407"/>
      <c r="B18" s="406" t="s">
        <v>416</v>
      </c>
      <c r="C18" s="406">
        <f>+C8+C12+C17+C13+C14+C15</f>
        <v>617851</v>
      </c>
      <c r="D18" s="406">
        <f t="shared" ref="D18:O18" si="4">+D8+D12+D17+D13+D14+D15</f>
        <v>0</v>
      </c>
      <c r="E18" s="406">
        <f t="shared" si="4"/>
        <v>0</v>
      </c>
      <c r="F18" s="406">
        <f t="shared" si="4"/>
        <v>34611</v>
      </c>
      <c r="G18" s="406">
        <f t="shared" si="4"/>
        <v>300</v>
      </c>
      <c r="H18" s="406">
        <f t="shared" si="4"/>
        <v>0</v>
      </c>
      <c r="I18" s="406">
        <f t="shared" si="4"/>
        <v>0</v>
      </c>
      <c r="J18" s="406">
        <f t="shared" si="4"/>
        <v>652462</v>
      </c>
      <c r="K18" s="406">
        <f t="shared" si="4"/>
        <v>300</v>
      </c>
      <c r="L18" s="406">
        <f t="shared" si="4"/>
        <v>652762</v>
      </c>
      <c r="M18" s="406">
        <f t="shared" si="4"/>
        <v>275043</v>
      </c>
      <c r="N18" s="406">
        <f t="shared" si="4"/>
        <v>90634</v>
      </c>
      <c r="O18" s="406">
        <f t="shared" si="4"/>
        <v>1018439</v>
      </c>
      <c r="P18" s="827">
        <f>O19+O20</f>
        <v>1018439</v>
      </c>
    </row>
    <row r="19" spans="1:16" ht="17.25" thickTop="1" thickBot="1" x14ac:dyDescent="0.3">
      <c r="A19" s="407"/>
      <c r="B19" s="406" t="s">
        <v>415</v>
      </c>
      <c r="C19" s="406">
        <f t="shared" ref="C19:O19" si="5">+C9+C12+C13+C14+C15</f>
        <v>430921</v>
      </c>
      <c r="D19" s="406">
        <f t="shared" si="5"/>
        <v>0</v>
      </c>
      <c r="E19" s="406">
        <f t="shared" si="5"/>
        <v>0</v>
      </c>
      <c r="F19" s="406">
        <f t="shared" si="5"/>
        <v>34136</v>
      </c>
      <c r="G19" s="406">
        <f t="shared" si="5"/>
        <v>300</v>
      </c>
      <c r="H19" s="406">
        <f t="shared" si="5"/>
        <v>0</v>
      </c>
      <c r="I19" s="406">
        <f t="shared" si="5"/>
        <v>0</v>
      </c>
      <c r="J19" s="406">
        <f t="shared" si="5"/>
        <v>465057</v>
      </c>
      <c r="K19" s="406">
        <f t="shared" si="5"/>
        <v>300</v>
      </c>
      <c r="L19" s="406">
        <f t="shared" si="5"/>
        <v>465357</v>
      </c>
      <c r="M19" s="406">
        <f t="shared" si="5"/>
        <v>181133</v>
      </c>
      <c r="N19" s="406">
        <f t="shared" si="5"/>
        <v>90634</v>
      </c>
      <c r="O19" s="406">
        <f t="shared" si="5"/>
        <v>737124</v>
      </c>
    </row>
    <row r="20" spans="1:16" ht="17.25" thickTop="1" thickBot="1" x14ac:dyDescent="0.3">
      <c r="A20" s="407"/>
      <c r="B20" s="406" t="s">
        <v>414</v>
      </c>
      <c r="C20" s="406">
        <f>+C10+C17</f>
        <v>186930</v>
      </c>
      <c r="D20" s="406">
        <f t="shared" ref="D20:O20" si="6">+D10+D17</f>
        <v>0</v>
      </c>
      <c r="E20" s="406">
        <f t="shared" si="6"/>
        <v>0</v>
      </c>
      <c r="F20" s="406">
        <f t="shared" si="6"/>
        <v>475</v>
      </c>
      <c r="G20" s="406">
        <f t="shared" si="6"/>
        <v>0</v>
      </c>
      <c r="H20" s="406">
        <f t="shared" si="6"/>
        <v>0</v>
      </c>
      <c r="I20" s="406">
        <f t="shared" si="6"/>
        <v>0</v>
      </c>
      <c r="J20" s="406">
        <f t="shared" si="6"/>
        <v>187405</v>
      </c>
      <c r="K20" s="406">
        <f t="shared" si="6"/>
        <v>0</v>
      </c>
      <c r="L20" s="406">
        <f t="shared" si="6"/>
        <v>187405</v>
      </c>
      <c r="M20" s="406">
        <f t="shared" si="6"/>
        <v>93910</v>
      </c>
      <c r="N20" s="406">
        <f t="shared" si="6"/>
        <v>0</v>
      </c>
      <c r="O20" s="406">
        <f t="shared" si="6"/>
        <v>281315</v>
      </c>
    </row>
    <row r="21" spans="1:16" ht="32.25" thickTop="1" x14ac:dyDescent="0.25">
      <c r="A21" s="416" t="s">
        <v>154</v>
      </c>
      <c r="B21" s="418" t="s">
        <v>448</v>
      </c>
      <c r="C21" s="418"/>
      <c r="D21" s="418"/>
      <c r="E21" s="418"/>
      <c r="F21" s="418"/>
      <c r="G21" s="418"/>
      <c r="H21" s="418"/>
      <c r="I21" s="418"/>
      <c r="J21" s="414"/>
      <c r="K21" s="414"/>
      <c r="L21" s="414"/>
      <c r="M21" s="414"/>
      <c r="N21" s="414"/>
      <c r="O21" s="414"/>
    </row>
    <row r="22" spans="1:16" x14ac:dyDescent="0.25">
      <c r="A22" s="416"/>
      <c r="B22" s="414" t="s">
        <v>387</v>
      </c>
      <c r="C22" s="414">
        <v>7387</v>
      </c>
      <c r="D22" s="414"/>
      <c r="E22" s="414"/>
      <c r="F22" s="414">
        <v>12883</v>
      </c>
      <c r="G22" s="414"/>
      <c r="H22" s="414"/>
      <c r="I22" s="414"/>
      <c r="J22" s="414">
        <f>SUM(C22+E22+F22+H22)</f>
        <v>20270</v>
      </c>
      <c r="K22" s="414">
        <f>SUM(D22+G22+I22)</f>
        <v>0</v>
      </c>
      <c r="L22" s="414">
        <f>SUM(J22:K22)</f>
        <v>20270</v>
      </c>
      <c r="M22" s="414">
        <v>128396</v>
      </c>
      <c r="N22" s="414">
        <v>420</v>
      </c>
      <c r="O22" s="414">
        <f>SUM(L22:N22)</f>
        <v>149086</v>
      </c>
    </row>
    <row r="23" spans="1:16" s="828" customFormat="1" x14ac:dyDescent="0.25">
      <c r="A23" s="423"/>
      <c r="B23" s="415" t="s">
        <v>418</v>
      </c>
      <c r="C23" s="415">
        <v>7387</v>
      </c>
      <c r="D23" s="415"/>
      <c r="E23" s="415"/>
      <c r="F23" s="415">
        <v>5153</v>
      </c>
      <c r="G23" s="415"/>
      <c r="H23" s="415"/>
      <c r="I23" s="415"/>
      <c r="J23" s="421">
        <f>SUM(C23+E23+F23+H23)</f>
        <v>12540</v>
      </c>
      <c r="K23" s="421">
        <f>SUM(D23+G23+I23)</f>
        <v>0</v>
      </c>
      <c r="L23" s="421">
        <f>SUM(J23:K23)</f>
        <v>12540</v>
      </c>
      <c r="M23" s="421">
        <v>56848</v>
      </c>
      <c r="N23" s="421">
        <v>420</v>
      </c>
      <c r="O23" s="421">
        <f>SUM(L23:N23)</f>
        <v>69808</v>
      </c>
    </row>
    <row r="24" spans="1:16" s="828" customFormat="1" x14ac:dyDescent="0.25">
      <c r="A24" s="423"/>
      <c r="B24" s="415" t="s">
        <v>417</v>
      </c>
      <c r="C24" s="415"/>
      <c r="D24" s="415"/>
      <c r="E24" s="415"/>
      <c r="F24" s="415">
        <v>7730</v>
      </c>
      <c r="G24" s="415"/>
      <c r="H24" s="415"/>
      <c r="I24" s="415"/>
      <c r="J24" s="421">
        <f>SUM(C24+E24+F24+H24)</f>
        <v>7730</v>
      </c>
      <c r="K24" s="421">
        <f>SUM(D24+G24+I24)</f>
        <v>0</v>
      </c>
      <c r="L24" s="421">
        <f>SUM(J24:K24)</f>
        <v>7730</v>
      </c>
      <c r="M24" s="421">
        <v>71548</v>
      </c>
      <c r="N24" s="421"/>
      <c r="O24" s="421">
        <f>SUM(L24:N24)</f>
        <v>79278</v>
      </c>
    </row>
    <row r="25" spans="1:16" s="828" customFormat="1" x14ac:dyDescent="0.25">
      <c r="A25" s="423"/>
      <c r="B25" s="415" t="s">
        <v>571</v>
      </c>
      <c r="C25" s="608"/>
      <c r="D25" s="608"/>
      <c r="E25" s="608"/>
      <c r="F25" s="608"/>
      <c r="G25" s="608"/>
      <c r="H25" s="608"/>
      <c r="I25" s="608"/>
      <c r="J25" s="608"/>
      <c r="K25" s="608"/>
      <c r="L25" s="608"/>
      <c r="M25" s="608"/>
      <c r="N25" s="608"/>
      <c r="O25" s="608"/>
    </row>
    <row r="26" spans="1:16" s="828" customFormat="1" x14ac:dyDescent="0.25">
      <c r="A26" s="423"/>
      <c r="B26" s="608" t="s">
        <v>1034</v>
      </c>
      <c r="C26" s="608"/>
      <c r="D26" s="608"/>
      <c r="E26" s="608"/>
      <c r="F26" s="608"/>
      <c r="G26" s="608"/>
      <c r="H26" s="608"/>
      <c r="I26" s="608"/>
      <c r="J26" s="608">
        <f t="shared" ref="J26:J34" si="7">SUM(C26+E26+F26+H26)</f>
        <v>0</v>
      </c>
      <c r="K26" s="608">
        <f t="shared" ref="K26:K34" si="8">SUM(D26+G26+I26)</f>
        <v>0</v>
      </c>
      <c r="L26" s="608">
        <f t="shared" ref="L26:L34" si="9">SUM(J26:K26)</f>
        <v>0</v>
      </c>
      <c r="M26" s="608">
        <v>96</v>
      </c>
      <c r="N26" s="608"/>
      <c r="O26" s="608">
        <f t="shared" ref="O26:O34" si="10">SUM(L26:N26)</f>
        <v>96</v>
      </c>
    </row>
    <row r="27" spans="1:16" s="828" customFormat="1" x14ac:dyDescent="0.25">
      <c r="A27" s="423"/>
      <c r="B27" s="608" t="s">
        <v>1038</v>
      </c>
      <c r="C27" s="608"/>
      <c r="D27" s="608"/>
      <c r="E27" s="608"/>
      <c r="F27" s="608"/>
      <c r="G27" s="608"/>
      <c r="H27" s="608"/>
      <c r="I27" s="608"/>
      <c r="J27" s="608">
        <f t="shared" si="7"/>
        <v>0</v>
      </c>
      <c r="K27" s="608">
        <f t="shared" si="8"/>
        <v>0</v>
      </c>
      <c r="L27" s="608">
        <f t="shared" si="9"/>
        <v>0</v>
      </c>
      <c r="M27" s="608">
        <v>1286</v>
      </c>
      <c r="N27" s="608"/>
      <c r="O27" s="608">
        <f t="shared" si="10"/>
        <v>1286</v>
      </c>
    </row>
    <row r="28" spans="1:16" s="828" customFormat="1" ht="47.25" x14ac:dyDescent="0.25">
      <c r="A28" s="423"/>
      <c r="B28" s="608" t="s">
        <v>1036</v>
      </c>
      <c r="C28" s="608"/>
      <c r="D28" s="608"/>
      <c r="E28" s="608"/>
      <c r="F28" s="608"/>
      <c r="G28" s="608"/>
      <c r="H28" s="608"/>
      <c r="I28" s="608"/>
      <c r="J28" s="608">
        <f t="shared" si="7"/>
        <v>0</v>
      </c>
      <c r="K28" s="608">
        <f t="shared" si="8"/>
        <v>0</v>
      </c>
      <c r="L28" s="608">
        <f t="shared" si="9"/>
        <v>0</v>
      </c>
      <c r="M28" s="608">
        <v>431</v>
      </c>
      <c r="N28" s="608"/>
      <c r="O28" s="608">
        <f t="shared" si="10"/>
        <v>431</v>
      </c>
    </row>
    <row r="29" spans="1:16" s="828" customFormat="1" ht="47.25" x14ac:dyDescent="0.25">
      <c r="A29" s="423"/>
      <c r="B29" s="608" t="s">
        <v>1039</v>
      </c>
      <c r="C29" s="608"/>
      <c r="D29" s="608"/>
      <c r="E29" s="608"/>
      <c r="F29" s="608"/>
      <c r="G29" s="608"/>
      <c r="H29" s="608"/>
      <c r="I29" s="608"/>
      <c r="J29" s="608">
        <f t="shared" si="7"/>
        <v>0</v>
      </c>
      <c r="K29" s="608">
        <f t="shared" si="8"/>
        <v>0</v>
      </c>
      <c r="L29" s="608">
        <f t="shared" si="9"/>
        <v>0</v>
      </c>
      <c r="M29" s="608">
        <v>318</v>
      </c>
      <c r="N29" s="608"/>
      <c r="O29" s="608">
        <f t="shared" si="10"/>
        <v>318</v>
      </c>
    </row>
    <row r="30" spans="1:16" s="828" customFormat="1" ht="31.5" x14ac:dyDescent="0.25">
      <c r="A30" s="423"/>
      <c r="B30" s="608" t="s">
        <v>766</v>
      </c>
      <c r="C30" s="608"/>
      <c r="D30" s="608"/>
      <c r="E30" s="608"/>
      <c r="F30" s="608">
        <v>4052</v>
      </c>
      <c r="G30" s="608"/>
      <c r="H30" s="608"/>
      <c r="I30" s="608"/>
      <c r="J30" s="608">
        <f t="shared" si="7"/>
        <v>4052</v>
      </c>
      <c r="K30" s="608">
        <f t="shared" si="8"/>
        <v>0</v>
      </c>
      <c r="L30" s="608">
        <f t="shared" si="9"/>
        <v>4052</v>
      </c>
      <c r="M30" s="608">
        <v>560</v>
      </c>
      <c r="N30" s="608"/>
      <c r="O30" s="608">
        <f t="shared" si="10"/>
        <v>4612</v>
      </c>
    </row>
    <row r="31" spans="1:16" s="828" customFormat="1" ht="31.5" x14ac:dyDescent="0.25">
      <c r="A31" s="423"/>
      <c r="B31" s="608" t="s">
        <v>767</v>
      </c>
      <c r="C31" s="608"/>
      <c r="D31" s="608"/>
      <c r="E31" s="608"/>
      <c r="F31" s="608">
        <v>-1</v>
      </c>
      <c r="G31" s="608"/>
      <c r="H31" s="608"/>
      <c r="I31" s="608"/>
      <c r="J31" s="608">
        <f t="shared" si="7"/>
        <v>-1</v>
      </c>
      <c r="K31" s="608">
        <f t="shared" si="8"/>
        <v>0</v>
      </c>
      <c r="L31" s="608">
        <f t="shared" si="9"/>
        <v>-1</v>
      </c>
      <c r="M31" s="608"/>
      <c r="N31" s="608">
        <v>1</v>
      </c>
      <c r="O31" s="608">
        <f t="shared" si="10"/>
        <v>0</v>
      </c>
    </row>
    <row r="32" spans="1:16" s="828" customFormat="1" x14ac:dyDescent="0.25">
      <c r="A32" s="423"/>
      <c r="B32" s="415" t="s">
        <v>140</v>
      </c>
      <c r="C32" s="608"/>
      <c r="D32" s="608"/>
      <c r="E32" s="608"/>
      <c r="F32" s="608"/>
      <c r="G32" s="608"/>
      <c r="H32" s="608"/>
      <c r="I32" s="608"/>
      <c r="J32" s="608"/>
      <c r="K32" s="608"/>
      <c r="L32" s="608"/>
      <c r="M32" s="608"/>
      <c r="N32" s="608"/>
      <c r="O32" s="608"/>
    </row>
    <row r="33" spans="1:16" s="828" customFormat="1" x14ac:dyDescent="0.25">
      <c r="A33" s="423"/>
      <c r="B33" s="608" t="s">
        <v>1037</v>
      </c>
      <c r="C33" s="608"/>
      <c r="D33" s="608"/>
      <c r="E33" s="608"/>
      <c r="F33" s="608"/>
      <c r="G33" s="608"/>
      <c r="H33" s="608"/>
      <c r="I33" s="608"/>
      <c r="J33" s="608">
        <f t="shared" si="7"/>
        <v>0</v>
      </c>
      <c r="K33" s="608">
        <f t="shared" si="8"/>
        <v>0</v>
      </c>
      <c r="L33" s="608">
        <f t="shared" si="9"/>
        <v>0</v>
      </c>
      <c r="M33" s="608">
        <v>600</v>
      </c>
      <c r="N33" s="608"/>
      <c r="O33" s="608">
        <f t="shared" si="10"/>
        <v>600</v>
      </c>
    </row>
    <row r="34" spans="1:16" s="828" customFormat="1" ht="79.5" thickBot="1" x14ac:dyDescent="0.3">
      <c r="A34" s="423"/>
      <c r="B34" s="608" t="s">
        <v>1040</v>
      </c>
      <c r="C34" s="608"/>
      <c r="D34" s="608"/>
      <c r="E34" s="608"/>
      <c r="F34" s="608"/>
      <c r="G34" s="608"/>
      <c r="H34" s="608"/>
      <c r="I34" s="608"/>
      <c r="J34" s="608">
        <f t="shared" si="7"/>
        <v>0</v>
      </c>
      <c r="K34" s="608">
        <f t="shared" si="8"/>
        <v>0</v>
      </c>
      <c r="L34" s="608">
        <f t="shared" si="9"/>
        <v>0</v>
      </c>
      <c r="M34" s="608">
        <v>250</v>
      </c>
      <c r="N34" s="608"/>
      <c r="O34" s="608">
        <f t="shared" si="10"/>
        <v>250</v>
      </c>
    </row>
    <row r="35" spans="1:16" ht="17.25" thickTop="1" thickBot="1" x14ac:dyDescent="0.3">
      <c r="A35" s="407"/>
      <c r="B35" s="406" t="s">
        <v>416</v>
      </c>
      <c r="C35" s="406">
        <f>+C22+C26+C33+C27+C34+C28+C29+C30+C31</f>
        <v>7387</v>
      </c>
      <c r="D35" s="406">
        <f t="shared" ref="D35:O35" si="11">+D22+D26+D33+D27+D34+D28+D29+D30+D31</f>
        <v>0</v>
      </c>
      <c r="E35" s="406">
        <f t="shared" si="11"/>
        <v>0</v>
      </c>
      <c r="F35" s="406">
        <f t="shared" si="11"/>
        <v>16934</v>
      </c>
      <c r="G35" s="406">
        <f t="shared" si="11"/>
        <v>0</v>
      </c>
      <c r="H35" s="406">
        <f t="shared" si="11"/>
        <v>0</v>
      </c>
      <c r="I35" s="406">
        <f t="shared" si="11"/>
        <v>0</v>
      </c>
      <c r="J35" s="406">
        <f t="shared" si="11"/>
        <v>24321</v>
      </c>
      <c r="K35" s="406">
        <f t="shared" si="11"/>
        <v>0</v>
      </c>
      <c r="L35" s="406">
        <f t="shared" si="11"/>
        <v>24321</v>
      </c>
      <c r="M35" s="406">
        <f t="shared" si="11"/>
        <v>131937</v>
      </c>
      <c r="N35" s="406">
        <f t="shared" si="11"/>
        <v>421</v>
      </c>
      <c r="O35" s="406">
        <f t="shared" si="11"/>
        <v>156679</v>
      </c>
      <c r="P35" s="827">
        <f>O36+O37</f>
        <v>156679</v>
      </c>
    </row>
    <row r="36" spans="1:16" ht="17.25" thickTop="1" thickBot="1" x14ac:dyDescent="0.3">
      <c r="A36" s="407"/>
      <c r="B36" s="406" t="s">
        <v>415</v>
      </c>
      <c r="C36" s="406">
        <f>+C23+C26+C27+C28+C29+C30+C31</f>
        <v>7387</v>
      </c>
      <c r="D36" s="406">
        <f t="shared" ref="D36:O36" si="12">+D23+D26+D27+D28+D29+D30+D31</f>
        <v>0</v>
      </c>
      <c r="E36" s="406">
        <f t="shared" si="12"/>
        <v>0</v>
      </c>
      <c r="F36" s="406">
        <f t="shared" si="12"/>
        <v>9204</v>
      </c>
      <c r="G36" s="406">
        <f t="shared" si="12"/>
        <v>0</v>
      </c>
      <c r="H36" s="406">
        <f t="shared" si="12"/>
        <v>0</v>
      </c>
      <c r="I36" s="406">
        <f t="shared" si="12"/>
        <v>0</v>
      </c>
      <c r="J36" s="406">
        <f t="shared" si="12"/>
        <v>16591</v>
      </c>
      <c r="K36" s="406">
        <f t="shared" si="12"/>
        <v>0</v>
      </c>
      <c r="L36" s="406">
        <f t="shared" si="12"/>
        <v>16591</v>
      </c>
      <c r="M36" s="406">
        <f t="shared" si="12"/>
        <v>59539</v>
      </c>
      <c r="N36" s="406">
        <f t="shared" si="12"/>
        <v>421</v>
      </c>
      <c r="O36" s="406">
        <f t="shared" si="12"/>
        <v>76551</v>
      </c>
    </row>
    <row r="37" spans="1:16" ht="17.25" thickTop="1" thickBot="1" x14ac:dyDescent="0.3">
      <c r="A37" s="407"/>
      <c r="B37" s="406" t="s">
        <v>414</v>
      </c>
      <c r="C37" s="406">
        <f t="shared" ref="C37:O37" si="13">+C24+C33+C34</f>
        <v>0</v>
      </c>
      <c r="D37" s="406">
        <f t="shared" si="13"/>
        <v>0</v>
      </c>
      <c r="E37" s="406">
        <f t="shared" si="13"/>
        <v>0</v>
      </c>
      <c r="F37" s="406">
        <f t="shared" si="13"/>
        <v>7730</v>
      </c>
      <c r="G37" s="406">
        <f t="shared" si="13"/>
        <v>0</v>
      </c>
      <c r="H37" s="406">
        <f t="shared" si="13"/>
        <v>0</v>
      </c>
      <c r="I37" s="406">
        <f t="shared" si="13"/>
        <v>0</v>
      </c>
      <c r="J37" s="406">
        <f t="shared" si="13"/>
        <v>7730</v>
      </c>
      <c r="K37" s="406">
        <f t="shared" si="13"/>
        <v>0</v>
      </c>
      <c r="L37" s="406">
        <f t="shared" si="13"/>
        <v>7730</v>
      </c>
      <c r="M37" s="406">
        <f t="shared" si="13"/>
        <v>72398</v>
      </c>
      <c r="N37" s="406">
        <f t="shared" si="13"/>
        <v>0</v>
      </c>
      <c r="O37" s="406">
        <f t="shared" si="13"/>
        <v>80128</v>
      </c>
    </row>
    <row r="38" spans="1:16" ht="17.25" thickTop="1" thickBot="1" x14ac:dyDescent="0.3">
      <c r="A38" s="407"/>
      <c r="B38" s="406" t="s">
        <v>447</v>
      </c>
      <c r="C38" s="406">
        <f t="shared" ref="C38:O38" si="14">SUM(C18+C35)</f>
        <v>625238</v>
      </c>
      <c r="D38" s="406">
        <f t="shared" si="14"/>
        <v>0</v>
      </c>
      <c r="E38" s="406">
        <f t="shared" si="14"/>
        <v>0</v>
      </c>
      <c r="F38" s="406">
        <f t="shared" si="14"/>
        <v>51545</v>
      </c>
      <c r="G38" s="406">
        <f t="shared" si="14"/>
        <v>300</v>
      </c>
      <c r="H38" s="406">
        <f t="shared" si="14"/>
        <v>0</v>
      </c>
      <c r="I38" s="406">
        <f t="shared" si="14"/>
        <v>0</v>
      </c>
      <c r="J38" s="406">
        <f t="shared" si="14"/>
        <v>676783</v>
      </c>
      <c r="K38" s="406">
        <f t="shared" si="14"/>
        <v>300</v>
      </c>
      <c r="L38" s="406">
        <f t="shared" si="14"/>
        <v>677083</v>
      </c>
      <c r="M38" s="406">
        <f t="shared" si="14"/>
        <v>406980</v>
      </c>
      <c r="N38" s="406">
        <f t="shared" si="14"/>
        <v>91055</v>
      </c>
      <c r="O38" s="406">
        <f t="shared" si="14"/>
        <v>1175118</v>
      </c>
    </row>
    <row r="39" spans="1:16" ht="16.5" thickTop="1" x14ac:dyDescent="0.25">
      <c r="A39" s="416" t="s">
        <v>155</v>
      </c>
      <c r="B39" s="424" t="s">
        <v>446</v>
      </c>
      <c r="C39" s="424"/>
      <c r="D39" s="424"/>
      <c r="E39" s="424"/>
      <c r="F39" s="424"/>
      <c r="G39" s="424"/>
      <c r="H39" s="424"/>
      <c r="I39" s="424"/>
      <c r="J39" s="424"/>
      <c r="K39" s="424"/>
      <c r="L39" s="424"/>
      <c r="M39" s="424"/>
      <c r="N39" s="424"/>
      <c r="O39" s="424"/>
    </row>
    <row r="40" spans="1:16" x14ac:dyDescent="0.25">
      <c r="A40" s="416"/>
      <c r="B40" s="414" t="s">
        <v>387</v>
      </c>
      <c r="C40" s="414">
        <v>5075</v>
      </c>
      <c r="D40" s="414"/>
      <c r="E40" s="414"/>
      <c r="F40" s="414">
        <v>1594</v>
      </c>
      <c r="G40" s="414"/>
      <c r="H40" s="414"/>
      <c r="I40" s="414"/>
      <c r="J40" s="414">
        <f>SUM(C40+E40+F40+H40)</f>
        <v>6669</v>
      </c>
      <c r="K40" s="414">
        <f>SUM(D40+G40+I40)</f>
        <v>0</v>
      </c>
      <c r="L40" s="414">
        <f>SUM(J40:K40)</f>
        <v>6669</v>
      </c>
      <c r="M40" s="414">
        <v>88412</v>
      </c>
      <c r="N40" s="414">
        <v>299</v>
      </c>
      <c r="O40" s="414">
        <f>SUM(L40:N40)</f>
        <v>95380</v>
      </c>
    </row>
    <row r="41" spans="1:16" s="828" customFormat="1" x14ac:dyDescent="0.25">
      <c r="A41" s="423"/>
      <c r="B41" s="415" t="s">
        <v>418</v>
      </c>
      <c r="C41" s="415">
        <v>5075</v>
      </c>
      <c r="D41" s="415"/>
      <c r="E41" s="415"/>
      <c r="F41" s="415">
        <v>1594</v>
      </c>
      <c r="G41" s="415"/>
      <c r="H41" s="415"/>
      <c r="I41" s="415"/>
      <c r="J41" s="421">
        <f>SUM(C41+E41+F41+H41)</f>
        <v>6669</v>
      </c>
      <c r="K41" s="421">
        <f>SUM(D41+G41+I41)</f>
        <v>0</v>
      </c>
      <c r="L41" s="421">
        <f>SUM(J41:K41)</f>
        <v>6669</v>
      </c>
      <c r="M41" s="421">
        <v>85241</v>
      </c>
      <c r="N41" s="421">
        <v>299</v>
      </c>
      <c r="O41" s="421">
        <f>SUM(L41:N41)</f>
        <v>92209</v>
      </c>
    </row>
    <row r="42" spans="1:16" s="828" customFormat="1" x14ac:dyDescent="0.25">
      <c r="A42" s="422"/>
      <c r="B42" s="419" t="s">
        <v>417</v>
      </c>
      <c r="C42" s="419"/>
      <c r="D42" s="419"/>
      <c r="E42" s="419"/>
      <c r="F42" s="419"/>
      <c r="G42" s="419"/>
      <c r="H42" s="419"/>
      <c r="I42" s="419"/>
      <c r="J42" s="435">
        <f>SUM(C42+E42+F42+H42)</f>
        <v>0</v>
      </c>
      <c r="K42" s="435">
        <f>SUM(D42+G42+I42)</f>
        <v>0</v>
      </c>
      <c r="L42" s="435">
        <f>SUM(J42:K42)</f>
        <v>0</v>
      </c>
      <c r="M42" s="435">
        <v>3171</v>
      </c>
      <c r="N42" s="435"/>
      <c r="O42" s="435">
        <f>SUM(L42:N42)</f>
        <v>3171</v>
      </c>
    </row>
    <row r="43" spans="1:16" s="828" customFormat="1" x14ac:dyDescent="0.25">
      <c r="A43" s="422"/>
      <c r="B43" s="419" t="s">
        <v>139</v>
      </c>
      <c r="C43" s="609"/>
      <c r="D43" s="609"/>
      <c r="E43" s="609"/>
      <c r="F43" s="609"/>
      <c r="G43" s="609"/>
      <c r="H43" s="609"/>
      <c r="I43" s="609"/>
      <c r="J43" s="609"/>
      <c r="K43" s="609"/>
      <c r="L43" s="609"/>
      <c r="M43" s="609"/>
      <c r="N43" s="609"/>
      <c r="O43" s="609"/>
    </row>
    <row r="44" spans="1:16" s="828" customFormat="1" x14ac:dyDescent="0.25">
      <c r="A44" s="422"/>
      <c r="B44" s="608" t="s">
        <v>1034</v>
      </c>
      <c r="C44" s="609"/>
      <c r="D44" s="609"/>
      <c r="E44" s="609"/>
      <c r="F44" s="609"/>
      <c r="G44" s="609"/>
      <c r="H44" s="609"/>
      <c r="I44" s="609"/>
      <c r="J44" s="609">
        <f t="shared" ref="J44:J49" si="15">SUM(C44+E44+F44+H44)</f>
        <v>0</v>
      </c>
      <c r="K44" s="609">
        <f t="shared" ref="K44:K49" si="16">SUM(D44+G44+I44)</f>
        <v>0</v>
      </c>
      <c r="L44" s="609">
        <f t="shared" ref="L44:L49" si="17">SUM(J44:K44)</f>
        <v>0</v>
      </c>
      <c r="M44" s="609">
        <v>25</v>
      </c>
      <c r="N44" s="609"/>
      <c r="O44" s="609">
        <f t="shared" ref="O44:O49" si="18">SUM(L44:N44)</f>
        <v>25</v>
      </c>
    </row>
    <row r="45" spans="1:16" s="828" customFormat="1" x14ac:dyDescent="0.25">
      <c r="A45" s="422"/>
      <c r="B45" s="608" t="s">
        <v>1038</v>
      </c>
      <c r="C45" s="609"/>
      <c r="D45" s="609"/>
      <c r="E45" s="609"/>
      <c r="F45" s="609"/>
      <c r="G45" s="609"/>
      <c r="H45" s="609"/>
      <c r="I45" s="609"/>
      <c r="J45" s="609">
        <f>SUM(C45+E45+F45+H45)</f>
        <v>0</v>
      </c>
      <c r="K45" s="609">
        <f t="shared" si="16"/>
        <v>0</v>
      </c>
      <c r="L45" s="609">
        <f t="shared" si="17"/>
        <v>0</v>
      </c>
      <c r="M45" s="609">
        <v>109</v>
      </c>
      <c r="N45" s="609"/>
      <c r="O45" s="609">
        <f t="shared" si="18"/>
        <v>109</v>
      </c>
    </row>
    <row r="46" spans="1:16" s="828" customFormat="1" ht="31.5" x14ac:dyDescent="0.25">
      <c r="A46" s="422"/>
      <c r="B46" s="608" t="s">
        <v>766</v>
      </c>
      <c r="C46" s="609"/>
      <c r="D46" s="609"/>
      <c r="E46" s="609"/>
      <c r="F46" s="609">
        <v>928</v>
      </c>
      <c r="G46" s="609"/>
      <c r="H46" s="609"/>
      <c r="I46" s="609"/>
      <c r="J46" s="609">
        <f>SUM(C46+E46+F46+H46)</f>
        <v>928</v>
      </c>
      <c r="K46" s="609">
        <f t="shared" si="16"/>
        <v>0</v>
      </c>
      <c r="L46" s="609">
        <f t="shared" si="17"/>
        <v>928</v>
      </c>
      <c r="M46" s="609">
        <v>102</v>
      </c>
      <c r="N46" s="609"/>
      <c r="O46" s="609">
        <f t="shared" si="18"/>
        <v>1030</v>
      </c>
    </row>
    <row r="47" spans="1:16" s="828" customFormat="1" ht="31.5" x14ac:dyDescent="0.25">
      <c r="A47" s="422"/>
      <c r="B47" s="608" t="s">
        <v>767</v>
      </c>
      <c r="C47" s="609">
        <v>1</v>
      </c>
      <c r="D47" s="609"/>
      <c r="E47" s="609"/>
      <c r="F47" s="609">
        <v>-1</v>
      </c>
      <c r="G47" s="609"/>
      <c r="H47" s="609"/>
      <c r="I47" s="609"/>
      <c r="J47" s="609">
        <f>SUM(C47+E47+F47+H47)</f>
        <v>0</v>
      </c>
      <c r="K47" s="609">
        <f t="shared" si="16"/>
        <v>0</v>
      </c>
      <c r="L47" s="609">
        <f t="shared" si="17"/>
        <v>0</v>
      </c>
      <c r="M47" s="609"/>
      <c r="N47" s="609"/>
      <c r="O47" s="609">
        <f t="shared" si="18"/>
        <v>0</v>
      </c>
    </row>
    <row r="48" spans="1:16" s="828" customFormat="1" x14ac:dyDescent="0.25">
      <c r="A48" s="422"/>
      <c r="B48" s="419" t="s">
        <v>572</v>
      </c>
      <c r="C48" s="609"/>
      <c r="D48" s="609"/>
      <c r="E48" s="609"/>
      <c r="F48" s="609"/>
      <c r="G48" s="609"/>
      <c r="H48" s="609"/>
      <c r="I48" s="609"/>
      <c r="J48" s="609"/>
      <c r="K48" s="609"/>
      <c r="L48" s="609"/>
      <c r="M48" s="609"/>
      <c r="N48" s="609"/>
      <c r="O48" s="609"/>
    </row>
    <row r="49" spans="1:16" s="828" customFormat="1" ht="16.5" thickBot="1" x14ac:dyDescent="0.3">
      <c r="A49" s="422"/>
      <c r="B49" s="608" t="s">
        <v>1037</v>
      </c>
      <c r="C49" s="609"/>
      <c r="D49" s="609"/>
      <c r="E49" s="609"/>
      <c r="F49" s="609"/>
      <c r="G49" s="609"/>
      <c r="H49" s="609"/>
      <c r="I49" s="609"/>
      <c r="J49" s="609">
        <f t="shared" si="15"/>
        <v>0</v>
      </c>
      <c r="K49" s="609">
        <f t="shared" si="16"/>
        <v>0</v>
      </c>
      <c r="L49" s="609">
        <f t="shared" si="17"/>
        <v>0</v>
      </c>
      <c r="M49" s="609">
        <v>585</v>
      </c>
      <c r="N49" s="609"/>
      <c r="O49" s="609">
        <f t="shared" si="18"/>
        <v>585</v>
      </c>
    </row>
    <row r="50" spans="1:16" ht="17.25" thickTop="1" thickBot="1" x14ac:dyDescent="0.3">
      <c r="A50" s="407"/>
      <c r="B50" s="406" t="s">
        <v>416</v>
      </c>
      <c r="C50" s="406">
        <f>+C40+C44+C49+C45+C46+C47</f>
        <v>5076</v>
      </c>
      <c r="D50" s="406">
        <f t="shared" ref="D50:P50" si="19">+D40+D44+D49+D45+D46+D47</f>
        <v>0</v>
      </c>
      <c r="E50" s="406">
        <f t="shared" si="19"/>
        <v>0</v>
      </c>
      <c r="F50" s="406">
        <f t="shared" si="19"/>
        <v>2521</v>
      </c>
      <c r="G50" s="406">
        <f t="shared" si="19"/>
        <v>0</v>
      </c>
      <c r="H50" s="406">
        <f t="shared" si="19"/>
        <v>0</v>
      </c>
      <c r="I50" s="406">
        <f t="shared" si="19"/>
        <v>0</v>
      </c>
      <c r="J50" s="406">
        <f t="shared" si="19"/>
        <v>7597</v>
      </c>
      <c r="K50" s="406">
        <f t="shared" si="19"/>
        <v>0</v>
      </c>
      <c r="L50" s="406">
        <f t="shared" si="19"/>
        <v>7597</v>
      </c>
      <c r="M50" s="406">
        <f t="shared" si="19"/>
        <v>89233</v>
      </c>
      <c r="N50" s="406">
        <f t="shared" si="19"/>
        <v>299</v>
      </c>
      <c r="O50" s="406">
        <f t="shared" si="19"/>
        <v>97129</v>
      </c>
      <c r="P50" s="406">
        <f t="shared" si="19"/>
        <v>0</v>
      </c>
    </row>
    <row r="51" spans="1:16" ht="17.25" thickTop="1" thickBot="1" x14ac:dyDescent="0.3">
      <c r="A51" s="407"/>
      <c r="B51" s="406" t="s">
        <v>415</v>
      </c>
      <c r="C51" s="406">
        <f t="shared" ref="C51:O51" si="20">+C41+C44+C45+C46+C47</f>
        <v>5076</v>
      </c>
      <c r="D51" s="406">
        <f t="shared" si="20"/>
        <v>0</v>
      </c>
      <c r="E51" s="406">
        <f t="shared" si="20"/>
        <v>0</v>
      </c>
      <c r="F51" s="406">
        <f t="shared" si="20"/>
        <v>2521</v>
      </c>
      <c r="G51" s="406">
        <f t="shared" si="20"/>
        <v>0</v>
      </c>
      <c r="H51" s="406">
        <f t="shared" si="20"/>
        <v>0</v>
      </c>
      <c r="I51" s="406">
        <f t="shared" si="20"/>
        <v>0</v>
      </c>
      <c r="J51" s="406">
        <f t="shared" si="20"/>
        <v>7597</v>
      </c>
      <c r="K51" s="406">
        <f t="shared" si="20"/>
        <v>0</v>
      </c>
      <c r="L51" s="406">
        <f t="shared" si="20"/>
        <v>7597</v>
      </c>
      <c r="M51" s="406">
        <f t="shared" si="20"/>
        <v>85477</v>
      </c>
      <c r="N51" s="406">
        <f t="shared" si="20"/>
        <v>299</v>
      </c>
      <c r="O51" s="406">
        <f t="shared" si="20"/>
        <v>93373</v>
      </c>
    </row>
    <row r="52" spans="1:16" ht="17.25" thickTop="1" thickBot="1" x14ac:dyDescent="0.3">
      <c r="A52" s="407"/>
      <c r="B52" s="406" t="s">
        <v>414</v>
      </c>
      <c r="C52" s="406">
        <f>+C42+C49</f>
        <v>0</v>
      </c>
      <c r="D52" s="406">
        <f t="shared" ref="D52:P52" si="21">+D42+D49</f>
        <v>0</v>
      </c>
      <c r="E52" s="406">
        <f t="shared" si="21"/>
        <v>0</v>
      </c>
      <c r="F52" s="406">
        <f t="shared" si="21"/>
        <v>0</v>
      </c>
      <c r="G52" s="406">
        <f t="shared" si="21"/>
        <v>0</v>
      </c>
      <c r="H52" s="406">
        <f t="shared" si="21"/>
        <v>0</v>
      </c>
      <c r="I52" s="406">
        <f t="shared" si="21"/>
        <v>0</v>
      </c>
      <c r="J52" s="406">
        <f t="shared" si="21"/>
        <v>0</v>
      </c>
      <c r="K52" s="406">
        <f t="shared" si="21"/>
        <v>0</v>
      </c>
      <c r="L52" s="406">
        <f t="shared" si="21"/>
        <v>0</v>
      </c>
      <c r="M52" s="406">
        <f t="shared" si="21"/>
        <v>3756</v>
      </c>
      <c r="N52" s="406">
        <f t="shared" si="21"/>
        <v>0</v>
      </c>
      <c r="O52" s="406">
        <f t="shared" si="21"/>
        <v>3756</v>
      </c>
      <c r="P52" s="406">
        <f t="shared" si="21"/>
        <v>0</v>
      </c>
    </row>
    <row r="53" spans="1:16" ht="16.5" thickTop="1" x14ac:dyDescent="0.25">
      <c r="A53" s="416" t="s">
        <v>156</v>
      </c>
      <c r="B53" s="418" t="s">
        <v>807</v>
      </c>
      <c r="C53" s="418"/>
      <c r="D53" s="418"/>
      <c r="E53" s="418"/>
      <c r="F53" s="418"/>
      <c r="G53" s="418"/>
      <c r="H53" s="418"/>
      <c r="I53" s="418"/>
      <c r="J53" s="418"/>
      <c r="K53" s="418"/>
      <c r="L53" s="418"/>
      <c r="M53" s="418"/>
      <c r="N53" s="418"/>
      <c r="O53" s="418"/>
    </row>
    <row r="54" spans="1:16" x14ac:dyDescent="0.25">
      <c r="A54" s="416"/>
      <c r="B54" s="414" t="s">
        <v>387</v>
      </c>
      <c r="C54" s="414">
        <v>6664</v>
      </c>
      <c r="D54" s="414"/>
      <c r="E54" s="414"/>
      <c r="F54" s="414">
        <v>1231</v>
      </c>
      <c r="G54" s="414"/>
      <c r="H54" s="414"/>
      <c r="I54" s="414"/>
      <c r="J54" s="414">
        <f>SUM(C54+E54+F54+H54)</f>
        <v>7895</v>
      </c>
      <c r="K54" s="414">
        <f>SUM(D54+G54+I54)</f>
        <v>0</v>
      </c>
      <c r="L54" s="414">
        <f>SUM(J54:K54)</f>
        <v>7895</v>
      </c>
      <c r="M54" s="414">
        <v>97033</v>
      </c>
      <c r="N54" s="414">
        <v>144</v>
      </c>
      <c r="O54" s="414">
        <f>SUM(L54:N54)</f>
        <v>105072</v>
      </c>
    </row>
    <row r="55" spans="1:16" s="828" customFormat="1" x14ac:dyDescent="0.25">
      <c r="A55" s="423"/>
      <c r="B55" s="415" t="s">
        <v>418</v>
      </c>
      <c r="C55" s="415">
        <v>6664</v>
      </c>
      <c r="D55" s="415"/>
      <c r="E55" s="415"/>
      <c r="F55" s="415">
        <v>1231</v>
      </c>
      <c r="G55" s="415"/>
      <c r="H55" s="415"/>
      <c r="I55" s="415"/>
      <c r="J55" s="421">
        <f>SUM(C55+E55+F55+H55)</f>
        <v>7895</v>
      </c>
      <c r="K55" s="421">
        <f>SUM(D55+G55+I55)</f>
        <v>0</v>
      </c>
      <c r="L55" s="421">
        <f>SUM(J55:K55)</f>
        <v>7895</v>
      </c>
      <c r="M55" s="421">
        <v>93946</v>
      </c>
      <c r="N55" s="421">
        <v>144</v>
      </c>
      <c r="O55" s="421">
        <f>SUM(L55:N55)</f>
        <v>101985</v>
      </c>
    </row>
    <row r="56" spans="1:16" s="828" customFormat="1" x14ac:dyDescent="0.25">
      <c r="A56" s="423"/>
      <c r="B56" s="415" t="s">
        <v>417</v>
      </c>
      <c r="C56" s="415"/>
      <c r="D56" s="415"/>
      <c r="E56" s="415"/>
      <c r="F56" s="415"/>
      <c r="G56" s="415"/>
      <c r="H56" s="415"/>
      <c r="I56" s="415"/>
      <c r="J56" s="421">
        <f>SUM(C56+E56+F56+H56)</f>
        <v>0</v>
      </c>
      <c r="K56" s="421">
        <f>SUM(D56+G56+I56)</f>
        <v>0</v>
      </c>
      <c r="L56" s="421">
        <f>SUM(J56:K56)</f>
        <v>0</v>
      </c>
      <c r="M56" s="421">
        <v>3087</v>
      </c>
      <c r="N56" s="421"/>
      <c r="O56" s="421">
        <f>SUM(L56:N56)</f>
        <v>3087</v>
      </c>
    </row>
    <row r="57" spans="1:16" s="828" customFormat="1" x14ac:dyDescent="0.25">
      <c r="A57" s="423"/>
      <c r="B57" s="415" t="s">
        <v>139</v>
      </c>
      <c r="C57" s="608"/>
      <c r="D57" s="608"/>
      <c r="E57" s="608"/>
      <c r="F57" s="608"/>
      <c r="G57" s="608"/>
      <c r="H57" s="608"/>
      <c r="I57" s="608"/>
      <c r="J57" s="608"/>
      <c r="K57" s="608"/>
      <c r="L57" s="608"/>
      <c r="M57" s="608"/>
      <c r="N57" s="608"/>
      <c r="O57" s="608"/>
    </row>
    <row r="58" spans="1:16" s="828" customFormat="1" x14ac:dyDescent="0.25">
      <c r="A58" s="423"/>
      <c r="B58" s="608" t="s">
        <v>1034</v>
      </c>
      <c r="C58" s="608"/>
      <c r="D58" s="608"/>
      <c r="E58" s="608"/>
      <c r="F58" s="608"/>
      <c r="G58" s="608"/>
      <c r="H58" s="608"/>
      <c r="I58" s="608"/>
      <c r="J58" s="608">
        <f t="shared" ref="J58:J64" si="22">SUM(C58+E58+F58+H58)</f>
        <v>0</v>
      </c>
      <c r="K58" s="608">
        <f t="shared" ref="K58:K64" si="23">SUM(D58+G58+I58)</f>
        <v>0</v>
      </c>
      <c r="L58" s="608">
        <f t="shared" ref="L58:L64" si="24">SUM(J58:K58)</f>
        <v>0</v>
      </c>
      <c r="M58" s="608">
        <v>72</v>
      </c>
      <c r="N58" s="608"/>
      <c r="O58" s="608">
        <f t="shared" ref="O58:O64" si="25">SUM(L58:N58)</f>
        <v>72</v>
      </c>
    </row>
    <row r="59" spans="1:16" s="828" customFormat="1" x14ac:dyDescent="0.25">
      <c r="A59" s="423"/>
      <c r="B59" s="608" t="s">
        <v>1038</v>
      </c>
      <c r="C59" s="608"/>
      <c r="D59" s="608"/>
      <c r="E59" s="608"/>
      <c r="F59" s="608"/>
      <c r="G59" s="608"/>
      <c r="H59" s="608"/>
      <c r="I59" s="608"/>
      <c r="J59" s="608">
        <f t="shared" si="22"/>
        <v>0</v>
      </c>
      <c r="K59" s="608">
        <f t="shared" si="23"/>
        <v>0</v>
      </c>
      <c r="L59" s="608">
        <f t="shared" si="24"/>
        <v>0</v>
      </c>
      <c r="M59" s="608">
        <v>153</v>
      </c>
      <c r="N59" s="608"/>
      <c r="O59" s="608">
        <f t="shared" si="25"/>
        <v>153</v>
      </c>
    </row>
    <row r="60" spans="1:16" s="828" customFormat="1" ht="47.25" x14ac:dyDescent="0.25">
      <c r="A60" s="423"/>
      <c r="B60" s="608" t="s">
        <v>1036</v>
      </c>
      <c r="C60" s="608"/>
      <c r="D60" s="608"/>
      <c r="E60" s="608"/>
      <c r="F60" s="608"/>
      <c r="G60" s="608"/>
      <c r="H60" s="608"/>
      <c r="I60" s="608"/>
      <c r="J60" s="608">
        <f t="shared" si="22"/>
        <v>0</v>
      </c>
      <c r="K60" s="608">
        <f t="shared" si="23"/>
        <v>0</v>
      </c>
      <c r="L60" s="608">
        <f t="shared" si="24"/>
        <v>0</v>
      </c>
      <c r="M60" s="608">
        <v>431</v>
      </c>
      <c r="N60" s="608"/>
      <c r="O60" s="608">
        <f t="shared" si="25"/>
        <v>431</v>
      </c>
    </row>
    <row r="61" spans="1:16" s="828" customFormat="1" ht="31.5" x14ac:dyDescent="0.25">
      <c r="A61" s="423"/>
      <c r="B61" s="608" t="s">
        <v>766</v>
      </c>
      <c r="C61" s="608"/>
      <c r="D61" s="608"/>
      <c r="E61" s="608"/>
      <c r="F61" s="608">
        <v>3086</v>
      </c>
      <c r="G61" s="608"/>
      <c r="H61" s="608"/>
      <c r="I61" s="608"/>
      <c r="J61" s="608">
        <f t="shared" si="22"/>
        <v>3086</v>
      </c>
      <c r="K61" s="608">
        <f t="shared" si="23"/>
        <v>0</v>
      </c>
      <c r="L61" s="608">
        <f t="shared" si="24"/>
        <v>3086</v>
      </c>
      <c r="M61" s="608">
        <v>102</v>
      </c>
      <c r="N61" s="608"/>
      <c r="O61" s="608">
        <f t="shared" si="25"/>
        <v>3188</v>
      </c>
    </row>
    <row r="62" spans="1:16" s="828" customFormat="1" ht="31.5" x14ac:dyDescent="0.25">
      <c r="A62" s="423"/>
      <c r="B62" s="608" t="s">
        <v>767</v>
      </c>
      <c r="C62" s="608"/>
      <c r="D62" s="608"/>
      <c r="E62" s="608"/>
      <c r="F62" s="608">
        <v>-1</v>
      </c>
      <c r="G62" s="608"/>
      <c r="H62" s="608"/>
      <c r="I62" s="608"/>
      <c r="J62" s="608">
        <f t="shared" si="22"/>
        <v>-1</v>
      </c>
      <c r="K62" s="608">
        <f t="shared" si="23"/>
        <v>0</v>
      </c>
      <c r="L62" s="608">
        <f t="shared" si="24"/>
        <v>-1</v>
      </c>
      <c r="M62" s="608"/>
      <c r="N62" s="608">
        <v>1</v>
      </c>
      <c r="O62" s="608">
        <f t="shared" si="25"/>
        <v>0</v>
      </c>
    </row>
    <row r="63" spans="1:16" s="828" customFormat="1" x14ac:dyDescent="0.25">
      <c r="A63" s="423"/>
      <c r="B63" s="415" t="s">
        <v>140</v>
      </c>
      <c r="C63" s="608"/>
      <c r="D63" s="608"/>
      <c r="E63" s="608"/>
      <c r="F63" s="608"/>
      <c r="G63" s="608"/>
      <c r="H63" s="608"/>
      <c r="I63" s="608"/>
      <c r="J63" s="608"/>
      <c r="K63" s="608"/>
      <c r="L63" s="608"/>
      <c r="M63" s="608"/>
      <c r="N63" s="608"/>
      <c r="O63" s="608"/>
    </row>
    <row r="64" spans="1:16" s="828" customFormat="1" ht="16.5" thickBot="1" x14ac:dyDescent="0.3">
      <c r="A64" s="423"/>
      <c r="B64" s="608" t="s">
        <v>1037</v>
      </c>
      <c r="C64" s="608"/>
      <c r="D64" s="608"/>
      <c r="E64" s="608"/>
      <c r="F64" s="608"/>
      <c r="G64" s="608"/>
      <c r="H64" s="608"/>
      <c r="I64" s="608"/>
      <c r="J64" s="608">
        <f t="shared" si="22"/>
        <v>0</v>
      </c>
      <c r="K64" s="608">
        <f t="shared" si="23"/>
        <v>0</v>
      </c>
      <c r="L64" s="608">
        <f t="shared" si="24"/>
        <v>0</v>
      </c>
      <c r="M64" s="608">
        <v>562</v>
      </c>
      <c r="N64" s="608"/>
      <c r="O64" s="608">
        <f t="shared" si="25"/>
        <v>562</v>
      </c>
    </row>
    <row r="65" spans="1:16" ht="17.25" thickTop="1" thickBot="1" x14ac:dyDescent="0.3">
      <c r="A65" s="407"/>
      <c r="B65" s="406" t="s">
        <v>416</v>
      </c>
      <c r="C65" s="406">
        <f>+C54+C58+C64+C59+C60+C61+C62</f>
        <v>6664</v>
      </c>
      <c r="D65" s="406">
        <f t="shared" ref="D65:P65" si="26">+D54+D58+D64+D59+D60+D61+D62</f>
        <v>0</v>
      </c>
      <c r="E65" s="406">
        <f t="shared" si="26"/>
        <v>0</v>
      </c>
      <c r="F65" s="406">
        <f t="shared" si="26"/>
        <v>4316</v>
      </c>
      <c r="G65" s="406">
        <f t="shared" si="26"/>
        <v>0</v>
      </c>
      <c r="H65" s="406">
        <f t="shared" si="26"/>
        <v>0</v>
      </c>
      <c r="I65" s="406">
        <f t="shared" si="26"/>
        <v>0</v>
      </c>
      <c r="J65" s="406">
        <f t="shared" si="26"/>
        <v>10980</v>
      </c>
      <c r="K65" s="406">
        <f t="shared" si="26"/>
        <v>0</v>
      </c>
      <c r="L65" s="406">
        <f t="shared" si="26"/>
        <v>10980</v>
      </c>
      <c r="M65" s="406">
        <f t="shared" si="26"/>
        <v>98353</v>
      </c>
      <c r="N65" s="406">
        <f t="shared" si="26"/>
        <v>145</v>
      </c>
      <c r="O65" s="406">
        <f t="shared" si="26"/>
        <v>109478</v>
      </c>
      <c r="P65" s="406">
        <f t="shared" si="26"/>
        <v>0</v>
      </c>
    </row>
    <row r="66" spans="1:16" ht="17.25" thickTop="1" thickBot="1" x14ac:dyDescent="0.3">
      <c r="A66" s="407"/>
      <c r="B66" s="406" t="s">
        <v>415</v>
      </c>
      <c r="C66" s="406">
        <f t="shared" ref="C66:O66" si="27">+C55+C58+C59+C60+C61+C62</f>
        <v>6664</v>
      </c>
      <c r="D66" s="406">
        <f t="shared" si="27"/>
        <v>0</v>
      </c>
      <c r="E66" s="406">
        <f t="shared" si="27"/>
        <v>0</v>
      </c>
      <c r="F66" s="406">
        <f t="shared" si="27"/>
        <v>4316</v>
      </c>
      <c r="G66" s="406">
        <f t="shared" si="27"/>
        <v>0</v>
      </c>
      <c r="H66" s="406">
        <f t="shared" si="27"/>
        <v>0</v>
      </c>
      <c r="I66" s="406">
        <f t="shared" si="27"/>
        <v>0</v>
      </c>
      <c r="J66" s="406">
        <f t="shared" si="27"/>
        <v>10980</v>
      </c>
      <c r="K66" s="406">
        <f t="shared" si="27"/>
        <v>0</v>
      </c>
      <c r="L66" s="406">
        <f t="shared" si="27"/>
        <v>10980</v>
      </c>
      <c r="M66" s="406">
        <f t="shared" si="27"/>
        <v>94704</v>
      </c>
      <c r="N66" s="406">
        <f t="shared" si="27"/>
        <v>145</v>
      </c>
      <c r="O66" s="406">
        <f t="shared" si="27"/>
        <v>105829</v>
      </c>
    </row>
    <row r="67" spans="1:16" ht="17.25" thickTop="1" thickBot="1" x14ac:dyDescent="0.3">
      <c r="A67" s="407"/>
      <c r="B67" s="406" t="s">
        <v>414</v>
      </c>
      <c r="C67" s="406">
        <f>+C56+C64</f>
        <v>0</v>
      </c>
      <c r="D67" s="406">
        <f t="shared" ref="D67:P67" si="28">+D56+D64</f>
        <v>0</v>
      </c>
      <c r="E67" s="406">
        <f t="shared" si="28"/>
        <v>0</v>
      </c>
      <c r="F67" s="406">
        <f t="shared" si="28"/>
        <v>0</v>
      </c>
      <c r="G67" s="406">
        <f t="shared" si="28"/>
        <v>0</v>
      </c>
      <c r="H67" s="406">
        <f t="shared" si="28"/>
        <v>0</v>
      </c>
      <c r="I67" s="406">
        <f t="shared" si="28"/>
        <v>0</v>
      </c>
      <c r="J67" s="406">
        <f t="shared" si="28"/>
        <v>0</v>
      </c>
      <c r="K67" s="406">
        <f t="shared" si="28"/>
        <v>0</v>
      </c>
      <c r="L67" s="406">
        <f t="shared" si="28"/>
        <v>0</v>
      </c>
      <c r="M67" s="406">
        <f t="shared" si="28"/>
        <v>3649</v>
      </c>
      <c r="N67" s="406">
        <f t="shared" si="28"/>
        <v>0</v>
      </c>
      <c r="O67" s="406">
        <f t="shared" si="28"/>
        <v>3649</v>
      </c>
      <c r="P67" s="406">
        <f t="shared" si="28"/>
        <v>0</v>
      </c>
    </row>
    <row r="68" spans="1:16" ht="16.5" thickTop="1" x14ac:dyDescent="0.25">
      <c r="A68" s="416" t="s">
        <v>157</v>
      </c>
      <c r="B68" s="418" t="s">
        <v>445</v>
      </c>
      <c r="C68" s="418"/>
      <c r="D68" s="418"/>
      <c r="E68" s="418"/>
      <c r="F68" s="418"/>
      <c r="G68" s="418"/>
      <c r="H68" s="418"/>
      <c r="I68" s="418"/>
      <c r="J68" s="418"/>
      <c r="K68" s="418"/>
      <c r="L68" s="418"/>
      <c r="M68" s="418"/>
      <c r="N68" s="418"/>
      <c r="O68" s="418"/>
    </row>
    <row r="69" spans="1:16" x14ac:dyDescent="0.25">
      <c r="A69" s="416"/>
      <c r="B69" s="414" t="s">
        <v>387</v>
      </c>
      <c r="C69" s="414">
        <v>5772</v>
      </c>
      <c r="D69" s="414"/>
      <c r="E69" s="414"/>
      <c r="F69" s="414">
        <v>1902</v>
      </c>
      <c r="G69" s="414"/>
      <c r="H69" s="414"/>
      <c r="I69" s="414"/>
      <c r="J69" s="414">
        <f>SUM(C69+E69+F69+H69)</f>
        <v>7674</v>
      </c>
      <c r="K69" s="414">
        <f>SUM(D69+G69+I69)</f>
        <v>0</v>
      </c>
      <c r="L69" s="414">
        <f>SUM(J69:K69)</f>
        <v>7674</v>
      </c>
      <c r="M69" s="414">
        <v>89911</v>
      </c>
      <c r="N69" s="414">
        <v>272</v>
      </c>
      <c r="O69" s="414">
        <f>SUM(L69:N69)</f>
        <v>97857</v>
      </c>
    </row>
    <row r="70" spans="1:16" s="828" customFormat="1" x14ac:dyDescent="0.25">
      <c r="A70" s="423"/>
      <c r="B70" s="415" t="s">
        <v>418</v>
      </c>
      <c r="C70" s="415">
        <v>5772</v>
      </c>
      <c r="D70" s="415"/>
      <c r="E70" s="415"/>
      <c r="F70" s="415">
        <v>1902</v>
      </c>
      <c r="G70" s="415"/>
      <c r="H70" s="415"/>
      <c r="I70" s="415"/>
      <c r="J70" s="421">
        <f>SUM(C70+E70+F70+H70)</f>
        <v>7674</v>
      </c>
      <c r="K70" s="421">
        <f>SUM(D70+G70+I70)</f>
        <v>0</v>
      </c>
      <c r="L70" s="421">
        <f>SUM(J70:K70)</f>
        <v>7674</v>
      </c>
      <c r="M70" s="421">
        <v>86587</v>
      </c>
      <c r="N70" s="421">
        <v>272</v>
      </c>
      <c r="O70" s="421">
        <f>SUM(L70:N70)</f>
        <v>94533</v>
      </c>
    </row>
    <row r="71" spans="1:16" s="828" customFormat="1" x14ac:dyDescent="0.25">
      <c r="A71" s="423"/>
      <c r="B71" s="415" t="s">
        <v>417</v>
      </c>
      <c r="C71" s="415"/>
      <c r="D71" s="415"/>
      <c r="E71" s="415"/>
      <c r="F71" s="415"/>
      <c r="G71" s="415"/>
      <c r="H71" s="415"/>
      <c r="I71" s="415"/>
      <c r="J71" s="421">
        <f>SUM(C71+E71+F71+H71)</f>
        <v>0</v>
      </c>
      <c r="K71" s="421">
        <f>SUM(D71+G71+I71)</f>
        <v>0</v>
      </c>
      <c r="L71" s="421">
        <f>SUM(J71:K71)</f>
        <v>0</v>
      </c>
      <c r="M71" s="421">
        <v>3324</v>
      </c>
      <c r="N71" s="421"/>
      <c r="O71" s="421">
        <f>SUM(L71:N71)</f>
        <v>3324</v>
      </c>
    </row>
    <row r="72" spans="1:16" s="828" customFormat="1" x14ac:dyDescent="0.25">
      <c r="A72" s="423"/>
      <c r="B72" s="415" t="s">
        <v>139</v>
      </c>
      <c r="C72" s="608"/>
      <c r="D72" s="608"/>
      <c r="E72" s="608"/>
      <c r="F72" s="608"/>
      <c r="G72" s="608"/>
      <c r="H72" s="608"/>
      <c r="I72" s="608"/>
      <c r="J72" s="608"/>
      <c r="K72" s="608"/>
      <c r="L72" s="608"/>
      <c r="M72" s="608"/>
      <c r="N72" s="608"/>
      <c r="O72" s="608"/>
    </row>
    <row r="73" spans="1:16" s="828" customFormat="1" x14ac:dyDescent="0.25">
      <c r="A73" s="422"/>
      <c r="B73" s="609" t="s">
        <v>1034</v>
      </c>
      <c r="C73" s="609"/>
      <c r="D73" s="609"/>
      <c r="E73" s="609"/>
      <c r="F73" s="609"/>
      <c r="G73" s="609"/>
      <c r="H73" s="609"/>
      <c r="I73" s="609"/>
      <c r="J73" s="609">
        <f t="shared" ref="J73:J78" si="29">SUM(C73+E73+F73+H73)</f>
        <v>0</v>
      </c>
      <c r="K73" s="609">
        <f t="shared" ref="K73:K78" si="30">SUM(D73+G73+I73)</f>
        <v>0</v>
      </c>
      <c r="L73" s="609">
        <f t="shared" ref="L73:L78" si="31">SUM(J73:K73)</f>
        <v>0</v>
      </c>
      <c r="M73" s="609">
        <v>47</v>
      </c>
      <c r="N73" s="609"/>
      <c r="O73" s="609">
        <f t="shared" ref="O73:O78" si="32">SUM(L73:N73)</f>
        <v>47</v>
      </c>
    </row>
    <row r="74" spans="1:16" s="828" customFormat="1" x14ac:dyDescent="0.25">
      <c r="A74" s="422"/>
      <c r="B74" s="609" t="s">
        <v>1038</v>
      </c>
      <c r="C74" s="609"/>
      <c r="D74" s="609"/>
      <c r="E74" s="609"/>
      <c r="F74" s="609"/>
      <c r="G74" s="609"/>
      <c r="H74" s="609"/>
      <c r="I74" s="609"/>
      <c r="J74" s="609">
        <f t="shared" si="29"/>
        <v>0</v>
      </c>
      <c r="K74" s="609">
        <f t="shared" si="30"/>
        <v>0</v>
      </c>
      <c r="L74" s="609">
        <f t="shared" si="31"/>
        <v>0</v>
      </c>
      <c r="M74" s="609">
        <v>173</v>
      </c>
      <c r="N74" s="609"/>
      <c r="O74" s="609">
        <f t="shared" si="32"/>
        <v>173</v>
      </c>
    </row>
    <row r="75" spans="1:16" s="828" customFormat="1" ht="31.5" x14ac:dyDescent="0.25">
      <c r="A75" s="423"/>
      <c r="B75" s="608" t="s">
        <v>766</v>
      </c>
      <c r="C75" s="608"/>
      <c r="D75" s="608"/>
      <c r="E75" s="608"/>
      <c r="F75" s="608">
        <v>440</v>
      </c>
      <c r="G75" s="608"/>
      <c r="H75" s="608"/>
      <c r="I75" s="608"/>
      <c r="J75" s="608">
        <f t="shared" si="29"/>
        <v>440</v>
      </c>
      <c r="K75" s="608">
        <f t="shared" si="30"/>
        <v>0</v>
      </c>
      <c r="L75" s="608">
        <f t="shared" si="31"/>
        <v>440</v>
      </c>
      <c r="M75" s="608">
        <v>102</v>
      </c>
      <c r="N75" s="608"/>
      <c r="O75" s="608">
        <f t="shared" si="32"/>
        <v>542</v>
      </c>
    </row>
    <row r="76" spans="1:16" s="828" customFormat="1" ht="31.5" x14ac:dyDescent="0.25">
      <c r="A76" s="423"/>
      <c r="B76" s="608" t="s">
        <v>767</v>
      </c>
      <c r="C76" s="608">
        <v>1</v>
      </c>
      <c r="D76" s="608"/>
      <c r="E76" s="608"/>
      <c r="F76" s="608">
        <v>-1</v>
      </c>
      <c r="G76" s="608"/>
      <c r="H76" s="608"/>
      <c r="I76" s="608"/>
      <c r="J76" s="608">
        <f t="shared" si="29"/>
        <v>0</v>
      </c>
      <c r="K76" s="608">
        <f t="shared" si="30"/>
        <v>0</v>
      </c>
      <c r="L76" s="608">
        <f t="shared" si="31"/>
        <v>0</v>
      </c>
      <c r="M76" s="608"/>
      <c r="N76" s="608"/>
      <c r="O76" s="608">
        <f t="shared" si="32"/>
        <v>0</v>
      </c>
    </row>
    <row r="77" spans="1:16" s="828" customFormat="1" x14ac:dyDescent="0.25">
      <c r="A77" s="423"/>
      <c r="B77" s="415" t="s">
        <v>140</v>
      </c>
      <c r="C77" s="608"/>
      <c r="D77" s="608"/>
      <c r="E77" s="608"/>
      <c r="F77" s="608"/>
      <c r="G77" s="608"/>
      <c r="H77" s="608"/>
      <c r="I77" s="608"/>
      <c r="J77" s="608"/>
      <c r="K77" s="608"/>
      <c r="L77" s="608"/>
      <c r="M77" s="608"/>
      <c r="N77" s="608"/>
      <c r="O77" s="608"/>
    </row>
    <row r="78" spans="1:16" s="828" customFormat="1" ht="16.5" thickBot="1" x14ac:dyDescent="0.3">
      <c r="A78" s="423"/>
      <c r="B78" s="608" t="s">
        <v>1037</v>
      </c>
      <c r="C78" s="608"/>
      <c r="D78" s="608"/>
      <c r="E78" s="608"/>
      <c r="F78" s="608"/>
      <c r="G78" s="608"/>
      <c r="H78" s="608"/>
      <c r="I78" s="608"/>
      <c r="J78" s="608">
        <f t="shared" si="29"/>
        <v>0</v>
      </c>
      <c r="K78" s="608">
        <f t="shared" si="30"/>
        <v>0</v>
      </c>
      <c r="L78" s="608">
        <f t="shared" si="31"/>
        <v>0</v>
      </c>
      <c r="M78" s="608">
        <v>581</v>
      </c>
      <c r="N78" s="608"/>
      <c r="O78" s="608">
        <f t="shared" si="32"/>
        <v>581</v>
      </c>
    </row>
    <row r="79" spans="1:16" ht="17.25" thickTop="1" thickBot="1" x14ac:dyDescent="0.3">
      <c r="A79" s="407"/>
      <c r="B79" s="406" t="s">
        <v>416</v>
      </c>
      <c r="C79" s="406">
        <f>+C69+C73+C78+C74+C75+C76</f>
        <v>5773</v>
      </c>
      <c r="D79" s="406">
        <f t="shared" ref="D79:P79" si="33">+D69+D73+D78+D74+D75+D76</f>
        <v>0</v>
      </c>
      <c r="E79" s="406">
        <f t="shared" si="33"/>
        <v>0</v>
      </c>
      <c r="F79" s="406">
        <f t="shared" si="33"/>
        <v>2341</v>
      </c>
      <c r="G79" s="406">
        <f t="shared" si="33"/>
        <v>0</v>
      </c>
      <c r="H79" s="406">
        <f t="shared" si="33"/>
        <v>0</v>
      </c>
      <c r="I79" s="406">
        <f t="shared" si="33"/>
        <v>0</v>
      </c>
      <c r="J79" s="406">
        <f t="shared" si="33"/>
        <v>8114</v>
      </c>
      <c r="K79" s="406">
        <f t="shared" si="33"/>
        <v>0</v>
      </c>
      <c r="L79" s="406">
        <f t="shared" si="33"/>
        <v>8114</v>
      </c>
      <c r="M79" s="406">
        <f t="shared" si="33"/>
        <v>90814</v>
      </c>
      <c r="N79" s="406">
        <f t="shared" si="33"/>
        <v>272</v>
      </c>
      <c r="O79" s="406">
        <f t="shared" si="33"/>
        <v>99200</v>
      </c>
      <c r="P79" s="406">
        <f t="shared" si="33"/>
        <v>0</v>
      </c>
    </row>
    <row r="80" spans="1:16" ht="17.25" thickTop="1" thickBot="1" x14ac:dyDescent="0.3">
      <c r="A80" s="407"/>
      <c r="B80" s="406" t="s">
        <v>415</v>
      </c>
      <c r="C80" s="406">
        <f t="shared" ref="C80:O80" si="34">+C70+C73+C74+C75+C76</f>
        <v>5773</v>
      </c>
      <c r="D80" s="406">
        <f t="shared" si="34"/>
        <v>0</v>
      </c>
      <c r="E80" s="406">
        <f t="shared" si="34"/>
        <v>0</v>
      </c>
      <c r="F80" s="406">
        <f t="shared" si="34"/>
        <v>2341</v>
      </c>
      <c r="G80" s="406">
        <f t="shared" si="34"/>
        <v>0</v>
      </c>
      <c r="H80" s="406">
        <f t="shared" si="34"/>
        <v>0</v>
      </c>
      <c r="I80" s="406">
        <f t="shared" si="34"/>
        <v>0</v>
      </c>
      <c r="J80" s="406">
        <f t="shared" si="34"/>
        <v>8114</v>
      </c>
      <c r="K80" s="406">
        <f t="shared" si="34"/>
        <v>0</v>
      </c>
      <c r="L80" s="406">
        <f t="shared" si="34"/>
        <v>8114</v>
      </c>
      <c r="M80" s="406">
        <f t="shared" si="34"/>
        <v>86909</v>
      </c>
      <c r="N80" s="406">
        <f t="shared" si="34"/>
        <v>272</v>
      </c>
      <c r="O80" s="406">
        <f t="shared" si="34"/>
        <v>95295</v>
      </c>
    </row>
    <row r="81" spans="1:16" ht="17.25" thickTop="1" thickBot="1" x14ac:dyDescent="0.3">
      <c r="A81" s="407"/>
      <c r="B81" s="406" t="s">
        <v>414</v>
      </c>
      <c r="C81" s="406">
        <f>+C71+C78</f>
        <v>0</v>
      </c>
      <c r="D81" s="406">
        <f t="shared" ref="D81:P81" si="35">+D71+D78</f>
        <v>0</v>
      </c>
      <c r="E81" s="406">
        <f t="shared" si="35"/>
        <v>0</v>
      </c>
      <c r="F81" s="406">
        <f t="shared" si="35"/>
        <v>0</v>
      </c>
      <c r="G81" s="406">
        <f t="shared" si="35"/>
        <v>0</v>
      </c>
      <c r="H81" s="406">
        <f t="shared" si="35"/>
        <v>0</v>
      </c>
      <c r="I81" s="406">
        <f t="shared" si="35"/>
        <v>0</v>
      </c>
      <c r="J81" s="406">
        <f t="shared" si="35"/>
        <v>0</v>
      </c>
      <c r="K81" s="406">
        <f t="shared" si="35"/>
        <v>0</v>
      </c>
      <c r="L81" s="406">
        <f t="shared" si="35"/>
        <v>0</v>
      </c>
      <c r="M81" s="406">
        <f t="shared" si="35"/>
        <v>3905</v>
      </c>
      <c r="N81" s="406">
        <f t="shared" si="35"/>
        <v>0</v>
      </c>
      <c r="O81" s="406">
        <f t="shared" si="35"/>
        <v>3905</v>
      </c>
      <c r="P81" s="406">
        <f t="shared" si="35"/>
        <v>0</v>
      </c>
    </row>
    <row r="82" spans="1:16" ht="16.5" thickTop="1" x14ac:dyDescent="0.25">
      <c r="A82" s="416" t="s">
        <v>158</v>
      </c>
      <c r="B82" s="418" t="s">
        <v>444</v>
      </c>
      <c r="C82" s="418"/>
      <c r="D82" s="418"/>
      <c r="E82" s="418"/>
      <c r="F82" s="418"/>
      <c r="G82" s="418"/>
      <c r="H82" s="418"/>
      <c r="I82" s="418"/>
      <c r="J82" s="418"/>
      <c r="K82" s="418"/>
      <c r="L82" s="418"/>
      <c r="M82" s="418"/>
      <c r="N82" s="418"/>
      <c r="O82" s="418"/>
    </row>
    <row r="83" spans="1:16" x14ac:dyDescent="0.25">
      <c r="A83" s="416"/>
      <c r="B83" s="414" t="s">
        <v>387</v>
      </c>
      <c r="C83" s="414">
        <v>3332</v>
      </c>
      <c r="D83" s="414"/>
      <c r="E83" s="414"/>
      <c r="F83" s="414">
        <v>472</v>
      </c>
      <c r="G83" s="414"/>
      <c r="H83" s="414"/>
      <c r="I83" s="414"/>
      <c r="J83" s="414">
        <f>SUM(C83+E83+F83+H83)</f>
        <v>3804</v>
      </c>
      <c r="K83" s="414">
        <f>SUM(D83+G83+I83)</f>
        <v>0</v>
      </c>
      <c r="L83" s="414">
        <f>SUM(J83:K83)</f>
        <v>3804</v>
      </c>
      <c r="M83" s="414">
        <v>52551</v>
      </c>
      <c r="N83" s="414">
        <v>217</v>
      </c>
      <c r="O83" s="414">
        <f>SUM(L83:N83)</f>
        <v>56572</v>
      </c>
    </row>
    <row r="84" spans="1:16" s="828" customFormat="1" x14ac:dyDescent="0.25">
      <c r="A84" s="423"/>
      <c r="B84" s="415" t="s">
        <v>418</v>
      </c>
      <c r="C84" s="415">
        <v>3332</v>
      </c>
      <c r="D84" s="415"/>
      <c r="E84" s="415"/>
      <c r="F84" s="415">
        <v>472</v>
      </c>
      <c r="G84" s="415"/>
      <c r="H84" s="415"/>
      <c r="I84" s="415"/>
      <c r="J84" s="421">
        <f>SUM(C84+E84+F84+H84)</f>
        <v>3804</v>
      </c>
      <c r="K84" s="421">
        <f>SUM(D84+G84+I84)</f>
        <v>0</v>
      </c>
      <c r="L84" s="421">
        <f>SUM(J84:K84)</f>
        <v>3804</v>
      </c>
      <c r="M84" s="421">
        <v>50811</v>
      </c>
      <c r="N84" s="421">
        <v>217</v>
      </c>
      <c r="O84" s="421">
        <f>SUM(L84:N84)</f>
        <v>54832</v>
      </c>
    </row>
    <row r="85" spans="1:16" s="828" customFormat="1" x14ac:dyDescent="0.25">
      <c r="A85" s="423"/>
      <c r="B85" s="415" t="s">
        <v>417</v>
      </c>
      <c r="C85" s="415"/>
      <c r="D85" s="415"/>
      <c r="E85" s="415"/>
      <c r="F85" s="415"/>
      <c r="G85" s="415"/>
      <c r="H85" s="415"/>
      <c r="I85" s="415"/>
      <c r="J85" s="421">
        <f>SUM(C85+E85+F85+H85)</f>
        <v>0</v>
      </c>
      <c r="K85" s="421">
        <f>SUM(D85+G85+I85)</f>
        <v>0</v>
      </c>
      <c r="L85" s="421">
        <f>SUM(J85:K85)</f>
        <v>0</v>
      </c>
      <c r="M85" s="421">
        <v>1740</v>
      </c>
      <c r="N85" s="421"/>
      <c r="O85" s="421">
        <f>SUM(L85:N85)</f>
        <v>1740</v>
      </c>
    </row>
    <row r="86" spans="1:16" s="828" customFormat="1" x14ac:dyDescent="0.25">
      <c r="A86" s="423"/>
      <c r="B86" s="415" t="s">
        <v>139</v>
      </c>
      <c r="C86" s="608"/>
      <c r="D86" s="608"/>
      <c r="E86" s="608"/>
      <c r="F86" s="608"/>
      <c r="G86" s="608"/>
      <c r="H86" s="608"/>
      <c r="I86" s="608"/>
      <c r="J86" s="608"/>
      <c r="K86" s="608"/>
      <c r="L86" s="608"/>
      <c r="M86" s="608"/>
      <c r="N86" s="608"/>
      <c r="O86" s="608"/>
    </row>
    <row r="87" spans="1:16" s="828" customFormat="1" x14ac:dyDescent="0.25">
      <c r="A87" s="423"/>
      <c r="B87" s="608" t="s">
        <v>1034</v>
      </c>
      <c r="C87" s="608"/>
      <c r="D87" s="608"/>
      <c r="E87" s="608"/>
      <c r="F87" s="608"/>
      <c r="G87" s="608"/>
      <c r="H87" s="608"/>
      <c r="I87" s="608"/>
      <c r="J87" s="608">
        <f t="shared" ref="J87:J92" si="36">SUM(C87+E87+F87+H87)</f>
        <v>0</v>
      </c>
      <c r="K87" s="608">
        <f t="shared" ref="K87:K92" si="37">SUM(D87+G87+I87)</f>
        <v>0</v>
      </c>
      <c r="L87" s="608">
        <f t="shared" ref="L87:L92" si="38">SUM(J87:K87)</f>
        <v>0</v>
      </c>
      <c r="M87" s="608">
        <v>23</v>
      </c>
      <c r="N87" s="608"/>
      <c r="O87" s="608">
        <f t="shared" ref="O87:O92" si="39">SUM(L87:N87)</f>
        <v>23</v>
      </c>
    </row>
    <row r="88" spans="1:16" s="828" customFormat="1" x14ac:dyDescent="0.25">
      <c r="A88" s="423"/>
      <c r="B88" s="608" t="s">
        <v>1038</v>
      </c>
      <c r="C88" s="608"/>
      <c r="D88" s="608"/>
      <c r="E88" s="608"/>
      <c r="F88" s="608"/>
      <c r="G88" s="608"/>
      <c r="H88" s="608"/>
      <c r="I88" s="608"/>
      <c r="J88" s="608">
        <f t="shared" si="36"/>
        <v>0</v>
      </c>
      <c r="K88" s="608">
        <f t="shared" si="37"/>
        <v>0</v>
      </c>
      <c r="L88" s="608">
        <f t="shared" si="38"/>
        <v>0</v>
      </c>
      <c r="M88" s="608">
        <v>98</v>
      </c>
      <c r="N88" s="608"/>
      <c r="O88" s="608">
        <f t="shared" si="39"/>
        <v>98</v>
      </c>
    </row>
    <row r="89" spans="1:16" s="828" customFormat="1" ht="31.5" x14ac:dyDescent="0.25">
      <c r="A89" s="423"/>
      <c r="B89" s="608" t="s">
        <v>766</v>
      </c>
      <c r="C89" s="608"/>
      <c r="D89" s="608"/>
      <c r="E89" s="608"/>
      <c r="F89" s="608">
        <v>348</v>
      </c>
      <c r="G89" s="608"/>
      <c r="H89" s="608"/>
      <c r="I89" s="608"/>
      <c r="J89" s="608">
        <f t="shared" si="36"/>
        <v>348</v>
      </c>
      <c r="K89" s="608">
        <f t="shared" si="37"/>
        <v>0</v>
      </c>
      <c r="L89" s="608">
        <f t="shared" si="38"/>
        <v>348</v>
      </c>
      <c r="M89" s="608">
        <v>243</v>
      </c>
      <c r="N89" s="608"/>
      <c r="O89" s="608">
        <f t="shared" si="39"/>
        <v>591</v>
      </c>
    </row>
    <row r="90" spans="1:16" s="828" customFormat="1" ht="31.5" x14ac:dyDescent="0.25">
      <c r="A90" s="423"/>
      <c r="B90" s="608" t="s">
        <v>767</v>
      </c>
      <c r="C90" s="608">
        <v>-1</v>
      </c>
      <c r="D90" s="608"/>
      <c r="E90" s="608"/>
      <c r="F90" s="608">
        <v>-1</v>
      </c>
      <c r="G90" s="608"/>
      <c r="H90" s="608"/>
      <c r="I90" s="608"/>
      <c r="J90" s="608">
        <f t="shared" si="36"/>
        <v>-2</v>
      </c>
      <c r="K90" s="608">
        <f t="shared" si="37"/>
        <v>0</v>
      </c>
      <c r="L90" s="608">
        <f t="shared" si="38"/>
        <v>-2</v>
      </c>
      <c r="M90" s="608"/>
      <c r="N90" s="608">
        <v>2</v>
      </c>
      <c r="O90" s="608">
        <f t="shared" si="39"/>
        <v>0</v>
      </c>
    </row>
    <row r="91" spans="1:16" s="828" customFormat="1" x14ac:dyDescent="0.25">
      <c r="A91" s="423"/>
      <c r="B91" s="415" t="s">
        <v>573</v>
      </c>
      <c r="C91" s="608"/>
      <c r="D91" s="608"/>
      <c r="E91" s="608"/>
      <c r="F91" s="608"/>
      <c r="G91" s="608"/>
      <c r="H91" s="608"/>
      <c r="I91" s="608"/>
      <c r="J91" s="608"/>
      <c r="K91" s="608"/>
      <c r="L91" s="608"/>
      <c r="M91" s="608"/>
      <c r="N91" s="608"/>
      <c r="O91" s="608"/>
    </row>
    <row r="92" spans="1:16" s="828" customFormat="1" ht="16.5" thickBot="1" x14ac:dyDescent="0.3">
      <c r="A92" s="423"/>
      <c r="B92" s="608" t="s">
        <v>1037</v>
      </c>
      <c r="C92" s="608"/>
      <c r="D92" s="608"/>
      <c r="E92" s="608"/>
      <c r="F92" s="608"/>
      <c r="G92" s="608"/>
      <c r="H92" s="608"/>
      <c r="I92" s="608"/>
      <c r="J92" s="608">
        <f t="shared" si="36"/>
        <v>0</v>
      </c>
      <c r="K92" s="608">
        <f t="shared" si="37"/>
        <v>0</v>
      </c>
      <c r="L92" s="608">
        <f t="shared" si="38"/>
        <v>0</v>
      </c>
      <c r="M92" s="608">
        <v>313</v>
      </c>
      <c r="N92" s="608"/>
      <c r="O92" s="608">
        <f t="shared" si="39"/>
        <v>313</v>
      </c>
    </row>
    <row r="93" spans="1:16" ht="17.25" thickTop="1" thickBot="1" x14ac:dyDescent="0.3">
      <c r="A93" s="407"/>
      <c r="B93" s="406" t="s">
        <v>416</v>
      </c>
      <c r="C93" s="406">
        <f>+C83+C87+C92+C88+C89+C90</f>
        <v>3331</v>
      </c>
      <c r="D93" s="406">
        <f t="shared" ref="D93:O93" si="40">+D83+D87+D92+D88+D89+D90</f>
        <v>0</v>
      </c>
      <c r="E93" s="406">
        <f t="shared" si="40"/>
        <v>0</v>
      </c>
      <c r="F93" s="406">
        <f t="shared" si="40"/>
        <v>819</v>
      </c>
      <c r="G93" s="406">
        <f t="shared" si="40"/>
        <v>0</v>
      </c>
      <c r="H93" s="406">
        <f t="shared" si="40"/>
        <v>0</v>
      </c>
      <c r="I93" s="406">
        <f t="shared" si="40"/>
        <v>0</v>
      </c>
      <c r="J93" s="406">
        <f t="shared" si="40"/>
        <v>4150</v>
      </c>
      <c r="K93" s="406">
        <f t="shared" si="40"/>
        <v>0</v>
      </c>
      <c r="L93" s="406">
        <f t="shared" si="40"/>
        <v>4150</v>
      </c>
      <c r="M93" s="406">
        <f t="shared" si="40"/>
        <v>53228</v>
      </c>
      <c r="N93" s="406">
        <f t="shared" si="40"/>
        <v>219</v>
      </c>
      <c r="O93" s="406">
        <f t="shared" si="40"/>
        <v>57597</v>
      </c>
      <c r="P93" s="827">
        <f>O94+O95</f>
        <v>57597</v>
      </c>
    </row>
    <row r="94" spans="1:16" ht="17.25" thickTop="1" thickBot="1" x14ac:dyDescent="0.3">
      <c r="A94" s="407"/>
      <c r="B94" s="406" t="s">
        <v>415</v>
      </c>
      <c r="C94" s="406">
        <f t="shared" ref="C94:O94" si="41">+C84+C87+C88+C89+C90</f>
        <v>3331</v>
      </c>
      <c r="D94" s="406">
        <f t="shared" si="41"/>
        <v>0</v>
      </c>
      <c r="E94" s="406">
        <f t="shared" si="41"/>
        <v>0</v>
      </c>
      <c r="F94" s="406">
        <f t="shared" si="41"/>
        <v>819</v>
      </c>
      <c r="G94" s="406">
        <f t="shared" si="41"/>
        <v>0</v>
      </c>
      <c r="H94" s="406">
        <f t="shared" si="41"/>
        <v>0</v>
      </c>
      <c r="I94" s="406">
        <f t="shared" si="41"/>
        <v>0</v>
      </c>
      <c r="J94" s="406">
        <f t="shared" si="41"/>
        <v>4150</v>
      </c>
      <c r="K94" s="406">
        <f t="shared" si="41"/>
        <v>0</v>
      </c>
      <c r="L94" s="406">
        <f t="shared" si="41"/>
        <v>4150</v>
      </c>
      <c r="M94" s="406">
        <f t="shared" si="41"/>
        <v>51175</v>
      </c>
      <c r="N94" s="406">
        <f t="shared" si="41"/>
        <v>219</v>
      </c>
      <c r="O94" s="406">
        <f t="shared" si="41"/>
        <v>55544</v>
      </c>
    </row>
    <row r="95" spans="1:16" ht="17.25" thickTop="1" thickBot="1" x14ac:dyDescent="0.3">
      <c r="A95" s="407"/>
      <c r="B95" s="406" t="s">
        <v>414</v>
      </c>
      <c r="C95" s="406">
        <f>+C85+C92</f>
        <v>0</v>
      </c>
      <c r="D95" s="406">
        <f t="shared" ref="D95:O95" si="42">+D85+D92</f>
        <v>0</v>
      </c>
      <c r="E95" s="406">
        <f t="shared" si="42"/>
        <v>0</v>
      </c>
      <c r="F95" s="406">
        <f t="shared" si="42"/>
        <v>0</v>
      </c>
      <c r="G95" s="406">
        <f t="shared" si="42"/>
        <v>0</v>
      </c>
      <c r="H95" s="406">
        <f t="shared" si="42"/>
        <v>0</v>
      </c>
      <c r="I95" s="406">
        <f t="shared" si="42"/>
        <v>0</v>
      </c>
      <c r="J95" s="406">
        <f t="shared" si="42"/>
        <v>0</v>
      </c>
      <c r="K95" s="406">
        <f t="shared" si="42"/>
        <v>0</v>
      </c>
      <c r="L95" s="406">
        <f t="shared" si="42"/>
        <v>0</v>
      </c>
      <c r="M95" s="406">
        <f t="shared" si="42"/>
        <v>2053</v>
      </c>
      <c r="N95" s="406">
        <f t="shared" si="42"/>
        <v>0</v>
      </c>
      <c r="O95" s="406">
        <f t="shared" si="42"/>
        <v>2053</v>
      </c>
    </row>
    <row r="96" spans="1:16" ht="16.5" thickTop="1" x14ac:dyDescent="0.25">
      <c r="A96" s="416" t="s">
        <v>159</v>
      </c>
      <c r="B96" s="418" t="s">
        <v>808</v>
      </c>
      <c r="C96" s="418"/>
      <c r="D96" s="418"/>
      <c r="E96" s="418"/>
      <c r="F96" s="418"/>
      <c r="G96" s="418"/>
      <c r="H96" s="418"/>
      <c r="I96" s="418"/>
      <c r="J96" s="418"/>
      <c r="K96" s="418"/>
      <c r="L96" s="418"/>
      <c r="M96" s="418"/>
      <c r="N96" s="418"/>
      <c r="O96" s="418"/>
    </row>
    <row r="97" spans="1:16" x14ac:dyDescent="0.25">
      <c r="A97" s="416"/>
      <c r="B97" s="414" t="s">
        <v>387</v>
      </c>
      <c r="C97" s="414">
        <v>8631</v>
      </c>
      <c r="D97" s="414"/>
      <c r="E97" s="414"/>
      <c r="F97" s="414">
        <v>1312</v>
      </c>
      <c r="G97" s="414"/>
      <c r="H97" s="414"/>
      <c r="I97" s="414"/>
      <c r="J97" s="414">
        <f>SUM(C97+E97+F97+H97)</f>
        <v>9943</v>
      </c>
      <c r="K97" s="414">
        <f>SUM(D97+G97+I97)</f>
        <v>0</v>
      </c>
      <c r="L97" s="414">
        <f>SUM(J97:K97)</f>
        <v>9943</v>
      </c>
      <c r="M97" s="414">
        <v>122092</v>
      </c>
      <c r="N97" s="414">
        <v>130</v>
      </c>
      <c r="O97" s="414">
        <f>SUM(L97:N97)</f>
        <v>132165</v>
      </c>
    </row>
    <row r="98" spans="1:16" s="828" customFormat="1" x14ac:dyDescent="0.25">
      <c r="A98" s="423"/>
      <c r="B98" s="415" t="s">
        <v>418</v>
      </c>
      <c r="C98" s="415">
        <v>8631</v>
      </c>
      <c r="D98" s="415"/>
      <c r="E98" s="415"/>
      <c r="F98" s="415">
        <v>1312</v>
      </c>
      <c r="G98" s="415"/>
      <c r="H98" s="415"/>
      <c r="I98" s="415"/>
      <c r="J98" s="421">
        <f>SUM(C98+E98+F98+H98)</f>
        <v>9943</v>
      </c>
      <c r="K98" s="421">
        <f>SUM(D98+G98+I98)</f>
        <v>0</v>
      </c>
      <c r="L98" s="421">
        <f>SUM(J98:K98)</f>
        <v>9943</v>
      </c>
      <c r="M98" s="421">
        <v>118515</v>
      </c>
      <c r="N98" s="421">
        <v>130</v>
      </c>
      <c r="O98" s="421">
        <f>SUM(L98:N98)</f>
        <v>128588</v>
      </c>
    </row>
    <row r="99" spans="1:16" s="828" customFormat="1" x14ac:dyDescent="0.25">
      <c r="A99" s="423"/>
      <c r="B99" s="415" t="s">
        <v>417</v>
      </c>
      <c r="C99" s="415"/>
      <c r="D99" s="415"/>
      <c r="E99" s="415"/>
      <c r="F99" s="415"/>
      <c r="G99" s="415"/>
      <c r="H99" s="415"/>
      <c r="I99" s="415"/>
      <c r="J99" s="421">
        <f>SUM(C99+E99+F99+H99)</f>
        <v>0</v>
      </c>
      <c r="K99" s="421">
        <f>SUM(D99+G99+I99)</f>
        <v>0</v>
      </c>
      <c r="L99" s="421">
        <f>SUM(J99:K99)</f>
        <v>0</v>
      </c>
      <c r="M99" s="421">
        <v>3577</v>
      </c>
      <c r="N99" s="421"/>
      <c r="O99" s="421">
        <f>SUM(L99:N99)</f>
        <v>3577</v>
      </c>
    </row>
    <row r="100" spans="1:16" s="828" customFormat="1" x14ac:dyDescent="0.25">
      <c r="A100" s="423"/>
      <c r="B100" s="415" t="s">
        <v>139</v>
      </c>
      <c r="C100" s="608"/>
      <c r="D100" s="608"/>
      <c r="E100" s="608"/>
      <c r="F100" s="608"/>
      <c r="G100" s="608"/>
      <c r="H100" s="608"/>
      <c r="I100" s="608"/>
      <c r="J100" s="608"/>
      <c r="K100" s="608"/>
      <c r="L100" s="608"/>
      <c r="M100" s="608"/>
      <c r="N100" s="608"/>
      <c r="O100" s="608"/>
    </row>
    <row r="101" spans="1:16" s="828" customFormat="1" x14ac:dyDescent="0.25">
      <c r="A101" s="423"/>
      <c r="B101" s="608" t="s">
        <v>1034</v>
      </c>
      <c r="C101" s="608"/>
      <c r="D101" s="608"/>
      <c r="E101" s="608"/>
      <c r="F101" s="608"/>
      <c r="G101" s="608"/>
      <c r="H101" s="608"/>
      <c r="I101" s="608"/>
      <c r="J101" s="608">
        <f t="shared" ref="J101:J105" si="43">SUM(C101+E101+F101+H101)</f>
        <v>0</v>
      </c>
      <c r="K101" s="608">
        <f t="shared" ref="K101:K105" si="44">SUM(D101+G101+I101)</f>
        <v>0</v>
      </c>
      <c r="L101" s="608">
        <f t="shared" ref="L101:L105" si="45">SUM(J101:K101)</f>
        <v>0</v>
      </c>
      <c r="M101" s="608">
        <v>158</v>
      </c>
      <c r="N101" s="608"/>
      <c r="O101" s="608">
        <f t="shared" ref="O101:O105" si="46">SUM(L101:N101)</f>
        <v>158</v>
      </c>
    </row>
    <row r="102" spans="1:16" s="828" customFormat="1" x14ac:dyDescent="0.25">
      <c r="A102" s="423"/>
      <c r="B102" s="608" t="s">
        <v>1038</v>
      </c>
      <c r="C102" s="608"/>
      <c r="D102" s="608"/>
      <c r="E102" s="608"/>
      <c r="F102" s="608"/>
      <c r="G102" s="608"/>
      <c r="H102" s="608"/>
      <c r="I102" s="608"/>
      <c r="J102" s="608">
        <f t="shared" si="43"/>
        <v>0</v>
      </c>
      <c r="K102" s="608">
        <f t="shared" si="44"/>
        <v>0</v>
      </c>
      <c r="L102" s="608">
        <f t="shared" si="45"/>
        <v>0</v>
      </c>
      <c r="M102" s="608">
        <v>160</v>
      </c>
      <c r="N102" s="608"/>
      <c r="O102" s="608">
        <f t="shared" si="46"/>
        <v>160</v>
      </c>
    </row>
    <row r="103" spans="1:16" s="828" customFormat="1" ht="31.5" x14ac:dyDescent="0.25">
      <c r="A103" s="423"/>
      <c r="B103" s="608" t="s">
        <v>766</v>
      </c>
      <c r="C103" s="608"/>
      <c r="D103" s="608"/>
      <c r="E103" s="608"/>
      <c r="F103" s="608">
        <v>2067</v>
      </c>
      <c r="G103" s="608"/>
      <c r="H103" s="608"/>
      <c r="I103" s="608"/>
      <c r="J103" s="608">
        <f t="shared" si="43"/>
        <v>2067</v>
      </c>
      <c r="K103" s="608">
        <f t="shared" si="44"/>
        <v>0</v>
      </c>
      <c r="L103" s="608">
        <f t="shared" si="45"/>
        <v>2067</v>
      </c>
      <c r="M103" s="608">
        <v>102</v>
      </c>
      <c r="N103" s="608"/>
      <c r="O103" s="608">
        <f t="shared" si="46"/>
        <v>2169</v>
      </c>
    </row>
    <row r="104" spans="1:16" s="828" customFormat="1" x14ac:dyDescent="0.25">
      <c r="A104" s="423"/>
      <c r="B104" s="415" t="s">
        <v>140</v>
      </c>
      <c r="C104" s="608"/>
      <c r="D104" s="608"/>
      <c r="E104" s="608"/>
      <c r="F104" s="608"/>
      <c r="G104" s="608"/>
      <c r="H104" s="608"/>
      <c r="I104" s="608"/>
      <c r="J104" s="608"/>
      <c r="K104" s="608"/>
      <c r="L104" s="608"/>
      <c r="M104" s="608"/>
      <c r="N104" s="608"/>
      <c r="O104" s="608"/>
    </row>
    <row r="105" spans="1:16" s="828" customFormat="1" ht="16.5" thickBot="1" x14ac:dyDescent="0.3">
      <c r="A105" s="423"/>
      <c r="B105" s="608" t="s">
        <v>1037</v>
      </c>
      <c r="C105" s="608"/>
      <c r="D105" s="608"/>
      <c r="E105" s="608"/>
      <c r="F105" s="608"/>
      <c r="G105" s="608"/>
      <c r="H105" s="608"/>
      <c r="I105" s="608"/>
      <c r="J105" s="608">
        <f t="shared" si="43"/>
        <v>0</v>
      </c>
      <c r="K105" s="608">
        <f t="shared" si="44"/>
        <v>0</v>
      </c>
      <c r="L105" s="608">
        <f t="shared" si="45"/>
        <v>0</v>
      </c>
      <c r="M105" s="608">
        <v>667</v>
      </c>
      <c r="N105" s="608"/>
      <c r="O105" s="608">
        <f t="shared" si="46"/>
        <v>667</v>
      </c>
    </row>
    <row r="106" spans="1:16" ht="17.25" thickTop="1" thickBot="1" x14ac:dyDescent="0.3">
      <c r="A106" s="407"/>
      <c r="B106" s="406" t="s">
        <v>416</v>
      </c>
      <c r="C106" s="406">
        <f>+C97+C101+C105+C102+C103</f>
        <v>8631</v>
      </c>
      <c r="D106" s="406">
        <f t="shared" ref="D106:P106" si="47">+D97+D101+D105+D102+D103</f>
        <v>0</v>
      </c>
      <c r="E106" s="406">
        <f t="shared" si="47"/>
        <v>0</v>
      </c>
      <c r="F106" s="406">
        <f t="shared" si="47"/>
        <v>3379</v>
      </c>
      <c r="G106" s="406">
        <f t="shared" si="47"/>
        <v>0</v>
      </c>
      <c r="H106" s="406">
        <f t="shared" si="47"/>
        <v>0</v>
      </c>
      <c r="I106" s="406">
        <f t="shared" si="47"/>
        <v>0</v>
      </c>
      <c r="J106" s="406">
        <f t="shared" si="47"/>
        <v>12010</v>
      </c>
      <c r="K106" s="406">
        <f t="shared" si="47"/>
        <v>0</v>
      </c>
      <c r="L106" s="406">
        <f t="shared" si="47"/>
        <v>12010</v>
      </c>
      <c r="M106" s="406">
        <f t="shared" si="47"/>
        <v>123179</v>
      </c>
      <c r="N106" s="406">
        <f t="shared" si="47"/>
        <v>130</v>
      </c>
      <c r="O106" s="406">
        <f t="shared" si="47"/>
        <v>135319</v>
      </c>
      <c r="P106" s="406">
        <f t="shared" si="47"/>
        <v>0</v>
      </c>
    </row>
    <row r="107" spans="1:16" ht="17.25" thickTop="1" thickBot="1" x14ac:dyDescent="0.3">
      <c r="A107" s="407"/>
      <c r="B107" s="406" t="s">
        <v>415</v>
      </c>
      <c r="C107" s="406">
        <f>+C98+C101+C102+C103</f>
        <v>8631</v>
      </c>
      <c r="D107" s="406">
        <f t="shared" ref="D107:P107" si="48">+D98+D101+D102+D103</f>
        <v>0</v>
      </c>
      <c r="E107" s="406">
        <f t="shared" si="48"/>
        <v>0</v>
      </c>
      <c r="F107" s="406">
        <f t="shared" si="48"/>
        <v>3379</v>
      </c>
      <c r="G107" s="406">
        <f t="shared" si="48"/>
        <v>0</v>
      </c>
      <c r="H107" s="406">
        <f t="shared" si="48"/>
        <v>0</v>
      </c>
      <c r="I107" s="406">
        <f t="shared" si="48"/>
        <v>0</v>
      </c>
      <c r="J107" s="406">
        <f t="shared" si="48"/>
        <v>12010</v>
      </c>
      <c r="K107" s="406">
        <f t="shared" si="48"/>
        <v>0</v>
      </c>
      <c r="L107" s="406">
        <f t="shared" si="48"/>
        <v>12010</v>
      </c>
      <c r="M107" s="406">
        <f t="shared" si="48"/>
        <v>118935</v>
      </c>
      <c r="N107" s="406">
        <f t="shared" si="48"/>
        <v>130</v>
      </c>
      <c r="O107" s="406">
        <f t="shared" si="48"/>
        <v>131075</v>
      </c>
      <c r="P107" s="406">
        <f t="shared" si="48"/>
        <v>0</v>
      </c>
    </row>
    <row r="108" spans="1:16" ht="17.25" thickTop="1" thickBot="1" x14ac:dyDescent="0.3">
      <c r="A108" s="407"/>
      <c r="B108" s="406" t="s">
        <v>414</v>
      </c>
      <c r="C108" s="406">
        <f>+C99+C105</f>
        <v>0</v>
      </c>
      <c r="D108" s="406">
        <f t="shared" ref="D108:O108" si="49">+D99+D105</f>
        <v>0</v>
      </c>
      <c r="E108" s="406">
        <f t="shared" si="49"/>
        <v>0</v>
      </c>
      <c r="F108" s="406">
        <f t="shared" si="49"/>
        <v>0</v>
      </c>
      <c r="G108" s="406">
        <f t="shared" si="49"/>
        <v>0</v>
      </c>
      <c r="H108" s="406">
        <f t="shared" si="49"/>
        <v>0</v>
      </c>
      <c r="I108" s="406">
        <f t="shared" si="49"/>
        <v>0</v>
      </c>
      <c r="J108" s="406">
        <f t="shared" si="49"/>
        <v>0</v>
      </c>
      <c r="K108" s="406">
        <f t="shared" si="49"/>
        <v>0</v>
      </c>
      <c r="L108" s="406">
        <f t="shared" si="49"/>
        <v>0</v>
      </c>
      <c r="M108" s="406">
        <f t="shared" si="49"/>
        <v>4244</v>
      </c>
      <c r="N108" s="406">
        <f t="shared" si="49"/>
        <v>0</v>
      </c>
      <c r="O108" s="406">
        <f t="shared" si="49"/>
        <v>4244</v>
      </c>
    </row>
    <row r="109" spans="1:16" ht="16.5" thickTop="1" x14ac:dyDescent="0.25">
      <c r="A109" s="416" t="s">
        <v>160</v>
      </c>
      <c r="B109" s="418" t="s">
        <v>809</v>
      </c>
      <c r="C109" s="418"/>
      <c r="D109" s="418"/>
      <c r="E109" s="418"/>
      <c r="F109" s="418"/>
      <c r="G109" s="418"/>
      <c r="H109" s="418"/>
      <c r="I109" s="418"/>
      <c r="J109" s="418"/>
      <c r="K109" s="418"/>
      <c r="L109" s="418"/>
      <c r="M109" s="418"/>
      <c r="N109" s="418"/>
      <c r="O109" s="418"/>
    </row>
    <row r="110" spans="1:16" x14ac:dyDescent="0.25">
      <c r="A110" s="416"/>
      <c r="B110" s="414" t="s">
        <v>387</v>
      </c>
      <c r="C110" s="414">
        <v>5758</v>
      </c>
      <c r="D110" s="414"/>
      <c r="E110" s="414"/>
      <c r="F110" s="414">
        <v>9749</v>
      </c>
      <c r="G110" s="414"/>
      <c r="H110" s="414"/>
      <c r="I110" s="414"/>
      <c r="J110" s="414">
        <f>SUM(C110+E110+F110+H110)</f>
        <v>15507</v>
      </c>
      <c r="K110" s="414">
        <f>SUM(D110+G110+I110)</f>
        <v>0</v>
      </c>
      <c r="L110" s="414">
        <f>SUM(J110:K110)</f>
        <v>15507</v>
      </c>
      <c r="M110" s="414">
        <v>104930</v>
      </c>
      <c r="N110" s="414">
        <v>1010</v>
      </c>
      <c r="O110" s="414">
        <f>SUM(L110:N110)</f>
        <v>121447</v>
      </c>
    </row>
    <row r="111" spans="1:16" s="828" customFormat="1" x14ac:dyDescent="0.25">
      <c r="A111" s="422"/>
      <c r="B111" s="419" t="s">
        <v>418</v>
      </c>
      <c r="C111" s="419">
        <v>5758</v>
      </c>
      <c r="D111" s="419"/>
      <c r="E111" s="419"/>
      <c r="F111" s="419">
        <v>9749</v>
      </c>
      <c r="G111" s="419"/>
      <c r="H111" s="419"/>
      <c r="I111" s="419"/>
      <c r="J111" s="435">
        <f>SUM(C111+E111+F111+H111)</f>
        <v>15507</v>
      </c>
      <c r="K111" s="435">
        <f>SUM(D111+G111+I111)</f>
        <v>0</v>
      </c>
      <c r="L111" s="435">
        <f>SUM(J111:K111)</f>
        <v>15507</v>
      </c>
      <c r="M111" s="435">
        <v>101234</v>
      </c>
      <c r="N111" s="435">
        <v>1010</v>
      </c>
      <c r="O111" s="435">
        <f>SUM(L111:N111)</f>
        <v>117751</v>
      </c>
    </row>
    <row r="112" spans="1:16" s="828" customFormat="1" x14ac:dyDescent="0.25">
      <c r="A112" s="422"/>
      <c r="B112" s="419" t="s">
        <v>417</v>
      </c>
      <c r="C112" s="419"/>
      <c r="D112" s="419"/>
      <c r="E112" s="419"/>
      <c r="F112" s="419"/>
      <c r="G112" s="419"/>
      <c r="H112" s="419"/>
      <c r="I112" s="419"/>
      <c r="J112" s="435">
        <f>SUM(C112+E112+F112+H112)</f>
        <v>0</v>
      </c>
      <c r="K112" s="435">
        <f>SUM(D112+G112+I112)</f>
        <v>0</v>
      </c>
      <c r="L112" s="435">
        <f>SUM(J112:K112)</f>
        <v>0</v>
      </c>
      <c r="M112" s="435">
        <v>3696</v>
      </c>
      <c r="N112" s="435"/>
      <c r="O112" s="435">
        <f>SUM(L112:N112)</f>
        <v>3696</v>
      </c>
    </row>
    <row r="113" spans="1:16" s="828" customFormat="1" x14ac:dyDescent="0.25">
      <c r="A113" s="422"/>
      <c r="B113" s="419" t="s">
        <v>139</v>
      </c>
      <c r="C113" s="609"/>
      <c r="D113" s="609"/>
      <c r="E113" s="609"/>
      <c r="F113" s="609"/>
      <c r="G113" s="609"/>
      <c r="H113" s="609"/>
      <c r="I113" s="609"/>
      <c r="J113" s="609"/>
      <c r="K113" s="609"/>
      <c r="L113" s="609"/>
      <c r="M113" s="609"/>
      <c r="N113" s="609"/>
      <c r="O113" s="609"/>
    </row>
    <row r="114" spans="1:16" s="828" customFormat="1" x14ac:dyDescent="0.25">
      <c r="A114" s="422"/>
      <c r="B114" s="609" t="s">
        <v>1034</v>
      </c>
      <c r="C114" s="609"/>
      <c r="D114" s="609"/>
      <c r="E114" s="609"/>
      <c r="F114" s="609"/>
      <c r="G114" s="609"/>
      <c r="H114" s="609"/>
      <c r="I114" s="609"/>
      <c r="J114" s="609">
        <f t="shared" ref="J114:J119" si="50">SUM(C114+E114+F114+H114)</f>
        <v>0</v>
      </c>
      <c r="K114" s="609">
        <f t="shared" ref="K114:K119" si="51">SUM(D114+G114+I114)</f>
        <v>0</v>
      </c>
      <c r="L114" s="609">
        <f t="shared" ref="L114:L119" si="52">SUM(J114:K114)</f>
        <v>0</v>
      </c>
      <c r="M114" s="609">
        <v>33</v>
      </c>
      <c r="N114" s="609"/>
      <c r="O114" s="609">
        <f t="shared" ref="O114:O119" si="53">SUM(L114:N114)</f>
        <v>33</v>
      </c>
    </row>
    <row r="115" spans="1:16" s="828" customFormat="1" x14ac:dyDescent="0.25">
      <c r="A115" s="422"/>
      <c r="B115" s="608" t="s">
        <v>1038</v>
      </c>
      <c r="C115" s="609"/>
      <c r="D115" s="609"/>
      <c r="E115" s="609"/>
      <c r="F115" s="609"/>
      <c r="G115" s="609"/>
      <c r="H115" s="609"/>
      <c r="I115" s="609"/>
      <c r="J115" s="609">
        <f t="shared" si="50"/>
        <v>0</v>
      </c>
      <c r="K115" s="609">
        <f t="shared" si="51"/>
        <v>0</v>
      </c>
      <c r="L115" s="609">
        <f t="shared" si="52"/>
        <v>0</v>
      </c>
      <c r="M115" s="609">
        <v>124</v>
      </c>
      <c r="N115" s="609"/>
      <c r="O115" s="609">
        <f t="shared" si="53"/>
        <v>124</v>
      </c>
    </row>
    <row r="116" spans="1:16" s="828" customFormat="1" ht="47.25" x14ac:dyDescent="0.25">
      <c r="A116" s="422"/>
      <c r="B116" s="608" t="s">
        <v>1036</v>
      </c>
      <c r="C116" s="609"/>
      <c r="D116" s="609"/>
      <c r="E116" s="609"/>
      <c r="F116" s="609"/>
      <c r="G116" s="609"/>
      <c r="H116" s="609"/>
      <c r="I116" s="609"/>
      <c r="J116" s="609">
        <f t="shared" si="50"/>
        <v>0</v>
      </c>
      <c r="K116" s="609">
        <f t="shared" si="51"/>
        <v>0</v>
      </c>
      <c r="L116" s="609">
        <f t="shared" si="52"/>
        <v>0</v>
      </c>
      <c r="M116" s="609">
        <v>25</v>
      </c>
      <c r="N116" s="609"/>
      <c r="O116" s="609">
        <f t="shared" si="53"/>
        <v>25</v>
      </c>
    </row>
    <row r="117" spans="1:16" s="828" customFormat="1" ht="31.5" x14ac:dyDescent="0.25">
      <c r="A117" s="422"/>
      <c r="B117" s="608" t="s">
        <v>766</v>
      </c>
      <c r="C117" s="609"/>
      <c r="D117" s="609"/>
      <c r="E117" s="609"/>
      <c r="F117" s="609">
        <v>1112</v>
      </c>
      <c r="G117" s="609"/>
      <c r="H117" s="609"/>
      <c r="I117" s="609"/>
      <c r="J117" s="609">
        <f t="shared" si="50"/>
        <v>1112</v>
      </c>
      <c r="K117" s="609">
        <f t="shared" si="51"/>
        <v>0</v>
      </c>
      <c r="L117" s="609">
        <f t="shared" si="52"/>
        <v>1112</v>
      </c>
      <c r="M117" s="609">
        <v>127</v>
      </c>
      <c r="N117" s="609"/>
      <c r="O117" s="609">
        <f t="shared" si="53"/>
        <v>1239</v>
      </c>
    </row>
    <row r="118" spans="1:16" s="828" customFormat="1" x14ac:dyDescent="0.25">
      <c r="A118" s="422"/>
      <c r="B118" s="419" t="s">
        <v>140</v>
      </c>
      <c r="C118" s="609"/>
      <c r="D118" s="609"/>
      <c r="E118" s="609"/>
      <c r="F118" s="609"/>
      <c r="G118" s="609"/>
      <c r="H118" s="609"/>
      <c r="I118" s="609"/>
      <c r="J118" s="609"/>
      <c r="K118" s="609"/>
      <c r="L118" s="609"/>
      <c r="M118" s="609"/>
      <c r="N118" s="609"/>
      <c r="O118" s="609"/>
    </row>
    <row r="119" spans="1:16" s="828" customFormat="1" ht="16.5" thickBot="1" x14ac:dyDescent="0.3">
      <c r="A119" s="422"/>
      <c r="B119" s="608" t="s">
        <v>1037</v>
      </c>
      <c r="C119" s="609"/>
      <c r="D119" s="609"/>
      <c r="E119" s="609"/>
      <c r="F119" s="609"/>
      <c r="G119" s="609"/>
      <c r="H119" s="609"/>
      <c r="I119" s="609"/>
      <c r="J119" s="609">
        <f t="shared" si="50"/>
        <v>0</v>
      </c>
      <c r="K119" s="609">
        <f t="shared" si="51"/>
        <v>0</v>
      </c>
      <c r="L119" s="609">
        <f t="shared" si="52"/>
        <v>0</v>
      </c>
      <c r="M119" s="609">
        <v>559</v>
      </c>
      <c r="N119" s="609"/>
      <c r="O119" s="609">
        <f t="shared" si="53"/>
        <v>559</v>
      </c>
    </row>
    <row r="120" spans="1:16" ht="17.25" thickTop="1" thickBot="1" x14ac:dyDescent="0.3">
      <c r="A120" s="407"/>
      <c r="B120" s="406" t="s">
        <v>416</v>
      </c>
      <c r="C120" s="406">
        <f>+C110+C114+C119+C115+C116+C117</f>
        <v>5758</v>
      </c>
      <c r="D120" s="406">
        <f t="shared" ref="D120:O120" si="54">+D110+D114+D119+D115+D116+D117</f>
        <v>0</v>
      </c>
      <c r="E120" s="406">
        <f t="shared" si="54"/>
        <v>0</v>
      </c>
      <c r="F120" s="406">
        <f t="shared" si="54"/>
        <v>10861</v>
      </c>
      <c r="G120" s="406">
        <f t="shared" si="54"/>
        <v>0</v>
      </c>
      <c r="H120" s="406">
        <f t="shared" si="54"/>
        <v>0</v>
      </c>
      <c r="I120" s="406">
        <f t="shared" si="54"/>
        <v>0</v>
      </c>
      <c r="J120" s="406">
        <f t="shared" si="54"/>
        <v>16619</v>
      </c>
      <c r="K120" s="406">
        <f t="shared" si="54"/>
        <v>0</v>
      </c>
      <c r="L120" s="406">
        <f t="shared" si="54"/>
        <v>16619</v>
      </c>
      <c r="M120" s="406">
        <f t="shared" si="54"/>
        <v>105798</v>
      </c>
      <c r="N120" s="406">
        <f t="shared" si="54"/>
        <v>1010</v>
      </c>
      <c r="O120" s="406">
        <f t="shared" si="54"/>
        <v>123427</v>
      </c>
      <c r="P120" s="827">
        <f>O121+O122</f>
        <v>123427</v>
      </c>
    </row>
    <row r="121" spans="1:16" ht="17.25" thickTop="1" thickBot="1" x14ac:dyDescent="0.3">
      <c r="A121" s="407"/>
      <c r="B121" s="406" t="s">
        <v>415</v>
      </c>
      <c r="C121" s="406">
        <f t="shared" ref="C121:O121" si="55">+C111+C114+C115+C116+C117</f>
        <v>5758</v>
      </c>
      <c r="D121" s="406">
        <f t="shared" si="55"/>
        <v>0</v>
      </c>
      <c r="E121" s="406">
        <f t="shared" si="55"/>
        <v>0</v>
      </c>
      <c r="F121" s="406">
        <f t="shared" si="55"/>
        <v>10861</v>
      </c>
      <c r="G121" s="406">
        <f t="shared" si="55"/>
        <v>0</v>
      </c>
      <c r="H121" s="406">
        <f t="shared" si="55"/>
        <v>0</v>
      </c>
      <c r="I121" s="406">
        <f t="shared" si="55"/>
        <v>0</v>
      </c>
      <c r="J121" s="406">
        <f t="shared" si="55"/>
        <v>16619</v>
      </c>
      <c r="K121" s="406">
        <f t="shared" si="55"/>
        <v>0</v>
      </c>
      <c r="L121" s="406">
        <f t="shared" si="55"/>
        <v>16619</v>
      </c>
      <c r="M121" s="406">
        <f t="shared" si="55"/>
        <v>101543</v>
      </c>
      <c r="N121" s="406">
        <f t="shared" si="55"/>
        <v>1010</v>
      </c>
      <c r="O121" s="406">
        <f t="shared" si="55"/>
        <v>119172</v>
      </c>
    </row>
    <row r="122" spans="1:16" ht="17.25" thickTop="1" thickBot="1" x14ac:dyDescent="0.3">
      <c r="A122" s="407"/>
      <c r="B122" s="406" t="s">
        <v>414</v>
      </c>
      <c r="C122" s="406">
        <f>+C112+C119</f>
        <v>0</v>
      </c>
      <c r="D122" s="406">
        <f t="shared" ref="D122:P122" si="56">+D112+D119</f>
        <v>0</v>
      </c>
      <c r="E122" s="406">
        <f t="shared" si="56"/>
        <v>0</v>
      </c>
      <c r="F122" s="406">
        <f t="shared" si="56"/>
        <v>0</v>
      </c>
      <c r="G122" s="406">
        <f t="shared" si="56"/>
        <v>0</v>
      </c>
      <c r="H122" s="406">
        <f t="shared" si="56"/>
        <v>0</v>
      </c>
      <c r="I122" s="406">
        <f t="shared" si="56"/>
        <v>0</v>
      </c>
      <c r="J122" s="406">
        <f t="shared" si="56"/>
        <v>0</v>
      </c>
      <c r="K122" s="406">
        <f t="shared" si="56"/>
        <v>0</v>
      </c>
      <c r="L122" s="406">
        <f t="shared" si="56"/>
        <v>0</v>
      </c>
      <c r="M122" s="406">
        <f t="shared" si="56"/>
        <v>4255</v>
      </c>
      <c r="N122" s="406">
        <f t="shared" si="56"/>
        <v>0</v>
      </c>
      <c r="O122" s="406">
        <f t="shared" si="56"/>
        <v>4255</v>
      </c>
      <c r="P122" s="406">
        <f t="shared" si="56"/>
        <v>0</v>
      </c>
    </row>
    <row r="123" spans="1:16" ht="17.25" thickTop="1" thickBot="1" x14ac:dyDescent="0.3">
      <c r="A123" s="407"/>
      <c r="B123" s="406" t="s">
        <v>443</v>
      </c>
      <c r="C123" s="406">
        <f t="shared" ref="C123:O123" si="57">SUM(C50+C65+C79+C93+C106+C120)</f>
        <v>35233</v>
      </c>
      <c r="D123" s="406">
        <f t="shared" si="57"/>
        <v>0</v>
      </c>
      <c r="E123" s="406">
        <f t="shared" si="57"/>
        <v>0</v>
      </c>
      <c r="F123" s="406">
        <f t="shared" si="57"/>
        <v>24237</v>
      </c>
      <c r="G123" s="406">
        <f t="shared" si="57"/>
        <v>0</v>
      </c>
      <c r="H123" s="406">
        <f t="shared" si="57"/>
        <v>0</v>
      </c>
      <c r="I123" s="406">
        <f t="shared" si="57"/>
        <v>0</v>
      </c>
      <c r="J123" s="406">
        <f t="shared" si="57"/>
        <v>59470</v>
      </c>
      <c r="K123" s="406">
        <f t="shared" si="57"/>
        <v>0</v>
      </c>
      <c r="L123" s="406">
        <f t="shared" si="57"/>
        <v>59470</v>
      </c>
      <c r="M123" s="406">
        <f t="shared" si="57"/>
        <v>560605</v>
      </c>
      <c r="N123" s="406">
        <f t="shared" si="57"/>
        <v>2075</v>
      </c>
      <c r="O123" s="406">
        <f t="shared" si="57"/>
        <v>622150</v>
      </c>
    </row>
    <row r="124" spans="1:16" ht="16.5" thickTop="1" x14ac:dyDescent="0.25">
      <c r="A124" s="416" t="s">
        <v>161</v>
      </c>
      <c r="B124" s="418" t="s">
        <v>442</v>
      </c>
      <c r="C124" s="418"/>
      <c r="D124" s="418"/>
      <c r="E124" s="418"/>
      <c r="F124" s="418"/>
      <c r="G124" s="418"/>
      <c r="H124" s="418"/>
      <c r="I124" s="418"/>
      <c r="J124" s="418"/>
      <c r="K124" s="418"/>
      <c r="L124" s="418"/>
      <c r="M124" s="418"/>
      <c r="N124" s="418"/>
      <c r="O124" s="418"/>
    </row>
    <row r="125" spans="1:16" x14ac:dyDescent="0.25">
      <c r="A125" s="416"/>
      <c r="B125" s="414" t="s">
        <v>387</v>
      </c>
      <c r="C125" s="414">
        <v>14888</v>
      </c>
      <c r="D125" s="414"/>
      <c r="E125" s="414"/>
      <c r="F125" s="414">
        <v>9273</v>
      </c>
      <c r="G125" s="414"/>
      <c r="H125" s="414"/>
      <c r="I125" s="414"/>
      <c r="J125" s="414">
        <f>SUM(C125+E125+F125+H125)</f>
        <v>24161</v>
      </c>
      <c r="K125" s="414">
        <f>SUM(D125+G125+I125)</f>
        <v>0</v>
      </c>
      <c r="L125" s="414">
        <f>SUM(J125:K125)</f>
        <v>24161</v>
      </c>
      <c r="M125" s="414">
        <v>268960</v>
      </c>
      <c r="N125" s="414">
        <v>221</v>
      </c>
      <c r="O125" s="414">
        <f>SUM(L125:N125)</f>
        <v>293342</v>
      </c>
    </row>
    <row r="126" spans="1:16" s="828" customFormat="1" x14ac:dyDescent="0.25">
      <c r="A126" s="423"/>
      <c r="B126" s="415" t="s">
        <v>418</v>
      </c>
      <c r="C126" s="415">
        <v>14888</v>
      </c>
      <c r="D126" s="415"/>
      <c r="E126" s="415"/>
      <c r="F126" s="415">
        <v>9273</v>
      </c>
      <c r="G126" s="415"/>
      <c r="H126" s="415"/>
      <c r="I126" s="415"/>
      <c r="J126" s="421">
        <f>SUM(C126+E126+F126+H126)</f>
        <v>24161</v>
      </c>
      <c r="K126" s="421">
        <f>SUM(D126+G126+I126)</f>
        <v>0</v>
      </c>
      <c r="L126" s="421">
        <f>SUM(J126:K126)</f>
        <v>24161</v>
      </c>
      <c r="M126" s="421">
        <v>262337</v>
      </c>
      <c r="N126" s="421">
        <v>221</v>
      </c>
      <c r="O126" s="421">
        <f>SUM(L126:N126)</f>
        <v>286719</v>
      </c>
    </row>
    <row r="127" spans="1:16" s="828" customFormat="1" x14ac:dyDescent="0.25">
      <c r="A127" s="422"/>
      <c r="B127" s="415" t="s">
        <v>417</v>
      </c>
      <c r="C127" s="415"/>
      <c r="D127" s="415"/>
      <c r="E127" s="415"/>
      <c r="F127" s="415"/>
      <c r="G127" s="415"/>
      <c r="H127" s="415"/>
      <c r="I127" s="415"/>
      <c r="J127" s="421">
        <f>SUM(C127+E127+F127+H127)</f>
        <v>0</v>
      </c>
      <c r="K127" s="421">
        <f>SUM(D127+G127+I127)</f>
        <v>0</v>
      </c>
      <c r="L127" s="421">
        <f>SUM(J127:K127)</f>
        <v>0</v>
      </c>
      <c r="M127" s="421">
        <v>6623</v>
      </c>
      <c r="N127" s="421"/>
      <c r="O127" s="421">
        <f>SUM(L127:N127)</f>
        <v>6623</v>
      </c>
    </row>
    <row r="128" spans="1:16" s="828" customFormat="1" x14ac:dyDescent="0.25">
      <c r="A128" s="422"/>
      <c r="B128" s="415" t="s">
        <v>139</v>
      </c>
      <c r="C128" s="608"/>
      <c r="D128" s="608"/>
      <c r="E128" s="608"/>
      <c r="F128" s="608"/>
      <c r="G128" s="608"/>
      <c r="H128" s="608"/>
      <c r="I128" s="608"/>
      <c r="J128" s="608"/>
      <c r="K128" s="608"/>
      <c r="L128" s="608"/>
      <c r="M128" s="608"/>
      <c r="N128" s="608"/>
      <c r="O128" s="608"/>
    </row>
    <row r="129" spans="1:16" s="828" customFormat="1" x14ac:dyDescent="0.25">
      <c r="A129" s="422"/>
      <c r="B129" s="608" t="s">
        <v>1034</v>
      </c>
      <c r="C129" s="608"/>
      <c r="D129" s="608"/>
      <c r="E129" s="608"/>
      <c r="F129" s="608"/>
      <c r="G129" s="608"/>
      <c r="H129" s="608"/>
      <c r="I129" s="608"/>
      <c r="J129" s="608">
        <f t="shared" ref="J129:J136" si="58">SUM(C129+E129+F129+H129)</f>
        <v>0</v>
      </c>
      <c r="K129" s="608">
        <f t="shared" ref="K129:K136" si="59">SUM(D129+G129+I129)</f>
        <v>0</v>
      </c>
      <c r="L129" s="608">
        <f t="shared" ref="L129:L136" si="60">SUM(J129:K129)</f>
        <v>0</v>
      </c>
      <c r="M129" s="608">
        <v>8</v>
      </c>
      <c r="N129" s="608"/>
      <c r="O129" s="608">
        <f t="shared" ref="O129:O136" si="61">SUM(L129:N129)</f>
        <v>8</v>
      </c>
    </row>
    <row r="130" spans="1:16" s="828" customFormat="1" ht="47.25" x14ac:dyDescent="0.25">
      <c r="A130" s="422"/>
      <c r="B130" s="608" t="s">
        <v>1036</v>
      </c>
      <c r="C130" s="608"/>
      <c r="D130" s="608"/>
      <c r="E130" s="608"/>
      <c r="F130" s="608"/>
      <c r="G130" s="608"/>
      <c r="H130" s="608"/>
      <c r="I130" s="608"/>
      <c r="J130" s="608">
        <f t="shared" si="58"/>
        <v>0</v>
      </c>
      <c r="K130" s="608">
        <f t="shared" si="59"/>
        <v>0</v>
      </c>
      <c r="L130" s="608">
        <f t="shared" si="60"/>
        <v>0</v>
      </c>
      <c r="M130" s="608">
        <v>2303</v>
      </c>
      <c r="N130" s="608"/>
      <c r="O130" s="608">
        <f t="shared" si="61"/>
        <v>2303</v>
      </c>
    </row>
    <row r="131" spans="1:16" s="828" customFormat="1" ht="47.25" x14ac:dyDescent="0.25">
      <c r="A131" s="422"/>
      <c r="B131" s="608" t="s">
        <v>1039</v>
      </c>
      <c r="C131" s="608"/>
      <c r="D131" s="608"/>
      <c r="E131" s="608"/>
      <c r="F131" s="608"/>
      <c r="G131" s="608"/>
      <c r="H131" s="608"/>
      <c r="I131" s="608"/>
      <c r="J131" s="608">
        <f t="shared" si="58"/>
        <v>0</v>
      </c>
      <c r="K131" s="608">
        <f t="shared" si="59"/>
        <v>0</v>
      </c>
      <c r="L131" s="608">
        <f t="shared" si="60"/>
        <v>0</v>
      </c>
      <c r="M131" s="608">
        <v>127</v>
      </c>
      <c r="N131" s="608"/>
      <c r="O131" s="608">
        <f t="shared" si="61"/>
        <v>127</v>
      </c>
    </row>
    <row r="132" spans="1:16" s="828" customFormat="1" ht="31.5" x14ac:dyDescent="0.25">
      <c r="A132" s="422"/>
      <c r="B132" s="608" t="s">
        <v>766</v>
      </c>
      <c r="C132" s="608"/>
      <c r="D132" s="608"/>
      <c r="E132" s="608"/>
      <c r="F132" s="608">
        <v>7870</v>
      </c>
      <c r="G132" s="608"/>
      <c r="H132" s="608"/>
      <c r="I132" s="608"/>
      <c r="J132" s="608">
        <f t="shared" si="58"/>
        <v>7870</v>
      </c>
      <c r="K132" s="608">
        <f t="shared" si="59"/>
        <v>0</v>
      </c>
      <c r="L132" s="608">
        <f t="shared" si="60"/>
        <v>7870</v>
      </c>
      <c r="M132" s="608"/>
      <c r="N132" s="608"/>
      <c r="O132" s="608">
        <f t="shared" si="61"/>
        <v>7870</v>
      </c>
    </row>
    <row r="133" spans="1:16" s="828" customFormat="1" ht="31.5" x14ac:dyDescent="0.25">
      <c r="A133" s="422"/>
      <c r="B133" s="608" t="s">
        <v>767</v>
      </c>
      <c r="C133" s="608"/>
      <c r="D133" s="608"/>
      <c r="E133" s="608"/>
      <c r="F133" s="608">
        <v>-1</v>
      </c>
      <c r="G133" s="608"/>
      <c r="H133" s="608"/>
      <c r="I133" s="608"/>
      <c r="J133" s="608">
        <f t="shared" si="58"/>
        <v>-1</v>
      </c>
      <c r="K133" s="608">
        <f t="shared" si="59"/>
        <v>0</v>
      </c>
      <c r="L133" s="608">
        <f t="shared" si="60"/>
        <v>-1</v>
      </c>
      <c r="M133" s="608"/>
      <c r="N133" s="608">
        <v>1</v>
      </c>
      <c r="O133" s="608">
        <f t="shared" si="61"/>
        <v>0</v>
      </c>
    </row>
    <row r="134" spans="1:16" s="828" customFormat="1" x14ac:dyDescent="0.25">
      <c r="A134" s="422"/>
      <c r="B134" s="415" t="s">
        <v>140</v>
      </c>
      <c r="C134" s="608"/>
      <c r="D134" s="608"/>
      <c r="E134" s="608"/>
      <c r="F134" s="608"/>
      <c r="G134" s="608"/>
      <c r="H134" s="608"/>
      <c r="I134" s="608"/>
      <c r="J134" s="608"/>
      <c r="K134" s="608"/>
      <c r="L134" s="608"/>
      <c r="M134" s="608"/>
      <c r="N134" s="608"/>
      <c r="O134" s="608"/>
    </row>
    <row r="135" spans="1:16" s="828" customFormat="1" x14ac:dyDescent="0.25">
      <c r="A135" s="422"/>
      <c r="B135" s="608" t="s">
        <v>1037</v>
      </c>
      <c r="C135" s="608"/>
      <c r="D135" s="608"/>
      <c r="E135" s="608"/>
      <c r="F135" s="608"/>
      <c r="G135" s="608"/>
      <c r="H135" s="608"/>
      <c r="I135" s="608"/>
      <c r="J135" s="608">
        <f t="shared" si="58"/>
        <v>0</v>
      </c>
      <c r="K135" s="608">
        <f t="shared" si="59"/>
        <v>0</v>
      </c>
      <c r="L135" s="608">
        <f t="shared" si="60"/>
        <v>0</v>
      </c>
      <c r="M135" s="608">
        <v>1163</v>
      </c>
      <c r="N135" s="608"/>
      <c r="O135" s="608">
        <f t="shared" si="61"/>
        <v>1163</v>
      </c>
    </row>
    <row r="136" spans="1:16" s="828" customFormat="1" ht="79.5" thickBot="1" x14ac:dyDescent="0.3">
      <c r="A136" s="422"/>
      <c r="B136" s="608" t="s">
        <v>1041</v>
      </c>
      <c r="C136" s="608"/>
      <c r="D136" s="608"/>
      <c r="E136" s="608"/>
      <c r="F136" s="608"/>
      <c r="G136" s="608"/>
      <c r="H136" s="608"/>
      <c r="I136" s="608"/>
      <c r="J136" s="608">
        <f t="shared" si="58"/>
        <v>0</v>
      </c>
      <c r="K136" s="608">
        <f t="shared" si="59"/>
        <v>0</v>
      </c>
      <c r="L136" s="608">
        <f t="shared" si="60"/>
        <v>0</v>
      </c>
      <c r="M136" s="608">
        <v>66</v>
      </c>
      <c r="N136" s="608"/>
      <c r="O136" s="608">
        <f t="shared" si="61"/>
        <v>66</v>
      </c>
    </row>
    <row r="137" spans="1:16" ht="17.25" thickTop="1" thickBot="1" x14ac:dyDescent="0.3">
      <c r="A137" s="407"/>
      <c r="B137" s="406" t="s">
        <v>416</v>
      </c>
      <c r="C137" s="406">
        <f>+C125+C129+C135+C130+C136+C131+C132+C133</f>
        <v>14888</v>
      </c>
      <c r="D137" s="406">
        <f t="shared" ref="D137:O137" si="62">+D125+D129+D135+D130+D136+D131+D132+D133</f>
        <v>0</v>
      </c>
      <c r="E137" s="406">
        <f t="shared" si="62"/>
        <v>0</v>
      </c>
      <c r="F137" s="406">
        <f t="shared" si="62"/>
        <v>17142</v>
      </c>
      <c r="G137" s="406">
        <f t="shared" si="62"/>
        <v>0</v>
      </c>
      <c r="H137" s="406">
        <f t="shared" si="62"/>
        <v>0</v>
      </c>
      <c r="I137" s="406">
        <f t="shared" si="62"/>
        <v>0</v>
      </c>
      <c r="J137" s="406">
        <f t="shared" si="62"/>
        <v>32030</v>
      </c>
      <c r="K137" s="406">
        <f t="shared" si="62"/>
        <v>0</v>
      </c>
      <c r="L137" s="406">
        <f t="shared" si="62"/>
        <v>32030</v>
      </c>
      <c r="M137" s="406">
        <f t="shared" si="62"/>
        <v>272627</v>
      </c>
      <c r="N137" s="406">
        <f t="shared" si="62"/>
        <v>222</v>
      </c>
      <c r="O137" s="406">
        <f t="shared" si="62"/>
        <v>304879</v>
      </c>
      <c r="P137" s="827">
        <f>O138+O139</f>
        <v>304879</v>
      </c>
    </row>
    <row r="138" spans="1:16" ht="17.25" thickTop="1" thickBot="1" x14ac:dyDescent="0.3">
      <c r="A138" s="407"/>
      <c r="B138" s="406" t="s">
        <v>415</v>
      </c>
      <c r="C138" s="406">
        <f t="shared" ref="C138:O138" si="63">+C126+C129+C130+C131+C132+C133</f>
        <v>14888</v>
      </c>
      <c r="D138" s="406">
        <f t="shared" si="63"/>
        <v>0</v>
      </c>
      <c r="E138" s="406">
        <f t="shared" si="63"/>
        <v>0</v>
      </c>
      <c r="F138" s="406">
        <f t="shared" si="63"/>
        <v>17142</v>
      </c>
      <c r="G138" s="406">
        <f t="shared" si="63"/>
        <v>0</v>
      </c>
      <c r="H138" s="406">
        <f t="shared" si="63"/>
        <v>0</v>
      </c>
      <c r="I138" s="406">
        <f t="shared" si="63"/>
        <v>0</v>
      </c>
      <c r="J138" s="406">
        <f t="shared" si="63"/>
        <v>32030</v>
      </c>
      <c r="K138" s="406">
        <f t="shared" si="63"/>
        <v>0</v>
      </c>
      <c r="L138" s="406">
        <f t="shared" si="63"/>
        <v>32030</v>
      </c>
      <c r="M138" s="406">
        <f t="shared" si="63"/>
        <v>264775</v>
      </c>
      <c r="N138" s="406">
        <f t="shared" si="63"/>
        <v>222</v>
      </c>
      <c r="O138" s="406">
        <f t="shared" si="63"/>
        <v>297027</v>
      </c>
    </row>
    <row r="139" spans="1:16" ht="17.25" thickTop="1" thickBot="1" x14ac:dyDescent="0.3">
      <c r="A139" s="416"/>
      <c r="B139" s="406" t="s">
        <v>414</v>
      </c>
      <c r="C139" s="406">
        <f>+C127+C135+C136</f>
        <v>0</v>
      </c>
      <c r="D139" s="406">
        <f t="shared" ref="D139:P139" si="64">+D127+D135+D136</f>
        <v>0</v>
      </c>
      <c r="E139" s="406">
        <f t="shared" si="64"/>
        <v>0</v>
      </c>
      <c r="F139" s="406">
        <f t="shared" si="64"/>
        <v>0</v>
      </c>
      <c r="G139" s="406">
        <f t="shared" si="64"/>
        <v>0</v>
      </c>
      <c r="H139" s="406">
        <f t="shared" si="64"/>
        <v>0</v>
      </c>
      <c r="I139" s="406">
        <f t="shared" si="64"/>
        <v>0</v>
      </c>
      <c r="J139" s="406">
        <f t="shared" si="64"/>
        <v>0</v>
      </c>
      <c r="K139" s="406">
        <f t="shared" si="64"/>
        <v>0</v>
      </c>
      <c r="L139" s="406">
        <f t="shared" si="64"/>
        <v>0</v>
      </c>
      <c r="M139" s="406">
        <f t="shared" si="64"/>
        <v>7852</v>
      </c>
      <c r="N139" s="406">
        <f t="shared" si="64"/>
        <v>0</v>
      </c>
      <c r="O139" s="406">
        <f t="shared" si="64"/>
        <v>7852</v>
      </c>
      <c r="P139" s="406">
        <f t="shared" si="64"/>
        <v>0</v>
      </c>
    </row>
    <row r="140" spans="1:16" ht="16.5" thickTop="1" x14ac:dyDescent="0.25">
      <c r="A140" s="416" t="s">
        <v>0</v>
      </c>
      <c r="B140" s="418" t="s">
        <v>810</v>
      </c>
      <c r="C140" s="418"/>
      <c r="D140" s="418"/>
      <c r="E140" s="418"/>
      <c r="F140" s="418"/>
      <c r="G140" s="418"/>
      <c r="H140" s="418"/>
      <c r="I140" s="418"/>
      <c r="J140" s="418"/>
      <c r="K140" s="418"/>
      <c r="L140" s="418"/>
      <c r="M140" s="418"/>
      <c r="N140" s="418"/>
      <c r="O140" s="418"/>
    </row>
    <row r="141" spans="1:16" x14ac:dyDescent="0.25">
      <c r="A141" s="416"/>
      <c r="B141" s="414" t="s">
        <v>387</v>
      </c>
      <c r="C141" s="414">
        <v>19810</v>
      </c>
      <c r="D141" s="414"/>
      <c r="E141" s="414"/>
      <c r="F141" s="414">
        <v>13027</v>
      </c>
      <c r="G141" s="414"/>
      <c r="H141" s="414"/>
      <c r="I141" s="414"/>
      <c r="J141" s="414">
        <f>SUM(C141+E141+F141+H141)</f>
        <v>32837</v>
      </c>
      <c r="K141" s="414">
        <f>SUM(D141+G141+I141)</f>
        <v>0</v>
      </c>
      <c r="L141" s="414">
        <f>SUM(J141:K141)</f>
        <v>32837</v>
      </c>
      <c r="M141" s="414">
        <v>250979</v>
      </c>
      <c r="N141" s="414">
        <v>5</v>
      </c>
      <c r="O141" s="414">
        <f>SUM(L141:N141)</f>
        <v>283821</v>
      </c>
    </row>
    <row r="142" spans="1:16" s="828" customFormat="1" x14ac:dyDescent="0.25">
      <c r="A142" s="422"/>
      <c r="B142" s="419" t="s">
        <v>418</v>
      </c>
      <c r="C142" s="419">
        <v>19810</v>
      </c>
      <c r="D142" s="419"/>
      <c r="E142" s="419"/>
      <c r="F142" s="419">
        <v>13027</v>
      </c>
      <c r="G142" s="419"/>
      <c r="H142" s="419"/>
      <c r="I142" s="419"/>
      <c r="J142" s="435">
        <f>SUM(C142+E142+F142+H142)</f>
        <v>32837</v>
      </c>
      <c r="K142" s="435">
        <f>SUM(D142+G142+I142)</f>
        <v>0</v>
      </c>
      <c r="L142" s="435">
        <f>SUM(J142:K142)</f>
        <v>32837</v>
      </c>
      <c r="M142" s="435">
        <v>244283</v>
      </c>
      <c r="N142" s="435">
        <v>5</v>
      </c>
      <c r="O142" s="435">
        <f>SUM(L142:N142)</f>
        <v>277125</v>
      </c>
    </row>
    <row r="143" spans="1:16" s="828" customFormat="1" x14ac:dyDescent="0.25">
      <c r="A143" s="422"/>
      <c r="B143" s="419" t="s">
        <v>417</v>
      </c>
      <c r="C143" s="419"/>
      <c r="D143" s="419"/>
      <c r="E143" s="419"/>
      <c r="F143" s="419"/>
      <c r="G143" s="419"/>
      <c r="H143" s="419"/>
      <c r="I143" s="419"/>
      <c r="J143" s="435">
        <f>SUM(C143+E143+F143+H143)</f>
        <v>0</v>
      </c>
      <c r="K143" s="435">
        <f>SUM(D143+G143+I143)</f>
        <v>0</v>
      </c>
      <c r="L143" s="435">
        <f>SUM(J143:K143)</f>
        <v>0</v>
      </c>
      <c r="M143" s="435">
        <v>6696</v>
      </c>
      <c r="N143" s="435"/>
      <c r="O143" s="435">
        <f>SUM(L143:N143)</f>
        <v>6696</v>
      </c>
    </row>
    <row r="144" spans="1:16" s="828" customFormat="1" x14ac:dyDescent="0.25">
      <c r="A144" s="422"/>
      <c r="B144" s="419" t="s">
        <v>139</v>
      </c>
      <c r="C144" s="609"/>
      <c r="D144" s="609"/>
      <c r="E144" s="609"/>
      <c r="F144" s="609"/>
      <c r="G144" s="609"/>
      <c r="H144" s="609"/>
      <c r="I144" s="609"/>
      <c r="J144" s="609"/>
      <c r="K144" s="609"/>
      <c r="L144" s="609"/>
      <c r="M144" s="609"/>
      <c r="N144" s="609"/>
      <c r="O144" s="609"/>
    </row>
    <row r="145" spans="1:16" s="828" customFormat="1" x14ac:dyDescent="0.25">
      <c r="A145" s="423"/>
      <c r="B145" s="608" t="s">
        <v>1034</v>
      </c>
      <c r="C145" s="608"/>
      <c r="D145" s="608"/>
      <c r="E145" s="608"/>
      <c r="F145" s="608"/>
      <c r="G145" s="608"/>
      <c r="H145" s="608"/>
      <c r="I145" s="608"/>
      <c r="J145" s="608">
        <f t="shared" ref="J145:J150" si="65">SUM(C145+E145+F145+H145)</f>
        <v>0</v>
      </c>
      <c r="K145" s="608">
        <f t="shared" ref="K145:K150" si="66">SUM(D145+G145+I145)</f>
        <v>0</v>
      </c>
      <c r="L145" s="608">
        <f t="shared" ref="L145:L150" si="67">SUM(J145:K145)</f>
        <v>0</v>
      </c>
      <c r="M145" s="608">
        <v>34</v>
      </c>
      <c r="N145" s="608"/>
      <c r="O145" s="608">
        <f t="shared" ref="O145:O150" si="68">SUM(L145:N145)</f>
        <v>34</v>
      </c>
    </row>
    <row r="146" spans="1:16" s="828" customFormat="1" ht="47.25" x14ac:dyDescent="0.25">
      <c r="A146" s="423"/>
      <c r="B146" s="608" t="s">
        <v>1039</v>
      </c>
      <c r="C146" s="608"/>
      <c r="D146" s="608"/>
      <c r="E146" s="608"/>
      <c r="F146" s="608"/>
      <c r="G146" s="608"/>
      <c r="H146" s="608"/>
      <c r="I146" s="608"/>
      <c r="J146" s="608">
        <f t="shared" si="65"/>
        <v>0</v>
      </c>
      <c r="K146" s="608">
        <f t="shared" si="66"/>
        <v>0</v>
      </c>
      <c r="L146" s="608">
        <f t="shared" si="67"/>
        <v>0</v>
      </c>
      <c r="M146" s="608">
        <v>127</v>
      </c>
      <c r="N146" s="608"/>
      <c r="O146" s="608">
        <f t="shared" si="68"/>
        <v>127</v>
      </c>
    </row>
    <row r="147" spans="1:16" s="828" customFormat="1" ht="31.5" x14ac:dyDescent="0.25">
      <c r="A147" s="423"/>
      <c r="B147" s="608" t="s">
        <v>766</v>
      </c>
      <c r="C147" s="608"/>
      <c r="D147" s="608"/>
      <c r="E147" s="608"/>
      <c r="F147" s="608">
        <v>4456</v>
      </c>
      <c r="G147" s="608"/>
      <c r="H147" s="608"/>
      <c r="I147" s="608"/>
      <c r="J147" s="608">
        <f t="shared" si="65"/>
        <v>4456</v>
      </c>
      <c r="K147" s="608">
        <f t="shared" si="66"/>
        <v>0</v>
      </c>
      <c r="L147" s="608">
        <f t="shared" si="67"/>
        <v>4456</v>
      </c>
      <c r="M147" s="608"/>
      <c r="N147" s="608"/>
      <c r="O147" s="608">
        <f t="shared" si="68"/>
        <v>4456</v>
      </c>
    </row>
    <row r="148" spans="1:16" s="828" customFormat="1" ht="31.5" x14ac:dyDescent="0.25">
      <c r="A148" s="423"/>
      <c r="B148" s="608" t="s">
        <v>767</v>
      </c>
      <c r="C148" s="608"/>
      <c r="D148" s="608"/>
      <c r="E148" s="608"/>
      <c r="F148" s="608">
        <v>-1</v>
      </c>
      <c r="G148" s="608"/>
      <c r="H148" s="608"/>
      <c r="I148" s="608"/>
      <c r="J148" s="608">
        <f t="shared" si="65"/>
        <v>-1</v>
      </c>
      <c r="K148" s="608">
        <f t="shared" si="66"/>
        <v>0</v>
      </c>
      <c r="L148" s="608">
        <f t="shared" si="67"/>
        <v>-1</v>
      </c>
      <c r="M148" s="608"/>
      <c r="N148" s="608">
        <v>1</v>
      </c>
      <c r="O148" s="608">
        <f t="shared" si="68"/>
        <v>0</v>
      </c>
    </row>
    <row r="149" spans="1:16" s="828" customFormat="1" x14ac:dyDescent="0.25">
      <c r="A149" s="423"/>
      <c r="B149" s="415" t="s">
        <v>140</v>
      </c>
      <c r="C149" s="608"/>
      <c r="D149" s="608"/>
      <c r="E149" s="608"/>
      <c r="F149" s="608"/>
      <c r="G149" s="608"/>
      <c r="H149" s="608"/>
      <c r="I149" s="608"/>
      <c r="J149" s="608"/>
      <c r="K149" s="608"/>
      <c r="L149" s="608"/>
      <c r="M149" s="608"/>
      <c r="N149" s="608"/>
      <c r="O149" s="608"/>
    </row>
    <row r="150" spans="1:16" s="828" customFormat="1" ht="16.5" thickBot="1" x14ac:dyDescent="0.3">
      <c r="A150" s="423"/>
      <c r="B150" s="608" t="s">
        <v>1037</v>
      </c>
      <c r="C150" s="608"/>
      <c r="D150" s="608"/>
      <c r="E150" s="608"/>
      <c r="F150" s="608"/>
      <c r="G150" s="608"/>
      <c r="H150" s="608"/>
      <c r="I150" s="608"/>
      <c r="J150" s="608">
        <f t="shared" si="65"/>
        <v>0</v>
      </c>
      <c r="K150" s="608">
        <f t="shared" si="66"/>
        <v>0</v>
      </c>
      <c r="L150" s="608">
        <f t="shared" si="67"/>
        <v>0</v>
      </c>
      <c r="M150" s="608">
        <v>1225</v>
      </c>
      <c r="N150" s="608"/>
      <c r="O150" s="608">
        <f t="shared" si="68"/>
        <v>1225</v>
      </c>
    </row>
    <row r="151" spans="1:16" ht="17.25" thickTop="1" thickBot="1" x14ac:dyDescent="0.3">
      <c r="A151" s="407"/>
      <c r="B151" s="406" t="s">
        <v>416</v>
      </c>
      <c r="C151" s="406">
        <f>+C141+C145+C150+C146+C147+C148</f>
        <v>19810</v>
      </c>
      <c r="D151" s="406">
        <f t="shared" ref="D151:O151" si="69">+D141+D145+D150+D146+D147+D148</f>
        <v>0</v>
      </c>
      <c r="E151" s="406">
        <f t="shared" si="69"/>
        <v>0</v>
      </c>
      <c r="F151" s="406">
        <f t="shared" si="69"/>
        <v>17482</v>
      </c>
      <c r="G151" s="406">
        <f t="shared" si="69"/>
        <v>0</v>
      </c>
      <c r="H151" s="406">
        <f t="shared" si="69"/>
        <v>0</v>
      </c>
      <c r="I151" s="406">
        <f t="shared" si="69"/>
        <v>0</v>
      </c>
      <c r="J151" s="406">
        <f t="shared" si="69"/>
        <v>37292</v>
      </c>
      <c r="K151" s="406">
        <f t="shared" si="69"/>
        <v>0</v>
      </c>
      <c r="L151" s="406">
        <f t="shared" si="69"/>
        <v>37292</v>
      </c>
      <c r="M151" s="406">
        <f t="shared" si="69"/>
        <v>252365</v>
      </c>
      <c r="N151" s="406">
        <f t="shared" si="69"/>
        <v>6</v>
      </c>
      <c r="O151" s="406">
        <f t="shared" si="69"/>
        <v>289663</v>
      </c>
      <c r="P151" s="827">
        <f>O152+O153</f>
        <v>289663</v>
      </c>
    </row>
    <row r="152" spans="1:16" ht="17.25" thickTop="1" thickBot="1" x14ac:dyDescent="0.3">
      <c r="A152" s="407"/>
      <c r="B152" s="406" t="s">
        <v>415</v>
      </c>
      <c r="C152" s="406">
        <f t="shared" ref="C152:O152" si="70">+C142+C145+C146+C147+C148</f>
        <v>19810</v>
      </c>
      <c r="D152" s="406">
        <f t="shared" si="70"/>
        <v>0</v>
      </c>
      <c r="E152" s="406">
        <f t="shared" si="70"/>
        <v>0</v>
      </c>
      <c r="F152" s="406">
        <f t="shared" si="70"/>
        <v>17482</v>
      </c>
      <c r="G152" s="406">
        <f t="shared" si="70"/>
        <v>0</v>
      </c>
      <c r="H152" s="406">
        <f t="shared" si="70"/>
        <v>0</v>
      </c>
      <c r="I152" s="406">
        <f t="shared" si="70"/>
        <v>0</v>
      </c>
      <c r="J152" s="406">
        <f t="shared" si="70"/>
        <v>37292</v>
      </c>
      <c r="K152" s="406">
        <f t="shared" si="70"/>
        <v>0</v>
      </c>
      <c r="L152" s="406">
        <f t="shared" si="70"/>
        <v>37292</v>
      </c>
      <c r="M152" s="406">
        <f t="shared" si="70"/>
        <v>244444</v>
      </c>
      <c r="N152" s="406">
        <f t="shared" si="70"/>
        <v>6</v>
      </c>
      <c r="O152" s="406">
        <f t="shared" si="70"/>
        <v>281742</v>
      </c>
    </row>
    <row r="153" spans="1:16" ht="17.25" thickTop="1" thickBot="1" x14ac:dyDescent="0.3">
      <c r="A153" s="407"/>
      <c r="B153" s="406" t="s">
        <v>414</v>
      </c>
      <c r="C153" s="406">
        <f>+C143+C150</f>
        <v>0</v>
      </c>
      <c r="D153" s="406">
        <f t="shared" ref="D153:P153" si="71">+D143+D150</f>
        <v>0</v>
      </c>
      <c r="E153" s="406">
        <f t="shared" si="71"/>
        <v>0</v>
      </c>
      <c r="F153" s="406">
        <f t="shared" si="71"/>
        <v>0</v>
      </c>
      <c r="G153" s="406">
        <f t="shared" si="71"/>
        <v>0</v>
      </c>
      <c r="H153" s="406">
        <f t="shared" si="71"/>
        <v>0</v>
      </c>
      <c r="I153" s="406">
        <f t="shared" si="71"/>
        <v>0</v>
      </c>
      <c r="J153" s="406">
        <f t="shared" si="71"/>
        <v>0</v>
      </c>
      <c r="K153" s="406">
        <f t="shared" si="71"/>
        <v>0</v>
      </c>
      <c r="L153" s="406">
        <f t="shared" si="71"/>
        <v>0</v>
      </c>
      <c r="M153" s="406">
        <f t="shared" si="71"/>
        <v>7921</v>
      </c>
      <c r="N153" s="406">
        <f t="shared" si="71"/>
        <v>0</v>
      </c>
      <c r="O153" s="406">
        <f t="shared" si="71"/>
        <v>7921</v>
      </c>
      <c r="P153" s="406">
        <f t="shared" si="71"/>
        <v>0</v>
      </c>
    </row>
    <row r="154" spans="1:16" ht="32.25" thickTop="1" x14ac:dyDescent="0.25">
      <c r="A154" s="416" t="s">
        <v>1</v>
      </c>
      <c r="B154" s="418" t="s">
        <v>811</v>
      </c>
      <c r="C154" s="418"/>
      <c r="D154" s="418"/>
      <c r="E154" s="418"/>
      <c r="F154" s="418"/>
      <c r="G154" s="418"/>
      <c r="H154" s="418"/>
      <c r="I154" s="418"/>
      <c r="J154" s="418"/>
      <c r="K154" s="418"/>
      <c r="L154" s="418"/>
      <c r="M154" s="418"/>
      <c r="N154" s="418"/>
      <c r="O154" s="418"/>
    </row>
    <row r="155" spans="1:16" x14ac:dyDescent="0.25">
      <c r="A155" s="416"/>
      <c r="B155" s="414" t="s">
        <v>387</v>
      </c>
      <c r="C155" s="414">
        <v>11789</v>
      </c>
      <c r="D155" s="414"/>
      <c r="E155" s="414"/>
      <c r="F155" s="414">
        <v>15357</v>
      </c>
      <c r="G155" s="414"/>
      <c r="H155" s="414"/>
      <c r="I155" s="414"/>
      <c r="J155" s="414">
        <f>SUM(C155+E155+F155+H155)</f>
        <v>27146</v>
      </c>
      <c r="K155" s="414">
        <f>SUM(D155+G155+I155)</f>
        <v>0</v>
      </c>
      <c r="L155" s="414">
        <f>SUM(J155:K155)</f>
        <v>27146</v>
      </c>
      <c r="M155" s="414">
        <v>297305</v>
      </c>
      <c r="N155" s="414">
        <v>4520</v>
      </c>
      <c r="O155" s="414">
        <f>SUM(L155:N155)</f>
        <v>328971</v>
      </c>
    </row>
    <row r="156" spans="1:16" s="828" customFormat="1" x14ac:dyDescent="0.25">
      <c r="A156" s="423"/>
      <c r="B156" s="415" t="s">
        <v>418</v>
      </c>
      <c r="C156" s="415">
        <v>11789</v>
      </c>
      <c r="D156" s="415"/>
      <c r="E156" s="415"/>
      <c r="F156" s="415">
        <v>15357</v>
      </c>
      <c r="G156" s="415"/>
      <c r="H156" s="415"/>
      <c r="I156" s="415"/>
      <c r="J156" s="421">
        <f>SUM(C156+E156+F156+H156)</f>
        <v>27146</v>
      </c>
      <c r="K156" s="421">
        <f>SUM(D156+G156+I156)</f>
        <v>0</v>
      </c>
      <c r="L156" s="421">
        <f>SUM(J156:K156)</f>
        <v>27146</v>
      </c>
      <c r="M156" s="421">
        <v>290373</v>
      </c>
      <c r="N156" s="421">
        <v>4520</v>
      </c>
      <c r="O156" s="421">
        <f>SUM(L156:N156)</f>
        <v>322039</v>
      </c>
    </row>
    <row r="157" spans="1:16" s="828" customFormat="1" x14ac:dyDescent="0.25">
      <c r="A157" s="423"/>
      <c r="B157" s="415" t="s">
        <v>417</v>
      </c>
      <c r="C157" s="415"/>
      <c r="D157" s="415"/>
      <c r="E157" s="415"/>
      <c r="F157" s="415"/>
      <c r="G157" s="415"/>
      <c r="H157" s="415"/>
      <c r="I157" s="415"/>
      <c r="J157" s="421">
        <f>SUM(C157+E157+F157+H157)</f>
        <v>0</v>
      </c>
      <c r="K157" s="421">
        <f>SUM(D157+G157+I157)</f>
        <v>0</v>
      </c>
      <c r="L157" s="421">
        <f>SUM(J157:K157)</f>
        <v>0</v>
      </c>
      <c r="M157" s="421">
        <v>6932</v>
      </c>
      <c r="N157" s="421"/>
      <c r="O157" s="421">
        <f>SUM(L157:N157)</f>
        <v>6932</v>
      </c>
    </row>
    <row r="158" spans="1:16" s="828" customFormat="1" x14ac:dyDescent="0.25">
      <c r="A158" s="423"/>
      <c r="B158" s="415" t="s">
        <v>139</v>
      </c>
      <c r="C158" s="608"/>
      <c r="D158" s="608"/>
      <c r="E158" s="608"/>
      <c r="F158" s="608"/>
      <c r="G158" s="608"/>
      <c r="H158" s="608"/>
      <c r="I158" s="608"/>
      <c r="J158" s="608"/>
      <c r="K158" s="608"/>
      <c r="L158" s="608"/>
      <c r="M158" s="608"/>
      <c r="N158" s="608"/>
      <c r="O158" s="608"/>
    </row>
    <row r="159" spans="1:16" s="828" customFormat="1" x14ac:dyDescent="0.25">
      <c r="A159" s="423"/>
      <c r="B159" s="608" t="s">
        <v>1034</v>
      </c>
      <c r="C159" s="608"/>
      <c r="D159" s="608"/>
      <c r="E159" s="608"/>
      <c r="F159" s="608"/>
      <c r="G159" s="608"/>
      <c r="H159" s="608"/>
      <c r="I159" s="608"/>
      <c r="J159" s="608">
        <f t="shared" ref="J159:J165" si="72">SUM(C159+E159+F159+H159)</f>
        <v>0</v>
      </c>
      <c r="K159" s="608">
        <f t="shared" ref="K159:K165" si="73">SUM(D159+G159+I159)</f>
        <v>0</v>
      </c>
      <c r="L159" s="608">
        <f t="shared" ref="L159:L165" si="74">SUM(J159:K159)</f>
        <v>0</v>
      </c>
      <c r="M159" s="608">
        <v>23</v>
      </c>
      <c r="N159" s="608"/>
      <c r="O159" s="608">
        <f t="shared" ref="O159:O165" si="75">SUM(L159:N159)</f>
        <v>23</v>
      </c>
    </row>
    <row r="160" spans="1:16" s="828" customFormat="1" ht="47.25" x14ac:dyDescent="0.25">
      <c r="A160" s="423"/>
      <c r="B160" s="608" t="s">
        <v>1036</v>
      </c>
      <c r="C160" s="608"/>
      <c r="D160" s="608"/>
      <c r="E160" s="608"/>
      <c r="F160" s="608"/>
      <c r="G160" s="608"/>
      <c r="H160" s="608"/>
      <c r="I160" s="608"/>
      <c r="J160" s="608">
        <f t="shared" si="72"/>
        <v>0</v>
      </c>
      <c r="K160" s="608">
        <f t="shared" si="73"/>
        <v>0</v>
      </c>
      <c r="L160" s="608">
        <f t="shared" si="74"/>
        <v>0</v>
      </c>
      <c r="M160" s="608">
        <v>776</v>
      </c>
      <c r="N160" s="608"/>
      <c r="O160" s="608">
        <f t="shared" si="75"/>
        <v>776</v>
      </c>
    </row>
    <row r="161" spans="1:16" s="828" customFormat="1" ht="47.25" x14ac:dyDescent="0.25">
      <c r="A161" s="423"/>
      <c r="B161" s="608" t="s">
        <v>1039</v>
      </c>
      <c r="C161" s="608"/>
      <c r="D161" s="608"/>
      <c r="E161" s="608"/>
      <c r="F161" s="608"/>
      <c r="G161" s="608"/>
      <c r="H161" s="608"/>
      <c r="I161" s="608"/>
      <c r="J161" s="608">
        <f t="shared" si="72"/>
        <v>0</v>
      </c>
      <c r="K161" s="608">
        <f t="shared" si="73"/>
        <v>0</v>
      </c>
      <c r="L161" s="608">
        <f t="shared" si="74"/>
        <v>0</v>
      </c>
      <c r="M161" s="608">
        <v>127</v>
      </c>
      <c r="N161" s="608"/>
      <c r="O161" s="608">
        <f t="shared" si="75"/>
        <v>127</v>
      </c>
    </row>
    <row r="162" spans="1:16" s="828" customFormat="1" ht="31.5" x14ac:dyDescent="0.25">
      <c r="A162" s="423"/>
      <c r="B162" s="608" t="s">
        <v>766</v>
      </c>
      <c r="C162" s="608">
        <v>99</v>
      </c>
      <c r="D162" s="608"/>
      <c r="E162" s="608"/>
      <c r="F162" s="608">
        <v>4954</v>
      </c>
      <c r="G162" s="608"/>
      <c r="H162" s="608"/>
      <c r="I162" s="608"/>
      <c r="J162" s="608">
        <f t="shared" si="72"/>
        <v>5053</v>
      </c>
      <c r="K162" s="608">
        <f t="shared" si="73"/>
        <v>0</v>
      </c>
      <c r="L162" s="608">
        <f t="shared" si="74"/>
        <v>5053</v>
      </c>
      <c r="M162" s="608">
        <v>400</v>
      </c>
      <c r="N162" s="608"/>
      <c r="O162" s="608">
        <f t="shared" si="75"/>
        <v>5453</v>
      </c>
    </row>
    <row r="163" spans="1:16" s="828" customFormat="1" ht="31.5" x14ac:dyDescent="0.25">
      <c r="A163" s="423"/>
      <c r="B163" s="608" t="s">
        <v>767</v>
      </c>
      <c r="C163" s="608"/>
      <c r="D163" s="608"/>
      <c r="E163" s="608"/>
      <c r="F163" s="608">
        <v>-2</v>
      </c>
      <c r="G163" s="608"/>
      <c r="H163" s="608"/>
      <c r="I163" s="608"/>
      <c r="J163" s="608">
        <f t="shared" si="72"/>
        <v>-2</v>
      </c>
      <c r="K163" s="608">
        <f t="shared" si="73"/>
        <v>0</v>
      </c>
      <c r="L163" s="608">
        <f t="shared" si="74"/>
        <v>-2</v>
      </c>
      <c r="M163" s="608"/>
      <c r="N163" s="608">
        <v>2</v>
      </c>
      <c r="O163" s="608">
        <f t="shared" si="75"/>
        <v>0</v>
      </c>
    </row>
    <row r="164" spans="1:16" s="828" customFormat="1" x14ac:dyDescent="0.25">
      <c r="A164" s="423"/>
      <c r="B164" s="415" t="s">
        <v>140</v>
      </c>
      <c r="C164" s="608"/>
      <c r="D164" s="608"/>
      <c r="E164" s="608"/>
      <c r="F164" s="608"/>
      <c r="G164" s="608"/>
      <c r="H164" s="608"/>
      <c r="I164" s="608"/>
      <c r="J164" s="608"/>
      <c r="K164" s="608"/>
      <c r="L164" s="608"/>
      <c r="M164" s="608"/>
      <c r="N164" s="608"/>
      <c r="O164" s="608"/>
    </row>
    <row r="165" spans="1:16" s="828" customFormat="1" ht="16.5" thickBot="1" x14ac:dyDescent="0.3">
      <c r="A165" s="423"/>
      <c r="B165" s="608" t="s">
        <v>1037</v>
      </c>
      <c r="C165" s="608"/>
      <c r="D165" s="608"/>
      <c r="E165" s="608"/>
      <c r="F165" s="608"/>
      <c r="G165" s="608"/>
      <c r="H165" s="608"/>
      <c r="I165" s="608"/>
      <c r="J165" s="608">
        <f t="shared" si="72"/>
        <v>0</v>
      </c>
      <c r="K165" s="608">
        <f t="shared" si="73"/>
        <v>0</v>
      </c>
      <c r="L165" s="608">
        <f t="shared" si="74"/>
        <v>0</v>
      </c>
      <c r="M165" s="608">
        <v>1255</v>
      </c>
      <c r="N165" s="608"/>
      <c r="O165" s="608">
        <f t="shared" si="75"/>
        <v>1255</v>
      </c>
    </row>
    <row r="166" spans="1:16" ht="17.25" thickTop="1" thickBot="1" x14ac:dyDescent="0.3">
      <c r="A166" s="407"/>
      <c r="B166" s="406" t="s">
        <v>416</v>
      </c>
      <c r="C166" s="406">
        <f>+C155+C159+C165+C160+C161+C162+C163</f>
        <v>11888</v>
      </c>
      <c r="D166" s="406">
        <f t="shared" ref="D166:P166" si="76">+D155+D159+D165+D160+D161+D162+D163</f>
        <v>0</v>
      </c>
      <c r="E166" s="406">
        <f t="shared" si="76"/>
        <v>0</v>
      </c>
      <c r="F166" s="406">
        <f t="shared" si="76"/>
        <v>20309</v>
      </c>
      <c r="G166" s="406">
        <f t="shared" si="76"/>
        <v>0</v>
      </c>
      <c r="H166" s="406">
        <f t="shared" si="76"/>
        <v>0</v>
      </c>
      <c r="I166" s="406">
        <f t="shared" si="76"/>
        <v>0</v>
      </c>
      <c r="J166" s="406">
        <f t="shared" si="76"/>
        <v>32197</v>
      </c>
      <c r="K166" s="406">
        <f t="shared" si="76"/>
        <v>0</v>
      </c>
      <c r="L166" s="406">
        <f t="shared" si="76"/>
        <v>32197</v>
      </c>
      <c r="M166" s="406">
        <f t="shared" si="76"/>
        <v>299886</v>
      </c>
      <c r="N166" s="406">
        <f t="shared" si="76"/>
        <v>4522</v>
      </c>
      <c r="O166" s="406">
        <f t="shared" si="76"/>
        <v>336605</v>
      </c>
      <c r="P166" s="406">
        <f t="shared" si="76"/>
        <v>0</v>
      </c>
    </row>
    <row r="167" spans="1:16" ht="17.25" thickTop="1" thickBot="1" x14ac:dyDescent="0.3">
      <c r="A167" s="407"/>
      <c r="B167" s="406" t="s">
        <v>415</v>
      </c>
      <c r="C167" s="406">
        <f t="shared" ref="C167:O167" si="77">+C156+C159+C160+C161+C162+C163</f>
        <v>11888</v>
      </c>
      <c r="D167" s="406">
        <f t="shared" si="77"/>
        <v>0</v>
      </c>
      <c r="E167" s="406">
        <f t="shared" si="77"/>
        <v>0</v>
      </c>
      <c r="F167" s="406">
        <f t="shared" si="77"/>
        <v>20309</v>
      </c>
      <c r="G167" s="406">
        <f t="shared" si="77"/>
        <v>0</v>
      </c>
      <c r="H167" s="406">
        <f t="shared" si="77"/>
        <v>0</v>
      </c>
      <c r="I167" s="406">
        <f t="shared" si="77"/>
        <v>0</v>
      </c>
      <c r="J167" s="406">
        <f t="shared" si="77"/>
        <v>32197</v>
      </c>
      <c r="K167" s="406">
        <f t="shared" si="77"/>
        <v>0</v>
      </c>
      <c r="L167" s="406">
        <f t="shared" si="77"/>
        <v>32197</v>
      </c>
      <c r="M167" s="406">
        <f t="shared" si="77"/>
        <v>291699</v>
      </c>
      <c r="N167" s="406">
        <f t="shared" si="77"/>
        <v>4522</v>
      </c>
      <c r="O167" s="406">
        <f t="shared" si="77"/>
        <v>328418</v>
      </c>
    </row>
    <row r="168" spans="1:16" ht="17.25" thickTop="1" thickBot="1" x14ac:dyDescent="0.3">
      <c r="A168" s="407"/>
      <c r="B168" s="406" t="s">
        <v>414</v>
      </c>
      <c r="C168" s="406">
        <f>+C157+C165</f>
        <v>0</v>
      </c>
      <c r="D168" s="406">
        <f t="shared" ref="D168:O168" si="78">+D157+D165</f>
        <v>0</v>
      </c>
      <c r="E168" s="406">
        <f t="shared" si="78"/>
        <v>0</v>
      </c>
      <c r="F168" s="406">
        <f t="shared" si="78"/>
        <v>0</v>
      </c>
      <c r="G168" s="406">
        <f t="shared" si="78"/>
        <v>0</v>
      </c>
      <c r="H168" s="406">
        <f t="shared" si="78"/>
        <v>0</v>
      </c>
      <c r="I168" s="406">
        <f t="shared" si="78"/>
        <v>0</v>
      </c>
      <c r="J168" s="406">
        <f t="shared" si="78"/>
        <v>0</v>
      </c>
      <c r="K168" s="406">
        <f t="shared" si="78"/>
        <v>0</v>
      </c>
      <c r="L168" s="406">
        <f t="shared" si="78"/>
        <v>0</v>
      </c>
      <c r="M168" s="406">
        <f t="shared" si="78"/>
        <v>8187</v>
      </c>
      <c r="N168" s="406">
        <f t="shared" si="78"/>
        <v>0</v>
      </c>
      <c r="O168" s="406">
        <f t="shared" si="78"/>
        <v>8187</v>
      </c>
    </row>
    <row r="169" spans="1:16" ht="16.5" thickTop="1" x14ac:dyDescent="0.25">
      <c r="A169" s="420" t="s">
        <v>2</v>
      </c>
      <c r="B169" s="418" t="s">
        <v>441</v>
      </c>
      <c r="C169" s="418"/>
      <c r="D169" s="418"/>
      <c r="E169" s="418"/>
      <c r="F169" s="418"/>
      <c r="G169" s="418"/>
      <c r="H169" s="418"/>
      <c r="I169" s="418"/>
      <c r="J169" s="418"/>
      <c r="K169" s="418"/>
      <c r="L169" s="418"/>
      <c r="M169" s="418"/>
      <c r="N169" s="418"/>
      <c r="O169" s="418"/>
    </row>
    <row r="170" spans="1:16" x14ac:dyDescent="0.25">
      <c r="A170" s="420"/>
      <c r="B170" s="418" t="s">
        <v>387</v>
      </c>
      <c r="C170" s="418">
        <v>10813</v>
      </c>
      <c r="D170" s="418"/>
      <c r="E170" s="418"/>
      <c r="F170" s="418">
        <v>7552</v>
      </c>
      <c r="G170" s="418"/>
      <c r="H170" s="418"/>
      <c r="I170" s="418"/>
      <c r="J170" s="414">
        <f>SUM(C170+E170+F170+H170)</f>
        <v>18365</v>
      </c>
      <c r="K170" s="414">
        <f>SUM(D170+G170+I170)</f>
        <v>0</v>
      </c>
      <c r="L170" s="414">
        <f>SUM(J170:K170)</f>
        <v>18365</v>
      </c>
      <c r="M170" s="414">
        <v>188880</v>
      </c>
      <c r="N170" s="414">
        <v>649</v>
      </c>
      <c r="O170" s="414">
        <f>SUM(L170:N170)</f>
        <v>207894</v>
      </c>
    </row>
    <row r="171" spans="1:16" s="828" customFormat="1" x14ac:dyDescent="0.25">
      <c r="A171" s="422"/>
      <c r="B171" s="415" t="s">
        <v>418</v>
      </c>
      <c r="C171" s="415">
        <v>10813</v>
      </c>
      <c r="D171" s="415"/>
      <c r="E171" s="415"/>
      <c r="F171" s="415">
        <v>7552</v>
      </c>
      <c r="G171" s="415"/>
      <c r="H171" s="415"/>
      <c r="I171" s="415"/>
      <c r="J171" s="421">
        <f>SUM(C171+E171+F171+H171)</f>
        <v>18365</v>
      </c>
      <c r="K171" s="421">
        <f>SUM(D171+G171+I171)</f>
        <v>0</v>
      </c>
      <c r="L171" s="421">
        <f>SUM(J171:K171)</f>
        <v>18365</v>
      </c>
      <c r="M171" s="421">
        <v>183908</v>
      </c>
      <c r="N171" s="421">
        <v>649</v>
      </c>
      <c r="O171" s="421">
        <f>SUM(L171:N171)</f>
        <v>202922</v>
      </c>
    </row>
    <row r="172" spans="1:16" s="828" customFormat="1" x14ac:dyDescent="0.25">
      <c r="A172" s="422"/>
      <c r="B172" s="415" t="s">
        <v>417</v>
      </c>
      <c r="C172" s="415"/>
      <c r="D172" s="415"/>
      <c r="E172" s="415"/>
      <c r="F172" s="415"/>
      <c r="G172" s="415"/>
      <c r="H172" s="415"/>
      <c r="I172" s="415"/>
      <c r="J172" s="421">
        <f>SUM(C172+E172+F172+H172)</f>
        <v>0</v>
      </c>
      <c r="K172" s="421">
        <f>SUM(D172+G172+I172)</f>
        <v>0</v>
      </c>
      <c r="L172" s="421">
        <f>SUM(J172:K172)</f>
        <v>0</v>
      </c>
      <c r="M172" s="421">
        <v>4972</v>
      </c>
      <c r="N172" s="421"/>
      <c r="O172" s="421">
        <f>SUM(L172:N172)</f>
        <v>4972</v>
      </c>
    </row>
    <row r="173" spans="1:16" x14ac:dyDescent="0.25">
      <c r="A173" s="420"/>
      <c r="B173" s="419" t="s">
        <v>139</v>
      </c>
      <c r="C173" s="419"/>
      <c r="D173" s="419"/>
      <c r="E173" s="419"/>
      <c r="F173" s="419"/>
      <c r="G173" s="419"/>
      <c r="H173" s="419"/>
      <c r="I173" s="419"/>
      <c r="J173" s="418"/>
      <c r="K173" s="418"/>
      <c r="L173" s="418"/>
      <c r="M173" s="418"/>
      <c r="N173" s="418"/>
      <c r="O173" s="418"/>
    </row>
    <row r="174" spans="1:16" x14ac:dyDescent="0.25">
      <c r="A174" s="420"/>
      <c r="B174" s="609" t="s">
        <v>1034</v>
      </c>
      <c r="C174" s="419"/>
      <c r="D174" s="419"/>
      <c r="E174" s="419"/>
      <c r="F174" s="419"/>
      <c r="G174" s="419"/>
      <c r="H174" s="419"/>
      <c r="I174" s="419"/>
      <c r="J174" s="418">
        <f>SUM(C174+E174+F174+H174)</f>
        <v>0</v>
      </c>
      <c r="K174" s="418">
        <f>SUM(D174+G174+I174)</f>
        <v>0</v>
      </c>
      <c r="L174" s="418">
        <f>SUM(J174:K174)</f>
        <v>0</v>
      </c>
      <c r="M174" s="418">
        <v>52</v>
      </c>
      <c r="N174" s="418"/>
      <c r="O174" s="418">
        <f>SUM(L174:N174)</f>
        <v>52</v>
      </c>
    </row>
    <row r="175" spans="1:16" ht="47.25" x14ac:dyDescent="0.25">
      <c r="A175" s="420"/>
      <c r="B175" s="609" t="s">
        <v>1036</v>
      </c>
      <c r="C175" s="419"/>
      <c r="D175" s="419"/>
      <c r="E175" s="419"/>
      <c r="F175" s="419"/>
      <c r="G175" s="419"/>
      <c r="H175" s="419"/>
      <c r="I175" s="419"/>
      <c r="J175" s="418">
        <f t="shared" ref="J175:J179" si="79">SUM(C175+E175+F175+H175)</f>
        <v>0</v>
      </c>
      <c r="K175" s="418">
        <f t="shared" ref="K175:K179" si="80">SUM(D175+G175+I175)</f>
        <v>0</v>
      </c>
      <c r="L175" s="418">
        <f t="shared" ref="L175:L179" si="81">SUM(J175:K175)</f>
        <v>0</v>
      </c>
      <c r="M175" s="418">
        <v>51</v>
      </c>
      <c r="N175" s="418"/>
      <c r="O175" s="418">
        <f t="shared" ref="O175:O179" si="82">SUM(L175:N175)</f>
        <v>51</v>
      </c>
    </row>
    <row r="176" spans="1:16" ht="47.25" x14ac:dyDescent="0.25">
      <c r="A176" s="420"/>
      <c r="B176" s="609" t="s">
        <v>1039</v>
      </c>
      <c r="C176" s="609"/>
      <c r="D176" s="419"/>
      <c r="E176" s="419"/>
      <c r="F176" s="419"/>
      <c r="G176" s="419"/>
      <c r="H176" s="419"/>
      <c r="I176" s="419"/>
      <c r="J176" s="418">
        <f t="shared" si="79"/>
        <v>0</v>
      </c>
      <c r="K176" s="418">
        <f t="shared" si="80"/>
        <v>0</v>
      </c>
      <c r="L176" s="418">
        <f t="shared" si="81"/>
        <v>0</v>
      </c>
      <c r="M176" s="418">
        <v>127</v>
      </c>
      <c r="N176" s="418"/>
      <c r="O176" s="418">
        <f t="shared" si="82"/>
        <v>127</v>
      </c>
    </row>
    <row r="177" spans="1:16" ht="31.5" x14ac:dyDescent="0.25">
      <c r="A177" s="420"/>
      <c r="B177" s="608" t="s">
        <v>766</v>
      </c>
      <c r="C177" s="609">
        <v>1</v>
      </c>
      <c r="D177" s="419"/>
      <c r="E177" s="419"/>
      <c r="F177" s="609">
        <f>2985+95</f>
        <v>3080</v>
      </c>
      <c r="G177" s="419"/>
      <c r="H177" s="419"/>
      <c r="I177" s="419"/>
      <c r="J177" s="418">
        <f t="shared" si="79"/>
        <v>3081</v>
      </c>
      <c r="K177" s="418">
        <f t="shared" si="80"/>
        <v>0</v>
      </c>
      <c r="L177" s="418">
        <f t="shared" si="81"/>
        <v>3081</v>
      </c>
      <c r="M177" s="418"/>
      <c r="N177" s="418"/>
      <c r="O177" s="418">
        <f t="shared" si="82"/>
        <v>3081</v>
      </c>
    </row>
    <row r="178" spans="1:16" x14ac:dyDescent="0.25">
      <c r="A178" s="420"/>
      <c r="B178" s="419" t="s">
        <v>140</v>
      </c>
      <c r="C178" s="419"/>
      <c r="D178" s="419"/>
      <c r="E178" s="419"/>
      <c r="F178" s="419"/>
      <c r="G178" s="419"/>
      <c r="H178" s="419"/>
      <c r="I178" s="419"/>
      <c r="J178" s="418"/>
      <c r="K178" s="418"/>
      <c r="L178" s="418"/>
      <c r="M178" s="418"/>
      <c r="N178" s="418"/>
      <c r="O178" s="418"/>
    </row>
    <row r="179" spans="1:16" ht="16.5" thickBot="1" x14ac:dyDescent="0.3">
      <c r="A179" s="420"/>
      <c r="B179" s="608" t="s">
        <v>1037</v>
      </c>
      <c r="C179" s="419"/>
      <c r="D179" s="419"/>
      <c r="E179" s="419"/>
      <c r="F179" s="419"/>
      <c r="G179" s="419"/>
      <c r="H179" s="419"/>
      <c r="I179" s="419"/>
      <c r="J179" s="418">
        <f t="shared" si="79"/>
        <v>0</v>
      </c>
      <c r="K179" s="418">
        <f t="shared" si="80"/>
        <v>0</v>
      </c>
      <c r="L179" s="418">
        <f t="shared" si="81"/>
        <v>0</v>
      </c>
      <c r="M179" s="418">
        <v>798</v>
      </c>
      <c r="N179" s="418"/>
      <c r="O179" s="418">
        <f t="shared" si="82"/>
        <v>798</v>
      </c>
    </row>
    <row r="180" spans="1:16" ht="17.25" thickTop="1" thickBot="1" x14ac:dyDescent="0.3">
      <c r="A180" s="407"/>
      <c r="B180" s="406" t="s">
        <v>416</v>
      </c>
      <c r="C180" s="406">
        <f>+C170+C174+C175+C179+C176+C177</f>
        <v>10814</v>
      </c>
      <c r="D180" s="406">
        <f t="shared" ref="D180:O180" si="83">+D170+D174+D175+D179+D176+D177</f>
        <v>0</v>
      </c>
      <c r="E180" s="406">
        <f t="shared" si="83"/>
        <v>0</v>
      </c>
      <c r="F180" s="406">
        <f t="shared" si="83"/>
        <v>10632</v>
      </c>
      <c r="G180" s="406">
        <f t="shared" si="83"/>
        <v>0</v>
      </c>
      <c r="H180" s="406">
        <f t="shared" si="83"/>
        <v>0</v>
      </c>
      <c r="I180" s="406">
        <f t="shared" si="83"/>
        <v>0</v>
      </c>
      <c r="J180" s="406">
        <f t="shared" si="83"/>
        <v>21446</v>
      </c>
      <c r="K180" s="406">
        <f t="shared" si="83"/>
        <v>0</v>
      </c>
      <c r="L180" s="406">
        <f t="shared" si="83"/>
        <v>21446</v>
      </c>
      <c r="M180" s="406">
        <f t="shared" si="83"/>
        <v>189908</v>
      </c>
      <c r="N180" s="406">
        <f t="shared" si="83"/>
        <v>649</v>
      </c>
      <c r="O180" s="406">
        <f t="shared" si="83"/>
        <v>212003</v>
      </c>
      <c r="P180" s="827">
        <f>O181+O182</f>
        <v>212003</v>
      </c>
    </row>
    <row r="181" spans="1:16" ht="17.25" thickTop="1" thickBot="1" x14ac:dyDescent="0.3">
      <c r="A181" s="407"/>
      <c r="B181" s="406" t="s">
        <v>415</v>
      </c>
      <c r="C181" s="406">
        <f t="shared" ref="C181:O181" si="84">+C171+C174+C175+C176+C177</f>
        <v>10814</v>
      </c>
      <c r="D181" s="406">
        <f t="shared" si="84"/>
        <v>0</v>
      </c>
      <c r="E181" s="406">
        <f t="shared" si="84"/>
        <v>0</v>
      </c>
      <c r="F181" s="406">
        <f t="shared" si="84"/>
        <v>10632</v>
      </c>
      <c r="G181" s="406">
        <f t="shared" si="84"/>
        <v>0</v>
      </c>
      <c r="H181" s="406">
        <f t="shared" si="84"/>
        <v>0</v>
      </c>
      <c r="I181" s="406">
        <f t="shared" si="84"/>
        <v>0</v>
      </c>
      <c r="J181" s="406">
        <f t="shared" si="84"/>
        <v>21446</v>
      </c>
      <c r="K181" s="406">
        <f t="shared" si="84"/>
        <v>0</v>
      </c>
      <c r="L181" s="406">
        <f t="shared" si="84"/>
        <v>21446</v>
      </c>
      <c r="M181" s="406">
        <f t="shared" si="84"/>
        <v>184138</v>
      </c>
      <c r="N181" s="406">
        <f t="shared" si="84"/>
        <v>649</v>
      </c>
      <c r="O181" s="406">
        <f t="shared" si="84"/>
        <v>206233</v>
      </c>
    </row>
    <row r="182" spans="1:16" ht="17.25" thickTop="1" thickBot="1" x14ac:dyDescent="0.3">
      <c r="A182" s="407"/>
      <c r="B182" s="406" t="s">
        <v>414</v>
      </c>
      <c r="C182" s="406">
        <f>+C172+C179</f>
        <v>0</v>
      </c>
      <c r="D182" s="406">
        <f t="shared" ref="D182:O182" si="85">+D172+D179</f>
        <v>0</v>
      </c>
      <c r="E182" s="406">
        <f t="shared" si="85"/>
        <v>0</v>
      </c>
      <c r="F182" s="406">
        <f t="shared" si="85"/>
        <v>0</v>
      </c>
      <c r="G182" s="406">
        <f t="shared" si="85"/>
        <v>0</v>
      </c>
      <c r="H182" s="406">
        <f t="shared" si="85"/>
        <v>0</v>
      </c>
      <c r="I182" s="406">
        <f t="shared" si="85"/>
        <v>0</v>
      </c>
      <c r="J182" s="406">
        <f t="shared" si="85"/>
        <v>0</v>
      </c>
      <c r="K182" s="406">
        <f t="shared" si="85"/>
        <v>0</v>
      </c>
      <c r="L182" s="406">
        <f t="shared" si="85"/>
        <v>0</v>
      </c>
      <c r="M182" s="406">
        <f t="shared" si="85"/>
        <v>5770</v>
      </c>
      <c r="N182" s="406">
        <f t="shared" si="85"/>
        <v>0</v>
      </c>
      <c r="O182" s="406">
        <f t="shared" si="85"/>
        <v>5770</v>
      </c>
    </row>
    <row r="183" spans="1:16" ht="16.5" thickTop="1" x14ac:dyDescent="0.25">
      <c r="A183" s="416" t="s">
        <v>3</v>
      </c>
      <c r="B183" s="418" t="s">
        <v>440</v>
      </c>
      <c r="C183" s="418"/>
      <c r="D183" s="418"/>
      <c r="E183" s="418"/>
      <c r="F183" s="418"/>
      <c r="G183" s="418"/>
      <c r="H183" s="418"/>
      <c r="I183" s="418"/>
      <c r="J183" s="418"/>
      <c r="K183" s="418"/>
      <c r="L183" s="418"/>
      <c r="M183" s="418"/>
      <c r="N183" s="418"/>
      <c r="O183" s="418"/>
    </row>
    <row r="184" spans="1:16" x14ac:dyDescent="0.25">
      <c r="A184" s="416"/>
      <c r="B184" s="414" t="s">
        <v>387</v>
      </c>
      <c r="C184" s="414">
        <v>11118</v>
      </c>
      <c r="D184" s="414"/>
      <c r="E184" s="414"/>
      <c r="F184" s="414">
        <v>6125</v>
      </c>
      <c r="G184" s="414"/>
      <c r="H184" s="414"/>
      <c r="I184" s="414"/>
      <c r="J184" s="414">
        <f>SUM(C184+E184+F184+H184)</f>
        <v>17243</v>
      </c>
      <c r="K184" s="414">
        <f>SUM(D184+G184+I184)</f>
        <v>0</v>
      </c>
      <c r="L184" s="414">
        <f>SUM(J184:K184)</f>
        <v>17243</v>
      </c>
      <c r="M184" s="414">
        <v>237712</v>
      </c>
      <c r="N184" s="414">
        <v>2485</v>
      </c>
      <c r="O184" s="414">
        <f>SUM(L184:N184)</f>
        <v>257440</v>
      </c>
    </row>
    <row r="185" spans="1:16" s="828" customFormat="1" x14ac:dyDescent="0.25">
      <c r="A185" s="423"/>
      <c r="B185" s="415" t="s">
        <v>418</v>
      </c>
      <c r="C185" s="415">
        <v>11118</v>
      </c>
      <c r="D185" s="415"/>
      <c r="E185" s="415"/>
      <c r="F185" s="415">
        <v>6125</v>
      </c>
      <c r="G185" s="415"/>
      <c r="H185" s="415"/>
      <c r="I185" s="415"/>
      <c r="J185" s="421">
        <f>SUM(C185+E185+F185+H185)</f>
        <v>17243</v>
      </c>
      <c r="K185" s="421">
        <f>SUM(D185+G185+I185)</f>
        <v>0</v>
      </c>
      <c r="L185" s="421">
        <f>SUM(J185:K185)</f>
        <v>17243</v>
      </c>
      <c r="M185" s="421">
        <v>231996</v>
      </c>
      <c r="N185" s="421">
        <v>2485</v>
      </c>
      <c r="O185" s="421">
        <f>SUM(L185:N185)</f>
        <v>251724</v>
      </c>
    </row>
    <row r="186" spans="1:16" s="828" customFormat="1" x14ac:dyDescent="0.25">
      <c r="A186" s="423"/>
      <c r="B186" s="415" t="s">
        <v>417</v>
      </c>
      <c r="C186" s="415"/>
      <c r="D186" s="415"/>
      <c r="E186" s="415"/>
      <c r="F186" s="415"/>
      <c r="G186" s="415"/>
      <c r="H186" s="415"/>
      <c r="I186" s="415"/>
      <c r="J186" s="421">
        <f>SUM(C186+E186+F186+H186)</f>
        <v>0</v>
      </c>
      <c r="K186" s="421">
        <f>SUM(D186+G186+I186)</f>
        <v>0</v>
      </c>
      <c r="L186" s="421">
        <f>SUM(J186:K186)</f>
        <v>0</v>
      </c>
      <c r="M186" s="421">
        <v>5716</v>
      </c>
      <c r="N186" s="421"/>
      <c r="O186" s="421">
        <f>SUM(L186:N186)</f>
        <v>5716</v>
      </c>
    </row>
    <row r="187" spans="1:16" s="828" customFormat="1" x14ac:dyDescent="0.25">
      <c r="A187" s="423"/>
      <c r="B187" s="415" t="s">
        <v>139</v>
      </c>
      <c r="C187" s="608"/>
      <c r="D187" s="608"/>
      <c r="E187" s="608"/>
      <c r="F187" s="608"/>
      <c r="G187" s="608"/>
      <c r="H187" s="608"/>
      <c r="I187" s="608"/>
      <c r="J187" s="608"/>
      <c r="K187" s="608"/>
      <c r="L187" s="608"/>
      <c r="M187" s="608"/>
      <c r="N187" s="608"/>
      <c r="O187" s="608"/>
    </row>
    <row r="188" spans="1:16" s="828" customFormat="1" x14ac:dyDescent="0.25">
      <c r="A188" s="423"/>
      <c r="B188" s="608" t="s">
        <v>1034</v>
      </c>
      <c r="C188" s="608"/>
      <c r="D188" s="608"/>
      <c r="E188" s="608"/>
      <c r="F188" s="608"/>
      <c r="G188" s="608"/>
      <c r="H188" s="608"/>
      <c r="I188" s="608"/>
      <c r="J188" s="608">
        <f t="shared" ref="J188:J194" si="86">SUM(C188+E188+F188+H188)</f>
        <v>0</v>
      </c>
      <c r="K188" s="608">
        <f t="shared" ref="K188:K194" si="87">SUM(D188+G188+I188)</f>
        <v>0</v>
      </c>
      <c r="L188" s="608">
        <f t="shared" ref="L188:L194" si="88">SUM(J188:K188)</f>
        <v>0</v>
      </c>
      <c r="M188" s="608">
        <v>14</v>
      </c>
      <c r="N188" s="608"/>
      <c r="O188" s="608">
        <f t="shared" ref="O188:O194" si="89">SUM(L188:N188)</f>
        <v>14</v>
      </c>
    </row>
    <row r="189" spans="1:16" s="828" customFormat="1" ht="47.25" x14ac:dyDescent="0.25">
      <c r="A189" s="423"/>
      <c r="B189" s="608" t="s">
        <v>1036</v>
      </c>
      <c r="C189" s="608"/>
      <c r="D189" s="608"/>
      <c r="E189" s="608"/>
      <c r="F189" s="608"/>
      <c r="G189" s="608"/>
      <c r="H189" s="608"/>
      <c r="I189" s="608"/>
      <c r="J189" s="608">
        <f t="shared" si="86"/>
        <v>0</v>
      </c>
      <c r="K189" s="608">
        <f t="shared" si="87"/>
        <v>0</v>
      </c>
      <c r="L189" s="608">
        <f t="shared" si="88"/>
        <v>0</v>
      </c>
      <c r="M189" s="608">
        <v>1443</v>
      </c>
      <c r="N189" s="608"/>
      <c r="O189" s="608">
        <f t="shared" si="89"/>
        <v>1443</v>
      </c>
    </row>
    <row r="190" spans="1:16" s="828" customFormat="1" ht="47.25" x14ac:dyDescent="0.25">
      <c r="A190" s="423"/>
      <c r="B190" s="608" t="s">
        <v>1039</v>
      </c>
      <c r="C190" s="608"/>
      <c r="D190" s="608"/>
      <c r="E190" s="608"/>
      <c r="F190" s="608"/>
      <c r="G190" s="608"/>
      <c r="H190" s="608"/>
      <c r="I190" s="608"/>
      <c r="J190" s="608">
        <f>SUM(C190+E190+F190+H190)</f>
        <v>0</v>
      </c>
      <c r="K190" s="608">
        <f t="shared" si="87"/>
        <v>0</v>
      </c>
      <c r="L190" s="608">
        <f>SUM(J190:K190)</f>
        <v>0</v>
      </c>
      <c r="M190" s="608">
        <v>102</v>
      </c>
      <c r="N190" s="608"/>
      <c r="O190" s="608">
        <f t="shared" si="89"/>
        <v>102</v>
      </c>
    </row>
    <row r="191" spans="1:16" s="828" customFormat="1" ht="31.5" x14ac:dyDescent="0.25">
      <c r="A191" s="423"/>
      <c r="B191" s="608" t="s">
        <v>766</v>
      </c>
      <c r="C191" s="608"/>
      <c r="D191" s="608"/>
      <c r="E191" s="608"/>
      <c r="F191" s="608">
        <v>4087</v>
      </c>
      <c r="G191" s="608"/>
      <c r="H191" s="608"/>
      <c r="I191" s="608"/>
      <c r="J191" s="608">
        <f>SUM(C191+E191+F191+H191)</f>
        <v>4087</v>
      </c>
      <c r="K191" s="608">
        <f t="shared" si="87"/>
        <v>0</v>
      </c>
      <c r="L191" s="608">
        <f>SUM(J191:K191)</f>
        <v>4087</v>
      </c>
      <c r="M191" s="608">
        <v>678</v>
      </c>
      <c r="N191" s="608"/>
      <c r="O191" s="608">
        <f t="shared" si="89"/>
        <v>4765</v>
      </c>
    </row>
    <row r="192" spans="1:16" s="828" customFormat="1" ht="31.5" x14ac:dyDescent="0.25">
      <c r="A192" s="423"/>
      <c r="B192" s="608" t="s">
        <v>767</v>
      </c>
      <c r="C192" s="608"/>
      <c r="D192" s="608"/>
      <c r="E192" s="608"/>
      <c r="F192" s="608">
        <v>-1</v>
      </c>
      <c r="G192" s="608"/>
      <c r="H192" s="608"/>
      <c r="I192" s="608"/>
      <c r="J192" s="608">
        <f>SUM(C192+E192+F192+H192)</f>
        <v>-1</v>
      </c>
      <c r="K192" s="608">
        <f t="shared" si="87"/>
        <v>0</v>
      </c>
      <c r="L192" s="608">
        <f>SUM(J192:K192)</f>
        <v>-1</v>
      </c>
      <c r="M192" s="608"/>
      <c r="N192" s="608">
        <v>1</v>
      </c>
      <c r="O192" s="608">
        <f t="shared" si="89"/>
        <v>0</v>
      </c>
    </row>
    <row r="193" spans="1:16" s="828" customFormat="1" x14ac:dyDescent="0.25">
      <c r="A193" s="423"/>
      <c r="B193" s="415" t="s">
        <v>140</v>
      </c>
      <c r="C193" s="608"/>
      <c r="D193" s="608"/>
      <c r="E193" s="608"/>
      <c r="F193" s="608"/>
      <c r="G193" s="608"/>
      <c r="H193" s="608"/>
      <c r="I193" s="608"/>
      <c r="J193" s="608"/>
      <c r="K193" s="608"/>
      <c r="L193" s="608"/>
      <c r="M193" s="608"/>
      <c r="N193" s="608"/>
      <c r="O193" s="608"/>
    </row>
    <row r="194" spans="1:16" s="828" customFormat="1" ht="16.5" thickBot="1" x14ac:dyDescent="0.3">
      <c r="A194" s="423"/>
      <c r="B194" s="608" t="s">
        <v>1037</v>
      </c>
      <c r="C194" s="608"/>
      <c r="D194" s="608"/>
      <c r="E194" s="608"/>
      <c r="F194" s="608"/>
      <c r="G194" s="608"/>
      <c r="H194" s="608"/>
      <c r="I194" s="608"/>
      <c r="J194" s="608">
        <f t="shared" si="86"/>
        <v>0</v>
      </c>
      <c r="K194" s="608">
        <f t="shared" si="87"/>
        <v>0</v>
      </c>
      <c r="L194" s="608">
        <f t="shared" si="88"/>
        <v>0</v>
      </c>
      <c r="M194" s="608">
        <v>1016</v>
      </c>
      <c r="N194" s="608"/>
      <c r="O194" s="608">
        <f t="shared" si="89"/>
        <v>1016</v>
      </c>
    </row>
    <row r="195" spans="1:16" ht="17.25" thickTop="1" thickBot="1" x14ac:dyDescent="0.3">
      <c r="A195" s="407"/>
      <c r="B195" s="406" t="s">
        <v>416</v>
      </c>
      <c r="C195" s="406">
        <f>+C184+C188+C194+C189+C190+C191+C192</f>
        <v>11118</v>
      </c>
      <c r="D195" s="406">
        <f t="shared" ref="D195:P195" si="90">+D184+D188+D194+D189+D190+D191+D192</f>
        <v>0</v>
      </c>
      <c r="E195" s="406">
        <f t="shared" si="90"/>
        <v>0</v>
      </c>
      <c r="F195" s="406">
        <f t="shared" si="90"/>
        <v>10211</v>
      </c>
      <c r="G195" s="406">
        <f t="shared" si="90"/>
        <v>0</v>
      </c>
      <c r="H195" s="406">
        <f t="shared" si="90"/>
        <v>0</v>
      </c>
      <c r="I195" s="406">
        <f t="shared" si="90"/>
        <v>0</v>
      </c>
      <c r="J195" s="406">
        <f t="shared" si="90"/>
        <v>21329</v>
      </c>
      <c r="K195" s="406">
        <f t="shared" si="90"/>
        <v>0</v>
      </c>
      <c r="L195" s="406">
        <f t="shared" si="90"/>
        <v>21329</v>
      </c>
      <c r="M195" s="406">
        <f t="shared" si="90"/>
        <v>240965</v>
      </c>
      <c r="N195" s="406">
        <f t="shared" si="90"/>
        <v>2486</v>
      </c>
      <c r="O195" s="406">
        <f t="shared" si="90"/>
        <v>264780</v>
      </c>
      <c r="P195" s="406">
        <f t="shared" si="90"/>
        <v>0</v>
      </c>
    </row>
    <row r="196" spans="1:16" ht="17.25" thickTop="1" thickBot="1" x14ac:dyDescent="0.3">
      <c r="A196" s="407"/>
      <c r="B196" s="406" t="s">
        <v>415</v>
      </c>
      <c r="C196" s="406">
        <f t="shared" ref="C196:O196" si="91">+C185+C188+C189+C190+C191+C192</f>
        <v>11118</v>
      </c>
      <c r="D196" s="406">
        <f t="shared" si="91"/>
        <v>0</v>
      </c>
      <c r="E196" s="406">
        <f t="shared" si="91"/>
        <v>0</v>
      </c>
      <c r="F196" s="406">
        <f t="shared" si="91"/>
        <v>10211</v>
      </c>
      <c r="G196" s="406">
        <f t="shared" si="91"/>
        <v>0</v>
      </c>
      <c r="H196" s="406">
        <f t="shared" si="91"/>
        <v>0</v>
      </c>
      <c r="I196" s="406">
        <f t="shared" si="91"/>
        <v>0</v>
      </c>
      <c r="J196" s="406">
        <f t="shared" si="91"/>
        <v>21329</v>
      </c>
      <c r="K196" s="406">
        <f t="shared" si="91"/>
        <v>0</v>
      </c>
      <c r="L196" s="406">
        <f t="shared" si="91"/>
        <v>21329</v>
      </c>
      <c r="M196" s="406">
        <f t="shared" si="91"/>
        <v>234233</v>
      </c>
      <c r="N196" s="406">
        <f t="shared" si="91"/>
        <v>2486</v>
      </c>
      <c r="O196" s="406">
        <f t="shared" si="91"/>
        <v>258048</v>
      </c>
    </row>
    <row r="197" spans="1:16" ht="17.25" thickTop="1" thickBot="1" x14ac:dyDescent="0.3">
      <c r="A197" s="407"/>
      <c r="B197" s="406" t="s">
        <v>414</v>
      </c>
      <c r="C197" s="406">
        <f>+C186+C194</f>
        <v>0</v>
      </c>
      <c r="D197" s="406">
        <f t="shared" ref="D197:O197" si="92">+D186+D194</f>
        <v>0</v>
      </c>
      <c r="E197" s="406">
        <f t="shared" si="92"/>
        <v>0</v>
      </c>
      <c r="F197" s="406">
        <f t="shared" si="92"/>
        <v>0</v>
      </c>
      <c r="G197" s="406">
        <f t="shared" si="92"/>
        <v>0</v>
      </c>
      <c r="H197" s="406">
        <f t="shared" si="92"/>
        <v>0</v>
      </c>
      <c r="I197" s="406">
        <f t="shared" si="92"/>
        <v>0</v>
      </c>
      <c r="J197" s="406">
        <f t="shared" si="92"/>
        <v>0</v>
      </c>
      <c r="K197" s="406">
        <f t="shared" si="92"/>
        <v>0</v>
      </c>
      <c r="L197" s="406">
        <f t="shared" si="92"/>
        <v>0</v>
      </c>
      <c r="M197" s="406">
        <f t="shared" si="92"/>
        <v>6732</v>
      </c>
      <c r="N197" s="406">
        <f t="shared" si="92"/>
        <v>0</v>
      </c>
      <c r="O197" s="406">
        <f t="shared" si="92"/>
        <v>6732</v>
      </c>
    </row>
    <row r="198" spans="1:16" ht="16.5" thickTop="1" x14ac:dyDescent="0.25">
      <c r="A198" s="420" t="s">
        <v>4</v>
      </c>
      <c r="B198" s="418" t="s">
        <v>439</v>
      </c>
      <c r="C198" s="418"/>
      <c r="D198" s="418"/>
      <c r="E198" s="418"/>
      <c r="F198" s="418"/>
      <c r="G198" s="418"/>
      <c r="H198" s="418"/>
      <c r="I198" s="418"/>
      <c r="J198" s="418"/>
      <c r="K198" s="418"/>
      <c r="L198" s="418"/>
      <c r="M198" s="418"/>
      <c r="N198" s="418"/>
      <c r="O198" s="418"/>
    </row>
    <row r="199" spans="1:16" x14ac:dyDescent="0.25">
      <c r="A199" s="420"/>
      <c r="B199" s="418" t="s">
        <v>387</v>
      </c>
      <c r="C199" s="418">
        <v>11989</v>
      </c>
      <c r="D199" s="418"/>
      <c r="E199" s="418"/>
      <c r="F199" s="418">
        <v>7556</v>
      </c>
      <c r="G199" s="418"/>
      <c r="H199" s="418"/>
      <c r="I199" s="418"/>
      <c r="J199" s="414">
        <f>SUM(C199+E199+F199+H199)</f>
        <v>19545</v>
      </c>
      <c r="K199" s="414">
        <f>SUM(D199+G199+I199)</f>
        <v>0</v>
      </c>
      <c r="L199" s="414">
        <f>SUM(J199:K199)</f>
        <v>19545</v>
      </c>
      <c r="M199" s="414">
        <v>208828</v>
      </c>
      <c r="N199" s="414">
        <v>7</v>
      </c>
      <c r="O199" s="414">
        <f>SUM(L199:N199)</f>
        <v>228380</v>
      </c>
    </row>
    <row r="200" spans="1:16" s="828" customFormat="1" x14ac:dyDescent="0.25">
      <c r="A200" s="422"/>
      <c r="B200" s="415" t="s">
        <v>418</v>
      </c>
      <c r="C200" s="415">
        <v>11989</v>
      </c>
      <c r="D200" s="415"/>
      <c r="E200" s="415"/>
      <c r="F200" s="415">
        <v>7556</v>
      </c>
      <c r="G200" s="415"/>
      <c r="H200" s="415"/>
      <c r="I200" s="415"/>
      <c r="J200" s="421">
        <f>SUM(C200+E200+F200+H200)</f>
        <v>19545</v>
      </c>
      <c r="K200" s="421">
        <f>SUM(D200+G200+I200)</f>
        <v>0</v>
      </c>
      <c r="L200" s="421">
        <f>SUM(J200:K200)</f>
        <v>19545</v>
      </c>
      <c r="M200" s="421">
        <v>203916</v>
      </c>
      <c r="N200" s="421">
        <v>7</v>
      </c>
      <c r="O200" s="421">
        <f>SUM(L200:N200)</f>
        <v>223468</v>
      </c>
    </row>
    <row r="201" spans="1:16" s="828" customFormat="1" x14ac:dyDescent="0.25">
      <c r="A201" s="422"/>
      <c r="B201" s="415" t="s">
        <v>417</v>
      </c>
      <c r="C201" s="415"/>
      <c r="D201" s="415"/>
      <c r="E201" s="415"/>
      <c r="F201" s="415"/>
      <c r="G201" s="415"/>
      <c r="H201" s="415"/>
      <c r="I201" s="415"/>
      <c r="J201" s="421">
        <f>SUM(C201+E201+F201+H201)</f>
        <v>0</v>
      </c>
      <c r="K201" s="421">
        <f>SUM(D201+G201+I201)</f>
        <v>0</v>
      </c>
      <c r="L201" s="421">
        <f>SUM(J201:K201)</f>
        <v>0</v>
      </c>
      <c r="M201" s="421">
        <v>4912</v>
      </c>
      <c r="N201" s="421"/>
      <c r="O201" s="421">
        <f>SUM(L201:N201)</f>
        <v>4912</v>
      </c>
    </row>
    <row r="202" spans="1:16" s="828" customFormat="1" x14ac:dyDescent="0.25">
      <c r="A202" s="422"/>
      <c r="B202" s="415" t="s">
        <v>139</v>
      </c>
      <c r="C202" s="608"/>
      <c r="D202" s="608"/>
      <c r="E202" s="608"/>
      <c r="F202" s="608"/>
      <c r="G202" s="608"/>
      <c r="H202" s="608"/>
      <c r="I202" s="608"/>
      <c r="J202" s="608"/>
      <c r="K202" s="608"/>
      <c r="L202" s="608"/>
      <c r="M202" s="608"/>
      <c r="N202" s="608"/>
      <c r="O202" s="608"/>
    </row>
    <row r="203" spans="1:16" s="828" customFormat="1" x14ac:dyDescent="0.25">
      <c r="A203" s="422"/>
      <c r="B203" s="608" t="s">
        <v>1034</v>
      </c>
      <c r="C203" s="608"/>
      <c r="D203" s="608"/>
      <c r="E203" s="608"/>
      <c r="F203" s="608"/>
      <c r="G203" s="608"/>
      <c r="H203" s="608"/>
      <c r="I203" s="608"/>
      <c r="J203" s="608">
        <f t="shared" ref="J203:J209" si="93">SUM(C203+E203+F203+H203)</f>
        <v>0</v>
      </c>
      <c r="K203" s="608">
        <f t="shared" ref="K203:K209" si="94">SUM(D203+G203+I203)</f>
        <v>0</v>
      </c>
      <c r="L203" s="608">
        <f t="shared" ref="L203:L209" si="95">SUM(J203:K203)</f>
        <v>0</v>
      </c>
      <c r="M203" s="608">
        <v>4</v>
      </c>
      <c r="N203" s="608"/>
      <c r="O203" s="608">
        <f t="shared" ref="O203:O209" si="96">SUM(L203:N203)</f>
        <v>4</v>
      </c>
    </row>
    <row r="204" spans="1:16" s="828" customFormat="1" ht="47.25" x14ac:dyDescent="0.25">
      <c r="A204" s="422"/>
      <c r="B204" s="609" t="s">
        <v>1036</v>
      </c>
      <c r="C204" s="609"/>
      <c r="D204" s="609"/>
      <c r="E204" s="609"/>
      <c r="F204" s="609"/>
      <c r="G204" s="609"/>
      <c r="H204" s="609"/>
      <c r="I204" s="609"/>
      <c r="J204" s="609">
        <f t="shared" si="93"/>
        <v>0</v>
      </c>
      <c r="K204" s="609">
        <f t="shared" si="94"/>
        <v>0</v>
      </c>
      <c r="L204" s="609">
        <f t="shared" si="95"/>
        <v>0</v>
      </c>
      <c r="M204" s="609">
        <v>370</v>
      </c>
      <c r="N204" s="609"/>
      <c r="O204" s="609">
        <f t="shared" si="96"/>
        <v>370</v>
      </c>
    </row>
    <row r="205" spans="1:16" s="828" customFormat="1" ht="47.25" x14ac:dyDescent="0.25">
      <c r="A205" s="422"/>
      <c r="B205" s="609" t="s">
        <v>1039</v>
      </c>
      <c r="C205" s="609"/>
      <c r="D205" s="609"/>
      <c r="E205" s="609"/>
      <c r="F205" s="609"/>
      <c r="G205" s="609"/>
      <c r="H205" s="609"/>
      <c r="I205" s="609"/>
      <c r="J205" s="609">
        <f t="shared" si="93"/>
        <v>0</v>
      </c>
      <c r="K205" s="609">
        <f t="shared" si="94"/>
        <v>0</v>
      </c>
      <c r="L205" s="609">
        <f t="shared" si="95"/>
        <v>0</v>
      </c>
      <c r="M205" s="609">
        <v>127</v>
      </c>
      <c r="N205" s="609"/>
      <c r="O205" s="609">
        <f t="shared" si="96"/>
        <v>127</v>
      </c>
    </row>
    <row r="206" spans="1:16" s="828" customFormat="1" ht="31.5" x14ac:dyDescent="0.25">
      <c r="A206" s="422"/>
      <c r="B206" s="609" t="s">
        <v>766</v>
      </c>
      <c r="C206" s="609"/>
      <c r="D206" s="609"/>
      <c r="E206" s="609"/>
      <c r="F206" s="609">
        <v>4200</v>
      </c>
      <c r="G206" s="609"/>
      <c r="H206" s="609"/>
      <c r="I206" s="609"/>
      <c r="J206" s="609">
        <f t="shared" si="93"/>
        <v>4200</v>
      </c>
      <c r="K206" s="609">
        <f t="shared" si="94"/>
        <v>0</v>
      </c>
      <c r="L206" s="609">
        <f t="shared" si="95"/>
        <v>4200</v>
      </c>
      <c r="M206" s="609"/>
      <c r="N206" s="609"/>
      <c r="O206" s="609">
        <f t="shared" si="96"/>
        <v>4200</v>
      </c>
    </row>
    <row r="207" spans="1:16" s="828" customFormat="1" ht="31.5" x14ac:dyDescent="0.25">
      <c r="A207" s="422"/>
      <c r="B207" s="608" t="s">
        <v>767</v>
      </c>
      <c r="C207" s="608"/>
      <c r="D207" s="608"/>
      <c r="E207" s="608"/>
      <c r="F207" s="608">
        <v>-1</v>
      </c>
      <c r="G207" s="608"/>
      <c r="H207" s="608"/>
      <c r="I207" s="608"/>
      <c r="J207" s="608">
        <f t="shared" si="93"/>
        <v>-1</v>
      </c>
      <c r="K207" s="608">
        <f t="shared" si="94"/>
        <v>0</v>
      </c>
      <c r="L207" s="608">
        <f t="shared" si="95"/>
        <v>-1</v>
      </c>
      <c r="M207" s="608"/>
      <c r="N207" s="608">
        <v>1</v>
      </c>
      <c r="O207" s="608">
        <f t="shared" si="96"/>
        <v>0</v>
      </c>
    </row>
    <row r="208" spans="1:16" s="828" customFormat="1" x14ac:dyDescent="0.25">
      <c r="A208" s="422"/>
      <c r="B208" s="415" t="s">
        <v>140</v>
      </c>
      <c r="C208" s="608"/>
      <c r="D208" s="608"/>
      <c r="E208" s="608"/>
      <c r="F208" s="608"/>
      <c r="G208" s="608"/>
      <c r="H208" s="608"/>
      <c r="I208" s="608"/>
      <c r="J208" s="608"/>
      <c r="K208" s="608"/>
      <c r="L208" s="608"/>
      <c r="M208" s="608"/>
      <c r="N208" s="608"/>
      <c r="O208" s="608"/>
    </row>
    <row r="209" spans="1:16" s="828" customFormat="1" ht="16.5" thickBot="1" x14ac:dyDescent="0.3">
      <c r="A209" s="422"/>
      <c r="B209" s="608" t="s">
        <v>1037</v>
      </c>
      <c r="C209" s="608"/>
      <c r="D209" s="608"/>
      <c r="E209" s="608"/>
      <c r="F209" s="608"/>
      <c r="G209" s="608"/>
      <c r="H209" s="608"/>
      <c r="I209" s="608"/>
      <c r="J209" s="608">
        <f t="shared" si="93"/>
        <v>0</v>
      </c>
      <c r="K209" s="608">
        <f t="shared" si="94"/>
        <v>0</v>
      </c>
      <c r="L209" s="608">
        <f t="shared" si="95"/>
        <v>0</v>
      </c>
      <c r="M209" s="608">
        <v>900</v>
      </c>
      <c r="N209" s="608"/>
      <c r="O209" s="608">
        <f t="shared" si="96"/>
        <v>900</v>
      </c>
    </row>
    <row r="210" spans="1:16" ht="17.25" thickTop="1" thickBot="1" x14ac:dyDescent="0.3">
      <c r="A210" s="407"/>
      <c r="B210" s="406" t="s">
        <v>416</v>
      </c>
      <c r="C210" s="406">
        <f>+C199+C203+C209+C204+C205+C206+C207</f>
        <v>11989</v>
      </c>
      <c r="D210" s="406">
        <f t="shared" ref="D210:O210" si="97">+D199+D203+D209+D204+D205+D206+D207</f>
        <v>0</v>
      </c>
      <c r="E210" s="406">
        <f t="shared" si="97"/>
        <v>0</v>
      </c>
      <c r="F210" s="406">
        <f t="shared" si="97"/>
        <v>11755</v>
      </c>
      <c r="G210" s="406">
        <f t="shared" si="97"/>
        <v>0</v>
      </c>
      <c r="H210" s="406">
        <f t="shared" si="97"/>
        <v>0</v>
      </c>
      <c r="I210" s="406">
        <f t="shared" si="97"/>
        <v>0</v>
      </c>
      <c r="J210" s="406">
        <f t="shared" si="97"/>
        <v>23744</v>
      </c>
      <c r="K210" s="406">
        <f t="shared" si="97"/>
        <v>0</v>
      </c>
      <c r="L210" s="406">
        <f t="shared" si="97"/>
        <v>23744</v>
      </c>
      <c r="M210" s="406">
        <f t="shared" si="97"/>
        <v>210229</v>
      </c>
      <c r="N210" s="406">
        <f t="shared" si="97"/>
        <v>8</v>
      </c>
      <c r="O210" s="406">
        <f t="shared" si="97"/>
        <v>233981</v>
      </c>
      <c r="P210" s="827">
        <f>O211+O212</f>
        <v>233981</v>
      </c>
    </row>
    <row r="211" spans="1:16" ht="17.25" thickTop="1" thickBot="1" x14ac:dyDescent="0.3">
      <c r="A211" s="407"/>
      <c r="B211" s="406" t="s">
        <v>415</v>
      </c>
      <c r="C211" s="406">
        <f t="shared" ref="C211:O211" si="98">+C200+C203+C204+C205+C206+C207</f>
        <v>11989</v>
      </c>
      <c r="D211" s="406">
        <f t="shared" si="98"/>
        <v>0</v>
      </c>
      <c r="E211" s="406">
        <f t="shared" si="98"/>
        <v>0</v>
      </c>
      <c r="F211" s="406">
        <f t="shared" si="98"/>
        <v>11755</v>
      </c>
      <c r="G211" s="406">
        <f t="shared" si="98"/>
        <v>0</v>
      </c>
      <c r="H211" s="406">
        <f t="shared" si="98"/>
        <v>0</v>
      </c>
      <c r="I211" s="406">
        <f t="shared" si="98"/>
        <v>0</v>
      </c>
      <c r="J211" s="406">
        <f t="shared" si="98"/>
        <v>23744</v>
      </c>
      <c r="K211" s="406">
        <f t="shared" si="98"/>
        <v>0</v>
      </c>
      <c r="L211" s="406">
        <f t="shared" si="98"/>
        <v>23744</v>
      </c>
      <c r="M211" s="406">
        <f t="shared" si="98"/>
        <v>204417</v>
      </c>
      <c r="N211" s="406">
        <f t="shared" si="98"/>
        <v>8</v>
      </c>
      <c r="O211" s="406">
        <f t="shared" si="98"/>
        <v>228169</v>
      </c>
    </row>
    <row r="212" spans="1:16" ht="17.25" thickTop="1" thickBot="1" x14ac:dyDescent="0.3">
      <c r="A212" s="407"/>
      <c r="B212" s="406" t="s">
        <v>414</v>
      </c>
      <c r="C212" s="406">
        <f>+C201+C209</f>
        <v>0</v>
      </c>
      <c r="D212" s="406">
        <f t="shared" ref="D212:O212" si="99">+D201+D209</f>
        <v>0</v>
      </c>
      <c r="E212" s="406">
        <f t="shared" si="99"/>
        <v>0</v>
      </c>
      <c r="F212" s="406">
        <f t="shared" si="99"/>
        <v>0</v>
      </c>
      <c r="G212" s="406">
        <f t="shared" si="99"/>
        <v>0</v>
      </c>
      <c r="H212" s="406">
        <f t="shared" si="99"/>
        <v>0</v>
      </c>
      <c r="I212" s="406">
        <f t="shared" si="99"/>
        <v>0</v>
      </c>
      <c r="J212" s="406">
        <f t="shared" si="99"/>
        <v>0</v>
      </c>
      <c r="K212" s="406">
        <f t="shared" si="99"/>
        <v>0</v>
      </c>
      <c r="L212" s="406">
        <f t="shared" si="99"/>
        <v>0</v>
      </c>
      <c r="M212" s="406">
        <f t="shared" si="99"/>
        <v>5812</v>
      </c>
      <c r="N212" s="406">
        <f t="shared" si="99"/>
        <v>0</v>
      </c>
      <c r="O212" s="406">
        <f t="shared" si="99"/>
        <v>5812</v>
      </c>
    </row>
    <row r="213" spans="1:16" ht="16.5" thickTop="1" x14ac:dyDescent="0.25">
      <c r="A213" s="416" t="s">
        <v>5</v>
      </c>
      <c r="B213" s="418" t="s">
        <v>438</v>
      </c>
      <c r="C213" s="418"/>
      <c r="D213" s="418"/>
      <c r="E213" s="418"/>
      <c r="F213" s="418"/>
      <c r="G213" s="418"/>
      <c r="H213" s="418"/>
      <c r="I213" s="418"/>
      <c r="J213" s="418"/>
      <c r="K213" s="418"/>
      <c r="L213" s="418"/>
      <c r="M213" s="418"/>
      <c r="N213" s="418"/>
      <c r="O213" s="418"/>
    </row>
    <row r="214" spans="1:16" x14ac:dyDescent="0.25">
      <c r="A214" s="416"/>
      <c r="B214" s="414" t="s">
        <v>387</v>
      </c>
      <c r="C214" s="414">
        <v>11578</v>
      </c>
      <c r="D214" s="414"/>
      <c r="E214" s="414"/>
      <c r="F214" s="414">
        <v>7897</v>
      </c>
      <c r="G214" s="414"/>
      <c r="H214" s="414"/>
      <c r="I214" s="414"/>
      <c r="J214" s="414">
        <f>SUM(C214+E214+F214+H214)</f>
        <v>19475</v>
      </c>
      <c r="K214" s="414">
        <f>SUM(D214+G214+I214)</f>
        <v>0</v>
      </c>
      <c r="L214" s="414">
        <f>SUM(J214:K214)</f>
        <v>19475</v>
      </c>
      <c r="M214" s="414">
        <v>233565</v>
      </c>
      <c r="N214" s="414">
        <v>1699</v>
      </c>
      <c r="O214" s="414">
        <f>SUM(L214:N214)</f>
        <v>254739</v>
      </c>
    </row>
    <row r="215" spans="1:16" s="828" customFormat="1" x14ac:dyDescent="0.25">
      <c r="A215" s="423"/>
      <c r="B215" s="415" t="s">
        <v>418</v>
      </c>
      <c r="C215" s="415">
        <v>11578</v>
      </c>
      <c r="D215" s="415"/>
      <c r="E215" s="415"/>
      <c r="F215" s="415">
        <v>7897</v>
      </c>
      <c r="G215" s="415"/>
      <c r="H215" s="415"/>
      <c r="I215" s="415"/>
      <c r="J215" s="421">
        <f>SUM(C215+E215+F215+H215)</f>
        <v>19475</v>
      </c>
      <c r="K215" s="421">
        <f>SUM(D215+G215+I215)</f>
        <v>0</v>
      </c>
      <c r="L215" s="421">
        <f>SUM(J215:K215)</f>
        <v>19475</v>
      </c>
      <c r="M215" s="421">
        <v>227604</v>
      </c>
      <c r="N215" s="421">
        <v>1699</v>
      </c>
      <c r="O215" s="421">
        <f>SUM(L215:N215)</f>
        <v>248778</v>
      </c>
    </row>
    <row r="216" spans="1:16" s="828" customFormat="1" x14ac:dyDescent="0.25">
      <c r="A216" s="423"/>
      <c r="B216" s="415" t="s">
        <v>417</v>
      </c>
      <c r="C216" s="415"/>
      <c r="D216" s="415"/>
      <c r="E216" s="415"/>
      <c r="F216" s="415"/>
      <c r="G216" s="415"/>
      <c r="H216" s="415"/>
      <c r="I216" s="415"/>
      <c r="J216" s="421">
        <f>SUM(C216+E216+F216+H216)</f>
        <v>0</v>
      </c>
      <c r="K216" s="421">
        <f>SUM(D216+G216+I216)</f>
        <v>0</v>
      </c>
      <c r="L216" s="421">
        <f>SUM(J216:K216)</f>
        <v>0</v>
      </c>
      <c r="M216" s="421">
        <v>5961</v>
      </c>
      <c r="N216" s="421"/>
      <c r="O216" s="421">
        <f>SUM(L216:N216)</f>
        <v>5961</v>
      </c>
    </row>
    <row r="217" spans="1:16" s="828" customFormat="1" x14ac:dyDescent="0.25">
      <c r="A217" s="423"/>
      <c r="B217" s="415" t="s">
        <v>139</v>
      </c>
      <c r="C217" s="608"/>
      <c r="D217" s="608"/>
      <c r="E217" s="608"/>
      <c r="F217" s="608"/>
      <c r="G217" s="608"/>
      <c r="H217" s="608"/>
      <c r="I217" s="608"/>
      <c r="J217" s="608"/>
      <c r="K217" s="608"/>
      <c r="L217" s="608"/>
      <c r="M217" s="608"/>
      <c r="N217" s="608"/>
      <c r="O217" s="608"/>
    </row>
    <row r="218" spans="1:16" s="828" customFormat="1" x14ac:dyDescent="0.25">
      <c r="A218" s="423"/>
      <c r="B218" s="608" t="s">
        <v>1034</v>
      </c>
      <c r="C218" s="608"/>
      <c r="D218" s="608"/>
      <c r="E218" s="608"/>
      <c r="F218" s="608"/>
      <c r="G218" s="608"/>
      <c r="H218" s="608"/>
      <c r="I218" s="608"/>
      <c r="J218" s="608">
        <f t="shared" ref="J218:J224" si="100">SUM(C218+E218+F218+H218)</f>
        <v>0</v>
      </c>
      <c r="K218" s="608">
        <f t="shared" ref="K218:K224" si="101">SUM(D218+G218+I218)</f>
        <v>0</v>
      </c>
      <c r="L218" s="608">
        <f t="shared" ref="L218:L224" si="102">SUM(J218:K218)</f>
        <v>0</v>
      </c>
      <c r="M218" s="608">
        <v>7</v>
      </c>
      <c r="N218" s="608"/>
      <c r="O218" s="608">
        <f t="shared" ref="O218:O224" si="103">SUM(L218:N218)</f>
        <v>7</v>
      </c>
    </row>
    <row r="219" spans="1:16" s="828" customFormat="1" ht="47.25" x14ac:dyDescent="0.25">
      <c r="A219" s="423"/>
      <c r="B219" s="608" t="s">
        <v>1036</v>
      </c>
      <c r="C219" s="608"/>
      <c r="D219" s="608"/>
      <c r="E219" s="608"/>
      <c r="F219" s="608"/>
      <c r="G219" s="608"/>
      <c r="H219" s="608"/>
      <c r="I219" s="608"/>
      <c r="J219" s="608">
        <f t="shared" si="100"/>
        <v>0</v>
      </c>
      <c r="K219" s="608">
        <f t="shared" si="101"/>
        <v>0</v>
      </c>
      <c r="L219" s="608">
        <f t="shared" si="102"/>
        <v>0</v>
      </c>
      <c r="M219" s="608">
        <v>287</v>
      </c>
      <c r="N219" s="608"/>
      <c r="O219" s="608">
        <f t="shared" si="103"/>
        <v>287</v>
      </c>
    </row>
    <row r="220" spans="1:16" s="828" customFormat="1" ht="47.25" x14ac:dyDescent="0.25">
      <c r="A220" s="423"/>
      <c r="B220" s="608" t="s">
        <v>1039</v>
      </c>
      <c r="C220" s="608"/>
      <c r="D220" s="608"/>
      <c r="E220" s="608"/>
      <c r="F220" s="608"/>
      <c r="G220" s="608"/>
      <c r="H220" s="608"/>
      <c r="I220" s="608"/>
      <c r="J220" s="608">
        <f t="shared" si="100"/>
        <v>0</v>
      </c>
      <c r="K220" s="608">
        <f t="shared" si="101"/>
        <v>0</v>
      </c>
      <c r="L220" s="608">
        <f t="shared" si="102"/>
        <v>0</v>
      </c>
      <c r="M220" s="608">
        <v>127</v>
      </c>
      <c r="N220" s="608"/>
      <c r="O220" s="608">
        <f t="shared" si="103"/>
        <v>127</v>
      </c>
    </row>
    <row r="221" spans="1:16" s="828" customFormat="1" ht="31.5" x14ac:dyDescent="0.25">
      <c r="A221" s="423"/>
      <c r="B221" s="608" t="s">
        <v>766</v>
      </c>
      <c r="C221" s="608"/>
      <c r="D221" s="608"/>
      <c r="E221" s="608"/>
      <c r="F221" s="608">
        <v>7069</v>
      </c>
      <c r="G221" s="608"/>
      <c r="H221" s="608"/>
      <c r="I221" s="608"/>
      <c r="J221" s="608">
        <f t="shared" si="100"/>
        <v>7069</v>
      </c>
      <c r="K221" s="608">
        <f t="shared" si="101"/>
        <v>0</v>
      </c>
      <c r="L221" s="608">
        <f t="shared" si="102"/>
        <v>7069</v>
      </c>
      <c r="M221" s="608"/>
      <c r="N221" s="608"/>
      <c r="O221" s="608">
        <f t="shared" si="103"/>
        <v>7069</v>
      </c>
    </row>
    <row r="222" spans="1:16" s="828" customFormat="1" ht="31.5" x14ac:dyDescent="0.25">
      <c r="A222" s="423"/>
      <c r="B222" s="608" t="s">
        <v>767</v>
      </c>
      <c r="C222" s="608"/>
      <c r="D222" s="608"/>
      <c r="E222" s="608"/>
      <c r="F222" s="608">
        <v>-1</v>
      </c>
      <c r="G222" s="608"/>
      <c r="H222" s="608"/>
      <c r="I222" s="608"/>
      <c r="J222" s="608">
        <f t="shared" si="100"/>
        <v>-1</v>
      </c>
      <c r="K222" s="608">
        <f t="shared" si="101"/>
        <v>0</v>
      </c>
      <c r="L222" s="608">
        <f t="shared" si="102"/>
        <v>-1</v>
      </c>
      <c r="M222" s="608"/>
      <c r="N222" s="608">
        <v>1</v>
      </c>
      <c r="O222" s="608">
        <f t="shared" si="103"/>
        <v>0</v>
      </c>
    </row>
    <row r="223" spans="1:16" s="828" customFormat="1" x14ac:dyDescent="0.25">
      <c r="A223" s="423"/>
      <c r="B223" s="415" t="s">
        <v>140</v>
      </c>
      <c r="C223" s="608"/>
      <c r="D223" s="608"/>
      <c r="E223" s="608"/>
      <c r="F223" s="608"/>
      <c r="G223" s="608"/>
      <c r="H223" s="608"/>
      <c r="I223" s="608"/>
      <c r="J223" s="608"/>
      <c r="K223" s="608"/>
      <c r="L223" s="608"/>
      <c r="M223" s="608"/>
      <c r="N223" s="608"/>
      <c r="O223" s="608"/>
    </row>
    <row r="224" spans="1:16" s="828" customFormat="1" ht="16.5" thickBot="1" x14ac:dyDescent="0.3">
      <c r="A224" s="423"/>
      <c r="B224" s="608" t="s">
        <v>1037</v>
      </c>
      <c r="C224" s="608"/>
      <c r="D224" s="608"/>
      <c r="E224" s="608"/>
      <c r="F224" s="608"/>
      <c r="G224" s="608"/>
      <c r="H224" s="608"/>
      <c r="I224" s="608"/>
      <c r="J224" s="608">
        <f t="shared" si="100"/>
        <v>0</v>
      </c>
      <c r="K224" s="608">
        <f t="shared" si="101"/>
        <v>0</v>
      </c>
      <c r="L224" s="608">
        <f t="shared" si="102"/>
        <v>0</v>
      </c>
      <c r="M224" s="608">
        <v>1037</v>
      </c>
      <c r="N224" s="608"/>
      <c r="O224" s="608">
        <f t="shared" si="103"/>
        <v>1037</v>
      </c>
    </row>
    <row r="225" spans="1:16" ht="17.25" thickTop="1" thickBot="1" x14ac:dyDescent="0.3">
      <c r="A225" s="407"/>
      <c r="B225" s="406" t="s">
        <v>416</v>
      </c>
      <c r="C225" s="406">
        <f>+C214+C218+C224+C219+C220+C221+C222</f>
        <v>11578</v>
      </c>
      <c r="D225" s="406">
        <f t="shared" ref="D225:P225" si="104">+D214+D218+D224+D219+D220+D221+D222</f>
        <v>0</v>
      </c>
      <c r="E225" s="406">
        <f t="shared" si="104"/>
        <v>0</v>
      </c>
      <c r="F225" s="406">
        <f t="shared" si="104"/>
        <v>14965</v>
      </c>
      <c r="G225" s="406">
        <f t="shared" si="104"/>
        <v>0</v>
      </c>
      <c r="H225" s="406">
        <f t="shared" si="104"/>
        <v>0</v>
      </c>
      <c r="I225" s="406">
        <f t="shared" si="104"/>
        <v>0</v>
      </c>
      <c r="J225" s="406">
        <f t="shared" si="104"/>
        <v>26543</v>
      </c>
      <c r="K225" s="406">
        <f t="shared" si="104"/>
        <v>0</v>
      </c>
      <c r="L225" s="406">
        <f t="shared" si="104"/>
        <v>26543</v>
      </c>
      <c r="M225" s="406">
        <f t="shared" si="104"/>
        <v>235023</v>
      </c>
      <c r="N225" s="406">
        <f t="shared" si="104"/>
        <v>1700</v>
      </c>
      <c r="O225" s="406">
        <f t="shared" si="104"/>
        <v>263266</v>
      </c>
      <c r="P225" s="406">
        <f t="shared" si="104"/>
        <v>0</v>
      </c>
    </row>
    <row r="226" spans="1:16" ht="17.25" thickTop="1" thickBot="1" x14ac:dyDescent="0.3">
      <c r="A226" s="407"/>
      <c r="B226" s="406" t="s">
        <v>415</v>
      </c>
      <c r="C226" s="406">
        <f t="shared" ref="C226:O226" si="105">+C215+C218+C219+C220+C221+C222</f>
        <v>11578</v>
      </c>
      <c r="D226" s="406">
        <f t="shared" si="105"/>
        <v>0</v>
      </c>
      <c r="E226" s="406">
        <f t="shared" si="105"/>
        <v>0</v>
      </c>
      <c r="F226" s="406">
        <f t="shared" si="105"/>
        <v>14965</v>
      </c>
      <c r="G226" s="406">
        <f t="shared" si="105"/>
        <v>0</v>
      </c>
      <c r="H226" s="406">
        <f t="shared" si="105"/>
        <v>0</v>
      </c>
      <c r="I226" s="406">
        <f t="shared" si="105"/>
        <v>0</v>
      </c>
      <c r="J226" s="406">
        <f t="shared" si="105"/>
        <v>26543</v>
      </c>
      <c r="K226" s="406">
        <f t="shared" si="105"/>
        <v>0</v>
      </c>
      <c r="L226" s="406">
        <f t="shared" si="105"/>
        <v>26543</v>
      </c>
      <c r="M226" s="406">
        <f t="shared" si="105"/>
        <v>228025</v>
      </c>
      <c r="N226" s="406">
        <f t="shared" si="105"/>
        <v>1700</v>
      </c>
      <c r="O226" s="406">
        <f t="shared" si="105"/>
        <v>256268</v>
      </c>
    </row>
    <row r="227" spans="1:16" ht="17.25" thickTop="1" thickBot="1" x14ac:dyDescent="0.3">
      <c r="A227" s="407"/>
      <c r="B227" s="406" t="s">
        <v>414</v>
      </c>
      <c r="C227" s="406">
        <f>+C216+C224</f>
        <v>0</v>
      </c>
      <c r="D227" s="406">
        <f t="shared" ref="D227:P227" si="106">+D216+D224</f>
        <v>0</v>
      </c>
      <c r="E227" s="406">
        <f t="shared" si="106"/>
        <v>0</v>
      </c>
      <c r="F227" s="406">
        <f t="shared" si="106"/>
        <v>0</v>
      </c>
      <c r="G227" s="406">
        <f t="shared" si="106"/>
        <v>0</v>
      </c>
      <c r="H227" s="406">
        <f t="shared" si="106"/>
        <v>0</v>
      </c>
      <c r="I227" s="406">
        <f t="shared" si="106"/>
        <v>0</v>
      </c>
      <c r="J227" s="406">
        <f t="shared" si="106"/>
        <v>0</v>
      </c>
      <c r="K227" s="406">
        <f t="shared" si="106"/>
        <v>0</v>
      </c>
      <c r="L227" s="406">
        <f t="shared" si="106"/>
        <v>0</v>
      </c>
      <c r="M227" s="406">
        <f t="shared" si="106"/>
        <v>6998</v>
      </c>
      <c r="N227" s="406">
        <f t="shared" si="106"/>
        <v>0</v>
      </c>
      <c r="O227" s="406">
        <f t="shared" si="106"/>
        <v>6998</v>
      </c>
      <c r="P227" s="406">
        <f t="shared" si="106"/>
        <v>0</v>
      </c>
    </row>
    <row r="228" spans="1:16" ht="16.5" thickTop="1" x14ac:dyDescent="0.25">
      <c r="A228" s="420" t="s">
        <v>6</v>
      </c>
      <c r="B228" s="418" t="s">
        <v>483</v>
      </c>
      <c r="C228" s="418"/>
      <c r="D228" s="418"/>
      <c r="E228" s="418"/>
      <c r="F228" s="418"/>
      <c r="G228" s="418"/>
      <c r="H228" s="418"/>
      <c r="I228" s="418"/>
      <c r="J228" s="438"/>
      <c r="K228" s="418"/>
      <c r="L228" s="418"/>
      <c r="M228" s="418"/>
      <c r="N228" s="418"/>
      <c r="O228" s="418"/>
    </row>
    <row r="229" spans="1:16" x14ac:dyDescent="0.25">
      <c r="A229" s="420"/>
      <c r="B229" s="418" t="s">
        <v>387</v>
      </c>
      <c r="C229" s="418">
        <v>10948</v>
      </c>
      <c r="D229" s="418"/>
      <c r="E229" s="418"/>
      <c r="F229" s="418">
        <v>5956</v>
      </c>
      <c r="G229" s="418"/>
      <c r="H229" s="418"/>
      <c r="I229" s="418"/>
      <c r="J229" s="431">
        <f>SUM(C229+E229+F229+H229)</f>
        <v>16904</v>
      </c>
      <c r="K229" s="414">
        <f>SUM(D229+G229+I229)</f>
        <v>0</v>
      </c>
      <c r="L229" s="414">
        <f>SUM(J229:K229)</f>
        <v>16904</v>
      </c>
      <c r="M229" s="414">
        <v>214450</v>
      </c>
      <c r="N229" s="414">
        <v>1443</v>
      </c>
      <c r="O229" s="414">
        <f>SUM(L229:N229)</f>
        <v>232797</v>
      </c>
    </row>
    <row r="230" spans="1:16" s="828" customFormat="1" x14ac:dyDescent="0.25">
      <c r="A230" s="422"/>
      <c r="B230" s="415" t="s">
        <v>418</v>
      </c>
      <c r="C230" s="415">
        <v>10948</v>
      </c>
      <c r="D230" s="415"/>
      <c r="E230" s="415"/>
      <c r="F230" s="415">
        <v>5956</v>
      </c>
      <c r="G230" s="415"/>
      <c r="H230" s="415"/>
      <c r="I230" s="415"/>
      <c r="J230" s="433">
        <f>SUM(C230+E230+F230+H230)</f>
        <v>16904</v>
      </c>
      <c r="K230" s="421">
        <f>SUM(D230+G230+I230)</f>
        <v>0</v>
      </c>
      <c r="L230" s="421">
        <f>SUM(J230:K230)</f>
        <v>16904</v>
      </c>
      <c r="M230" s="421">
        <v>209682</v>
      </c>
      <c r="N230" s="421">
        <v>1443</v>
      </c>
      <c r="O230" s="421">
        <f>SUM(L230:N230)</f>
        <v>228029</v>
      </c>
    </row>
    <row r="231" spans="1:16" s="828" customFormat="1" x14ac:dyDescent="0.25">
      <c r="A231" s="422"/>
      <c r="B231" s="415" t="s">
        <v>417</v>
      </c>
      <c r="C231" s="415"/>
      <c r="D231" s="415"/>
      <c r="E231" s="415"/>
      <c r="F231" s="415"/>
      <c r="G231" s="415"/>
      <c r="H231" s="415"/>
      <c r="I231" s="415"/>
      <c r="J231" s="433">
        <f>SUM(C231+E231+F231+H231)</f>
        <v>0</v>
      </c>
      <c r="K231" s="421">
        <f>SUM(D231+G231+I231)</f>
        <v>0</v>
      </c>
      <c r="L231" s="421">
        <f>SUM(J231:K231)</f>
        <v>0</v>
      </c>
      <c r="M231" s="421">
        <v>4768</v>
      </c>
      <c r="N231" s="421"/>
      <c r="O231" s="421">
        <f>SUM(L231:N231)</f>
        <v>4768</v>
      </c>
    </row>
    <row r="232" spans="1:16" s="828" customFormat="1" x14ac:dyDescent="0.25">
      <c r="A232" s="422"/>
      <c r="B232" s="415" t="s">
        <v>139</v>
      </c>
      <c r="C232" s="608"/>
      <c r="D232" s="608"/>
      <c r="E232" s="608"/>
      <c r="F232" s="608"/>
      <c r="G232" s="608"/>
      <c r="H232" s="608"/>
      <c r="I232" s="608"/>
      <c r="J232" s="610"/>
      <c r="K232" s="608"/>
      <c r="L232" s="608"/>
      <c r="M232" s="608"/>
      <c r="N232" s="608"/>
      <c r="O232" s="608"/>
    </row>
    <row r="233" spans="1:16" s="828" customFormat="1" x14ac:dyDescent="0.25">
      <c r="A233" s="422"/>
      <c r="B233" s="608" t="s">
        <v>1034</v>
      </c>
      <c r="C233" s="608"/>
      <c r="D233" s="608"/>
      <c r="E233" s="608"/>
      <c r="F233" s="608"/>
      <c r="G233" s="608"/>
      <c r="H233" s="608"/>
      <c r="I233" s="608"/>
      <c r="J233" s="610">
        <f t="shared" ref="J233:J238" si="107">SUM(C233+E233+F233+H233)</f>
        <v>0</v>
      </c>
      <c r="K233" s="608">
        <f t="shared" ref="K233:K238" si="108">SUM(D233+G233+I233)</f>
        <v>0</v>
      </c>
      <c r="L233" s="608">
        <f t="shared" ref="L233:L238" si="109">SUM(J233:K233)</f>
        <v>0</v>
      </c>
      <c r="M233" s="608">
        <v>16</v>
      </c>
      <c r="N233" s="608"/>
      <c r="O233" s="608">
        <f t="shared" ref="O233:O238" si="110">SUM(L233:N233)</f>
        <v>16</v>
      </c>
    </row>
    <row r="234" spans="1:16" s="828" customFormat="1" ht="47.25" x14ac:dyDescent="0.25">
      <c r="A234" s="422"/>
      <c r="B234" s="609" t="s">
        <v>1036</v>
      </c>
      <c r="C234" s="609"/>
      <c r="D234" s="609"/>
      <c r="E234" s="609"/>
      <c r="F234" s="609"/>
      <c r="G234" s="609"/>
      <c r="H234" s="609"/>
      <c r="I234" s="609"/>
      <c r="J234" s="611">
        <f t="shared" si="107"/>
        <v>0</v>
      </c>
      <c r="K234" s="609">
        <f t="shared" si="108"/>
        <v>0</v>
      </c>
      <c r="L234" s="609">
        <f t="shared" si="109"/>
        <v>0</v>
      </c>
      <c r="M234" s="609">
        <v>1174</v>
      </c>
      <c r="N234" s="609"/>
      <c r="O234" s="609">
        <f t="shared" si="110"/>
        <v>1174</v>
      </c>
    </row>
    <row r="235" spans="1:16" s="828" customFormat="1" ht="47.25" x14ac:dyDescent="0.25">
      <c r="A235" s="422"/>
      <c r="B235" s="609" t="s">
        <v>1039</v>
      </c>
      <c r="C235" s="609"/>
      <c r="D235" s="609"/>
      <c r="E235" s="609"/>
      <c r="F235" s="609"/>
      <c r="G235" s="609"/>
      <c r="H235" s="609"/>
      <c r="I235" s="609"/>
      <c r="J235" s="611">
        <f t="shared" si="107"/>
        <v>0</v>
      </c>
      <c r="K235" s="609">
        <f t="shared" si="108"/>
        <v>0</v>
      </c>
      <c r="L235" s="609">
        <f t="shared" si="109"/>
        <v>0</v>
      </c>
      <c r="M235" s="609">
        <v>127</v>
      </c>
      <c r="N235" s="609"/>
      <c r="O235" s="609">
        <f t="shared" si="110"/>
        <v>127</v>
      </c>
    </row>
    <row r="236" spans="1:16" s="828" customFormat="1" ht="31.5" x14ac:dyDescent="0.25">
      <c r="A236" s="422"/>
      <c r="B236" s="609" t="s">
        <v>766</v>
      </c>
      <c r="C236" s="609">
        <v>880</v>
      </c>
      <c r="D236" s="609"/>
      <c r="E236" s="609"/>
      <c r="F236" s="609">
        <f>1837+1</f>
        <v>1838</v>
      </c>
      <c r="G236" s="609"/>
      <c r="H236" s="609"/>
      <c r="I236" s="609"/>
      <c r="J236" s="611">
        <f t="shared" si="107"/>
        <v>2718</v>
      </c>
      <c r="K236" s="609">
        <f t="shared" si="108"/>
        <v>0</v>
      </c>
      <c r="L236" s="609">
        <f t="shared" si="109"/>
        <v>2718</v>
      </c>
      <c r="M236" s="609"/>
      <c r="N236" s="609"/>
      <c r="O236" s="609">
        <f t="shared" si="110"/>
        <v>2718</v>
      </c>
    </row>
    <row r="237" spans="1:16" s="828" customFormat="1" x14ac:dyDescent="0.25">
      <c r="A237" s="422"/>
      <c r="B237" s="419" t="s">
        <v>140</v>
      </c>
      <c r="C237" s="609"/>
      <c r="D237" s="609"/>
      <c r="E237" s="609"/>
      <c r="F237" s="609"/>
      <c r="G237" s="609"/>
      <c r="H237" s="609"/>
      <c r="I237" s="609"/>
      <c r="J237" s="611"/>
      <c r="K237" s="609"/>
      <c r="L237" s="609"/>
      <c r="M237" s="609"/>
      <c r="N237" s="609"/>
      <c r="O237" s="609"/>
    </row>
    <row r="238" spans="1:16" s="828" customFormat="1" ht="16.5" thickBot="1" x14ac:dyDescent="0.3">
      <c r="A238" s="422"/>
      <c r="B238" s="608" t="s">
        <v>1037</v>
      </c>
      <c r="C238" s="608"/>
      <c r="D238" s="608"/>
      <c r="E238" s="608"/>
      <c r="F238" s="608"/>
      <c r="G238" s="608"/>
      <c r="H238" s="608"/>
      <c r="I238" s="608"/>
      <c r="J238" s="610">
        <f t="shared" si="107"/>
        <v>0</v>
      </c>
      <c r="K238" s="608">
        <f t="shared" si="108"/>
        <v>0</v>
      </c>
      <c r="L238" s="608">
        <f t="shared" si="109"/>
        <v>0</v>
      </c>
      <c r="M238" s="608">
        <v>817</v>
      </c>
      <c r="N238" s="608"/>
      <c r="O238" s="608">
        <f t="shared" si="110"/>
        <v>817</v>
      </c>
    </row>
    <row r="239" spans="1:16" ht="17.25" thickTop="1" thickBot="1" x14ac:dyDescent="0.3">
      <c r="A239" s="407"/>
      <c r="B239" s="406" t="s">
        <v>416</v>
      </c>
      <c r="C239" s="406">
        <f>+C229+C233+C238+C234+C235+C236</f>
        <v>11828</v>
      </c>
      <c r="D239" s="406">
        <f t="shared" ref="D239:O239" si="111">+D229+D233+D238+D234+D235+D236</f>
        <v>0</v>
      </c>
      <c r="E239" s="406">
        <f t="shared" si="111"/>
        <v>0</v>
      </c>
      <c r="F239" s="406">
        <f t="shared" si="111"/>
        <v>7794</v>
      </c>
      <c r="G239" s="406">
        <f t="shared" si="111"/>
        <v>0</v>
      </c>
      <c r="H239" s="406">
        <f t="shared" si="111"/>
        <v>0</v>
      </c>
      <c r="I239" s="406">
        <f t="shared" si="111"/>
        <v>0</v>
      </c>
      <c r="J239" s="406">
        <f t="shared" si="111"/>
        <v>19622</v>
      </c>
      <c r="K239" s="406">
        <f t="shared" si="111"/>
        <v>0</v>
      </c>
      <c r="L239" s="406">
        <f t="shared" si="111"/>
        <v>19622</v>
      </c>
      <c r="M239" s="406">
        <f t="shared" si="111"/>
        <v>216584</v>
      </c>
      <c r="N239" s="406">
        <f t="shared" si="111"/>
        <v>1443</v>
      </c>
      <c r="O239" s="406">
        <f t="shared" si="111"/>
        <v>237649</v>
      </c>
      <c r="P239" s="827">
        <f>O240+O241</f>
        <v>237649</v>
      </c>
    </row>
    <row r="240" spans="1:16" ht="17.25" thickTop="1" thickBot="1" x14ac:dyDescent="0.3">
      <c r="A240" s="407"/>
      <c r="B240" s="406" t="s">
        <v>415</v>
      </c>
      <c r="C240" s="406">
        <f t="shared" ref="C240:O240" si="112">+C230+C233+C234+C235+C236</f>
        <v>11828</v>
      </c>
      <c r="D240" s="406">
        <f t="shared" si="112"/>
        <v>0</v>
      </c>
      <c r="E240" s="406">
        <f t="shared" si="112"/>
        <v>0</v>
      </c>
      <c r="F240" s="406">
        <f t="shared" si="112"/>
        <v>7794</v>
      </c>
      <c r="G240" s="406">
        <f t="shared" si="112"/>
        <v>0</v>
      </c>
      <c r="H240" s="406">
        <f t="shared" si="112"/>
        <v>0</v>
      </c>
      <c r="I240" s="406">
        <f t="shared" si="112"/>
        <v>0</v>
      </c>
      <c r="J240" s="406">
        <f t="shared" si="112"/>
        <v>19622</v>
      </c>
      <c r="K240" s="406">
        <f t="shared" si="112"/>
        <v>0</v>
      </c>
      <c r="L240" s="406">
        <f t="shared" si="112"/>
        <v>19622</v>
      </c>
      <c r="M240" s="406">
        <f t="shared" si="112"/>
        <v>210999</v>
      </c>
      <c r="N240" s="406">
        <f t="shared" si="112"/>
        <v>1443</v>
      </c>
      <c r="O240" s="406">
        <f t="shared" si="112"/>
        <v>232064</v>
      </c>
    </row>
    <row r="241" spans="1:16" ht="17.25" thickTop="1" thickBot="1" x14ac:dyDescent="0.3">
      <c r="A241" s="407"/>
      <c r="B241" s="406" t="s">
        <v>414</v>
      </c>
      <c r="C241" s="406">
        <f>+C231+C238</f>
        <v>0</v>
      </c>
      <c r="D241" s="406">
        <f t="shared" ref="D241:O241" si="113">+D231+D238</f>
        <v>0</v>
      </c>
      <c r="E241" s="406">
        <f t="shared" si="113"/>
        <v>0</v>
      </c>
      <c r="F241" s="406">
        <f t="shared" si="113"/>
        <v>0</v>
      </c>
      <c r="G241" s="406">
        <f t="shared" si="113"/>
        <v>0</v>
      </c>
      <c r="H241" s="406">
        <f t="shared" si="113"/>
        <v>0</v>
      </c>
      <c r="I241" s="406">
        <f t="shared" si="113"/>
        <v>0</v>
      </c>
      <c r="J241" s="406">
        <f t="shared" si="113"/>
        <v>0</v>
      </c>
      <c r="K241" s="406">
        <f t="shared" si="113"/>
        <v>0</v>
      </c>
      <c r="L241" s="406">
        <f t="shared" si="113"/>
        <v>0</v>
      </c>
      <c r="M241" s="406">
        <f t="shared" si="113"/>
        <v>5585</v>
      </c>
      <c r="N241" s="406">
        <f t="shared" si="113"/>
        <v>0</v>
      </c>
      <c r="O241" s="406">
        <f t="shared" si="113"/>
        <v>5585</v>
      </c>
    </row>
    <row r="242" spans="1:16" ht="16.5" thickTop="1" x14ac:dyDescent="0.25">
      <c r="A242" s="416" t="s">
        <v>7</v>
      </c>
      <c r="B242" s="418" t="s">
        <v>437</v>
      </c>
      <c r="C242" s="418"/>
      <c r="D242" s="418"/>
      <c r="E242" s="418"/>
      <c r="F242" s="418"/>
      <c r="G242" s="418"/>
      <c r="H242" s="418"/>
      <c r="I242" s="418"/>
      <c r="J242" s="418"/>
      <c r="K242" s="418"/>
      <c r="L242" s="418"/>
      <c r="M242" s="418"/>
      <c r="N242" s="418"/>
      <c r="O242" s="418"/>
    </row>
    <row r="243" spans="1:16" x14ac:dyDescent="0.25">
      <c r="A243" s="416"/>
      <c r="B243" s="414" t="s">
        <v>387</v>
      </c>
      <c r="C243" s="414">
        <v>4776</v>
      </c>
      <c r="D243" s="414"/>
      <c r="E243" s="414"/>
      <c r="F243" s="414">
        <v>1695</v>
      </c>
      <c r="G243" s="414"/>
      <c r="H243" s="414"/>
      <c r="I243" s="414"/>
      <c r="J243" s="414">
        <f>SUM(C243+E243+F243+H243)</f>
        <v>6471</v>
      </c>
      <c r="K243" s="414">
        <f>SUM(D243+G243+I243)</f>
        <v>0</v>
      </c>
      <c r="L243" s="414">
        <f>SUM(J243:K243)</f>
        <v>6471</v>
      </c>
      <c r="M243" s="414">
        <v>82610</v>
      </c>
      <c r="N243" s="414">
        <v>328</v>
      </c>
      <c r="O243" s="414">
        <f>SUM(L243:N243)</f>
        <v>89409</v>
      </c>
    </row>
    <row r="244" spans="1:16" s="828" customFormat="1" x14ac:dyDescent="0.25">
      <c r="A244" s="423"/>
      <c r="B244" s="415" t="s">
        <v>418</v>
      </c>
      <c r="C244" s="415">
        <v>4776</v>
      </c>
      <c r="D244" s="415"/>
      <c r="E244" s="415"/>
      <c r="F244" s="415">
        <v>1695</v>
      </c>
      <c r="G244" s="415"/>
      <c r="H244" s="415"/>
      <c r="I244" s="415"/>
      <c r="J244" s="421">
        <f>SUM(C244+E244+F244+H244)</f>
        <v>6471</v>
      </c>
      <c r="K244" s="421">
        <f>SUM(D244+G244+I244)</f>
        <v>0</v>
      </c>
      <c r="L244" s="421">
        <f>SUM(J244:K244)</f>
        <v>6471</v>
      </c>
      <c r="M244" s="421">
        <v>80198</v>
      </c>
      <c r="N244" s="421">
        <v>328</v>
      </c>
      <c r="O244" s="421">
        <f>SUM(L244:N244)</f>
        <v>86997</v>
      </c>
    </row>
    <row r="245" spans="1:16" s="828" customFormat="1" x14ac:dyDescent="0.25">
      <c r="A245" s="423"/>
      <c r="B245" s="415" t="s">
        <v>417</v>
      </c>
      <c r="C245" s="415"/>
      <c r="D245" s="415"/>
      <c r="E245" s="415"/>
      <c r="F245" s="415"/>
      <c r="G245" s="415"/>
      <c r="H245" s="415"/>
      <c r="I245" s="415"/>
      <c r="J245" s="421">
        <f>SUM(C245+E245+F245+H245)</f>
        <v>0</v>
      </c>
      <c r="K245" s="421">
        <f>SUM(D245+G245+I245)</f>
        <v>0</v>
      </c>
      <c r="L245" s="421">
        <f>SUM(J245:K245)</f>
        <v>0</v>
      </c>
      <c r="M245" s="421">
        <v>2412</v>
      </c>
      <c r="N245" s="421"/>
      <c r="O245" s="421">
        <f>SUM(L245:N245)</f>
        <v>2412</v>
      </c>
    </row>
    <row r="246" spans="1:16" s="828" customFormat="1" x14ac:dyDescent="0.25">
      <c r="A246" s="423"/>
      <c r="B246" s="415" t="s">
        <v>139</v>
      </c>
      <c r="C246" s="608"/>
      <c r="D246" s="608"/>
      <c r="E246" s="608"/>
      <c r="F246" s="608"/>
      <c r="G246" s="608"/>
      <c r="H246" s="608"/>
      <c r="I246" s="608"/>
      <c r="J246" s="608"/>
      <c r="K246" s="608"/>
      <c r="L246" s="608"/>
      <c r="M246" s="608"/>
      <c r="N246" s="608"/>
      <c r="O246" s="608"/>
    </row>
    <row r="247" spans="1:16" s="828" customFormat="1" ht="47.25" x14ac:dyDescent="0.25">
      <c r="A247" s="423"/>
      <c r="B247" s="608" t="s">
        <v>1039</v>
      </c>
      <c r="C247" s="608"/>
      <c r="D247" s="608"/>
      <c r="E247" s="608"/>
      <c r="F247" s="608"/>
      <c r="G247" s="608"/>
      <c r="H247" s="608"/>
      <c r="I247" s="608"/>
      <c r="J247" s="608">
        <f t="shared" ref="J247:J251" si="114">SUM(C247+E247+F247+H247)</f>
        <v>0</v>
      </c>
      <c r="K247" s="608">
        <f t="shared" ref="K247:K251" si="115">SUM(D247+G247+I247)</f>
        <v>0</v>
      </c>
      <c r="L247" s="608">
        <f t="shared" ref="L247:L251" si="116">SUM(J247:K247)</f>
        <v>0</v>
      </c>
      <c r="M247" s="608">
        <v>127</v>
      </c>
      <c r="N247" s="608"/>
      <c r="O247" s="608">
        <f t="shared" ref="O247:O251" si="117">SUM(L247:N247)</f>
        <v>127</v>
      </c>
    </row>
    <row r="248" spans="1:16" s="828" customFormat="1" ht="31.5" x14ac:dyDescent="0.25">
      <c r="A248" s="423"/>
      <c r="B248" s="608" t="s">
        <v>766</v>
      </c>
      <c r="C248" s="608"/>
      <c r="D248" s="608"/>
      <c r="E248" s="608"/>
      <c r="F248" s="608">
        <v>1082</v>
      </c>
      <c r="G248" s="608"/>
      <c r="H248" s="608"/>
      <c r="I248" s="608"/>
      <c r="J248" s="608">
        <f t="shared" si="114"/>
        <v>1082</v>
      </c>
      <c r="K248" s="608">
        <f t="shared" si="115"/>
        <v>0</v>
      </c>
      <c r="L248" s="608">
        <f t="shared" si="116"/>
        <v>1082</v>
      </c>
      <c r="M248" s="608"/>
      <c r="N248" s="608"/>
      <c r="O248" s="608">
        <f t="shared" si="117"/>
        <v>1082</v>
      </c>
    </row>
    <row r="249" spans="1:16" s="828" customFormat="1" x14ac:dyDescent="0.25">
      <c r="A249" s="423"/>
      <c r="B249" s="415" t="s">
        <v>140</v>
      </c>
      <c r="C249" s="608"/>
      <c r="D249" s="608"/>
      <c r="E249" s="608"/>
      <c r="F249" s="608"/>
      <c r="G249" s="608"/>
      <c r="H249" s="608"/>
      <c r="I249" s="608"/>
      <c r="J249" s="608"/>
      <c r="K249" s="608"/>
      <c r="L249" s="608"/>
      <c r="M249" s="608"/>
      <c r="N249" s="608"/>
      <c r="O249" s="608"/>
    </row>
    <row r="250" spans="1:16" s="828" customFormat="1" x14ac:dyDescent="0.25">
      <c r="A250" s="423"/>
      <c r="B250" s="608" t="s">
        <v>1037</v>
      </c>
      <c r="C250" s="608"/>
      <c r="D250" s="608"/>
      <c r="E250" s="608"/>
      <c r="F250" s="608"/>
      <c r="G250" s="608"/>
      <c r="H250" s="608"/>
      <c r="I250" s="608"/>
      <c r="J250" s="608">
        <f t="shared" si="114"/>
        <v>0</v>
      </c>
      <c r="K250" s="608">
        <f t="shared" si="115"/>
        <v>0</v>
      </c>
      <c r="L250" s="608">
        <f t="shared" si="116"/>
        <v>0</v>
      </c>
      <c r="M250" s="608">
        <v>363</v>
      </c>
      <c r="N250" s="608"/>
      <c r="O250" s="608">
        <f t="shared" si="117"/>
        <v>363</v>
      </c>
    </row>
    <row r="251" spans="1:16" s="828" customFormat="1" ht="63.75" thickBot="1" x14ac:dyDescent="0.3">
      <c r="A251" s="423"/>
      <c r="B251" s="608" t="s">
        <v>1042</v>
      </c>
      <c r="C251" s="608"/>
      <c r="D251" s="608"/>
      <c r="E251" s="608"/>
      <c r="F251" s="608"/>
      <c r="G251" s="608"/>
      <c r="H251" s="608"/>
      <c r="I251" s="608"/>
      <c r="J251" s="608">
        <f t="shared" si="114"/>
        <v>0</v>
      </c>
      <c r="K251" s="608">
        <f t="shared" si="115"/>
        <v>0</v>
      </c>
      <c r="L251" s="608">
        <f t="shared" si="116"/>
        <v>0</v>
      </c>
      <c r="M251" s="608">
        <v>150</v>
      </c>
      <c r="N251" s="608"/>
      <c r="O251" s="608">
        <f t="shared" si="117"/>
        <v>150</v>
      </c>
    </row>
    <row r="252" spans="1:16" ht="17.25" thickTop="1" thickBot="1" x14ac:dyDescent="0.3">
      <c r="A252" s="407"/>
      <c r="B252" s="406" t="s">
        <v>416</v>
      </c>
      <c r="C252" s="406">
        <f>+C243+C247+C250+C251+C248</f>
        <v>4776</v>
      </c>
      <c r="D252" s="406">
        <f t="shared" ref="D252:O252" si="118">+D243+D247+D250+D251+D248</f>
        <v>0</v>
      </c>
      <c r="E252" s="406">
        <f t="shared" si="118"/>
        <v>0</v>
      </c>
      <c r="F252" s="406">
        <f t="shared" si="118"/>
        <v>2777</v>
      </c>
      <c r="G252" s="406">
        <f t="shared" si="118"/>
        <v>0</v>
      </c>
      <c r="H252" s="406">
        <f t="shared" si="118"/>
        <v>0</v>
      </c>
      <c r="I252" s="406">
        <f t="shared" si="118"/>
        <v>0</v>
      </c>
      <c r="J252" s="406">
        <f t="shared" si="118"/>
        <v>7553</v>
      </c>
      <c r="K252" s="406">
        <f t="shared" si="118"/>
        <v>0</v>
      </c>
      <c r="L252" s="406">
        <f t="shared" si="118"/>
        <v>7553</v>
      </c>
      <c r="M252" s="406">
        <f t="shared" si="118"/>
        <v>83250</v>
      </c>
      <c r="N252" s="406">
        <f t="shared" si="118"/>
        <v>328</v>
      </c>
      <c r="O252" s="406">
        <f t="shared" si="118"/>
        <v>91131</v>
      </c>
      <c r="P252" s="827">
        <f>O253+O254</f>
        <v>91131</v>
      </c>
    </row>
    <row r="253" spans="1:16" ht="17.25" thickTop="1" thickBot="1" x14ac:dyDescent="0.3">
      <c r="A253" s="407"/>
      <c r="B253" s="406" t="s">
        <v>415</v>
      </c>
      <c r="C253" s="406">
        <f t="shared" ref="C253:O253" si="119">+C244+C247+C248</f>
        <v>4776</v>
      </c>
      <c r="D253" s="406">
        <f t="shared" si="119"/>
        <v>0</v>
      </c>
      <c r="E253" s="406">
        <f t="shared" si="119"/>
        <v>0</v>
      </c>
      <c r="F253" s="406">
        <f t="shared" si="119"/>
        <v>2777</v>
      </c>
      <c r="G253" s="406">
        <f t="shared" si="119"/>
        <v>0</v>
      </c>
      <c r="H253" s="406">
        <f t="shared" si="119"/>
        <v>0</v>
      </c>
      <c r="I253" s="406">
        <f t="shared" si="119"/>
        <v>0</v>
      </c>
      <c r="J253" s="406">
        <f t="shared" si="119"/>
        <v>7553</v>
      </c>
      <c r="K253" s="406">
        <f t="shared" si="119"/>
        <v>0</v>
      </c>
      <c r="L253" s="406">
        <f t="shared" si="119"/>
        <v>7553</v>
      </c>
      <c r="M253" s="406">
        <f t="shared" si="119"/>
        <v>80325</v>
      </c>
      <c r="N253" s="406">
        <f t="shared" si="119"/>
        <v>328</v>
      </c>
      <c r="O253" s="406">
        <f t="shared" si="119"/>
        <v>88206</v>
      </c>
    </row>
    <row r="254" spans="1:16" ht="17.25" thickTop="1" thickBot="1" x14ac:dyDescent="0.3">
      <c r="A254" s="407"/>
      <c r="B254" s="406" t="s">
        <v>414</v>
      </c>
      <c r="C254" s="406">
        <f>+C245+C250+C251</f>
        <v>0</v>
      </c>
      <c r="D254" s="406">
        <f t="shared" ref="D254:O254" si="120">+D245+D250+D251</f>
        <v>0</v>
      </c>
      <c r="E254" s="406">
        <f t="shared" si="120"/>
        <v>0</v>
      </c>
      <c r="F254" s="406">
        <f t="shared" si="120"/>
        <v>0</v>
      </c>
      <c r="G254" s="406">
        <f t="shared" si="120"/>
        <v>0</v>
      </c>
      <c r="H254" s="406">
        <f t="shared" si="120"/>
        <v>0</v>
      </c>
      <c r="I254" s="406">
        <f t="shared" si="120"/>
        <v>0</v>
      </c>
      <c r="J254" s="406">
        <f t="shared" si="120"/>
        <v>0</v>
      </c>
      <c r="K254" s="406">
        <f t="shared" si="120"/>
        <v>0</v>
      </c>
      <c r="L254" s="406">
        <f t="shared" si="120"/>
        <v>0</v>
      </c>
      <c r="M254" s="406">
        <f t="shared" si="120"/>
        <v>2925</v>
      </c>
      <c r="N254" s="406">
        <f t="shared" si="120"/>
        <v>0</v>
      </c>
      <c r="O254" s="406">
        <f t="shared" si="120"/>
        <v>2925</v>
      </c>
    </row>
    <row r="255" spans="1:16" ht="16.5" thickTop="1" x14ac:dyDescent="0.25">
      <c r="A255" s="420" t="s">
        <v>8</v>
      </c>
      <c r="B255" s="418" t="s">
        <v>484</v>
      </c>
      <c r="C255" s="418"/>
      <c r="D255" s="418"/>
      <c r="E255" s="418"/>
      <c r="F255" s="418"/>
      <c r="G255" s="418"/>
      <c r="H255" s="418"/>
      <c r="I255" s="418"/>
      <c r="J255" s="418"/>
      <c r="K255" s="418"/>
      <c r="L255" s="418"/>
      <c r="M255" s="418"/>
      <c r="N255" s="418"/>
      <c r="O255" s="418"/>
    </row>
    <row r="256" spans="1:16" x14ac:dyDescent="0.25">
      <c r="A256" s="420"/>
      <c r="B256" s="418" t="s">
        <v>387</v>
      </c>
      <c r="C256" s="418">
        <v>16097</v>
      </c>
      <c r="D256" s="418"/>
      <c r="E256" s="418"/>
      <c r="F256" s="418">
        <v>7056</v>
      </c>
      <c r="G256" s="418"/>
      <c r="H256" s="418"/>
      <c r="I256" s="418"/>
      <c r="J256" s="414">
        <f>SUM(C256+E256+F256+H256)</f>
        <v>23153</v>
      </c>
      <c r="K256" s="414">
        <f>SUM(D256+G256+I256)</f>
        <v>0</v>
      </c>
      <c r="L256" s="414">
        <f>SUM(J256:K256)</f>
        <v>23153</v>
      </c>
      <c r="M256" s="414">
        <v>297798</v>
      </c>
      <c r="N256" s="414">
        <v>718</v>
      </c>
      <c r="O256" s="414">
        <f>SUM(L256:N256)</f>
        <v>321669</v>
      </c>
    </row>
    <row r="257" spans="1:16" s="828" customFormat="1" x14ac:dyDescent="0.25">
      <c r="A257" s="422"/>
      <c r="B257" s="419" t="s">
        <v>418</v>
      </c>
      <c r="C257" s="419">
        <v>16097</v>
      </c>
      <c r="D257" s="419"/>
      <c r="E257" s="419"/>
      <c r="F257" s="419">
        <v>7056</v>
      </c>
      <c r="G257" s="419"/>
      <c r="H257" s="419"/>
      <c r="I257" s="419"/>
      <c r="J257" s="435">
        <f>SUM(C257+E257+F257+H257)</f>
        <v>23153</v>
      </c>
      <c r="K257" s="435">
        <f>SUM(D257+G257+I257)</f>
        <v>0</v>
      </c>
      <c r="L257" s="435">
        <f>SUM(J257:K257)</f>
        <v>23153</v>
      </c>
      <c r="M257" s="435">
        <v>290501</v>
      </c>
      <c r="N257" s="435">
        <v>718</v>
      </c>
      <c r="O257" s="435">
        <f>SUM(L257:N257)</f>
        <v>314372</v>
      </c>
    </row>
    <row r="258" spans="1:16" s="828" customFormat="1" x14ac:dyDescent="0.25">
      <c r="A258" s="423"/>
      <c r="B258" s="415" t="s">
        <v>417</v>
      </c>
      <c r="C258" s="415"/>
      <c r="D258" s="415"/>
      <c r="E258" s="415"/>
      <c r="F258" s="415"/>
      <c r="G258" s="415"/>
      <c r="H258" s="415"/>
      <c r="I258" s="415"/>
      <c r="J258" s="421">
        <f>SUM(C258+E258+F258+H258)</f>
        <v>0</v>
      </c>
      <c r="K258" s="421">
        <f>SUM(D258+G258+I258)</f>
        <v>0</v>
      </c>
      <c r="L258" s="421">
        <f>SUM(J258:K258)</f>
        <v>0</v>
      </c>
      <c r="M258" s="421">
        <v>7297</v>
      </c>
      <c r="N258" s="421"/>
      <c r="O258" s="421">
        <f>SUM(L258:N258)</f>
        <v>7297</v>
      </c>
    </row>
    <row r="259" spans="1:16" s="828" customFormat="1" x14ac:dyDescent="0.25">
      <c r="A259" s="423"/>
      <c r="B259" s="415" t="s">
        <v>139</v>
      </c>
      <c r="C259" s="608"/>
      <c r="D259" s="608"/>
      <c r="E259" s="608"/>
      <c r="F259" s="608"/>
      <c r="G259" s="608"/>
      <c r="H259" s="608"/>
      <c r="I259" s="608"/>
      <c r="J259" s="608"/>
      <c r="K259" s="608"/>
      <c r="L259" s="608"/>
      <c r="M259" s="608"/>
      <c r="N259" s="608"/>
      <c r="O259" s="608"/>
    </row>
    <row r="260" spans="1:16" s="828" customFormat="1" ht="47.25" x14ac:dyDescent="0.25">
      <c r="A260" s="423"/>
      <c r="B260" s="608" t="s">
        <v>1036</v>
      </c>
      <c r="C260" s="608"/>
      <c r="D260" s="608"/>
      <c r="E260" s="608"/>
      <c r="F260" s="608"/>
      <c r="G260" s="608"/>
      <c r="H260" s="608"/>
      <c r="I260" s="608"/>
      <c r="J260" s="608">
        <f t="shared" ref="J260:J264" si="121">SUM(C260+E260+F260+H260)</f>
        <v>0</v>
      </c>
      <c r="K260" s="608">
        <f t="shared" ref="K260:K264" si="122">SUM(D260+G260+I260)</f>
        <v>0</v>
      </c>
      <c r="L260" s="608">
        <f t="shared" ref="L260:L264" si="123">SUM(J260:K260)</f>
        <v>0</v>
      </c>
      <c r="M260" s="608">
        <v>332</v>
      </c>
      <c r="N260" s="608"/>
      <c r="O260" s="608">
        <f t="shared" ref="O260:O264" si="124">SUM(L260:N260)</f>
        <v>332</v>
      </c>
    </row>
    <row r="261" spans="1:16" s="828" customFormat="1" ht="47.25" x14ac:dyDescent="0.25">
      <c r="A261" s="423"/>
      <c r="B261" s="608" t="s">
        <v>1039</v>
      </c>
      <c r="C261" s="608"/>
      <c r="D261" s="608"/>
      <c r="E261" s="608"/>
      <c r="F261" s="608"/>
      <c r="G261" s="608"/>
      <c r="H261" s="608"/>
      <c r="I261" s="608"/>
      <c r="J261" s="608">
        <f t="shared" si="121"/>
        <v>0</v>
      </c>
      <c r="K261" s="608">
        <f t="shared" si="122"/>
        <v>0</v>
      </c>
      <c r="L261" s="608">
        <f t="shared" si="123"/>
        <v>0</v>
      </c>
      <c r="M261" s="608">
        <v>127</v>
      </c>
      <c r="N261" s="608"/>
      <c r="O261" s="608">
        <f t="shared" si="124"/>
        <v>127</v>
      </c>
    </row>
    <row r="262" spans="1:16" s="828" customFormat="1" ht="31.5" x14ac:dyDescent="0.25">
      <c r="A262" s="423"/>
      <c r="B262" s="608" t="s">
        <v>766</v>
      </c>
      <c r="C262" s="608">
        <v>881</v>
      </c>
      <c r="D262" s="608"/>
      <c r="E262" s="608"/>
      <c r="F262" s="608">
        <f>7486+237</f>
        <v>7723</v>
      </c>
      <c r="G262" s="608"/>
      <c r="H262" s="608"/>
      <c r="I262" s="608"/>
      <c r="J262" s="608">
        <f t="shared" si="121"/>
        <v>8604</v>
      </c>
      <c r="K262" s="608">
        <f t="shared" si="122"/>
        <v>0</v>
      </c>
      <c r="L262" s="608">
        <f t="shared" si="123"/>
        <v>8604</v>
      </c>
      <c r="M262" s="608"/>
      <c r="N262" s="608"/>
      <c r="O262" s="608">
        <f t="shared" si="124"/>
        <v>8604</v>
      </c>
    </row>
    <row r="263" spans="1:16" s="828" customFormat="1" x14ac:dyDescent="0.25">
      <c r="A263" s="423"/>
      <c r="B263" s="415" t="s">
        <v>140</v>
      </c>
      <c r="C263" s="608"/>
      <c r="D263" s="608"/>
      <c r="E263" s="608"/>
      <c r="F263" s="608"/>
      <c r="G263" s="608"/>
      <c r="H263" s="608"/>
      <c r="I263" s="608"/>
      <c r="J263" s="608"/>
      <c r="K263" s="608"/>
      <c r="L263" s="608"/>
      <c r="M263" s="608"/>
      <c r="N263" s="608"/>
      <c r="O263" s="608"/>
    </row>
    <row r="264" spans="1:16" s="828" customFormat="1" ht="16.5" thickBot="1" x14ac:dyDescent="0.3">
      <c r="A264" s="967"/>
      <c r="B264" s="968" t="s">
        <v>1037</v>
      </c>
      <c r="C264" s="968"/>
      <c r="D264" s="968"/>
      <c r="E264" s="968"/>
      <c r="F264" s="968"/>
      <c r="G264" s="968"/>
      <c r="H264" s="968"/>
      <c r="I264" s="968"/>
      <c r="J264" s="968">
        <f t="shared" si="121"/>
        <v>0</v>
      </c>
      <c r="K264" s="968">
        <f t="shared" si="122"/>
        <v>0</v>
      </c>
      <c r="L264" s="968">
        <f t="shared" si="123"/>
        <v>0</v>
      </c>
      <c r="M264" s="968">
        <v>1338</v>
      </c>
      <c r="N264" s="968"/>
      <c r="O264" s="968">
        <f t="shared" si="124"/>
        <v>1338</v>
      </c>
    </row>
    <row r="265" spans="1:16" ht="17.25" thickTop="1" thickBot="1" x14ac:dyDescent="0.3">
      <c r="A265" s="407"/>
      <c r="B265" s="406" t="s">
        <v>416</v>
      </c>
      <c r="C265" s="406">
        <f>+C256+C260+C264+C261+C262</f>
        <v>16978</v>
      </c>
      <c r="D265" s="406">
        <f t="shared" ref="D265:O265" si="125">+D256+D260+D264+D261+D262</f>
        <v>0</v>
      </c>
      <c r="E265" s="406">
        <f t="shared" si="125"/>
        <v>0</v>
      </c>
      <c r="F265" s="406">
        <f t="shared" si="125"/>
        <v>14779</v>
      </c>
      <c r="G265" s="406">
        <f t="shared" si="125"/>
        <v>0</v>
      </c>
      <c r="H265" s="406">
        <f t="shared" si="125"/>
        <v>0</v>
      </c>
      <c r="I265" s="406">
        <f t="shared" si="125"/>
        <v>0</v>
      </c>
      <c r="J265" s="406">
        <f t="shared" si="125"/>
        <v>31757</v>
      </c>
      <c r="K265" s="406">
        <f t="shared" si="125"/>
        <v>0</v>
      </c>
      <c r="L265" s="406">
        <f t="shared" si="125"/>
        <v>31757</v>
      </c>
      <c r="M265" s="406">
        <f t="shared" si="125"/>
        <v>299595</v>
      </c>
      <c r="N265" s="406">
        <f t="shared" si="125"/>
        <v>718</v>
      </c>
      <c r="O265" s="406">
        <f t="shared" si="125"/>
        <v>332070</v>
      </c>
      <c r="P265" s="827">
        <f>O266+O267</f>
        <v>332070</v>
      </c>
    </row>
    <row r="266" spans="1:16" ht="17.25" thickTop="1" thickBot="1" x14ac:dyDescent="0.3">
      <c r="A266" s="407"/>
      <c r="B266" s="406" t="s">
        <v>415</v>
      </c>
      <c r="C266" s="406">
        <f t="shared" ref="C266:O266" si="126">+C257+C260+C261+C262</f>
        <v>16978</v>
      </c>
      <c r="D266" s="406">
        <f t="shared" si="126"/>
        <v>0</v>
      </c>
      <c r="E266" s="406">
        <f t="shared" si="126"/>
        <v>0</v>
      </c>
      <c r="F266" s="406">
        <f t="shared" si="126"/>
        <v>14779</v>
      </c>
      <c r="G266" s="406">
        <f t="shared" si="126"/>
        <v>0</v>
      </c>
      <c r="H266" s="406">
        <f t="shared" si="126"/>
        <v>0</v>
      </c>
      <c r="I266" s="406">
        <f t="shared" si="126"/>
        <v>0</v>
      </c>
      <c r="J266" s="406">
        <f t="shared" si="126"/>
        <v>31757</v>
      </c>
      <c r="K266" s="406">
        <f t="shared" si="126"/>
        <v>0</v>
      </c>
      <c r="L266" s="406">
        <f t="shared" si="126"/>
        <v>31757</v>
      </c>
      <c r="M266" s="406">
        <f t="shared" si="126"/>
        <v>290960</v>
      </c>
      <c r="N266" s="406">
        <f t="shared" si="126"/>
        <v>718</v>
      </c>
      <c r="O266" s="406">
        <f t="shared" si="126"/>
        <v>323435</v>
      </c>
    </row>
    <row r="267" spans="1:16" ht="17.25" thickTop="1" thickBot="1" x14ac:dyDescent="0.3">
      <c r="A267" s="407"/>
      <c r="B267" s="406" t="s">
        <v>414</v>
      </c>
      <c r="C267" s="406">
        <f>+C258+C264</f>
        <v>0</v>
      </c>
      <c r="D267" s="406">
        <f t="shared" ref="D267:O267" si="127">+D258+D264</f>
        <v>0</v>
      </c>
      <c r="E267" s="406">
        <f t="shared" si="127"/>
        <v>0</v>
      </c>
      <c r="F267" s="406">
        <f t="shared" si="127"/>
        <v>0</v>
      </c>
      <c r="G267" s="406">
        <f t="shared" si="127"/>
        <v>0</v>
      </c>
      <c r="H267" s="406">
        <f t="shared" si="127"/>
        <v>0</v>
      </c>
      <c r="I267" s="406">
        <f t="shared" si="127"/>
        <v>0</v>
      </c>
      <c r="J267" s="406">
        <f t="shared" si="127"/>
        <v>0</v>
      </c>
      <c r="K267" s="406">
        <f t="shared" si="127"/>
        <v>0</v>
      </c>
      <c r="L267" s="406">
        <f t="shared" si="127"/>
        <v>0</v>
      </c>
      <c r="M267" s="406">
        <f t="shared" si="127"/>
        <v>8635</v>
      </c>
      <c r="N267" s="406">
        <f t="shared" si="127"/>
        <v>0</v>
      </c>
      <c r="O267" s="406">
        <f t="shared" si="127"/>
        <v>8635</v>
      </c>
    </row>
    <row r="268" spans="1:16" ht="16.5" thickTop="1" x14ac:dyDescent="0.25">
      <c r="A268" s="416" t="s">
        <v>9</v>
      </c>
      <c r="B268" s="418" t="s">
        <v>435</v>
      </c>
      <c r="C268" s="418"/>
      <c r="D268" s="418"/>
      <c r="E268" s="418"/>
      <c r="F268" s="418"/>
      <c r="G268" s="418"/>
      <c r="H268" s="418"/>
      <c r="I268" s="418"/>
      <c r="J268" s="418"/>
      <c r="K268" s="418"/>
      <c r="L268" s="418"/>
      <c r="M268" s="418"/>
      <c r="N268" s="418"/>
      <c r="O268" s="418"/>
    </row>
    <row r="269" spans="1:16" x14ac:dyDescent="0.25">
      <c r="A269" s="420"/>
      <c r="B269" s="418" t="s">
        <v>387</v>
      </c>
      <c r="C269" s="418">
        <v>10961</v>
      </c>
      <c r="D269" s="418"/>
      <c r="E269" s="418"/>
      <c r="F269" s="418">
        <v>9844</v>
      </c>
      <c r="G269" s="418"/>
      <c r="H269" s="418"/>
      <c r="I269" s="418"/>
      <c r="J269" s="418">
        <f>SUM(C269+E269+F269+H269)</f>
        <v>20805</v>
      </c>
      <c r="K269" s="418">
        <f>SUM(D269+G269+I269)</f>
        <v>0</v>
      </c>
      <c r="L269" s="418">
        <f>SUM(J269:K269)</f>
        <v>20805</v>
      </c>
      <c r="M269" s="418">
        <v>200550</v>
      </c>
      <c r="N269" s="418">
        <v>1186</v>
      </c>
      <c r="O269" s="418">
        <f>SUM(L269:N269)</f>
        <v>222541</v>
      </c>
    </row>
    <row r="270" spans="1:16" s="828" customFormat="1" x14ac:dyDescent="0.25">
      <c r="A270" s="422"/>
      <c r="B270" s="419" t="s">
        <v>418</v>
      </c>
      <c r="C270" s="419">
        <v>10961</v>
      </c>
      <c r="D270" s="419"/>
      <c r="E270" s="419"/>
      <c r="F270" s="419">
        <v>9844</v>
      </c>
      <c r="G270" s="419"/>
      <c r="H270" s="419"/>
      <c r="I270" s="434"/>
      <c r="J270" s="436">
        <f>SUM(C270+E270+F270+H270)</f>
        <v>20805</v>
      </c>
      <c r="K270" s="436">
        <f>SUM(D270+G270+I270)</f>
        <v>0</v>
      </c>
      <c r="L270" s="435">
        <f>SUM(J270:K270)</f>
        <v>20805</v>
      </c>
      <c r="M270" s="435">
        <v>195810</v>
      </c>
      <c r="N270" s="435">
        <v>1186</v>
      </c>
      <c r="O270" s="435">
        <f>SUM(L270:N270)</f>
        <v>217801</v>
      </c>
    </row>
    <row r="271" spans="1:16" s="828" customFormat="1" x14ac:dyDescent="0.25">
      <c r="A271" s="423"/>
      <c r="B271" s="415" t="s">
        <v>417</v>
      </c>
      <c r="C271" s="415"/>
      <c r="D271" s="415"/>
      <c r="E271" s="415"/>
      <c r="F271" s="415"/>
      <c r="G271" s="415"/>
      <c r="H271" s="415"/>
      <c r="I271" s="432"/>
      <c r="J271" s="432">
        <f>SUM(C271+E271+F271+H271)</f>
        <v>0</v>
      </c>
      <c r="K271" s="432">
        <f>SUM(D271+G271+I271)</f>
        <v>0</v>
      </c>
      <c r="L271" s="415">
        <f>SUM(J271:K271)</f>
        <v>0</v>
      </c>
      <c r="M271" s="415">
        <v>4740</v>
      </c>
      <c r="N271" s="415"/>
      <c r="O271" s="415">
        <f>SUM(L271:N271)</f>
        <v>4740</v>
      </c>
    </row>
    <row r="272" spans="1:16" s="828" customFormat="1" x14ac:dyDescent="0.25">
      <c r="A272" s="423"/>
      <c r="B272" s="415" t="s">
        <v>139</v>
      </c>
      <c r="C272" s="608"/>
      <c r="D272" s="608"/>
      <c r="E272" s="608"/>
      <c r="F272" s="608"/>
      <c r="G272" s="608"/>
      <c r="H272" s="608"/>
      <c r="I272" s="610"/>
      <c r="J272" s="610"/>
      <c r="K272" s="610"/>
      <c r="L272" s="608"/>
      <c r="M272" s="608"/>
      <c r="N272" s="608"/>
      <c r="O272" s="608"/>
    </row>
    <row r="273" spans="1:16" s="828" customFormat="1" x14ac:dyDescent="0.25">
      <c r="A273" s="423"/>
      <c r="B273" s="608" t="s">
        <v>1034</v>
      </c>
      <c r="C273" s="608"/>
      <c r="D273" s="608"/>
      <c r="E273" s="608"/>
      <c r="F273" s="608"/>
      <c r="G273" s="608"/>
      <c r="H273" s="608"/>
      <c r="I273" s="610"/>
      <c r="J273" s="610">
        <f t="shared" ref="J273:J277" si="128">SUM(C273+E273+F273+H273)</f>
        <v>0</v>
      </c>
      <c r="K273" s="610">
        <f t="shared" ref="K273:K277" si="129">SUM(D273+G273+I273)</f>
        <v>0</v>
      </c>
      <c r="L273" s="608">
        <f t="shared" ref="L273:L277" si="130">SUM(J273:K273)</f>
        <v>0</v>
      </c>
      <c r="M273" s="608">
        <v>14</v>
      </c>
      <c r="N273" s="608"/>
      <c r="O273" s="608">
        <f t="shared" ref="O273:O277" si="131">SUM(L273:N273)</f>
        <v>14</v>
      </c>
    </row>
    <row r="274" spans="1:16" s="828" customFormat="1" ht="47.25" x14ac:dyDescent="0.25">
      <c r="A274" s="423"/>
      <c r="B274" s="608" t="s">
        <v>1039</v>
      </c>
      <c r="C274" s="608"/>
      <c r="D274" s="608"/>
      <c r="E274" s="608"/>
      <c r="F274" s="608"/>
      <c r="G274" s="608"/>
      <c r="H274" s="608"/>
      <c r="I274" s="610"/>
      <c r="J274" s="610">
        <f t="shared" si="128"/>
        <v>0</v>
      </c>
      <c r="K274" s="610">
        <f t="shared" si="129"/>
        <v>0</v>
      </c>
      <c r="L274" s="608">
        <f t="shared" si="130"/>
        <v>0</v>
      </c>
      <c r="M274" s="608">
        <v>127</v>
      </c>
      <c r="N274" s="608"/>
      <c r="O274" s="608">
        <f t="shared" si="131"/>
        <v>127</v>
      </c>
    </row>
    <row r="275" spans="1:16" s="828" customFormat="1" ht="31.5" x14ac:dyDescent="0.25">
      <c r="A275" s="423"/>
      <c r="B275" s="608" t="s">
        <v>766</v>
      </c>
      <c r="C275" s="608"/>
      <c r="D275" s="608"/>
      <c r="E275" s="608"/>
      <c r="F275" s="608">
        <v>1863</v>
      </c>
      <c r="G275" s="608"/>
      <c r="H275" s="608"/>
      <c r="I275" s="610"/>
      <c r="J275" s="610">
        <f t="shared" si="128"/>
        <v>1863</v>
      </c>
      <c r="K275" s="610">
        <f t="shared" si="129"/>
        <v>0</v>
      </c>
      <c r="L275" s="608">
        <f t="shared" si="130"/>
        <v>1863</v>
      </c>
      <c r="M275" s="608"/>
      <c r="N275" s="608"/>
      <c r="O275" s="608">
        <f t="shared" si="131"/>
        <v>1863</v>
      </c>
    </row>
    <row r="276" spans="1:16" s="828" customFormat="1" x14ac:dyDescent="0.25">
      <c r="A276" s="423"/>
      <c r="B276" s="415" t="s">
        <v>140</v>
      </c>
      <c r="C276" s="608"/>
      <c r="D276" s="608"/>
      <c r="E276" s="608"/>
      <c r="F276" s="608"/>
      <c r="G276" s="608"/>
      <c r="H276" s="608"/>
      <c r="I276" s="610"/>
      <c r="J276" s="610"/>
      <c r="K276" s="610"/>
      <c r="L276" s="608"/>
      <c r="M276" s="608"/>
      <c r="N276" s="608"/>
      <c r="O276" s="608"/>
    </row>
    <row r="277" spans="1:16" s="828" customFormat="1" ht="16.5" thickBot="1" x14ac:dyDescent="0.3">
      <c r="A277" s="423"/>
      <c r="B277" s="608" t="s">
        <v>1037</v>
      </c>
      <c r="C277" s="608"/>
      <c r="D277" s="608"/>
      <c r="E277" s="608"/>
      <c r="F277" s="608"/>
      <c r="G277" s="608"/>
      <c r="H277" s="608"/>
      <c r="I277" s="610"/>
      <c r="J277" s="610">
        <f t="shared" si="128"/>
        <v>0</v>
      </c>
      <c r="K277" s="610">
        <f t="shared" si="129"/>
        <v>0</v>
      </c>
      <c r="L277" s="608">
        <f t="shared" si="130"/>
        <v>0</v>
      </c>
      <c r="M277" s="608">
        <v>838</v>
      </c>
      <c r="N277" s="608"/>
      <c r="O277" s="608">
        <f t="shared" si="131"/>
        <v>838</v>
      </c>
    </row>
    <row r="278" spans="1:16" ht="17.25" thickTop="1" thickBot="1" x14ac:dyDescent="0.3">
      <c r="A278" s="407"/>
      <c r="B278" s="406" t="s">
        <v>416</v>
      </c>
      <c r="C278" s="406">
        <f>+C269+C273+C277+C274+C275</f>
        <v>10961</v>
      </c>
      <c r="D278" s="406">
        <f t="shared" ref="D278:O278" si="132">+D269+D273+D277+D274+D275</f>
        <v>0</v>
      </c>
      <c r="E278" s="406">
        <f t="shared" si="132"/>
        <v>0</v>
      </c>
      <c r="F278" s="406">
        <f t="shared" si="132"/>
        <v>11707</v>
      </c>
      <c r="G278" s="406">
        <f t="shared" si="132"/>
        <v>0</v>
      </c>
      <c r="H278" s="406">
        <f t="shared" si="132"/>
        <v>0</v>
      </c>
      <c r="I278" s="406">
        <f t="shared" si="132"/>
        <v>0</v>
      </c>
      <c r="J278" s="406">
        <f t="shared" si="132"/>
        <v>22668</v>
      </c>
      <c r="K278" s="406">
        <f t="shared" si="132"/>
        <v>0</v>
      </c>
      <c r="L278" s="406">
        <f t="shared" si="132"/>
        <v>22668</v>
      </c>
      <c r="M278" s="406">
        <f t="shared" si="132"/>
        <v>201529</v>
      </c>
      <c r="N278" s="406">
        <f t="shared" si="132"/>
        <v>1186</v>
      </c>
      <c r="O278" s="406">
        <f t="shared" si="132"/>
        <v>225383</v>
      </c>
      <c r="P278" s="827">
        <f>O279+O280</f>
        <v>225383</v>
      </c>
    </row>
    <row r="279" spans="1:16" ht="17.25" thickTop="1" thickBot="1" x14ac:dyDescent="0.3">
      <c r="A279" s="407"/>
      <c r="B279" s="406" t="s">
        <v>415</v>
      </c>
      <c r="C279" s="406">
        <f t="shared" ref="C279:O279" si="133">+C270+C273+C274+C275</f>
        <v>10961</v>
      </c>
      <c r="D279" s="406">
        <f t="shared" si="133"/>
        <v>0</v>
      </c>
      <c r="E279" s="406">
        <f t="shared" si="133"/>
        <v>0</v>
      </c>
      <c r="F279" s="406">
        <f t="shared" si="133"/>
        <v>11707</v>
      </c>
      <c r="G279" s="406">
        <f t="shared" si="133"/>
        <v>0</v>
      </c>
      <c r="H279" s="406">
        <f t="shared" si="133"/>
        <v>0</v>
      </c>
      <c r="I279" s="406">
        <f t="shared" si="133"/>
        <v>0</v>
      </c>
      <c r="J279" s="406">
        <f t="shared" si="133"/>
        <v>22668</v>
      </c>
      <c r="K279" s="406">
        <f t="shared" si="133"/>
        <v>0</v>
      </c>
      <c r="L279" s="406">
        <f t="shared" si="133"/>
        <v>22668</v>
      </c>
      <c r="M279" s="406">
        <f t="shared" si="133"/>
        <v>195951</v>
      </c>
      <c r="N279" s="406">
        <f t="shared" si="133"/>
        <v>1186</v>
      </c>
      <c r="O279" s="406">
        <f t="shared" si="133"/>
        <v>219805</v>
      </c>
    </row>
    <row r="280" spans="1:16" ht="17.25" thickTop="1" thickBot="1" x14ac:dyDescent="0.3">
      <c r="A280" s="407"/>
      <c r="B280" s="406" t="s">
        <v>414</v>
      </c>
      <c r="C280" s="406">
        <f>+C271+C277</f>
        <v>0</v>
      </c>
      <c r="D280" s="406">
        <f t="shared" ref="D280:O280" si="134">+D271+D277</f>
        <v>0</v>
      </c>
      <c r="E280" s="406">
        <f t="shared" si="134"/>
        <v>0</v>
      </c>
      <c r="F280" s="406">
        <f t="shared" si="134"/>
        <v>0</v>
      </c>
      <c r="G280" s="406">
        <f t="shared" si="134"/>
        <v>0</v>
      </c>
      <c r="H280" s="406">
        <f t="shared" si="134"/>
        <v>0</v>
      </c>
      <c r="I280" s="406">
        <f t="shared" si="134"/>
        <v>0</v>
      </c>
      <c r="J280" s="406">
        <f t="shared" si="134"/>
        <v>0</v>
      </c>
      <c r="K280" s="406">
        <f t="shared" si="134"/>
        <v>0</v>
      </c>
      <c r="L280" s="406">
        <f t="shared" si="134"/>
        <v>0</v>
      </c>
      <c r="M280" s="406">
        <f t="shared" si="134"/>
        <v>5578</v>
      </c>
      <c r="N280" s="406">
        <f t="shared" si="134"/>
        <v>0</v>
      </c>
      <c r="O280" s="406">
        <f t="shared" si="134"/>
        <v>5578</v>
      </c>
    </row>
    <row r="281" spans="1:16" ht="16.5" thickTop="1" x14ac:dyDescent="0.25">
      <c r="A281" s="420" t="s">
        <v>10</v>
      </c>
      <c r="B281" s="437" t="s">
        <v>434</v>
      </c>
      <c r="C281" s="437"/>
      <c r="D281" s="437"/>
      <c r="E281" s="437"/>
      <c r="F281" s="437"/>
      <c r="G281" s="437"/>
      <c r="H281" s="437"/>
      <c r="I281" s="437"/>
      <c r="J281" s="437"/>
      <c r="K281" s="437"/>
      <c r="L281" s="437"/>
      <c r="M281" s="437"/>
      <c r="N281" s="437"/>
      <c r="O281" s="437"/>
    </row>
    <row r="282" spans="1:16" x14ac:dyDescent="0.25">
      <c r="A282" s="416"/>
      <c r="B282" s="418" t="s">
        <v>387</v>
      </c>
      <c r="C282" s="418">
        <v>15624</v>
      </c>
      <c r="D282" s="418"/>
      <c r="E282" s="418"/>
      <c r="F282" s="418">
        <v>5466</v>
      </c>
      <c r="G282" s="418"/>
      <c r="H282" s="418"/>
      <c r="I282" s="418"/>
      <c r="J282" s="431">
        <f>SUM(C282+E282+F282+H282)</f>
        <v>21090</v>
      </c>
      <c r="K282" s="431">
        <f>SUM(D282+G282+I282)</f>
        <v>0</v>
      </c>
      <c r="L282" s="414">
        <f>SUM(J282:K282)</f>
        <v>21090</v>
      </c>
      <c r="M282" s="414">
        <v>237725</v>
      </c>
      <c r="N282" s="431">
        <v>1595</v>
      </c>
      <c r="O282" s="414">
        <f>SUM(L282:N282)</f>
        <v>260410</v>
      </c>
    </row>
    <row r="283" spans="1:16" s="828" customFormat="1" x14ac:dyDescent="0.25">
      <c r="A283" s="422"/>
      <c r="B283" s="419" t="s">
        <v>418</v>
      </c>
      <c r="C283" s="419">
        <v>15624</v>
      </c>
      <c r="D283" s="419"/>
      <c r="E283" s="419"/>
      <c r="F283" s="419">
        <v>5466</v>
      </c>
      <c r="G283" s="419"/>
      <c r="H283" s="419"/>
      <c r="I283" s="434"/>
      <c r="J283" s="436">
        <f>SUM(C283+E283+F283+H283)</f>
        <v>21090</v>
      </c>
      <c r="K283" s="436">
        <f>SUM(D283+G283+I283)</f>
        <v>0</v>
      </c>
      <c r="L283" s="435">
        <f>SUM(J283:K283)</f>
        <v>21090</v>
      </c>
      <c r="M283" s="435">
        <v>231559</v>
      </c>
      <c r="N283" s="436">
        <v>1595</v>
      </c>
      <c r="O283" s="435">
        <f>SUM(L283:N283)</f>
        <v>254244</v>
      </c>
    </row>
    <row r="284" spans="1:16" s="828" customFormat="1" x14ac:dyDescent="0.25">
      <c r="A284" s="422"/>
      <c r="B284" s="419" t="s">
        <v>417</v>
      </c>
      <c r="C284" s="419"/>
      <c r="D284" s="419"/>
      <c r="E284" s="419"/>
      <c r="F284" s="419"/>
      <c r="G284" s="419"/>
      <c r="H284" s="419"/>
      <c r="I284" s="434"/>
      <c r="J284" s="434">
        <f>SUM(C284+E284+F284+H284)</f>
        <v>0</v>
      </c>
      <c r="K284" s="434">
        <f>SUM(D284+G284+I284)</f>
        <v>0</v>
      </c>
      <c r="L284" s="419">
        <f>SUM(J284:K284)</f>
        <v>0</v>
      </c>
      <c r="M284" s="419">
        <v>6166</v>
      </c>
      <c r="N284" s="434"/>
      <c r="O284" s="419">
        <f>SUM(L284:N284)</f>
        <v>6166</v>
      </c>
    </row>
    <row r="285" spans="1:16" s="828" customFormat="1" x14ac:dyDescent="0.25">
      <c r="A285" s="422"/>
      <c r="B285" s="419" t="s">
        <v>139</v>
      </c>
      <c r="C285" s="609"/>
      <c r="D285" s="609"/>
      <c r="E285" s="609"/>
      <c r="F285" s="609"/>
      <c r="G285" s="609"/>
      <c r="H285" s="609"/>
      <c r="I285" s="611"/>
      <c r="J285" s="611"/>
      <c r="K285" s="611"/>
      <c r="L285" s="609"/>
      <c r="M285" s="609"/>
      <c r="N285" s="611"/>
      <c r="O285" s="609"/>
    </row>
    <row r="286" spans="1:16" s="828" customFormat="1" x14ac:dyDescent="0.25">
      <c r="A286" s="422"/>
      <c r="B286" s="608" t="s">
        <v>1034</v>
      </c>
      <c r="C286" s="609"/>
      <c r="D286" s="609"/>
      <c r="E286" s="609"/>
      <c r="F286" s="609"/>
      <c r="G286" s="609"/>
      <c r="H286" s="609"/>
      <c r="I286" s="611"/>
      <c r="J286" s="611">
        <f t="shared" ref="J286:J292" si="135">SUM(C286+E286+F286+H286)</f>
        <v>0</v>
      </c>
      <c r="K286" s="611">
        <f t="shared" ref="K286:K292" si="136">SUM(D286+G286+I286)</f>
        <v>0</v>
      </c>
      <c r="L286" s="609">
        <f t="shared" ref="L286:L292" si="137">SUM(J286:K286)</f>
        <v>0</v>
      </c>
      <c r="M286" s="609">
        <v>20</v>
      </c>
      <c r="N286" s="611"/>
      <c r="O286" s="609">
        <f t="shared" ref="O286:O292" si="138">SUM(L286:N286)</f>
        <v>20</v>
      </c>
    </row>
    <row r="287" spans="1:16" s="828" customFormat="1" ht="47.25" x14ac:dyDescent="0.25">
      <c r="A287" s="422"/>
      <c r="B287" s="608" t="s">
        <v>1036</v>
      </c>
      <c r="C287" s="609"/>
      <c r="D287" s="609"/>
      <c r="E287" s="609"/>
      <c r="F287" s="609"/>
      <c r="G287" s="609"/>
      <c r="H287" s="609"/>
      <c r="I287" s="611"/>
      <c r="J287" s="611">
        <f t="shared" si="135"/>
        <v>0</v>
      </c>
      <c r="K287" s="611">
        <f t="shared" si="136"/>
        <v>0</v>
      </c>
      <c r="L287" s="609">
        <f t="shared" si="137"/>
        <v>0</v>
      </c>
      <c r="M287" s="609">
        <v>234</v>
      </c>
      <c r="N287" s="611"/>
      <c r="O287" s="609">
        <f t="shared" si="138"/>
        <v>234</v>
      </c>
    </row>
    <row r="288" spans="1:16" s="828" customFormat="1" ht="47.25" x14ac:dyDescent="0.25">
      <c r="A288" s="422"/>
      <c r="B288" s="608" t="s">
        <v>1039</v>
      </c>
      <c r="C288" s="609"/>
      <c r="D288" s="609"/>
      <c r="E288" s="609"/>
      <c r="F288" s="609"/>
      <c r="G288" s="609"/>
      <c r="H288" s="609"/>
      <c r="I288" s="611"/>
      <c r="J288" s="611">
        <f t="shared" si="135"/>
        <v>0</v>
      </c>
      <c r="K288" s="611">
        <f t="shared" si="136"/>
        <v>0</v>
      </c>
      <c r="L288" s="609">
        <f t="shared" si="137"/>
        <v>0</v>
      </c>
      <c r="M288" s="609">
        <v>127</v>
      </c>
      <c r="N288" s="611"/>
      <c r="O288" s="609">
        <f t="shared" si="138"/>
        <v>127</v>
      </c>
    </row>
    <row r="289" spans="1:16" s="828" customFormat="1" ht="31.5" x14ac:dyDescent="0.25">
      <c r="A289" s="422"/>
      <c r="B289" s="608" t="s">
        <v>766</v>
      </c>
      <c r="C289" s="609"/>
      <c r="D289" s="609"/>
      <c r="E289" s="609"/>
      <c r="F289" s="609">
        <v>3262</v>
      </c>
      <c r="G289" s="609"/>
      <c r="H289" s="609"/>
      <c r="I289" s="611"/>
      <c r="J289" s="611">
        <f t="shared" si="135"/>
        <v>3262</v>
      </c>
      <c r="K289" s="611">
        <f t="shared" si="136"/>
        <v>0</v>
      </c>
      <c r="L289" s="609">
        <f t="shared" si="137"/>
        <v>3262</v>
      </c>
      <c r="M289" s="609">
        <v>465</v>
      </c>
      <c r="N289" s="611"/>
      <c r="O289" s="609">
        <f t="shared" si="138"/>
        <v>3727</v>
      </c>
    </row>
    <row r="290" spans="1:16" s="828" customFormat="1" ht="31.5" x14ac:dyDescent="0.25">
      <c r="A290" s="422"/>
      <c r="B290" s="608" t="s">
        <v>767</v>
      </c>
      <c r="C290" s="609"/>
      <c r="D290" s="609"/>
      <c r="E290" s="609"/>
      <c r="F290" s="609">
        <v>-1</v>
      </c>
      <c r="G290" s="609"/>
      <c r="H290" s="609"/>
      <c r="I290" s="611"/>
      <c r="J290" s="611">
        <f t="shared" si="135"/>
        <v>-1</v>
      </c>
      <c r="K290" s="611">
        <f t="shared" si="136"/>
        <v>0</v>
      </c>
      <c r="L290" s="609">
        <f t="shared" si="137"/>
        <v>-1</v>
      </c>
      <c r="M290" s="609"/>
      <c r="N290" s="611">
        <v>1</v>
      </c>
      <c r="O290" s="609">
        <f t="shared" si="138"/>
        <v>0</v>
      </c>
    </row>
    <row r="291" spans="1:16" s="828" customFormat="1" x14ac:dyDescent="0.25">
      <c r="A291" s="422"/>
      <c r="B291" s="419" t="s">
        <v>140</v>
      </c>
      <c r="C291" s="609"/>
      <c r="D291" s="609"/>
      <c r="E291" s="609"/>
      <c r="F291" s="609"/>
      <c r="G291" s="609"/>
      <c r="H291" s="609"/>
      <c r="I291" s="611"/>
      <c r="J291" s="611"/>
      <c r="K291" s="611"/>
      <c r="L291" s="609"/>
      <c r="M291" s="609"/>
      <c r="N291" s="611"/>
      <c r="O291" s="609"/>
    </row>
    <row r="292" spans="1:16" s="828" customFormat="1" ht="16.5" thickBot="1" x14ac:dyDescent="0.3">
      <c r="A292" s="422"/>
      <c r="B292" s="608" t="s">
        <v>1037</v>
      </c>
      <c r="C292" s="609"/>
      <c r="D292" s="609"/>
      <c r="E292" s="609"/>
      <c r="F292" s="609"/>
      <c r="G292" s="609"/>
      <c r="H292" s="609"/>
      <c r="I292" s="611"/>
      <c r="J292" s="611">
        <f t="shared" si="135"/>
        <v>0</v>
      </c>
      <c r="K292" s="611">
        <f t="shared" si="136"/>
        <v>0</v>
      </c>
      <c r="L292" s="609">
        <f t="shared" si="137"/>
        <v>0</v>
      </c>
      <c r="M292" s="609">
        <v>1046</v>
      </c>
      <c r="N292" s="611"/>
      <c r="O292" s="609">
        <f t="shared" si="138"/>
        <v>1046</v>
      </c>
    </row>
    <row r="293" spans="1:16" ht="17.25" thickTop="1" thickBot="1" x14ac:dyDescent="0.3">
      <c r="A293" s="407"/>
      <c r="B293" s="406" t="s">
        <v>416</v>
      </c>
      <c r="C293" s="406">
        <f>+C282+C286+C292+C287+C288+C289+C290</f>
        <v>15624</v>
      </c>
      <c r="D293" s="406">
        <f t="shared" ref="D293:O293" si="139">+D282+D286+D292+D287+D288+D289+D290</f>
        <v>0</v>
      </c>
      <c r="E293" s="406">
        <f t="shared" si="139"/>
        <v>0</v>
      </c>
      <c r="F293" s="406">
        <f t="shared" si="139"/>
        <v>8727</v>
      </c>
      <c r="G293" s="406">
        <f t="shared" si="139"/>
        <v>0</v>
      </c>
      <c r="H293" s="406">
        <f t="shared" si="139"/>
        <v>0</v>
      </c>
      <c r="I293" s="406">
        <f t="shared" si="139"/>
        <v>0</v>
      </c>
      <c r="J293" s="406">
        <f t="shared" si="139"/>
        <v>24351</v>
      </c>
      <c r="K293" s="406">
        <f t="shared" si="139"/>
        <v>0</v>
      </c>
      <c r="L293" s="406">
        <f t="shared" si="139"/>
        <v>24351</v>
      </c>
      <c r="M293" s="406">
        <f t="shared" si="139"/>
        <v>239617</v>
      </c>
      <c r="N293" s="406">
        <f t="shared" si="139"/>
        <v>1596</v>
      </c>
      <c r="O293" s="406">
        <f t="shared" si="139"/>
        <v>265564</v>
      </c>
      <c r="P293" s="827">
        <f>O294+O295</f>
        <v>265564</v>
      </c>
    </row>
    <row r="294" spans="1:16" ht="17.25" thickTop="1" thickBot="1" x14ac:dyDescent="0.3">
      <c r="A294" s="407"/>
      <c r="B294" s="406" t="s">
        <v>415</v>
      </c>
      <c r="C294" s="406">
        <f t="shared" ref="C294:O294" si="140">+C283+C286+C287+C288+C289+C290</f>
        <v>15624</v>
      </c>
      <c r="D294" s="406">
        <f t="shared" si="140"/>
        <v>0</v>
      </c>
      <c r="E294" s="406">
        <f t="shared" si="140"/>
        <v>0</v>
      </c>
      <c r="F294" s="406">
        <f t="shared" si="140"/>
        <v>8727</v>
      </c>
      <c r="G294" s="406">
        <f t="shared" si="140"/>
        <v>0</v>
      </c>
      <c r="H294" s="406">
        <f t="shared" si="140"/>
        <v>0</v>
      </c>
      <c r="I294" s="406">
        <f t="shared" si="140"/>
        <v>0</v>
      </c>
      <c r="J294" s="406">
        <f t="shared" si="140"/>
        <v>24351</v>
      </c>
      <c r="K294" s="406">
        <f t="shared" si="140"/>
        <v>0</v>
      </c>
      <c r="L294" s="406">
        <f t="shared" si="140"/>
        <v>24351</v>
      </c>
      <c r="M294" s="406">
        <f t="shared" si="140"/>
        <v>232405</v>
      </c>
      <c r="N294" s="406">
        <f t="shared" si="140"/>
        <v>1596</v>
      </c>
      <c r="O294" s="406">
        <f t="shared" si="140"/>
        <v>258352</v>
      </c>
    </row>
    <row r="295" spans="1:16" ht="17.25" thickTop="1" thickBot="1" x14ac:dyDescent="0.3">
      <c r="A295" s="407"/>
      <c r="B295" s="406" t="s">
        <v>414</v>
      </c>
      <c r="C295" s="406">
        <f>+C284+C292</f>
        <v>0</v>
      </c>
      <c r="D295" s="406">
        <f t="shared" ref="D295:O295" si="141">+D284+D292</f>
        <v>0</v>
      </c>
      <c r="E295" s="406">
        <f t="shared" si="141"/>
        <v>0</v>
      </c>
      <c r="F295" s="406">
        <f t="shared" si="141"/>
        <v>0</v>
      </c>
      <c r="G295" s="406">
        <f t="shared" si="141"/>
        <v>0</v>
      </c>
      <c r="H295" s="406">
        <f t="shared" si="141"/>
        <v>0</v>
      </c>
      <c r="I295" s="406">
        <f t="shared" si="141"/>
        <v>0</v>
      </c>
      <c r="J295" s="406">
        <f t="shared" si="141"/>
        <v>0</v>
      </c>
      <c r="K295" s="406">
        <f t="shared" si="141"/>
        <v>0</v>
      </c>
      <c r="L295" s="406">
        <f t="shared" si="141"/>
        <v>0</v>
      </c>
      <c r="M295" s="406">
        <f t="shared" si="141"/>
        <v>7212</v>
      </c>
      <c r="N295" s="406">
        <f t="shared" si="141"/>
        <v>0</v>
      </c>
      <c r="O295" s="406">
        <f t="shared" si="141"/>
        <v>7212</v>
      </c>
    </row>
    <row r="296" spans="1:16" ht="17.25" thickTop="1" thickBot="1" x14ac:dyDescent="0.3">
      <c r="A296" s="407"/>
      <c r="B296" s="406" t="s">
        <v>433</v>
      </c>
      <c r="C296" s="406">
        <f t="shared" ref="C296:O296" si="142">SUM(C137+C151+C166+C180+C195+C210+C225+C239+C252+C265+C278+C293)</f>
        <v>152252</v>
      </c>
      <c r="D296" s="406">
        <f t="shared" si="142"/>
        <v>0</v>
      </c>
      <c r="E296" s="406">
        <f t="shared" si="142"/>
        <v>0</v>
      </c>
      <c r="F296" s="406">
        <f t="shared" si="142"/>
        <v>148280</v>
      </c>
      <c r="G296" s="406">
        <f t="shared" si="142"/>
        <v>0</v>
      </c>
      <c r="H296" s="406">
        <f t="shared" si="142"/>
        <v>0</v>
      </c>
      <c r="I296" s="406">
        <f t="shared" si="142"/>
        <v>0</v>
      </c>
      <c r="J296" s="406">
        <f t="shared" si="142"/>
        <v>300532</v>
      </c>
      <c r="K296" s="406">
        <f t="shared" si="142"/>
        <v>0</v>
      </c>
      <c r="L296" s="406">
        <f t="shared" si="142"/>
        <v>300532</v>
      </c>
      <c r="M296" s="406">
        <f t="shared" si="142"/>
        <v>2741578</v>
      </c>
      <c r="N296" s="406">
        <f t="shared" si="142"/>
        <v>14864</v>
      </c>
      <c r="O296" s="406">
        <f t="shared" si="142"/>
        <v>3056974</v>
      </c>
    </row>
    <row r="297" spans="1:16" ht="17.25" thickTop="1" thickBot="1" x14ac:dyDescent="0.3">
      <c r="A297" s="407"/>
      <c r="B297" s="406" t="s">
        <v>432</v>
      </c>
      <c r="C297" s="406">
        <f t="shared" ref="C297:O297" si="143">SUM(C38+C123+C296)</f>
        <v>812723</v>
      </c>
      <c r="D297" s="406">
        <f t="shared" si="143"/>
        <v>0</v>
      </c>
      <c r="E297" s="406">
        <f t="shared" si="143"/>
        <v>0</v>
      </c>
      <c r="F297" s="406">
        <f t="shared" si="143"/>
        <v>224062</v>
      </c>
      <c r="G297" s="406">
        <f t="shared" si="143"/>
        <v>300</v>
      </c>
      <c r="H297" s="406">
        <f t="shared" si="143"/>
        <v>0</v>
      </c>
      <c r="I297" s="406">
        <f t="shared" si="143"/>
        <v>0</v>
      </c>
      <c r="J297" s="406">
        <f t="shared" si="143"/>
        <v>1036785</v>
      </c>
      <c r="K297" s="406">
        <f t="shared" si="143"/>
        <v>300</v>
      </c>
      <c r="L297" s="406">
        <f t="shared" si="143"/>
        <v>1037085</v>
      </c>
      <c r="M297" s="406">
        <f t="shared" si="143"/>
        <v>3709163</v>
      </c>
      <c r="N297" s="406">
        <f t="shared" si="143"/>
        <v>107994</v>
      </c>
      <c r="O297" s="406">
        <f t="shared" si="143"/>
        <v>4854242</v>
      </c>
    </row>
    <row r="298" spans="1:16" ht="16.5" thickTop="1" x14ac:dyDescent="0.25">
      <c r="A298" s="416" t="s">
        <v>11</v>
      </c>
      <c r="B298" s="418" t="s">
        <v>409</v>
      </c>
      <c r="C298" s="418"/>
      <c r="D298" s="418"/>
      <c r="E298" s="418"/>
      <c r="F298" s="418"/>
      <c r="G298" s="418"/>
      <c r="H298" s="418"/>
      <c r="I298" s="418"/>
      <c r="J298" s="418"/>
      <c r="K298" s="418"/>
      <c r="L298" s="418"/>
      <c r="M298" s="418"/>
      <c r="N298" s="418"/>
      <c r="O298" s="418"/>
    </row>
    <row r="299" spans="1:16" x14ac:dyDescent="0.25">
      <c r="A299" s="416"/>
      <c r="B299" s="414" t="s">
        <v>387</v>
      </c>
      <c r="C299" s="414">
        <v>89670</v>
      </c>
      <c r="D299" s="414"/>
      <c r="E299" s="414"/>
      <c r="F299" s="414">
        <v>321387</v>
      </c>
      <c r="G299" s="414"/>
      <c r="H299" s="414"/>
      <c r="I299" s="414"/>
      <c r="J299" s="431">
        <f>SUM(C299+E299+F299+H299)</f>
        <v>411057</v>
      </c>
      <c r="K299" s="431">
        <f>SUM(D299+G299+I299)</f>
        <v>0</v>
      </c>
      <c r="L299" s="414">
        <f>SUM(J299:K299)</f>
        <v>411057</v>
      </c>
      <c r="M299" s="414">
        <v>892221</v>
      </c>
      <c r="N299" s="431">
        <v>8324</v>
      </c>
      <c r="O299" s="414">
        <f>SUM(L299:N299)</f>
        <v>1311602</v>
      </c>
    </row>
    <row r="300" spans="1:16" s="828" customFormat="1" x14ac:dyDescent="0.25">
      <c r="A300" s="423"/>
      <c r="B300" s="415" t="s">
        <v>418</v>
      </c>
      <c r="C300" s="415">
        <v>89670</v>
      </c>
      <c r="D300" s="415"/>
      <c r="E300" s="415"/>
      <c r="F300" s="415">
        <v>321387</v>
      </c>
      <c r="G300" s="415"/>
      <c r="H300" s="415"/>
      <c r="I300" s="432"/>
      <c r="J300" s="433">
        <f>SUM(C300+E300+F300+H300)</f>
        <v>411057</v>
      </c>
      <c r="K300" s="433">
        <f>SUM(D300+G300+I300)</f>
        <v>0</v>
      </c>
      <c r="L300" s="421">
        <f>SUM(J300:K300)</f>
        <v>411057</v>
      </c>
      <c r="M300" s="421">
        <v>863485</v>
      </c>
      <c r="N300" s="433">
        <v>8324</v>
      </c>
      <c r="O300" s="421">
        <f>SUM(L300:N300)</f>
        <v>1282866</v>
      </c>
    </row>
    <row r="301" spans="1:16" s="828" customFormat="1" x14ac:dyDescent="0.25">
      <c r="A301" s="423"/>
      <c r="B301" s="415" t="s">
        <v>417</v>
      </c>
      <c r="C301" s="415"/>
      <c r="D301" s="415"/>
      <c r="E301" s="415"/>
      <c r="F301" s="415"/>
      <c r="G301" s="415"/>
      <c r="H301" s="415"/>
      <c r="I301" s="432"/>
      <c r="J301" s="432">
        <f>SUM(C301+E301+F301+H301)</f>
        <v>0</v>
      </c>
      <c r="K301" s="432">
        <f>SUM(D301+G301+I301)</f>
        <v>0</v>
      </c>
      <c r="L301" s="415">
        <f>SUM(J301:K301)</f>
        <v>0</v>
      </c>
      <c r="M301" s="415">
        <v>28736</v>
      </c>
      <c r="N301" s="432"/>
      <c r="O301" s="415">
        <f>SUM(L301:N301)</f>
        <v>28736</v>
      </c>
    </row>
    <row r="302" spans="1:16" s="828" customFormat="1" x14ac:dyDescent="0.25">
      <c r="A302" s="423"/>
      <c r="B302" s="415" t="s">
        <v>139</v>
      </c>
      <c r="C302" s="608"/>
      <c r="D302" s="608"/>
      <c r="E302" s="608"/>
      <c r="F302" s="608"/>
      <c r="G302" s="608"/>
      <c r="H302" s="608"/>
      <c r="I302" s="610"/>
      <c r="J302" s="610"/>
      <c r="K302" s="610"/>
      <c r="L302" s="608"/>
      <c r="M302" s="608"/>
      <c r="N302" s="610"/>
      <c r="O302" s="608"/>
    </row>
    <row r="303" spans="1:16" s="828" customFormat="1" x14ac:dyDescent="0.25">
      <c r="A303" s="423"/>
      <c r="B303" s="608" t="s">
        <v>1034</v>
      </c>
      <c r="C303" s="608"/>
      <c r="D303" s="608"/>
      <c r="E303" s="608"/>
      <c r="F303" s="608"/>
      <c r="G303" s="608"/>
      <c r="H303" s="608"/>
      <c r="I303" s="610"/>
      <c r="J303" s="610">
        <f t="shared" ref="J303:J311" si="144">SUM(C303+E303+F303+H303)</f>
        <v>0</v>
      </c>
      <c r="K303" s="610">
        <f t="shared" ref="K303:K311" si="145">SUM(D303+G303+I303)</f>
        <v>0</v>
      </c>
      <c r="L303" s="608">
        <f t="shared" ref="L303:L311" si="146">SUM(J303:K303)</f>
        <v>0</v>
      </c>
      <c r="M303" s="608">
        <v>224</v>
      </c>
      <c r="N303" s="610"/>
      <c r="O303" s="608">
        <f t="shared" ref="O303:O311" si="147">SUM(L303:N303)</f>
        <v>224</v>
      </c>
    </row>
    <row r="304" spans="1:16" s="828" customFormat="1" x14ac:dyDescent="0.25">
      <c r="A304" s="422"/>
      <c r="B304" s="609" t="s">
        <v>1038</v>
      </c>
      <c r="C304" s="609"/>
      <c r="D304" s="609"/>
      <c r="E304" s="609"/>
      <c r="F304" s="609"/>
      <c r="G304" s="609"/>
      <c r="H304" s="609"/>
      <c r="I304" s="611"/>
      <c r="J304" s="611">
        <f t="shared" si="144"/>
        <v>0</v>
      </c>
      <c r="K304" s="611">
        <f t="shared" si="145"/>
        <v>0</v>
      </c>
      <c r="L304" s="609">
        <f t="shared" si="146"/>
        <v>0</v>
      </c>
      <c r="M304" s="609">
        <v>5791</v>
      </c>
      <c r="N304" s="611"/>
      <c r="O304" s="609">
        <f t="shared" si="147"/>
        <v>5791</v>
      </c>
    </row>
    <row r="305" spans="1:16" s="828" customFormat="1" ht="31.5" x14ac:dyDescent="0.25">
      <c r="A305" s="422"/>
      <c r="B305" s="609" t="s">
        <v>1043</v>
      </c>
      <c r="C305" s="609"/>
      <c r="D305" s="609"/>
      <c r="E305" s="609"/>
      <c r="F305" s="609"/>
      <c r="G305" s="609"/>
      <c r="H305" s="609"/>
      <c r="I305" s="611"/>
      <c r="J305" s="611">
        <f t="shared" si="144"/>
        <v>0</v>
      </c>
      <c r="K305" s="611">
        <f t="shared" si="145"/>
        <v>0</v>
      </c>
      <c r="L305" s="609">
        <f t="shared" si="146"/>
        <v>0</v>
      </c>
      <c r="M305" s="609">
        <v>623</v>
      </c>
      <c r="N305" s="611"/>
      <c r="O305" s="609">
        <f t="shared" si="147"/>
        <v>623</v>
      </c>
    </row>
    <row r="306" spans="1:16" s="828" customFormat="1" ht="47.25" x14ac:dyDescent="0.25">
      <c r="A306" s="423"/>
      <c r="B306" s="608" t="s">
        <v>1036</v>
      </c>
      <c r="C306" s="608"/>
      <c r="D306" s="608"/>
      <c r="E306" s="608"/>
      <c r="F306" s="608"/>
      <c r="G306" s="608"/>
      <c r="H306" s="608"/>
      <c r="I306" s="610"/>
      <c r="J306" s="610">
        <f t="shared" si="144"/>
        <v>0</v>
      </c>
      <c r="K306" s="610">
        <f t="shared" si="145"/>
        <v>0</v>
      </c>
      <c r="L306" s="608">
        <f t="shared" si="146"/>
        <v>0</v>
      </c>
      <c r="M306" s="608">
        <v>2976</v>
      </c>
      <c r="N306" s="610"/>
      <c r="O306" s="608">
        <f t="shared" si="147"/>
        <v>2976</v>
      </c>
    </row>
    <row r="307" spans="1:16" s="828" customFormat="1" ht="31.5" x14ac:dyDescent="0.25">
      <c r="A307" s="423"/>
      <c r="B307" s="608" t="s">
        <v>766</v>
      </c>
      <c r="C307" s="608">
        <v>1</v>
      </c>
      <c r="D307" s="608"/>
      <c r="E307" s="608"/>
      <c r="F307" s="608">
        <v>37768</v>
      </c>
      <c r="G307" s="608"/>
      <c r="H307" s="608"/>
      <c r="I307" s="610"/>
      <c r="J307" s="610">
        <f t="shared" si="144"/>
        <v>37769</v>
      </c>
      <c r="K307" s="610">
        <f t="shared" si="145"/>
        <v>0</v>
      </c>
      <c r="L307" s="608">
        <f t="shared" si="146"/>
        <v>37769</v>
      </c>
      <c r="M307" s="608">
        <v>1126</v>
      </c>
      <c r="N307" s="610"/>
      <c r="O307" s="608">
        <f t="shared" si="147"/>
        <v>38895</v>
      </c>
    </row>
    <row r="308" spans="1:16" s="828" customFormat="1" ht="31.5" x14ac:dyDescent="0.25">
      <c r="A308" s="423"/>
      <c r="B308" s="608" t="s">
        <v>767</v>
      </c>
      <c r="C308" s="608">
        <v>-1</v>
      </c>
      <c r="D308" s="608"/>
      <c r="E308" s="608"/>
      <c r="F308" s="608"/>
      <c r="G308" s="608"/>
      <c r="H308" s="608"/>
      <c r="I308" s="610"/>
      <c r="J308" s="610">
        <f t="shared" si="144"/>
        <v>-1</v>
      </c>
      <c r="K308" s="610">
        <f t="shared" si="145"/>
        <v>0</v>
      </c>
      <c r="L308" s="608">
        <f t="shared" si="146"/>
        <v>-1</v>
      </c>
      <c r="M308" s="608"/>
      <c r="N308" s="610">
        <v>1</v>
      </c>
      <c r="O308" s="608">
        <f t="shared" si="147"/>
        <v>0</v>
      </c>
    </row>
    <row r="309" spans="1:16" s="828" customFormat="1" x14ac:dyDescent="0.25">
      <c r="A309" s="423"/>
      <c r="B309" s="415" t="s">
        <v>140</v>
      </c>
      <c r="C309" s="608"/>
      <c r="D309" s="608"/>
      <c r="E309" s="608"/>
      <c r="F309" s="608"/>
      <c r="G309" s="608"/>
      <c r="H309" s="608"/>
      <c r="I309" s="610"/>
      <c r="J309" s="610"/>
      <c r="K309" s="610"/>
      <c r="L309" s="608"/>
      <c r="M309" s="608"/>
      <c r="N309" s="610"/>
      <c r="O309" s="608"/>
    </row>
    <row r="310" spans="1:16" s="828" customFormat="1" x14ac:dyDescent="0.25">
      <c r="A310" s="423"/>
      <c r="B310" s="608" t="s">
        <v>1037</v>
      </c>
      <c r="C310" s="608"/>
      <c r="D310" s="608"/>
      <c r="E310" s="608"/>
      <c r="F310" s="608"/>
      <c r="G310" s="608"/>
      <c r="H310" s="608"/>
      <c r="I310" s="610"/>
      <c r="J310" s="610">
        <f t="shared" si="144"/>
        <v>0</v>
      </c>
      <c r="K310" s="610">
        <f t="shared" si="145"/>
        <v>0</v>
      </c>
      <c r="L310" s="608">
        <f t="shared" si="146"/>
        <v>0</v>
      </c>
      <c r="M310" s="608">
        <v>5174</v>
      </c>
      <c r="N310" s="610"/>
      <c r="O310" s="608">
        <f t="shared" si="147"/>
        <v>5174</v>
      </c>
    </row>
    <row r="311" spans="1:16" s="828" customFormat="1" ht="111" thickBot="1" x14ac:dyDescent="0.3">
      <c r="A311" s="423"/>
      <c r="B311" s="608" t="s">
        <v>1044</v>
      </c>
      <c r="C311" s="608"/>
      <c r="D311" s="608"/>
      <c r="E311" s="608"/>
      <c r="F311" s="608"/>
      <c r="G311" s="608"/>
      <c r="H311" s="608"/>
      <c r="I311" s="610"/>
      <c r="J311" s="610">
        <f t="shared" si="144"/>
        <v>0</v>
      </c>
      <c r="K311" s="610">
        <f t="shared" si="145"/>
        <v>0</v>
      </c>
      <c r="L311" s="608">
        <f t="shared" si="146"/>
        <v>0</v>
      </c>
      <c r="M311" s="608">
        <v>708</v>
      </c>
      <c r="N311" s="610"/>
      <c r="O311" s="608">
        <f t="shared" si="147"/>
        <v>708</v>
      </c>
    </row>
    <row r="312" spans="1:16" ht="17.25" thickTop="1" thickBot="1" x14ac:dyDescent="0.3">
      <c r="A312" s="407"/>
      <c r="B312" s="406" t="s">
        <v>416</v>
      </c>
      <c r="C312" s="406">
        <f>+C299+C303+C310+C304+C305+C311+C306+C307+C308</f>
        <v>89670</v>
      </c>
      <c r="D312" s="406">
        <f t="shared" ref="D312:O312" si="148">+D299+D303+D310+D304+D305+D311+D306+D307+D308</f>
        <v>0</v>
      </c>
      <c r="E312" s="406">
        <f t="shared" si="148"/>
        <v>0</v>
      </c>
      <c r="F312" s="406">
        <f t="shared" si="148"/>
        <v>359155</v>
      </c>
      <c r="G312" s="406">
        <f t="shared" si="148"/>
        <v>0</v>
      </c>
      <c r="H312" s="406">
        <f t="shared" si="148"/>
        <v>0</v>
      </c>
      <c r="I312" s="406">
        <f t="shared" si="148"/>
        <v>0</v>
      </c>
      <c r="J312" s="406">
        <f t="shared" si="148"/>
        <v>448825</v>
      </c>
      <c r="K312" s="406">
        <f t="shared" si="148"/>
        <v>0</v>
      </c>
      <c r="L312" s="406">
        <f t="shared" si="148"/>
        <v>448825</v>
      </c>
      <c r="M312" s="406">
        <f t="shared" si="148"/>
        <v>908843</v>
      </c>
      <c r="N312" s="406">
        <f t="shared" si="148"/>
        <v>8325</v>
      </c>
      <c r="O312" s="406">
        <f t="shared" si="148"/>
        <v>1365993</v>
      </c>
      <c r="P312" s="827">
        <f>O313+O314</f>
        <v>1365993</v>
      </c>
    </row>
    <row r="313" spans="1:16" ht="17.25" thickTop="1" thickBot="1" x14ac:dyDescent="0.3">
      <c r="A313" s="407"/>
      <c r="B313" s="406" t="s">
        <v>415</v>
      </c>
      <c r="C313" s="406">
        <f>+C300+C303+C304+C305+C306+C307+C308</f>
        <v>89670</v>
      </c>
      <c r="D313" s="406">
        <f t="shared" ref="D313:O313" si="149">+D300+D303+D304+D305+D306+D307+D308</f>
        <v>0</v>
      </c>
      <c r="E313" s="406">
        <f t="shared" si="149"/>
        <v>0</v>
      </c>
      <c r="F313" s="406">
        <f t="shared" si="149"/>
        <v>359155</v>
      </c>
      <c r="G313" s="406">
        <f t="shared" si="149"/>
        <v>0</v>
      </c>
      <c r="H313" s="406">
        <f t="shared" si="149"/>
        <v>0</v>
      </c>
      <c r="I313" s="406">
        <f t="shared" si="149"/>
        <v>0</v>
      </c>
      <c r="J313" s="406">
        <f t="shared" si="149"/>
        <v>448825</v>
      </c>
      <c r="K313" s="406">
        <f t="shared" si="149"/>
        <v>0</v>
      </c>
      <c r="L313" s="406">
        <f t="shared" si="149"/>
        <v>448825</v>
      </c>
      <c r="M313" s="406">
        <f t="shared" si="149"/>
        <v>874225</v>
      </c>
      <c r="N313" s="406">
        <f t="shared" si="149"/>
        <v>8325</v>
      </c>
      <c r="O313" s="406">
        <f t="shared" si="149"/>
        <v>1331375</v>
      </c>
    </row>
    <row r="314" spans="1:16" ht="17.25" thickTop="1" thickBot="1" x14ac:dyDescent="0.3">
      <c r="A314" s="407"/>
      <c r="B314" s="406" t="s">
        <v>414</v>
      </c>
      <c r="C314" s="406">
        <f>+C301+C310+C311</f>
        <v>0</v>
      </c>
      <c r="D314" s="406">
        <f t="shared" ref="D314:O314" si="150">+D301+D310+D311</f>
        <v>0</v>
      </c>
      <c r="E314" s="406">
        <f t="shared" si="150"/>
        <v>0</v>
      </c>
      <c r="F314" s="406">
        <f t="shared" si="150"/>
        <v>0</v>
      </c>
      <c r="G314" s="406">
        <f t="shared" si="150"/>
        <v>0</v>
      </c>
      <c r="H314" s="406">
        <f t="shared" si="150"/>
        <v>0</v>
      </c>
      <c r="I314" s="406">
        <f t="shared" si="150"/>
        <v>0</v>
      </c>
      <c r="J314" s="406">
        <f t="shared" si="150"/>
        <v>0</v>
      </c>
      <c r="K314" s="406">
        <f t="shared" si="150"/>
        <v>0</v>
      </c>
      <c r="L314" s="406">
        <f t="shared" si="150"/>
        <v>0</v>
      </c>
      <c r="M314" s="406">
        <f t="shared" si="150"/>
        <v>34618</v>
      </c>
      <c r="N314" s="406">
        <f t="shared" si="150"/>
        <v>0</v>
      </c>
      <c r="O314" s="406">
        <f t="shared" si="150"/>
        <v>34618</v>
      </c>
    </row>
    <row r="315" spans="1:16" ht="32.25" thickTop="1" x14ac:dyDescent="0.25">
      <c r="A315" s="416" t="s">
        <v>12</v>
      </c>
      <c r="B315" s="418" t="s">
        <v>485</v>
      </c>
      <c r="C315" s="418"/>
      <c r="D315" s="418"/>
      <c r="E315" s="418"/>
      <c r="F315" s="418"/>
      <c r="G315" s="418"/>
      <c r="H315" s="418"/>
      <c r="I315" s="418"/>
      <c r="J315" s="418"/>
      <c r="K315" s="418"/>
      <c r="L315" s="418"/>
      <c r="M315" s="418"/>
      <c r="N315" s="418"/>
      <c r="O315" s="418"/>
    </row>
    <row r="316" spans="1:16" x14ac:dyDescent="0.25">
      <c r="A316" s="416"/>
      <c r="B316" s="414" t="s">
        <v>387</v>
      </c>
      <c r="C316" s="414">
        <v>14693</v>
      </c>
      <c r="D316" s="414"/>
      <c r="E316" s="414"/>
      <c r="F316" s="414"/>
      <c r="G316" s="414"/>
      <c r="H316" s="414"/>
      <c r="I316" s="414"/>
      <c r="J316" s="431">
        <f>SUM(C316+E316+F316+H316)</f>
        <v>14693</v>
      </c>
      <c r="K316" s="431">
        <f>SUM(D316+G316+I316)</f>
        <v>0</v>
      </c>
      <c r="L316" s="414">
        <f>SUM(J316:K316)</f>
        <v>14693</v>
      </c>
      <c r="M316" s="414">
        <v>266669</v>
      </c>
      <c r="N316" s="431">
        <v>191192</v>
      </c>
      <c r="O316" s="414">
        <f>SUM(L316:N316)</f>
        <v>472554</v>
      </c>
    </row>
    <row r="317" spans="1:16" s="828" customFormat="1" x14ac:dyDescent="0.25">
      <c r="A317" s="423"/>
      <c r="B317" s="415" t="s">
        <v>418</v>
      </c>
      <c r="C317" s="415">
        <v>14693</v>
      </c>
      <c r="D317" s="415"/>
      <c r="E317" s="415"/>
      <c r="F317" s="415"/>
      <c r="G317" s="415"/>
      <c r="H317" s="415"/>
      <c r="I317" s="432"/>
      <c r="J317" s="433">
        <f>SUM(C317+E317+F317+H317)</f>
        <v>14693</v>
      </c>
      <c r="K317" s="433">
        <f>SUM(D317+G317+I317)</f>
        <v>0</v>
      </c>
      <c r="L317" s="421">
        <f>SUM(J317:K317)</f>
        <v>14693</v>
      </c>
      <c r="M317" s="421">
        <v>259253</v>
      </c>
      <c r="N317" s="433">
        <v>191192</v>
      </c>
      <c r="O317" s="421">
        <f>SUM(L317:N317)</f>
        <v>465138</v>
      </c>
    </row>
    <row r="318" spans="1:16" s="828" customFormat="1" x14ac:dyDescent="0.25">
      <c r="A318" s="423"/>
      <c r="B318" s="415" t="s">
        <v>417</v>
      </c>
      <c r="C318" s="415"/>
      <c r="D318" s="415"/>
      <c r="E318" s="415"/>
      <c r="F318" s="415"/>
      <c r="G318" s="415"/>
      <c r="H318" s="415"/>
      <c r="I318" s="432"/>
      <c r="J318" s="432">
        <f>SUM(C318+E318+F318+H318)</f>
        <v>0</v>
      </c>
      <c r="K318" s="432">
        <f>SUM(D318+G318+I318)</f>
        <v>0</v>
      </c>
      <c r="L318" s="415">
        <f>SUM(J318:K318)</f>
        <v>0</v>
      </c>
      <c r="M318" s="415">
        <v>7416</v>
      </c>
      <c r="N318" s="432"/>
      <c r="O318" s="415">
        <f>SUM(L318:N318)</f>
        <v>7416</v>
      </c>
    </row>
    <row r="319" spans="1:16" s="828" customFormat="1" x14ac:dyDescent="0.25">
      <c r="A319" s="423"/>
      <c r="B319" s="415" t="s">
        <v>139</v>
      </c>
      <c r="C319" s="608"/>
      <c r="D319" s="608"/>
      <c r="E319" s="608"/>
      <c r="F319" s="608"/>
      <c r="G319" s="608"/>
      <c r="H319" s="608"/>
      <c r="I319" s="610"/>
      <c r="J319" s="610"/>
      <c r="K319" s="610"/>
      <c r="L319" s="608"/>
      <c r="M319" s="608"/>
      <c r="N319" s="610"/>
      <c r="O319" s="608"/>
    </row>
    <row r="320" spans="1:16" s="828" customFormat="1" x14ac:dyDescent="0.25">
      <c r="A320" s="423"/>
      <c r="B320" s="608" t="s">
        <v>1034</v>
      </c>
      <c r="C320" s="608"/>
      <c r="D320" s="608"/>
      <c r="E320" s="608"/>
      <c r="F320" s="608"/>
      <c r="G320" s="608"/>
      <c r="H320" s="608"/>
      <c r="I320" s="610"/>
      <c r="J320" s="610">
        <f t="shared" ref="J320:J325" si="151">SUM(C320+E320+F320+H320)</f>
        <v>0</v>
      </c>
      <c r="K320" s="610">
        <f t="shared" ref="K320:K325" si="152">SUM(D320+G320+I320)</f>
        <v>0</v>
      </c>
      <c r="L320" s="608">
        <f t="shared" ref="L320:L325" si="153">SUM(J320:K320)</f>
        <v>0</v>
      </c>
      <c r="M320" s="608">
        <v>136</v>
      </c>
      <c r="N320" s="610"/>
      <c r="O320" s="608">
        <f t="shared" ref="O320:O325" si="154">SUM(L320:N320)</f>
        <v>136</v>
      </c>
    </row>
    <row r="321" spans="1:16" s="828" customFormat="1" x14ac:dyDescent="0.25">
      <c r="A321" s="423"/>
      <c r="B321" s="608" t="s">
        <v>1038</v>
      </c>
      <c r="C321" s="608"/>
      <c r="D321" s="608"/>
      <c r="E321" s="608"/>
      <c r="F321" s="608"/>
      <c r="G321" s="608"/>
      <c r="H321" s="608"/>
      <c r="I321" s="610"/>
      <c r="J321" s="610">
        <f t="shared" si="151"/>
        <v>0</v>
      </c>
      <c r="K321" s="610">
        <f t="shared" si="152"/>
        <v>0</v>
      </c>
      <c r="L321" s="608">
        <f t="shared" si="153"/>
        <v>0</v>
      </c>
      <c r="M321" s="608">
        <v>4534</v>
      </c>
      <c r="N321" s="610"/>
      <c r="O321" s="608">
        <f t="shared" si="154"/>
        <v>4534</v>
      </c>
    </row>
    <row r="322" spans="1:16" s="828" customFormat="1" ht="47.25" x14ac:dyDescent="0.25">
      <c r="A322" s="423"/>
      <c r="B322" s="608" t="s">
        <v>1039</v>
      </c>
      <c r="C322" s="608"/>
      <c r="D322" s="608"/>
      <c r="E322" s="608"/>
      <c r="F322" s="608"/>
      <c r="G322" s="608"/>
      <c r="H322" s="608"/>
      <c r="I322" s="610"/>
      <c r="J322" s="610">
        <f t="shared" si="151"/>
        <v>0</v>
      </c>
      <c r="K322" s="610">
        <f t="shared" si="152"/>
        <v>0</v>
      </c>
      <c r="L322" s="608">
        <f t="shared" si="153"/>
        <v>0</v>
      </c>
      <c r="M322" s="608">
        <v>381</v>
      </c>
      <c r="N322" s="610"/>
      <c r="O322" s="608">
        <f t="shared" si="154"/>
        <v>381</v>
      </c>
    </row>
    <row r="323" spans="1:16" s="828" customFormat="1" ht="31.5" x14ac:dyDescent="0.25">
      <c r="A323" s="423"/>
      <c r="B323" s="608" t="s">
        <v>766</v>
      </c>
      <c r="C323" s="608"/>
      <c r="D323" s="608"/>
      <c r="E323" s="608"/>
      <c r="F323" s="608">
        <v>67</v>
      </c>
      <c r="G323" s="608"/>
      <c r="H323" s="608"/>
      <c r="I323" s="610"/>
      <c r="J323" s="610">
        <f t="shared" si="151"/>
        <v>67</v>
      </c>
      <c r="K323" s="610">
        <f t="shared" si="152"/>
        <v>0</v>
      </c>
      <c r="L323" s="608">
        <f t="shared" si="153"/>
        <v>67</v>
      </c>
      <c r="M323" s="608"/>
      <c r="N323" s="610"/>
      <c r="O323" s="608">
        <f t="shared" si="154"/>
        <v>67</v>
      </c>
    </row>
    <row r="324" spans="1:16" s="828" customFormat="1" x14ac:dyDescent="0.25">
      <c r="A324" s="423"/>
      <c r="B324" s="415" t="s">
        <v>140</v>
      </c>
      <c r="C324" s="608"/>
      <c r="D324" s="608"/>
      <c r="E324" s="608"/>
      <c r="F324" s="608"/>
      <c r="G324" s="608"/>
      <c r="H324" s="608"/>
      <c r="I324" s="610"/>
      <c r="J324" s="610"/>
      <c r="K324" s="610"/>
      <c r="L324" s="608"/>
      <c r="M324" s="608"/>
      <c r="N324" s="610"/>
      <c r="O324" s="608"/>
    </row>
    <row r="325" spans="1:16" s="828" customFormat="1" ht="16.5" thickBot="1" x14ac:dyDescent="0.3">
      <c r="A325" s="423"/>
      <c r="B325" s="608" t="s">
        <v>1037</v>
      </c>
      <c r="C325" s="608"/>
      <c r="D325" s="608"/>
      <c r="E325" s="608"/>
      <c r="F325" s="608"/>
      <c r="G325" s="608"/>
      <c r="H325" s="608"/>
      <c r="I325" s="610"/>
      <c r="J325" s="610">
        <f t="shared" si="151"/>
        <v>0</v>
      </c>
      <c r="K325" s="610">
        <f t="shared" si="152"/>
        <v>0</v>
      </c>
      <c r="L325" s="608">
        <f t="shared" si="153"/>
        <v>0</v>
      </c>
      <c r="M325" s="608">
        <v>1527</v>
      </c>
      <c r="N325" s="610"/>
      <c r="O325" s="608">
        <f t="shared" si="154"/>
        <v>1527</v>
      </c>
    </row>
    <row r="326" spans="1:16" ht="17.25" thickTop="1" thickBot="1" x14ac:dyDescent="0.3">
      <c r="A326" s="407"/>
      <c r="B326" s="406" t="s">
        <v>416</v>
      </c>
      <c r="C326" s="406">
        <f>+C316+C320+C325+C321+C322+C323</f>
        <v>14693</v>
      </c>
      <c r="D326" s="406">
        <f t="shared" ref="D326:O326" si="155">+D316+D320+D325+D321+D322+D323</f>
        <v>0</v>
      </c>
      <c r="E326" s="406">
        <f t="shared" si="155"/>
        <v>0</v>
      </c>
      <c r="F326" s="406">
        <f t="shared" si="155"/>
        <v>67</v>
      </c>
      <c r="G326" s="406">
        <f t="shared" si="155"/>
        <v>0</v>
      </c>
      <c r="H326" s="406">
        <f t="shared" si="155"/>
        <v>0</v>
      </c>
      <c r="I326" s="406">
        <f t="shared" si="155"/>
        <v>0</v>
      </c>
      <c r="J326" s="406">
        <f t="shared" si="155"/>
        <v>14760</v>
      </c>
      <c r="K326" s="406">
        <f t="shared" si="155"/>
        <v>0</v>
      </c>
      <c r="L326" s="406">
        <f t="shared" si="155"/>
        <v>14760</v>
      </c>
      <c r="M326" s="406">
        <f t="shared" si="155"/>
        <v>273247</v>
      </c>
      <c r="N326" s="406">
        <f t="shared" si="155"/>
        <v>191192</v>
      </c>
      <c r="O326" s="406">
        <f t="shared" si="155"/>
        <v>479199</v>
      </c>
      <c r="P326" s="827">
        <f>O327+O328</f>
        <v>479199</v>
      </c>
    </row>
    <row r="327" spans="1:16" ht="17.25" thickTop="1" thickBot="1" x14ac:dyDescent="0.3">
      <c r="A327" s="407"/>
      <c r="B327" s="406" t="s">
        <v>415</v>
      </c>
      <c r="C327" s="406">
        <f t="shared" ref="C327:O327" si="156">+C317+C320+C321+C322+C323</f>
        <v>14693</v>
      </c>
      <c r="D327" s="406">
        <f t="shared" si="156"/>
        <v>0</v>
      </c>
      <c r="E327" s="406">
        <f t="shared" si="156"/>
        <v>0</v>
      </c>
      <c r="F327" s="406">
        <f t="shared" si="156"/>
        <v>67</v>
      </c>
      <c r="G327" s="406">
        <f t="shared" si="156"/>
        <v>0</v>
      </c>
      <c r="H327" s="406">
        <f t="shared" si="156"/>
        <v>0</v>
      </c>
      <c r="I327" s="406">
        <f t="shared" si="156"/>
        <v>0</v>
      </c>
      <c r="J327" s="406">
        <f t="shared" si="156"/>
        <v>14760</v>
      </c>
      <c r="K327" s="406">
        <f t="shared" si="156"/>
        <v>0</v>
      </c>
      <c r="L327" s="406">
        <f t="shared" si="156"/>
        <v>14760</v>
      </c>
      <c r="M327" s="406">
        <f t="shared" si="156"/>
        <v>264304</v>
      </c>
      <c r="N327" s="406">
        <f t="shared" si="156"/>
        <v>191192</v>
      </c>
      <c r="O327" s="406">
        <f t="shared" si="156"/>
        <v>470256</v>
      </c>
    </row>
    <row r="328" spans="1:16" ht="17.25" thickTop="1" thickBot="1" x14ac:dyDescent="0.3">
      <c r="A328" s="407"/>
      <c r="B328" s="406" t="s">
        <v>414</v>
      </c>
      <c r="C328" s="406">
        <f>+C318+C325</f>
        <v>0</v>
      </c>
      <c r="D328" s="406">
        <f t="shared" ref="D328:O328" si="157">+D318+D325</f>
        <v>0</v>
      </c>
      <c r="E328" s="406">
        <f t="shared" si="157"/>
        <v>0</v>
      </c>
      <c r="F328" s="406">
        <f t="shared" si="157"/>
        <v>0</v>
      </c>
      <c r="G328" s="406">
        <f t="shared" si="157"/>
        <v>0</v>
      </c>
      <c r="H328" s="406">
        <f t="shared" si="157"/>
        <v>0</v>
      </c>
      <c r="I328" s="406">
        <f t="shared" si="157"/>
        <v>0</v>
      </c>
      <c r="J328" s="406">
        <f t="shared" si="157"/>
        <v>0</v>
      </c>
      <c r="K328" s="406">
        <f t="shared" si="157"/>
        <v>0</v>
      </c>
      <c r="L328" s="406">
        <f t="shared" si="157"/>
        <v>0</v>
      </c>
      <c r="M328" s="406">
        <f t="shared" si="157"/>
        <v>8943</v>
      </c>
      <c r="N328" s="406">
        <f t="shared" si="157"/>
        <v>0</v>
      </c>
      <c r="O328" s="406">
        <f t="shared" si="157"/>
        <v>8943</v>
      </c>
    </row>
    <row r="329" spans="1:16" ht="16.5" thickTop="1" x14ac:dyDescent="0.25">
      <c r="A329" s="416" t="s">
        <v>13</v>
      </c>
      <c r="B329" s="418" t="s">
        <v>413</v>
      </c>
      <c r="C329" s="418"/>
      <c r="D329" s="418"/>
      <c r="E329" s="418"/>
      <c r="F329" s="418"/>
      <c r="G329" s="418"/>
      <c r="H329" s="418"/>
      <c r="I329" s="418"/>
      <c r="J329" s="418"/>
      <c r="K329" s="418"/>
      <c r="L329" s="418"/>
      <c r="M329" s="418"/>
      <c r="N329" s="418"/>
      <c r="O329" s="418"/>
    </row>
    <row r="330" spans="1:16" x14ac:dyDescent="0.25">
      <c r="A330" s="416"/>
      <c r="B330" s="414" t="s">
        <v>387</v>
      </c>
      <c r="C330" s="414">
        <v>211922</v>
      </c>
      <c r="D330" s="414">
        <v>9123</v>
      </c>
      <c r="E330" s="414"/>
      <c r="F330" s="414">
        <v>9200</v>
      </c>
      <c r="G330" s="414"/>
      <c r="H330" s="414">
        <v>5512</v>
      </c>
      <c r="I330" s="414">
        <v>486</v>
      </c>
      <c r="J330" s="414">
        <f>SUM(C330+E330+F330+H330)</f>
        <v>226634</v>
      </c>
      <c r="K330" s="414">
        <f>SUM(D330+G330+I330)</f>
        <v>9609</v>
      </c>
      <c r="L330" s="414">
        <f>SUM(J330:K330)</f>
        <v>236243</v>
      </c>
      <c r="M330" s="414">
        <v>273256</v>
      </c>
      <c r="N330" s="414">
        <v>32823</v>
      </c>
      <c r="O330" s="414">
        <f>SUM(L330:N330)</f>
        <v>542322</v>
      </c>
    </row>
    <row r="331" spans="1:16" s="828" customFormat="1" x14ac:dyDescent="0.25">
      <c r="A331" s="423"/>
      <c r="B331" s="415" t="s">
        <v>418</v>
      </c>
      <c r="C331" s="415">
        <v>211922</v>
      </c>
      <c r="D331" s="415">
        <v>9123</v>
      </c>
      <c r="E331" s="415"/>
      <c r="F331" s="415">
        <v>9200</v>
      </c>
      <c r="G331" s="415"/>
      <c r="H331" s="415">
        <v>5512</v>
      </c>
      <c r="I331" s="415">
        <v>486</v>
      </c>
      <c r="J331" s="421">
        <f>SUM(C331+E331+F331+H331)</f>
        <v>226634</v>
      </c>
      <c r="K331" s="421">
        <f>SUM(D331+G331+I331)</f>
        <v>9609</v>
      </c>
      <c r="L331" s="421">
        <f>SUM(J331:K331)</f>
        <v>236243</v>
      </c>
      <c r="M331" s="421">
        <v>267129</v>
      </c>
      <c r="N331" s="421">
        <v>32823</v>
      </c>
      <c r="O331" s="421">
        <f>SUM(L331:N331)</f>
        <v>536195</v>
      </c>
    </row>
    <row r="332" spans="1:16" s="828" customFormat="1" x14ac:dyDescent="0.25">
      <c r="A332" s="423"/>
      <c r="B332" s="415" t="s">
        <v>417</v>
      </c>
      <c r="C332" s="415"/>
      <c r="D332" s="415"/>
      <c r="E332" s="415"/>
      <c r="F332" s="415"/>
      <c r="G332" s="415"/>
      <c r="H332" s="415"/>
      <c r="I332" s="415"/>
      <c r="J332" s="415">
        <f>SUM(C332+E332+F332+H332)</f>
        <v>0</v>
      </c>
      <c r="K332" s="415">
        <f>SUM(D332+G332+I332)</f>
        <v>0</v>
      </c>
      <c r="L332" s="415">
        <f>SUM(J332:K332)</f>
        <v>0</v>
      </c>
      <c r="M332" s="415">
        <v>6127</v>
      </c>
      <c r="N332" s="415"/>
      <c r="O332" s="415">
        <f>SUM(L332:N332)</f>
        <v>6127</v>
      </c>
    </row>
    <row r="333" spans="1:16" s="828" customFormat="1" x14ac:dyDescent="0.25">
      <c r="A333" s="422"/>
      <c r="B333" s="419" t="s">
        <v>139</v>
      </c>
      <c r="C333" s="609"/>
      <c r="D333" s="609"/>
      <c r="E333" s="609"/>
      <c r="F333" s="609"/>
      <c r="G333" s="609"/>
      <c r="H333" s="609"/>
      <c r="I333" s="609"/>
      <c r="J333" s="609"/>
      <c r="K333" s="609"/>
      <c r="L333" s="609"/>
      <c r="M333" s="609"/>
      <c r="N333" s="609"/>
      <c r="O333" s="609"/>
    </row>
    <row r="334" spans="1:16" s="828" customFormat="1" x14ac:dyDescent="0.25">
      <c r="A334" s="422"/>
      <c r="B334" s="609" t="s">
        <v>1034</v>
      </c>
      <c r="C334" s="609"/>
      <c r="D334" s="609"/>
      <c r="E334" s="609"/>
      <c r="F334" s="609"/>
      <c r="G334" s="609"/>
      <c r="H334" s="609"/>
      <c r="I334" s="609"/>
      <c r="J334" s="609">
        <f t="shared" ref="J334:J341" si="158">SUM(C334+E334+F334+H334)</f>
        <v>0</v>
      </c>
      <c r="K334" s="609">
        <f t="shared" ref="K334:K341" si="159">SUM(D334+G334+I334)</f>
        <v>0</v>
      </c>
      <c r="L334" s="609">
        <f t="shared" ref="L334:L341" si="160">SUM(J334:K334)</f>
        <v>0</v>
      </c>
      <c r="M334" s="609">
        <v>98</v>
      </c>
      <c r="N334" s="609"/>
      <c r="O334" s="609">
        <f t="shared" ref="O334:O341" si="161">SUM(L334:N334)</f>
        <v>98</v>
      </c>
    </row>
    <row r="335" spans="1:16" s="828" customFormat="1" x14ac:dyDescent="0.25">
      <c r="A335" s="423"/>
      <c r="B335" s="608" t="s">
        <v>1038</v>
      </c>
      <c r="C335" s="608"/>
      <c r="D335" s="608"/>
      <c r="E335" s="608"/>
      <c r="F335" s="608"/>
      <c r="G335" s="608"/>
      <c r="H335" s="608"/>
      <c r="I335" s="608"/>
      <c r="J335" s="608">
        <f t="shared" si="158"/>
        <v>0</v>
      </c>
      <c r="K335" s="608">
        <f t="shared" si="159"/>
        <v>0</v>
      </c>
      <c r="L335" s="608">
        <f t="shared" si="160"/>
        <v>0</v>
      </c>
      <c r="M335" s="608">
        <v>2736</v>
      </c>
      <c r="N335" s="608"/>
      <c r="O335" s="608">
        <f t="shared" si="161"/>
        <v>2736</v>
      </c>
    </row>
    <row r="336" spans="1:16" s="828" customFormat="1" ht="31.5" x14ac:dyDescent="0.25">
      <c r="A336" s="423"/>
      <c r="B336" s="608" t="s">
        <v>767</v>
      </c>
      <c r="C336" s="608"/>
      <c r="D336" s="608"/>
      <c r="E336" s="608"/>
      <c r="F336" s="608"/>
      <c r="G336" s="608"/>
      <c r="H336" s="608">
        <v>-630</v>
      </c>
      <c r="I336" s="608">
        <v>630</v>
      </c>
      <c r="J336" s="608">
        <f t="shared" si="158"/>
        <v>-630</v>
      </c>
      <c r="K336" s="608">
        <f t="shared" si="159"/>
        <v>630</v>
      </c>
      <c r="L336" s="608">
        <f t="shared" si="160"/>
        <v>0</v>
      </c>
      <c r="M336" s="608"/>
      <c r="N336" s="608"/>
      <c r="O336" s="608">
        <f t="shared" si="161"/>
        <v>0</v>
      </c>
    </row>
    <row r="337" spans="1:16" s="828" customFormat="1" ht="31.5" x14ac:dyDescent="0.25">
      <c r="A337" s="423"/>
      <c r="B337" s="608" t="s">
        <v>766</v>
      </c>
      <c r="C337" s="608">
        <v>9296</v>
      </c>
      <c r="D337" s="608"/>
      <c r="E337" s="608"/>
      <c r="F337" s="608">
        <v>1515</v>
      </c>
      <c r="G337" s="608"/>
      <c r="H337" s="608">
        <v>200</v>
      </c>
      <c r="I337" s="608"/>
      <c r="J337" s="608">
        <f t="shared" si="158"/>
        <v>11011</v>
      </c>
      <c r="K337" s="608">
        <f t="shared" si="159"/>
        <v>0</v>
      </c>
      <c r="L337" s="608">
        <f t="shared" si="160"/>
        <v>11011</v>
      </c>
      <c r="M337" s="608">
        <v>5339</v>
      </c>
      <c r="N337" s="608"/>
      <c r="O337" s="608">
        <f t="shared" si="161"/>
        <v>16350</v>
      </c>
    </row>
    <row r="338" spans="1:16" s="828" customFormat="1" x14ac:dyDescent="0.25">
      <c r="A338" s="423"/>
      <c r="B338" s="415" t="s">
        <v>140</v>
      </c>
      <c r="C338" s="608"/>
      <c r="D338" s="608"/>
      <c r="E338" s="608"/>
      <c r="F338" s="608"/>
      <c r="G338" s="608"/>
      <c r="H338" s="608"/>
      <c r="I338" s="608"/>
      <c r="J338" s="608"/>
      <c r="K338" s="608"/>
      <c r="L338" s="608"/>
      <c r="M338" s="608"/>
      <c r="N338" s="608"/>
      <c r="O338" s="608"/>
    </row>
    <row r="339" spans="1:16" s="828" customFormat="1" x14ac:dyDescent="0.25">
      <c r="A339" s="423"/>
      <c r="B339" s="608" t="s">
        <v>1037</v>
      </c>
      <c r="C339" s="608"/>
      <c r="D339" s="608"/>
      <c r="E339" s="608"/>
      <c r="F339" s="608"/>
      <c r="G339" s="608"/>
      <c r="H339" s="608"/>
      <c r="I339" s="608"/>
      <c r="J339" s="608">
        <f t="shared" si="158"/>
        <v>0</v>
      </c>
      <c r="K339" s="608">
        <f t="shared" si="159"/>
        <v>0</v>
      </c>
      <c r="L339" s="608">
        <f t="shared" si="160"/>
        <v>0</v>
      </c>
      <c r="M339" s="608">
        <v>1216</v>
      </c>
      <c r="N339" s="608"/>
      <c r="O339" s="608">
        <f t="shared" si="161"/>
        <v>1216</v>
      </c>
    </row>
    <row r="340" spans="1:16" s="828" customFormat="1" ht="96" customHeight="1" x14ac:dyDescent="0.25">
      <c r="A340" s="423"/>
      <c r="B340" s="608" t="s">
        <v>1045</v>
      </c>
      <c r="C340" s="608"/>
      <c r="D340" s="608"/>
      <c r="E340" s="608"/>
      <c r="F340" s="608"/>
      <c r="G340" s="608"/>
      <c r="H340" s="608"/>
      <c r="I340" s="608"/>
      <c r="J340" s="608">
        <f t="shared" si="158"/>
        <v>0</v>
      </c>
      <c r="K340" s="608">
        <f t="shared" si="159"/>
        <v>0</v>
      </c>
      <c r="L340" s="608">
        <f t="shared" si="160"/>
        <v>0</v>
      </c>
      <c r="M340" s="608">
        <v>100</v>
      </c>
      <c r="N340" s="608"/>
      <c r="O340" s="608">
        <f t="shared" si="161"/>
        <v>100</v>
      </c>
    </row>
    <row r="341" spans="1:16" s="828" customFormat="1" ht="32.25" thickBot="1" x14ac:dyDescent="0.3">
      <c r="A341" s="423"/>
      <c r="B341" s="608" t="s">
        <v>767</v>
      </c>
      <c r="C341" s="608"/>
      <c r="D341" s="608"/>
      <c r="E341" s="608"/>
      <c r="F341" s="608"/>
      <c r="G341" s="608">
        <v>486</v>
      </c>
      <c r="H341" s="608"/>
      <c r="I341" s="608">
        <v>-486</v>
      </c>
      <c r="J341" s="608">
        <f t="shared" si="158"/>
        <v>0</v>
      </c>
      <c r="K341" s="608">
        <f t="shared" si="159"/>
        <v>0</v>
      </c>
      <c r="L341" s="608">
        <f t="shared" si="160"/>
        <v>0</v>
      </c>
      <c r="M341" s="608"/>
      <c r="N341" s="608"/>
      <c r="O341" s="608">
        <f t="shared" si="161"/>
        <v>0</v>
      </c>
    </row>
    <row r="342" spans="1:16" ht="17.25" thickTop="1" thickBot="1" x14ac:dyDescent="0.3">
      <c r="A342" s="407"/>
      <c r="B342" s="406" t="s">
        <v>416</v>
      </c>
      <c r="C342" s="406">
        <f>+C330+C334+C339+C335+C340+C336+C337+C341</f>
        <v>221218</v>
      </c>
      <c r="D342" s="406">
        <f t="shared" ref="D342:O342" si="162">+D330+D334+D339+D335+D340+D336+D337+D341</f>
        <v>9123</v>
      </c>
      <c r="E342" s="406">
        <f t="shared" si="162"/>
        <v>0</v>
      </c>
      <c r="F342" s="406">
        <f t="shared" si="162"/>
        <v>10715</v>
      </c>
      <c r="G342" s="406">
        <f t="shared" si="162"/>
        <v>486</v>
      </c>
      <c r="H342" s="406">
        <f t="shared" si="162"/>
        <v>5082</v>
      </c>
      <c r="I342" s="406">
        <f t="shared" si="162"/>
        <v>630</v>
      </c>
      <c r="J342" s="406">
        <f t="shared" si="162"/>
        <v>237015</v>
      </c>
      <c r="K342" s="406">
        <f t="shared" si="162"/>
        <v>10239</v>
      </c>
      <c r="L342" s="406">
        <f t="shared" si="162"/>
        <v>247254</v>
      </c>
      <c r="M342" s="406">
        <f t="shared" si="162"/>
        <v>282745</v>
      </c>
      <c r="N342" s="406">
        <f t="shared" si="162"/>
        <v>32823</v>
      </c>
      <c r="O342" s="406">
        <f t="shared" si="162"/>
        <v>562822</v>
      </c>
      <c r="P342" s="827">
        <f>O343+O344</f>
        <v>562822</v>
      </c>
    </row>
    <row r="343" spans="1:16" ht="17.25" thickTop="1" thickBot="1" x14ac:dyDescent="0.3">
      <c r="A343" s="407"/>
      <c r="B343" s="406" t="s">
        <v>415</v>
      </c>
      <c r="C343" s="406">
        <f>+C331+C334+C335+C336+C337</f>
        <v>221218</v>
      </c>
      <c r="D343" s="406">
        <f t="shared" ref="D343:O343" si="163">+D331+D334+D335+D336+D337</f>
        <v>9123</v>
      </c>
      <c r="E343" s="406">
        <f t="shared" si="163"/>
        <v>0</v>
      </c>
      <c r="F343" s="406">
        <f t="shared" si="163"/>
        <v>10715</v>
      </c>
      <c r="G343" s="406">
        <f t="shared" si="163"/>
        <v>0</v>
      </c>
      <c r="H343" s="406">
        <f t="shared" si="163"/>
        <v>5082</v>
      </c>
      <c r="I343" s="406">
        <f t="shared" si="163"/>
        <v>1116</v>
      </c>
      <c r="J343" s="406">
        <f t="shared" si="163"/>
        <v>237015</v>
      </c>
      <c r="K343" s="406">
        <f t="shared" si="163"/>
        <v>10239</v>
      </c>
      <c r="L343" s="406">
        <f t="shared" si="163"/>
        <v>247254</v>
      </c>
      <c r="M343" s="406">
        <f t="shared" si="163"/>
        <v>275302</v>
      </c>
      <c r="N343" s="406">
        <f t="shared" si="163"/>
        <v>32823</v>
      </c>
      <c r="O343" s="406">
        <f t="shared" si="163"/>
        <v>555379</v>
      </c>
    </row>
    <row r="344" spans="1:16" ht="17.25" thickTop="1" thickBot="1" x14ac:dyDescent="0.3">
      <c r="A344" s="407"/>
      <c r="B344" s="406" t="s">
        <v>414</v>
      </c>
      <c r="C344" s="406">
        <f t="shared" ref="C344:O344" si="164">+C332+C339+C340+C341</f>
        <v>0</v>
      </c>
      <c r="D344" s="406">
        <f t="shared" si="164"/>
        <v>0</v>
      </c>
      <c r="E344" s="406">
        <f t="shared" si="164"/>
        <v>0</v>
      </c>
      <c r="F344" s="406">
        <f t="shared" si="164"/>
        <v>0</v>
      </c>
      <c r="G344" s="406">
        <f t="shared" si="164"/>
        <v>486</v>
      </c>
      <c r="H344" s="406">
        <f t="shared" si="164"/>
        <v>0</v>
      </c>
      <c r="I344" s="406">
        <f t="shared" si="164"/>
        <v>-486</v>
      </c>
      <c r="J344" s="406">
        <f t="shared" si="164"/>
        <v>0</v>
      </c>
      <c r="K344" s="406">
        <f t="shared" si="164"/>
        <v>0</v>
      </c>
      <c r="L344" s="406">
        <f t="shared" si="164"/>
        <v>0</v>
      </c>
      <c r="M344" s="406">
        <f t="shared" si="164"/>
        <v>7443</v>
      </c>
      <c r="N344" s="406">
        <f t="shared" si="164"/>
        <v>0</v>
      </c>
      <c r="O344" s="406">
        <f t="shared" si="164"/>
        <v>7443</v>
      </c>
    </row>
    <row r="345" spans="1:16" ht="17.25" thickTop="1" thickBot="1" x14ac:dyDescent="0.3">
      <c r="A345" s="407"/>
      <c r="B345" s="406" t="s">
        <v>431</v>
      </c>
      <c r="C345" s="406">
        <f t="shared" ref="C345:O345" si="165">SUM(C312+C326+C342)</f>
        <v>325581</v>
      </c>
      <c r="D345" s="406">
        <f t="shared" si="165"/>
        <v>9123</v>
      </c>
      <c r="E345" s="406">
        <f t="shared" si="165"/>
        <v>0</v>
      </c>
      <c r="F345" s="406">
        <f t="shared" si="165"/>
        <v>369937</v>
      </c>
      <c r="G345" s="406">
        <f t="shared" si="165"/>
        <v>486</v>
      </c>
      <c r="H345" s="406">
        <f t="shared" si="165"/>
        <v>5082</v>
      </c>
      <c r="I345" s="406">
        <f t="shared" si="165"/>
        <v>630</v>
      </c>
      <c r="J345" s="406">
        <f t="shared" si="165"/>
        <v>700600</v>
      </c>
      <c r="K345" s="406">
        <f t="shared" si="165"/>
        <v>10239</v>
      </c>
      <c r="L345" s="406">
        <f t="shared" si="165"/>
        <v>710839</v>
      </c>
      <c r="M345" s="406">
        <f t="shared" si="165"/>
        <v>1464835</v>
      </c>
      <c r="N345" s="406">
        <f t="shared" si="165"/>
        <v>232340</v>
      </c>
      <c r="O345" s="406">
        <f t="shared" si="165"/>
        <v>2408014</v>
      </c>
    </row>
    <row r="346" spans="1:16" ht="16.5" thickTop="1" x14ac:dyDescent="0.25">
      <c r="A346" s="413" t="s">
        <v>14</v>
      </c>
      <c r="B346" s="430" t="s">
        <v>430</v>
      </c>
      <c r="C346" s="430"/>
      <c r="D346" s="430"/>
      <c r="E346" s="430"/>
      <c r="F346" s="430"/>
      <c r="G346" s="430"/>
      <c r="H346" s="430"/>
      <c r="I346" s="430"/>
      <c r="J346" s="430"/>
      <c r="K346" s="430"/>
      <c r="L346" s="430"/>
      <c r="M346" s="430"/>
      <c r="N346" s="430"/>
      <c r="O346" s="430"/>
    </row>
    <row r="347" spans="1:16" x14ac:dyDescent="0.25">
      <c r="A347" s="416"/>
      <c r="B347" s="429" t="s">
        <v>387</v>
      </c>
      <c r="C347" s="429">
        <v>10927</v>
      </c>
      <c r="D347" s="429"/>
      <c r="E347" s="429"/>
      <c r="F347" s="429">
        <v>494244</v>
      </c>
      <c r="G347" s="429"/>
      <c r="H347" s="429"/>
      <c r="I347" s="429"/>
      <c r="J347" s="414">
        <f>SUM(C347+E347+F347+H347)</f>
        <v>505171</v>
      </c>
      <c r="K347" s="414">
        <f>SUM(D347+G347+I347)</f>
        <v>0</v>
      </c>
      <c r="L347" s="414">
        <f>SUM(J347:K347)</f>
        <v>505171</v>
      </c>
      <c r="M347" s="414">
        <v>905482</v>
      </c>
      <c r="N347" s="414">
        <v>3880</v>
      </c>
      <c r="O347" s="414">
        <f>SUM(L347:N347)</f>
        <v>1414533</v>
      </c>
    </row>
    <row r="348" spans="1:16" s="828" customFormat="1" x14ac:dyDescent="0.25">
      <c r="A348" s="423"/>
      <c r="B348" s="415" t="s">
        <v>418</v>
      </c>
      <c r="C348" s="415">
        <v>10927</v>
      </c>
      <c r="D348" s="415"/>
      <c r="E348" s="415"/>
      <c r="F348" s="415">
        <v>494244</v>
      </c>
      <c r="G348" s="415"/>
      <c r="H348" s="415"/>
      <c r="I348" s="415"/>
      <c r="J348" s="421">
        <f>SUM(C348+E348+F348+H348)</f>
        <v>505171</v>
      </c>
      <c r="K348" s="421">
        <f>SUM(D348+G348+I348)</f>
        <v>0</v>
      </c>
      <c r="L348" s="421">
        <f>SUM(J348:K348)</f>
        <v>505171</v>
      </c>
      <c r="M348" s="421">
        <v>897969</v>
      </c>
      <c r="N348" s="421">
        <v>3880</v>
      </c>
      <c r="O348" s="421">
        <f>SUM(L348:N348)</f>
        <v>1407020</v>
      </c>
    </row>
    <row r="349" spans="1:16" s="828" customFormat="1" x14ac:dyDescent="0.25">
      <c r="A349" s="423"/>
      <c r="B349" s="415" t="s">
        <v>417</v>
      </c>
      <c r="C349" s="415"/>
      <c r="D349" s="415"/>
      <c r="E349" s="415"/>
      <c r="F349" s="415"/>
      <c r="G349" s="415"/>
      <c r="H349" s="415"/>
      <c r="I349" s="415"/>
      <c r="J349" s="415">
        <f>SUM(C349+E349+F349+H349)</f>
        <v>0</v>
      </c>
      <c r="K349" s="415">
        <f>SUM(D349+G349+I349)</f>
        <v>0</v>
      </c>
      <c r="L349" s="415">
        <f>SUM(J349:K349)</f>
        <v>0</v>
      </c>
      <c r="M349" s="415">
        <v>7513</v>
      </c>
      <c r="N349" s="415"/>
      <c r="O349" s="415">
        <f>SUM(L349:N349)</f>
        <v>7513</v>
      </c>
    </row>
    <row r="350" spans="1:16" x14ac:dyDescent="0.25">
      <c r="A350" s="416"/>
      <c r="B350" s="415" t="s">
        <v>139</v>
      </c>
      <c r="C350" s="415"/>
      <c r="D350" s="415"/>
      <c r="E350" s="415"/>
      <c r="F350" s="415"/>
      <c r="G350" s="415"/>
      <c r="H350" s="415"/>
      <c r="I350" s="415"/>
      <c r="J350" s="414"/>
      <c r="K350" s="414"/>
      <c r="L350" s="414"/>
      <c r="M350" s="414"/>
      <c r="N350" s="414"/>
      <c r="O350" s="414"/>
    </row>
    <row r="351" spans="1:16" x14ac:dyDescent="0.25">
      <c r="A351" s="416"/>
      <c r="B351" s="608" t="s">
        <v>1034</v>
      </c>
      <c r="C351" s="414"/>
      <c r="D351" s="414"/>
      <c r="E351" s="414"/>
      <c r="F351" s="414"/>
      <c r="G351" s="414"/>
      <c r="H351" s="414"/>
      <c r="I351" s="414"/>
      <c r="J351" s="414">
        <f t="shared" ref="J351:J354" si="166">SUM(C351+E351+F351+H351)</f>
        <v>0</v>
      </c>
      <c r="K351" s="414">
        <f t="shared" ref="K351:K354" si="167">SUM(D351+G351+I351)</f>
        <v>0</v>
      </c>
      <c r="L351" s="414">
        <f t="shared" ref="L351:L354" si="168">SUM(J351:K351)</f>
        <v>0</v>
      </c>
      <c r="M351" s="414">
        <v>95</v>
      </c>
      <c r="N351" s="414"/>
      <c r="O351" s="414">
        <f t="shared" ref="O351:O354" si="169">SUM(L351:N351)</f>
        <v>95</v>
      </c>
    </row>
    <row r="352" spans="1:16" ht="31.5" x14ac:dyDescent="0.25">
      <c r="A352" s="416"/>
      <c r="B352" s="608" t="s">
        <v>766</v>
      </c>
      <c r="C352" s="414"/>
      <c r="D352" s="414"/>
      <c r="E352" s="414"/>
      <c r="F352" s="414">
        <v>23949</v>
      </c>
      <c r="G352" s="414"/>
      <c r="H352" s="414"/>
      <c r="I352" s="414"/>
      <c r="J352" s="414">
        <f t="shared" si="166"/>
        <v>23949</v>
      </c>
      <c r="K352" s="414">
        <f t="shared" si="167"/>
        <v>0</v>
      </c>
      <c r="L352" s="414">
        <f t="shared" si="168"/>
        <v>23949</v>
      </c>
      <c r="M352" s="414"/>
      <c r="N352" s="414"/>
      <c r="O352" s="414">
        <f t="shared" si="169"/>
        <v>23949</v>
      </c>
    </row>
    <row r="353" spans="1:16" x14ac:dyDescent="0.25">
      <c r="A353" s="416"/>
      <c r="B353" s="415" t="s">
        <v>140</v>
      </c>
      <c r="C353" s="414"/>
      <c r="D353" s="414"/>
      <c r="E353" s="414"/>
      <c r="F353" s="414"/>
      <c r="G353" s="414"/>
      <c r="H353" s="414"/>
      <c r="I353" s="414"/>
      <c r="J353" s="414"/>
      <c r="K353" s="414"/>
      <c r="L353" s="414"/>
      <c r="M353" s="414"/>
      <c r="N353" s="414"/>
      <c r="O353" s="414"/>
    </row>
    <row r="354" spans="1:16" ht="16.5" thickBot="1" x14ac:dyDescent="0.3">
      <c r="A354" s="416"/>
      <c r="B354" s="608" t="s">
        <v>1037</v>
      </c>
      <c r="C354" s="414"/>
      <c r="D354" s="414"/>
      <c r="E354" s="414"/>
      <c r="F354" s="414"/>
      <c r="G354" s="414"/>
      <c r="H354" s="414"/>
      <c r="I354" s="414"/>
      <c r="J354" s="414">
        <f t="shared" si="166"/>
        <v>0</v>
      </c>
      <c r="K354" s="414">
        <f t="shared" si="167"/>
        <v>0</v>
      </c>
      <c r="L354" s="414">
        <f t="shared" si="168"/>
        <v>0</v>
      </c>
      <c r="M354" s="414">
        <v>1485</v>
      </c>
      <c r="N354" s="414"/>
      <c r="O354" s="414">
        <f t="shared" si="169"/>
        <v>1485</v>
      </c>
    </row>
    <row r="355" spans="1:16" ht="17.25" thickTop="1" thickBot="1" x14ac:dyDescent="0.3">
      <c r="A355" s="407"/>
      <c r="B355" s="406" t="s">
        <v>416</v>
      </c>
      <c r="C355" s="406">
        <f>+C347+C351+C352+C354</f>
        <v>10927</v>
      </c>
      <c r="D355" s="406">
        <f t="shared" ref="D355:O355" si="170">+D347+D351+D352+D354</f>
        <v>0</v>
      </c>
      <c r="E355" s="406">
        <f t="shared" si="170"/>
        <v>0</v>
      </c>
      <c r="F355" s="406">
        <f t="shared" si="170"/>
        <v>518193</v>
      </c>
      <c r="G355" s="406">
        <f t="shared" si="170"/>
        <v>0</v>
      </c>
      <c r="H355" s="406">
        <f t="shared" si="170"/>
        <v>0</v>
      </c>
      <c r="I355" s="406">
        <f t="shared" si="170"/>
        <v>0</v>
      </c>
      <c r="J355" s="406">
        <f t="shared" si="170"/>
        <v>529120</v>
      </c>
      <c r="K355" s="406">
        <f t="shared" si="170"/>
        <v>0</v>
      </c>
      <c r="L355" s="406">
        <f t="shared" si="170"/>
        <v>529120</v>
      </c>
      <c r="M355" s="406">
        <f t="shared" si="170"/>
        <v>907062</v>
      </c>
      <c r="N355" s="406">
        <f t="shared" si="170"/>
        <v>3880</v>
      </c>
      <c r="O355" s="406">
        <f t="shared" si="170"/>
        <v>1440062</v>
      </c>
      <c r="P355" s="827">
        <f>O356+O357</f>
        <v>1440062</v>
      </c>
    </row>
    <row r="356" spans="1:16" ht="17.25" thickTop="1" thickBot="1" x14ac:dyDescent="0.3">
      <c r="A356" s="407"/>
      <c r="B356" s="406" t="s">
        <v>415</v>
      </c>
      <c r="C356" s="406">
        <f>+C348+C351+C352</f>
        <v>10927</v>
      </c>
      <c r="D356" s="406">
        <f t="shared" ref="D356:O356" si="171">+D348+D351+D352</f>
        <v>0</v>
      </c>
      <c r="E356" s="406">
        <f t="shared" si="171"/>
        <v>0</v>
      </c>
      <c r="F356" s="406">
        <f t="shared" si="171"/>
        <v>518193</v>
      </c>
      <c r="G356" s="406">
        <f t="shared" si="171"/>
        <v>0</v>
      </c>
      <c r="H356" s="406">
        <f t="shared" si="171"/>
        <v>0</v>
      </c>
      <c r="I356" s="406">
        <f t="shared" si="171"/>
        <v>0</v>
      </c>
      <c r="J356" s="406">
        <f t="shared" si="171"/>
        <v>529120</v>
      </c>
      <c r="K356" s="406">
        <f t="shared" si="171"/>
        <v>0</v>
      </c>
      <c r="L356" s="406">
        <f t="shared" si="171"/>
        <v>529120</v>
      </c>
      <c r="M356" s="406">
        <f t="shared" si="171"/>
        <v>898064</v>
      </c>
      <c r="N356" s="406">
        <f t="shared" si="171"/>
        <v>3880</v>
      </c>
      <c r="O356" s="406">
        <f t="shared" si="171"/>
        <v>1431064</v>
      </c>
    </row>
    <row r="357" spans="1:16" ht="17.25" thickTop="1" thickBot="1" x14ac:dyDescent="0.3">
      <c r="A357" s="407"/>
      <c r="B357" s="406" t="s">
        <v>414</v>
      </c>
      <c r="C357" s="406">
        <f>+C349+C354</f>
        <v>0</v>
      </c>
      <c r="D357" s="406">
        <f t="shared" ref="D357:O357" si="172">+D349+D354</f>
        <v>0</v>
      </c>
      <c r="E357" s="406">
        <f t="shared" si="172"/>
        <v>0</v>
      </c>
      <c r="F357" s="406">
        <f t="shared" si="172"/>
        <v>0</v>
      </c>
      <c r="G357" s="406">
        <f t="shared" si="172"/>
        <v>0</v>
      </c>
      <c r="H357" s="406">
        <f t="shared" si="172"/>
        <v>0</v>
      </c>
      <c r="I357" s="406">
        <f t="shared" si="172"/>
        <v>0</v>
      </c>
      <c r="J357" s="406">
        <f t="shared" si="172"/>
        <v>0</v>
      </c>
      <c r="K357" s="406">
        <f t="shared" si="172"/>
        <v>0</v>
      </c>
      <c r="L357" s="406">
        <f t="shared" si="172"/>
        <v>0</v>
      </c>
      <c r="M357" s="406">
        <f t="shared" si="172"/>
        <v>8998</v>
      </c>
      <c r="N357" s="406">
        <f t="shared" si="172"/>
        <v>0</v>
      </c>
      <c r="O357" s="406">
        <f t="shared" si="172"/>
        <v>8998</v>
      </c>
    </row>
    <row r="358" spans="1:16" ht="16.5" thickTop="1" x14ac:dyDescent="0.25">
      <c r="A358" s="416" t="s">
        <v>15</v>
      </c>
      <c r="B358" s="424" t="s">
        <v>429</v>
      </c>
      <c r="C358" s="424"/>
      <c r="D358" s="424"/>
      <c r="E358" s="424"/>
      <c r="F358" s="424"/>
      <c r="G358" s="424"/>
      <c r="H358" s="424"/>
      <c r="I358" s="424"/>
      <c r="J358" s="424"/>
      <c r="K358" s="424"/>
      <c r="L358" s="424"/>
      <c r="M358" s="424"/>
      <c r="N358" s="424"/>
      <c r="O358" s="424"/>
    </row>
    <row r="359" spans="1:16" x14ac:dyDescent="0.25">
      <c r="A359" s="416"/>
      <c r="B359" s="414" t="s">
        <v>387</v>
      </c>
      <c r="C359" s="414">
        <v>9871</v>
      </c>
      <c r="D359" s="414"/>
      <c r="E359" s="414"/>
      <c r="F359" s="414">
        <v>350</v>
      </c>
      <c r="G359" s="414"/>
      <c r="H359" s="414"/>
      <c r="I359" s="414"/>
      <c r="J359" s="414">
        <f>SUM(C359+E359+F359+H359)</f>
        <v>10221</v>
      </c>
      <c r="K359" s="414">
        <f>SUM(D359+G359+I359)</f>
        <v>0</v>
      </c>
      <c r="L359" s="414">
        <f>SUM(J359:K359)</f>
        <v>10221</v>
      </c>
      <c r="M359" s="414">
        <v>84804</v>
      </c>
      <c r="N359" s="414">
        <v>935</v>
      </c>
      <c r="O359" s="414">
        <f>SUM(L359:N359)</f>
        <v>95960</v>
      </c>
    </row>
    <row r="360" spans="1:16" s="828" customFormat="1" x14ac:dyDescent="0.25">
      <c r="A360" s="422"/>
      <c r="B360" s="419" t="s">
        <v>424</v>
      </c>
      <c r="C360" s="419">
        <v>9871</v>
      </c>
      <c r="D360" s="419"/>
      <c r="E360" s="419"/>
      <c r="F360" s="419">
        <v>350</v>
      </c>
      <c r="G360" s="419"/>
      <c r="H360" s="419"/>
      <c r="I360" s="419"/>
      <c r="J360" s="435">
        <f>SUM(C360+E360+F360+H360)</f>
        <v>10221</v>
      </c>
      <c r="K360" s="435">
        <f>SUM(D360+G360+I360)</f>
        <v>0</v>
      </c>
      <c r="L360" s="435">
        <f>SUM(J360:K360)</f>
        <v>10221</v>
      </c>
      <c r="M360" s="435">
        <v>84804</v>
      </c>
      <c r="N360" s="435">
        <v>935</v>
      </c>
      <c r="O360" s="435">
        <f>SUM(L360:N360)</f>
        <v>95960</v>
      </c>
    </row>
    <row r="361" spans="1:16" s="828" customFormat="1" x14ac:dyDescent="0.25">
      <c r="A361" s="422"/>
      <c r="B361" s="419" t="s">
        <v>140</v>
      </c>
      <c r="C361" s="419"/>
      <c r="D361" s="419"/>
      <c r="E361" s="419"/>
      <c r="F361" s="419"/>
      <c r="G361" s="419"/>
      <c r="H361" s="419"/>
      <c r="I361" s="419"/>
      <c r="J361" s="435"/>
      <c r="K361" s="435"/>
      <c r="L361" s="435"/>
      <c r="M361" s="435"/>
      <c r="N361" s="435"/>
      <c r="O361" s="435"/>
    </row>
    <row r="362" spans="1:16" s="828" customFormat="1" x14ac:dyDescent="0.25">
      <c r="A362" s="423"/>
      <c r="B362" s="608" t="s">
        <v>1034</v>
      </c>
      <c r="C362" s="608"/>
      <c r="D362" s="608"/>
      <c r="E362" s="608"/>
      <c r="F362" s="608"/>
      <c r="G362" s="608"/>
      <c r="H362" s="608"/>
      <c r="I362" s="608"/>
      <c r="J362" s="608">
        <f t="shared" ref="J362:J365" si="173">SUM(C362+E362+F362+H362)</f>
        <v>0</v>
      </c>
      <c r="K362" s="608">
        <f t="shared" ref="K362:K365" si="174">SUM(D362+G362+I362)</f>
        <v>0</v>
      </c>
      <c r="L362" s="608">
        <f t="shared" ref="L362:L365" si="175">SUM(J362:K362)</f>
        <v>0</v>
      </c>
      <c r="M362" s="608">
        <v>3</v>
      </c>
      <c r="N362" s="608"/>
      <c r="O362" s="608">
        <f t="shared" ref="O362:O365" si="176">SUM(L362:N362)</f>
        <v>3</v>
      </c>
    </row>
    <row r="363" spans="1:16" s="829" customFormat="1" x14ac:dyDescent="0.25">
      <c r="A363" s="416"/>
      <c r="B363" s="608" t="s">
        <v>1046</v>
      </c>
      <c r="C363" s="608"/>
      <c r="D363" s="608"/>
      <c r="E363" s="608"/>
      <c r="F363" s="608"/>
      <c r="G363" s="608"/>
      <c r="H363" s="608"/>
      <c r="I363" s="608"/>
      <c r="J363" s="414">
        <f t="shared" si="173"/>
        <v>0</v>
      </c>
      <c r="K363" s="414">
        <f t="shared" si="174"/>
        <v>0</v>
      </c>
      <c r="L363" s="414">
        <f t="shared" si="175"/>
        <v>0</v>
      </c>
      <c r="M363" s="414">
        <v>321</v>
      </c>
      <c r="N363" s="414"/>
      <c r="O363" s="414">
        <f t="shared" si="176"/>
        <v>321</v>
      </c>
    </row>
    <row r="364" spans="1:16" s="829" customFormat="1" x14ac:dyDescent="0.25">
      <c r="A364" s="416"/>
      <c r="B364" s="608" t="s">
        <v>1037</v>
      </c>
      <c r="C364" s="608"/>
      <c r="D364" s="608"/>
      <c r="E364" s="608"/>
      <c r="F364" s="608"/>
      <c r="G364" s="608"/>
      <c r="H364" s="608"/>
      <c r="I364" s="608"/>
      <c r="J364" s="414">
        <f t="shared" si="173"/>
        <v>0</v>
      </c>
      <c r="K364" s="414">
        <f t="shared" si="174"/>
        <v>0</v>
      </c>
      <c r="L364" s="414">
        <f t="shared" si="175"/>
        <v>0</v>
      </c>
      <c r="M364" s="414">
        <v>270</v>
      </c>
      <c r="N364" s="414"/>
      <c r="O364" s="414">
        <f t="shared" si="176"/>
        <v>270</v>
      </c>
    </row>
    <row r="365" spans="1:16" s="829" customFormat="1" ht="32.25" thickBot="1" x14ac:dyDescent="0.3">
      <c r="A365" s="416"/>
      <c r="B365" s="608" t="s">
        <v>766</v>
      </c>
      <c r="C365" s="608">
        <v>1</v>
      </c>
      <c r="D365" s="608"/>
      <c r="E365" s="608"/>
      <c r="F365" s="608">
        <v>103</v>
      </c>
      <c r="G365" s="608"/>
      <c r="H365" s="608"/>
      <c r="I365" s="608"/>
      <c r="J365" s="414">
        <f t="shared" si="173"/>
        <v>104</v>
      </c>
      <c r="K365" s="414">
        <f t="shared" si="174"/>
        <v>0</v>
      </c>
      <c r="L365" s="414">
        <f t="shared" si="175"/>
        <v>104</v>
      </c>
      <c r="M365" s="414"/>
      <c r="N365" s="414"/>
      <c r="O365" s="414">
        <f t="shared" si="176"/>
        <v>104</v>
      </c>
    </row>
    <row r="366" spans="1:16" ht="17.25" thickTop="1" thickBot="1" x14ac:dyDescent="0.3">
      <c r="A366" s="407"/>
      <c r="B366" s="406" t="s">
        <v>416</v>
      </c>
      <c r="C366" s="406">
        <f>+C359+C362+C363+C364+C365</f>
        <v>9872</v>
      </c>
      <c r="D366" s="406">
        <f t="shared" ref="D366:O366" si="177">+D359+D362+D363+D364+D365</f>
        <v>0</v>
      </c>
      <c r="E366" s="406">
        <f t="shared" si="177"/>
        <v>0</v>
      </c>
      <c r="F366" s="406">
        <f t="shared" si="177"/>
        <v>453</v>
      </c>
      <c r="G366" s="406">
        <f t="shared" si="177"/>
        <v>0</v>
      </c>
      <c r="H366" s="406">
        <f t="shared" si="177"/>
        <v>0</v>
      </c>
      <c r="I366" s="406">
        <f t="shared" si="177"/>
        <v>0</v>
      </c>
      <c r="J366" s="406">
        <f t="shared" si="177"/>
        <v>10325</v>
      </c>
      <c r="K366" s="406">
        <f t="shared" si="177"/>
        <v>0</v>
      </c>
      <c r="L366" s="406">
        <f t="shared" si="177"/>
        <v>10325</v>
      </c>
      <c r="M366" s="406">
        <f t="shared" si="177"/>
        <v>85398</v>
      </c>
      <c r="N366" s="406">
        <f t="shared" si="177"/>
        <v>935</v>
      </c>
      <c r="O366" s="406">
        <f t="shared" si="177"/>
        <v>96658</v>
      </c>
    </row>
    <row r="367" spans="1:16" ht="17.25" thickTop="1" thickBot="1" x14ac:dyDescent="0.3">
      <c r="A367" s="407"/>
      <c r="B367" s="406" t="s">
        <v>423</v>
      </c>
      <c r="C367" s="406">
        <f>+C360+C362+C363+C364+C365</f>
        <v>9872</v>
      </c>
      <c r="D367" s="406">
        <f t="shared" ref="D367:O367" si="178">+D360+D362+D363+D364+D365</f>
        <v>0</v>
      </c>
      <c r="E367" s="406">
        <f t="shared" si="178"/>
        <v>0</v>
      </c>
      <c r="F367" s="406">
        <f t="shared" si="178"/>
        <v>453</v>
      </c>
      <c r="G367" s="406">
        <f t="shared" si="178"/>
        <v>0</v>
      </c>
      <c r="H367" s="406">
        <f t="shared" si="178"/>
        <v>0</v>
      </c>
      <c r="I367" s="406">
        <f t="shared" si="178"/>
        <v>0</v>
      </c>
      <c r="J367" s="406">
        <f t="shared" si="178"/>
        <v>10325</v>
      </c>
      <c r="K367" s="406">
        <f t="shared" si="178"/>
        <v>0</v>
      </c>
      <c r="L367" s="406">
        <f t="shared" si="178"/>
        <v>10325</v>
      </c>
      <c r="M367" s="406">
        <f t="shared" si="178"/>
        <v>85398</v>
      </c>
      <c r="N367" s="406">
        <f t="shared" si="178"/>
        <v>935</v>
      </c>
      <c r="O367" s="406">
        <f t="shared" si="178"/>
        <v>96658</v>
      </c>
    </row>
    <row r="368" spans="1:16" ht="16.5" thickTop="1" x14ac:dyDescent="0.25">
      <c r="A368" s="413" t="s">
        <v>16</v>
      </c>
      <c r="B368" s="437" t="s">
        <v>428</v>
      </c>
      <c r="C368" s="437"/>
      <c r="D368" s="437"/>
      <c r="E368" s="437"/>
      <c r="F368" s="437"/>
      <c r="G368" s="437"/>
      <c r="H368" s="437"/>
      <c r="I368" s="437"/>
      <c r="J368" s="437"/>
      <c r="K368" s="437"/>
      <c r="L368" s="437"/>
      <c r="M368" s="437"/>
      <c r="N368" s="437"/>
      <c r="O368" s="437"/>
    </row>
    <row r="369" spans="1:16" x14ac:dyDescent="0.25">
      <c r="A369" s="416"/>
      <c r="B369" s="414" t="s">
        <v>387</v>
      </c>
      <c r="C369" s="414">
        <v>58290</v>
      </c>
      <c r="D369" s="414"/>
      <c r="E369" s="414"/>
      <c r="F369" s="414">
        <v>8970</v>
      </c>
      <c r="G369" s="414"/>
      <c r="H369" s="414">
        <v>181</v>
      </c>
      <c r="I369" s="414"/>
      <c r="J369" s="414">
        <f>SUM(C369+E369+F369+H369)</f>
        <v>67441</v>
      </c>
      <c r="K369" s="414">
        <f>SUM(D369+G369+I369)</f>
        <v>0</v>
      </c>
      <c r="L369" s="414">
        <f>SUM(J369:K369)</f>
        <v>67441</v>
      </c>
      <c r="M369" s="414">
        <v>439880</v>
      </c>
      <c r="N369" s="414">
        <v>1712</v>
      </c>
      <c r="O369" s="414">
        <f>SUM(L369:N369)</f>
        <v>509033</v>
      </c>
    </row>
    <row r="370" spans="1:16" s="828" customFormat="1" x14ac:dyDescent="0.25">
      <c r="A370" s="423"/>
      <c r="B370" s="415" t="s">
        <v>418</v>
      </c>
      <c r="C370" s="415">
        <v>20103</v>
      </c>
      <c r="D370" s="415"/>
      <c r="E370" s="415"/>
      <c r="F370" s="415">
        <v>8970</v>
      </c>
      <c r="G370" s="415"/>
      <c r="H370" s="415"/>
      <c r="I370" s="415"/>
      <c r="J370" s="421">
        <f>SUM(C370+E370+F370+H370)</f>
        <v>29073</v>
      </c>
      <c r="K370" s="421">
        <f>SUM(D370+G370+I370)</f>
        <v>0</v>
      </c>
      <c r="L370" s="421">
        <f>SUM(J370:K370)</f>
        <v>29073</v>
      </c>
      <c r="M370" s="421">
        <v>427512</v>
      </c>
      <c r="N370" s="421">
        <v>1712</v>
      </c>
      <c r="O370" s="421">
        <f>SUM(L370:N370)</f>
        <v>458297</v>
      </c>
    </row>
    <row r="371" spans="1:16" s="828" customFormat="1" x14ac:dyDescent="0.25">
      <c r="A371" s="423"/>
      <c r="B371" s="415" t="s">
        <v>417</v>
      </c>
      <c r="C371" s="415">
        <v>38187</v>
      </c>
      <c r="D371" s="415"/>
      <c r="E371" s="415"/>
      <c r="F371" s="415"/>
      <c r="G371" s="415"/>
      <c r="H371" s="415">
        <v>181</v>
      </c>
      <c r="I371" s="415"/>
      <c r="J371" s="415">
        <f>SUM(C371+E371+F371+H371)</f>
        <v>38368</v>
      </c>
      <c r="K371" s="415">
        <f>SUM(D371+G371+I371)</f>
        <v>0</v>
      </c>
      <c r="L371" s="415">
        <f>SUM(J371:K371)</f>
        <v>38368</v>
      </c>
      <c r="M371" s="415">
        <v>12368</v>
      </c>
      <c r="N371" s="415"/>
      <c r="O371" s="415">
        <f>SUM(L371:N371)</f>
        <v>50736</v>
      </c>
    </row>
    <row r="372" spans="1:16" s="828" customFormat="1" x14ac:dyDescent="0.25">
      <c r="A372" s="423"/>
      <c r="B372" s="415" t="s">
        <v>139</v>
      </c>
      <c r="C372" s="415"/>
      <c r="D372" s="415"/>
      <c r="E372" s="415"/>
      <c r="F372" s="415"/>
      <c r="G372" s="415"/>
      <c r="H372" s="415"/>
      <c r="I372" s="415"/>
      <c r="J372" s="415"/>
      <c r="K372" s="415"/>
      <c r="L372" s="415"/>
      <c r="M372" s="415"/>
      <c r="N372" s="415"/>
      <c r="O372" s="415"/>
    </row>
    <row r="373" spans="1:16" s="828" customFormat="1" x14ac:dyDescent="0.25">
      <c r="A373" s="423"/>
      <c r="B373" s="608" t="s">
        <v>1034</v>
      </c>
      <c r="C373" s="415"/>
      <c r="D373" s="415"/>
      <c r="E373" s="415"/>
      <c r="F373" s="415"/>
      <c r="G373" s="415"/>
      <c r="H373" s="415"/>
      <c r="I373" s="415"/>
      <c r="J373" s="608">
        <f t="shared" ref="J373:J379" si="179">SUM(C373+E373+F373+H373)</f>
        <v>0</v>
      </c>
      <c r="K373" s="608">
        <f t="shared" ref="K373:K379" si="180">SUM(D373+G373+I373)</f>
        <v>0</v>
      </c>
      <c r="L373" s="608">
        <f t="shared" ref="L373:L379" si="181">SUM(J373:K373)</f>
        <v>0</v>
      </c>
      <c r="M373" s="608">
        <v>56</v>
      </c>
      <c r="N373" s="608"/>
      <c r="O373" s="608">
        <f t="shared" ref="O373:O379" si="182">SUM(L373:N373)</f>
        <v>56</v>
      </c>
    </row>
    <row r="374" spans="1:16" s="828" customFormat="1" x14ac:dyDescent="0.25">
      <c r="A374" s="423"/>
      <c r="B374" s="608" t="s">
        <v>1046</v>
      </c>
      <c r="C374" s="415"/>
      <c r="D374" s="415"/>
      <c r="E374" s="415"/>
      <c r="F374" s="415"/>
      <c r="G374" s="415"/>
      <c r="H374" s="415"/>
      <c r="I374" s="415"/>
      <c r="J374" s="608">
        <f t="shared" si="179"/>
        <v>0</v>
      </c>
      <c r="K374" s="608">
        <f t="shared" si="180"/>
        <v>0</v>
      </c>
      <c r="L374" s="608">
        <f t="shared" si="181"/>
        <v>0</v>
      </c>
      <c r="M374" s="608">
        <v>1983</v>
      </c>
      <c r="N374" s="608"/>
      <c r="O374" s="608">
        <f t="shared" si="182"/>
        <v>1983</v>
      </c>
    </row>
    <row r="375" spans="1:16" s="828" customFormat="1" ht="31.5" x14ac:dyDescent="0.25">
      <c r="A375" s="423"/>
      <c r="B375" s="608" t="s">
        <v>767</v>
      </c>
      <c r="C375" s="415">
        <v>-1</v>
      </c>
      <c r="D375" s="415"/>
      <c r="E375" s="415"/>
      <c r="F375" s="415"/>
      <c r="G375" s="415"/>
      <c r="H375" s="415"/>
      <c r="I375" s="415"/>
      <c r="J375" s="608">
        <f t="shared" si="179"/>
        <v>-1</v>
      </c>
      <c r="K375" s="608">
        <f t="shared" si="180"/>
        <v>0</v>
      </c>
      <c r="L375" s="608">
        <f t="shared" si="181"/>
        <v>-1</v>
      </c>
      <c r="M375" s="608"/>
      <c r="N375" s="608">
        <v>1</v>
      </c>
      <c r="O375" s="608">
        <f t="shared" si="182"/>
        <v>0</v>
      </c>
    </row>
    <row r="376" spans="1:16" s="828" customFormat="1" ht="31.5" x14ac:dyDescent="0.25">
      <c r="A376" s="423"/>
      <c r="B376" s="608" t="s">
        <v>766</v>
      </c>
      <c r="C376" s="608">
        <v>2970</v>
      </c>
      <c r="D376" s="415"/>
      <c r="E376" s="415"/>
      <c r="F376" s="608">
        <v>6464</v>
      </c>
      <c r="G376" s="415"/>
      <c r="H376" s="608">
        <v>65</v>
      </c>
      <c r="I376" s="415"/>
      <c r="J376" s="608">
        <f t="shared" si="179"/>
        <v>9499</v>
      </c>
      <c r="K376" s="608">
        <f t="shared" si="180"/>
        <v>0</v>
      </c>
      <c r="L376" s="608">
        <f t="shared" si="181"/>
        <v>9499</v>
      </c>
      <c r="M376" s="608"/>
      <c r="N376" s="608"/>
      <c r="O376" s="608">
        <f t="shared" si="182"/>
        <v>9499</v>
      </c>
    </row>
    <row r="377" spans="1:16" s="828" customFormat="1" x14ac:dyDescent="0.25">
      <c r="A377" s="423"/>
      <c r="B377" s="415" t="s">
        <v>140</v>
      </c>
      <c r="C377" s="415"/>
      <c r="D377" s="415"/>
      <c r="E377" s="415"/>
      <c r="F377" s="415"/>
      <c r="G377" s="415"/>
      <c r="H377" s="415"/>
      <c r="I377" s="415"/>
      <c r="J377" s="415"/>
      <c r="K377" s="415"/>
      <c r="L377" s="415"/>
      <c r="M377" s="415"/>
      <c r="N377" s="415"/>
      <c r="O377" s="415"/>
    </row>
    <row r="378" spans="1:16" s="828" customFormat="1" x14ac:dyDescent="0.25">
      <c r="A378" s="423"/>
      <c r="B378" s="608" t="s">
        <v>1037</v>
      </c>
      <c r="C378" s="415"/>
      <c r="D378" s="415"/>
      <c r="E378" s="415"/>
      <c r="F378" s="415"/>
      <c r="G378" s="415"/>
      <c r="H378" s="415"/>
      <c r="I378" s="415"/>
      <c r="J378" s="608">
        <f t="shared" si="179"/>
        <v>0</v>
      </c>
      <c r="K378" s="608">
        <f t="shared" si="180"/>
        <v>0</v>
      </c>
      <c r="L378" s="608">
        <f t="shared" si="181"/>
        <v>0</v>
      </c>
      <c r="M378" s="608">
        <v>2051</v>
      </c>
      <c r="N378" s="608"/>
      <c r="O378" s="608">
        <f t="shared" si="182"/>
        <v>2051</v>
      </c>
    </row>
    <row r="379" spans="1:16" s="828" customFormat="1" ht="79.5" thickBot="1" x14ac:dyDescent="0.3">
      <c r="A379" s="423"/>
      <c r="B379" s="608" t="s">
        <v>1047</v>
      </c>
      <c r="C379" s="415"/>
      <c r="D379" s="415"/>
      <c r="E379" s="415"/>
      <c r="F379" s="415"/>
      <c r="G379" s="415"/>
      <c r="H379" s="415"/>
      <c r="I379" s="415"/>
      <c r="J379" s="608">
        <f t="shared" si="179"/>
        <v>0</v>
      </c>
      <c r="K379" s="608">
        <f t="shared" si="180"/>
        <v>0</v>
      </c>
      <c r="L379" s="608">
        <f t="shared" si="181"/>
        <v>0</v>
      </c>
      <c r="M379" s="608">
        <v>80</v>
      </c>
      <c r="N379" s="608"/>
      <c r="O379" s="608">
        <f t="shared" si="182"/>
        <v>80</v>
      </c>
    </row>
    <row r="380" spans="1:16" ht="17.25" thickTop="1" thickBot="1" x14ac:dyDescent="0.3">
      <c r="A380" s="407"/>
      <c r="B380" s="406" t="s">
        <v>416</v>
      </c>
      <c r="C380" s="406">
        <f>+C369+C373+C378+C374+C375+C376+C379</f>
        <v>61259</v>
      </c>
      <c r="D380" s="406">
        <f t="shared" ref="D380:O380" si="183">+D369+D373+D378+D374+D375+D376+D379</f>
        <v>0</v>
      </c>
      <c r="E380" s="406">
        <f t="shared" si="183"/>
        <v>0</v>
      </c>
      <c r="F380" s="406">
        <f t="shared" si="183"/>
        <v>15434</v>
      </c>
      <c r="G380" s="406">
        <f t="shared" si="183"/>
        <v>0</v>
      </c>
      <c r="H380" s="406">
        <f t="shared" si="183"/>
        <v>246</v>
      </c>
      <c r="I380" s="406">
        <f t="shared" si="183"/>
        <v>0</v>
      </c>
      <c r="J380" s="406">
        <f t="shared" si="183"/>
        <v>76939</v>
      </c>
      <c r="K380" s="406">
        <f t="shared" si="183"/>
        <v>0</v>
      </c>
      <c r="L380" s="406">
        <f t="shared" si="183"/>
        <v>76939</v>
      </c>
      <c r="M380" s="406">
        <f t="shared" si="183"/>
        <v>444050</v>
      </c>
      <c r="N380" s="406">
        <f t="shared" si="183"/>
        <v>1713</v>
      </c>
      <c r="O380" s="406">
        <f t="shared" si="183"/>
        <v>522702</v>
      </c>
      <c r="P380" s="827">
        <f>O381+O382</f>
        <v>522702</v>
      </c>
    </row>
    <row r="381" spans="1:16" ht="17.25" thickTop="1" thickBot="1" x14ac:dyDescent="0.3">
      <c r="A381" s="407"/>
      <c r="B381" s="406" t="s">
        <v>415</v>
      </c>
      <c r="C381" s="406">
        <f>+C370+C373+C374+C375+C376</f>
        <v>23072</v>
      </c>
      <c r="D381" s="406">
        <f t="shared" ref="D381:O381" si="184">+D370+D373+D374+D375+D376</f>
        <v>0</v>
      </c>
      <c r="E381" s="406">
        <f t="shared" si="184"/>
        <v>0</v>
      </c>
      <c r="F381" s="406">
        <f t="shared" si="184"/>
        <v>15434</v>
      </c>
      <c r="G381" s="406">
        <f t="shared" si="184"/>
        <v>0</v>
      </c>
      <c r="H381" s="406">
        <f t="shared" si="184"/>
        <v>65</v>
      </c>
      <c r="I381" s="406">
        <f t="shared" si="184"/>
        <v>0</v>
      </c>
      <c r="J381" s="406">
        <f t="shared" si="184"/>
        <v>38571</v>
      </c>
      <c r="K381" s="406">
        <f t="shared" si="184"/>
        <v>0</v>
      </c>
      <c r="L381" s="406">
        <f t="shared" si="184"/>
        <v>38571</v>
      </c>
      <c r="M381" s="406">
        <f t="shared" si="184"/>
        <v>429551</v>
      </c>
      <c r="N381" s="406">
        <f t="shared" si="184"/>
        <v>1713</v>
      </c>
      <c r="O381" s="406">
        <f t="shared" si="184"/>
        <v>469835</v>
      </c>
    </row>
    <row r="382" spans="1:16" ht="17.25" thickTop="1" thickBot="1" x14ac:dyDescent="0.3">
      <c r="A382" s="407"/>
      <c r="B382" s="406" t="s">
        <v>414</v>
      </c>
      <c r="C382" s="406">
        <f>+C371+C378+C379</f>
        <v>38187</v>
      </c>
      <c r="D382" s="406">
        <f t="shared" ref="D382:O382" si="185">+D371+D378+D379</f>
        <v>0</v>
      </c>
      <c r="E382" s="406">
        <f t="shared" si="185"/>
        <v>0</v>
      </c>
      <c r="F382" s="406">
        <f t="shared" si="185"/>
        <v>0</v>
      </c>
      <c r="G382" s="406">
        <f t="shared" si="185"/>
        <v>0</v>
      </c>
      <c r="H382" s="406">
        <f t="shared" si="185"/>
        <v>181</v>
      </c>
      <c r="I382" s="406">
        <f t="shared" si="185"/>
        <v>0</v>
      </c>
      <c r="J382" s="406">
        <f t="shared" si="185"/>
        <v>38368</v>
      </c>
      <c r="K382" s="406">
        <f t="shared" si="185"/>
        <v>0</v>
      </c>
      <c r="L382" s="406">
        <f t="shared" si="185"/>
        <v>38368</v>
      </c>
      <c r="M382" s="406">
        <f t="shared" si="185"/>
        <v>14499</v>
      </c>
      <c r="N382" s="406">
        <f t="shared" si="185"/>
        <v>0</v>
      </c>
      <c r="O382" s="406">
        <f t="shared" si="185"/>
        <v>52867</v>
      </c>
    </row>
    <row r="383" spans="1:16" ht="16.5" thickTop="1" x14ac:dyDescent="0.25">
      <c r="A383" s="416" t="s">
        <v>17</v>
      </c>
      <c r="B383" s="424" t="s">
        <v>427</v>
      </c>
      <c r="C383" s="424"/>
      <c r="D383" s="424"/>
      <c r="E383" s="424"/>
      <c r="F383" s="424"/>
      <c r="G383" s="424"/>
      <c r="H383" s="424"/>
      <c r="I383" s="424"/>
      <c r="J383" s="424"/>
      <c r="K383" s="424"/>
      <c r="L383" s="424"/>
      <c r="M383" s="424"/>
      <c r="N383" s="424"/>
      <c r="O383" s="424"/>
    </row>
    <row r="384" spans="1:16" x14ac:dyDescent="0.25">
      <c r="A384" s="416"/>
      <c r="B384" s="414" t="s">
        <v>387</v>
      </c>
      <c r="C384" s="414">
        <v>57776</v>
      </c>
      <c r="D384" s="414"/>
      <c r="E384" s="414"/>
      <c r="F384" s="414">
        <v>81580</v>
      </c>
      <c r="G384" s="414"/>
      <c r="H384" s="414">
        <v>1033</v>
      </c>
      <c r="I384" s="414"/>
      <c r="J384" s="414">
        <f>SUM(C384+E384+F384+H384)</f>
        <v>140389</v>
      </c>
      <c r="K384" s="414">
        <f>SUM(D384+G384+I384)</f>
        <v>0</v>
      </c>
      <c r="L384" s="414">
        <f>SUM(J384:K384)</f>
        <v>140389</v>
      </c>
      <c r="M384" s="414">
        <v>858767</v>
      </c>
      <c r="N384" s="414">
        <v>94369</v>
      </c>
      <c r="O384" s="414">
        <f>SUM(L384:N384)</f>
        <v>1093525</v>
      </c>
    </row>
    <row r="385" spans="1:16" s="828" customFormat="1" x14ac:dyDescent="0.25">
      <c r="A385" s="423"/>
      <c r="B385" s="415" t="s">
        <v>418</v>
      </c>
      <c r="C385" s="415">
        <v>41197</v>
      </c>
      <c r="D385" s="415"/>
      <c r="E385" s="415"/>
      <c r="F385" s="415">
        <v>81580</v>
      </c>
      <c r="G385" s="415"/>
      <c r="H385" s="415">
        <v>1033</v>
      </c>
      <c r="I385" s="415"/>
      <c r="J385" s="421">
        <f>SUM(C385+E385+F385+H385)</f>
        <v>123810</v>
      </c>
      <c r="K385" s="421">
        <f>SUM(D385+G385+I385)</f>
        <v>0</v>
      </c>
      <c r="L385" s="421">
        <f>SUM(J385:K385)</f>
        <v>123810</v>
      </c>
      <c r="M385" s="421">
        <v>832864</v>
      </c>
      <c r="N385" s="421">
        <v>94369</v>
      </c>
      <c r="O385" s="421">
        <f>SUM(L385:N385)</f>
        <v>1051043</v>
      </c>
    </row>
    <row r="386" spans="1:16" s="828" customFormat="1" x14ac:dyDescent="0.25">
      <c r="A386" s="423"/>
      <c r="B386" s="415" t="s">
        <v>417</v>
      </c>
      <c r="C386" s="415">
        <v>16579</v>
      </c>
      <c r="D386" s="415"/>
      <c r="E386" s="415"/>
      <c r="F386" s="415"/>
      <c r="G386" s="415"/>
      <c r="H386" s="415"/>
      <c r="I386" s="415"/>
      <c r="J386" s="415">
        <f>SUM(C386+E386+F386+H386)</f>
        <v>16579</v>
      </c>
      <c r="K386" s="415">
        <f>SUM(D386+G386+I386)</f>
        <v>0</v>
      </c>
      <c r="L386" s="415">
        <f>SUM(J386:K386)</f>
        <v>16579</v>
      </c>
      <c r="M386" s="415">
        <v>25903</v>
      </c>
      <c r="N386" s="415"/>
      <c r="O386" s="415">
        <f>SUM(L386:N386)</f>
        <v>42482</v>
      </c>
    </row>
    <row r="387" spans="1:16" x14ac:dyDescent="0.25">
      <c r="A387" s="416"/>
      <c r="B387" s="415" t="s">
        <v>139</v>
      </c>
      <c r="C387" s="415"/>
      <c r="D387" s="415"/>
      <c r="E387" s="415"/>
      <c r="F387" s="415"/>
      <c r="G387" s="415"/>
      <c r="H387" s="415"/>
      <c r="I387" s="415"/>
      <c r="J387" s="414"/>
      <c r="K387" s="414"/>
      <c r="L387" s="414"/>
      <c r="M387" s="414"/>
      <c r="N387" s="414"/>
      <c r="O387" s="414"/>
    </row>
    <row r="388" spans="1:16" x14ac:dyDescent="0.25">
      <c r="A388" s="416"/>
      <c r="B388" s="608" t="s">
        <v>1034</v>
      </c>
      <c r="C388" s="414"/>
      <c r="D388" s="414"/>
      <c r="E388" s="414"/>
      <c r="F388" s="414"/>
      <c r="G388" s="414"/>
      <c r="H388" s="414"/>
      <c r="I388" s="414"/>
      <c r="J388" s="414">
        <f t="shared" ref="J388:J390" si="186">SUM(C388+E388+F388+H388)</f>
        <v>0</v>
      </c>
      <c r="K388" s="414">
        <f t="shared" ref="K388:K390" si="187">SUM(D388+G388+I388)</f>
        <v>0</v>
      </c>
      <c r="L388" s="414">
        <f t="shared" ref="L388:L390" si="188">SUM(J388:K388)</f>
        <v>0</v>
      </c>
      <c r="M388" s="414">
        <v>86</v>
      </c>
      <c r="N388" s="414"/>
      <c r="O388" s="414">
        <f t="shared" ref="O388:O390" si="189">SUM(L388:N388)</f>
        <v>86</v>
      </c>
    </row>
    <row r="389" spans="1:16" x14ac:dyDescent="0.25">
      <c r="A389" s="416"/>
      <c r="B389" s="608" t="s">
        <v>1046</v>
      </c>
      <c r="C389" s="414"/>
      <c r="D389" s="414"/>
      <c r="E389" s="414"/>
      <c r="F389" s="414"/>
      <c r="G389" s="414"/>
      <c r="H389" s="414"/>
      <c r="I389" s="414"/>
      <c r="J389" s="414">
        <f t="shared" si="186"/>
        <v>0</v>
      </c>
      <c r="K389" s="414">
        <f t="shared" si="187"/>
        <v>0</v>
      </c>
      <c r="L389" s="414">
        <f t="shared" si="188"/>
        <v>0</v>
      </c>
      <c r="M389" s="414">
        <v>2017</v>
      </c>
      <c r="N389" s="414"/>
      <c r="O389" s="414">
        <f t="shared" si="189"/>
        <v>2017</v>
      </c>
    </row>
    <row r="390" spans="1:16" ht="31.5" x14ac:dyDescent="0.25">
      <c r="A390" s="416"/>
      <c r="B390" s="608" t="s">
        <v>766</v>
      </c>
      <c r="C390" s="414"/>
      <c r="D390" s="414"/>
      <c r="E390" s="414"/>
      <c r="F390" s="414">
        <v>75438</v>
      </c>
      <c r="G390" s="414"/>
      <c r="H390" s="414"/>
      <c r="I390" s="414"/>
      <c r="J390" s="414">
        <f t="shared" si="186"/>
        <v>75438</v>
      </c>
      <c r="K390" s="414">
        <f t="shared" si="187"/>
        <v>0</v>
      </c>
      <c r="L390" s="414">
        <f t="shared" si="188"/>
        <v>75438</v>
      </c>
      <c r="M390" s="414"/>
      <c r="N390" s="414"/>
      <c r="O390" s="414">
        <f t="shared" si="189"/>
        <v>75438</v>
      </c>
    </row>
    <row r="391" spans="1:16" x14ac:dyDescent="0.25">
      <c r="A391" s="416"/>
      <c r="B391" s="415" t="s">
        <v>140</v>
      </c>
      <c r="C391" s="415"/>
      <c r="D391" s="415"/>
      <c r="E391" s="415"/>
      <c r="F391" s="415"/>
      <c r="G391" s="415"/>
      <c r="H391" s="415"/>
      <c r="I391" s="415"/>
      <c r="J391" s="414"/>
      <c r="K391" s="414"/>
      <c r="L391" s="414"/>
      <c r="M391" s="414"/>
      <c r="N391" s="414"/>
      <c r="O391" s="414"/>
    </row>
    <row r="392" spans="1:16" x14ac:dyDescent="0.25">
      <c r="A392" s="416"/>
      <c r="B392" s="608" t="s">
        <v>1037</v>
      </c>
      <c r="C392" s="414"/>
      <c r="D392" s="414"/>
      <c r="E392" s="414"/>
      <c r="F392" s="414"/>
      <c r="G392" s="414"/>
      <c r="H392" s="414"/>
      <c r="I392" s="414"/>
      <c r="J392" s="414">
        <f>SUM(C392+E392+F392+H392)</f>
        <v>0</v>
      </c>
      <c r="K392" s="414">
        <f>SUM(D392+G392+I392)</f>
        <v>0</v>
      </c>
      <c r="L392" s="414">
        <f>SUM(J392:K392)</f>
        <v>0</v>
      </c>
      <c r="M392" s="414">
        <v>2651</v>
      </c>
      <c r="N392" s="414"/>
      <c r="O392" s="414">
        <f>SUM(L392:N392)</f>
        <v>2651</v>
      </c>
    </row>
    <row r="393" spans="1:16" ht="63.75" customHeight="1" x14ac:dyDescent="0.25">
      <c r="A393" s="420"/>
      <c r="B393" s="609" t="s">
        <v>1048</v>
      </c>
      <c r="C393" s="418"/>
      <c r="D393" s="418"/>
      <c r="E393" s="418"/>
      <c r="F393" s="418"/>
      <c r="G393" s="418"/>
      <c r="H393" s="418"/>
      <c r="I393" s="418"/>
      <c r="J393" s="418">
        <f t="shared" ref="J393:J394" si="190">SUM(C393+E393+F393+H393)</f>
        <v>0</v>
      </c>
      <c r="K393" s="418">
        <f t="shared" ref="K393:K394" si="191">SUM(D393+G393+I393)</f>
        <v>0</v>
      </c>
      <c r="L393" s="418">
        <f t="shared" ref="L393:L394" si="192">SUM(J393:K393)</f>
        <v>0</v>
      </c>
      <c r="M393" s="418">
        <v>3491</v>
      </c>
      <c r="N393" s="418"/>
      <c r="O393" s="418">
        <f t="shared" ref="O393:O394" si="193">SUM(L393:N393)</f>
        <v>3491</v>
      </c>
    </row>
    <row r="394" spans="1:16" ht="32.25" thickBot="1" x14ac:dyDescent="0.3">
      <c r="A394" s="969"/>
      <c r="B394" s="968" t="s">
        <v>766</v>
      </c>
      <c r="C394" s="970">
        <v>30290</v>
      </c>
      <c r="D394" s="970"/>
      <c r="E394" s="970"/>
      <c r="F394" s="970"/>
      <c r="G394" s="970"/>
      <c r="H394" s="970"/>
      <c r="I394" s="970"/>
      <c r="J394" s="970">
        <f t="shared" si="190"/>
        <v>30290</v>
      </c>
      <c r="K394" s="970">
        <f t="shared" si="191"/>
        <v>0</v>
      </c>
      <c r="L394" s="970">
        <f t="shared" si="192"/>
        <v>30290</v>
      </c>
      <c r="M394" s="970"/>
      <c r="N394" s="970"/>
      <c r="O394" s="970">
        <f t="shared" si="193"/>
        <v>30290</v>
      </c>
    </row>
    <row r="395" spans="1:16" ht="17.25" thickTop="1" thickBot="1" x14ac:dyDescent="0.3">
      <c r="A395" s="407"/>
      <c r="B395" s="406" t="s">
        <v>416</v>
      </c>
      <c r="C395" s="406">
        <f>+C384+C388+C389+C392+C390+C393+C394</f>
        <v>88066</v>
      </c>
      <c r="D395" s="406">
        <f t="shared" ref="D395:O395" si="194">+D384+D388+D389+D392+D390+D393+D394</f>
        <v>0</v>
      </c>
      <c r="E395" s="406">
        <f t="shared" si="194"/>
        <v>0</v>
      </c>
      <c r="F395" s="406">
        <f t="shared" si="194"/>
        <v>157018</v>
      </c>
      <c r="G395" s="406">
        <f t="shared" si="194"/>
        <v>0</v>
      </c>
      <c r="H395" s="406">
        <f t="shared" si="194"/>
        <v>1033</v>
      </c>
      <c r="I395" s="406">
        <f t="shared" si="194"/>
        <v>0</v>
      </c>
      <c r="J395" s="406">
        <f t="shared" si="194"/>
        <v>246117</v>
      </c>
      <c r="K395" s="406">
        <f t="shared" si="194"/>
        <v>0</v>
      </c>
      <c r="L395" s="406">
        <f t="shared" si="194"/>
        <v>246117</v>
      </c>
      <c r="M395" s="406">
        <f t="shared" si="194"/>
        <v>867012</v>
      </c>
      <c r="N395" s="406">
        <f t="shared" si="194"/>
        <v>94369</v>
      </c>
      <c r="O395" s="406">
        <f t="shared" si="194"/>
        <v>1207498</v>
      </c>
      <c r="P395" s="827">
        <f>O396+O397</f>
        <v>1207498</v>
      </c>
    </row>
    <row r="396" spans="1:16" ht="17.25" thickTop="1" thickBot="1" x14ac:dyDescent="0.3">
      <c r="A396" s="407"/>
      <c r="B396" s="406" t="s">
        <v>415</v>
      </c>
      <c r="C396" s="406">
        <f>+C385+C388+C389+C390</f>
        <v>41197</v>
      </c>
      <c r="D396" s="406">
        <f t="shared" ref="D396:O396" si="195">+D385+D388+D389+D390</f>
        <v>0</v>
      </c>
      <c r="E396" s="406">
        <f t="shared" si="195"/>
        <v>0</v>
      </c>
      <c r="F396" s="406">
        <f t="shared" si="195"/>
        <v>157018</v>
      </c>
      <c r="G396" s="406">
        <f t="shared" si="195"/>
        <v>0</v>
      </c>
      <c r="H396" s="406">
        <f t="shared" si="195"/>
        <v>1033</v>
      </c>
      <c r="I396" s="406">
        <f t="shared" si="195"/>
        <v>0</v>
      </c>
      <c r="J396" s="406">
        <f t="shared" si="195"/>
        <v>199248</v>
      </c>
      <c r="K396" s="406">
        <f t="shared" si="195"/>
        <v>0</v>
      </c>
      <c r="L396" s="406">
        <f t="shared" si="195"/>
        <v>199248</v>
      </c>
      <c r="M396" s="406">
        <f t="shared" si="195"/>
        <v>834967</v>
      </c>
      <c r="N396" s="406">
        <f t="shared" si="195"/>
        <v>94369</v>
      </c>
      <c r="O396" s="406">
        <f t="shared" si="195"/>
        <v>1128584</v>
      </c>
    </row>
    <row r="397" spans="1:16" ht="17.25" thickTop="1" thickBot="1" x14ac:dyDescent="0.3">
      <c r="A397" s="416"/>
      <c r="B397" s="406" t="s">
        <v>414</v>
      </c>
      <c r="C397" s="406">
        <f t="shared" ref="C397:O397" si="196">+C386+C392+C393+C394</f>
        <v>46869</v>
      </c>
      <c r="D397" s="406">
        <f t="shared" si="196"/>
        <v>0</v>
      </c>
      <c r="E397" s="406">
        <f t="shared" si="196"/>
        <v>0</v>
      </c>
      <c r="F397" s="406">
        <f t="shared" si="196"/>
        <v>0</v>
      </c>
      <c r="G397" s="406">
        <f t="shared" si="196"/>
        <v>0</v>
      </c>
      <c r="H397" s="406">
        <f t="shared" si="196"/>
        <v>0</v>
      </c>
      <c r="I397" s="406">
        <f t="shared" si="196"/>
        <v>0</v>
      </c>
      <c r="J397" s="406">
        <f t="shared" si="196"/>
        <v>46869</v>
      </c>
      <c r="K397" s="406">
        <f t="shared" si="196"/>
        <v>0</v>
      </c>
      <c r="L397" s="406">
        <f t="shared" si="196"/>
        <v>46869</v>
      </c>
      <c r="M397" s="406">
        <f t="shared" si="196"/>
        <v>32045</v>
      </c>
      <c r="N397" s="406">
        <f t="shared" si="196"/>
        <v>0</v>
      </c>
      <c r="O397" s="406">
        <f t="shared" si="196"/>
        <v>78914</v>
      </c>
    </row>
    <row r="398" spans="1:16" ht="16.5" thickTop="1" x14ac:dyDescent="0.25">
      <c r="A398" s="420" t="s">
        <v>18</v>
      </c>
      <c r="B398" s="424" t="s">
        <v>813</v>
      </c>
      <c r="C398" s="424"/>
      <c r="D398" s="424"/>
      <c r="E398" s="424"/>
      <c r="F398" s="424"/>
      <c r="G398" s="424"/>
      <c r="H398" s="424"/>
      <c r="I398" s="424"/>
      <c r="J398" s="424"/>
      <c r="K398" s="424"/>
      <c r="L398" s="424"/>
      <c r="M398" s="424"/>
      <c r="N398" s="424"/>
      <c r="O398" s="424"/>
    </row>
    <row r="399" spans="1:16" x14ac:dyDescent="0.25">
      <c r="A399" s="420"/>
      <c r="B399" s="418" t="s">
        <v>387</v>
      </c>
      <c r="C399" s="418">
        <v>0</v>
      </c>
      <c r="D399" s="418"/>
      <c r="E399" s="418"/>
      <c r="F399" s="418">
        <v>0</v>
      </c>
      <c r="G399" s="418"/>
      <c r="H399" s="418"/>
      <c r="I399" s="418"/>
      <c r="J399" s="414">
        <f>SUM(C399+E399+F399+H399)</f>
        <v>0</v>
      </c>
      <c r="K399" s="414">
        <f>SUM(D399+G399+I399)</f>
        <v>0</v>
      </c>
      <c r="L399" s="414">
        <f>SUM(J399:K399)</f>
        <v>0</v>
      </c>
      <c r="M399" s="414">
        <v>9842</v>
      </c>
      <c r="N399" s="414">
        <v>0</v>
      </c>
      <c r="O399" s="414">
        <f>SUM(L399:N399)</f>
        <v>9842</v>
      </c>
    </row>
    <row r="400" spans="1:16" s="828" customFormat="1" x14ac:dyDescent="0.25">
      <c r="A400" s="422"/>
      <c r="B400" s="419" t="s">
        <v>424</v>
      </c>
      <c r="C400" s="419">
        <v>0</v>
      </c>
      <c r="D400" s="419"/>
      <c r="E400" s="419"/>
      <c r="F400" s="419">
        <v>0</v>
      </c>
      <c r="G400" s="419"/>
      <c r="H400" s="419"/>
      <c r="I400" s="419"/>
      <c r="J400" s="435">
        <f>SUM(C400+E400+F400+H400)</f>
        <v>0</v>
      </c>
      <c r="K400" s="435">
        <f>SUM(D400+G400+I400)</f>
        <v>0</v>
      </c>
      <c r="L400" s="435">
        <f>SUM(J400:K400)</f>
        <v>0</v>
      </c>
      <c r="M400" s="435">
        <v>9842</v>
      </c>
      <c r="N400" s="435">
        <v>0</v>
      </c>
      <c r="O400" s="435">
        <f>SUM(L400:N400)</f>
        <v>9842</v>
      </c>
    </row>
    <row r="401" spans="1:15" s="828" customFormat="1" x14ac:dyDescent="0.25">
      <c r="A401" s="422"/>
      <c r="B401" s="419" t="s">
        <v>140</v>
      </c>
      <c r="C401" s="419"/>
      <c r="D401" s="419"/>
      <c r="E401" s="419"/>
      <c r="F401" s="419"/>
      <c r="G401" s="419"/>
      <c r="H401" s="419"/>
      <c r="I401" s="419"/>
      <c r="J401" s="435"/>
      <c r="K401" s="435"/>
      <c r="L401" s="435"/>
      <c r="M401" s="435"/>
      <c r="N401" s="435"/>
      <c r="O401" s="435"/>
    </row>
    <row r="402" spans="1:15" s="828" customFormat="1" ht="16.5" thickBot="1" x14ac:dyDescent="0.3">
      <c r="A402" s="422"/>
      <c r="B402" s="608" t="s">
        <v>1037</v>
      </c>
      <c r="C402" s="608"/>
      <c r="D402" s="608"/>
      <c r="E402" s="608"/>
      <c r="F402" s="608"/>
      <c r="G402" s="608"/>
      <c r="H402" s="608"/>
      <c r="I402" s="608"/>
      <c r="J402" s="421">
        <f t="shared" ref="J402" si="197">SUM(C402+E402+F402+H402)</f>
        <v>0</v>
      </c>
      <c r="K402" s="421">
        <f t="shared" ref="K402" si="198">SUM(D402+G402+I402)</f>
        <v>0</v>
      </c>
      <c r="L402" s="421">
        <f t="shared" ref="L402" si="199">SUM(J402:K402)</f>
        <v>0</v>
      </c>
      <c r="M402" s="608">
        <v>44</v>
      </c>
      <c r="N402" s="608"/>
      <c r="O402" s="421">
        <f t="shared" ref="O402" si="200">SUM(L402:N402)</f>
        <v>44</v>
      </c>
    </row>
    <row r="403" spans="1:15" ht="17.25" thickTop="1" thickBot="1" x14ac:dyDescent="0.3">
      <c r="A403" s="407"/>
      <c r="B403" s="406" t="s">
        <v>416</v>
      </c>
      <c r="C403" s="406">
        <f>+C399+C402</f>
        <v>0</v>
      </c>
      <c r="D403" s="406">
        <f t="shared" ref="D403:O403" si="201">+D399+D402</f>
        <v>0</v>
      </c>
      <c r="E403" s="406">
        <f t="shared" si="201"/>
        <v>0</v>
      </c>
      <c r="F403" s="406">
        <f t="shared" si="201"/>
        <v>0</v>
      </c>
      <c r="G403" s="406">
        <f t="shared" si="201"/>
        <v>0</v>
      </c>
      <c r="H403" s="406">
        <f t="shared" si="201"/>
        <v>0</v>
      </c>
      <c r="I403" s="406">
        <f t="shared" si="201"/>
        <v>0</v>
      </c>
      <c r="J403" s="406">
        <f t="shared" si="201"/>
        <v>0</v>
      </c>
      <c r="K403" s="406">
        <f t="shared" si="201"/>
        <v>0</v>
      </c>
      <c r="L403" s="406">
        <f t="shared" si="201"/>
        <v>0</v>
      </c>
      <c r="M403" s="406">
        <f t="shared" si="201"/>
        <v>9886</v>
      </c>
      <c r="N403" s="406">
        <f t="shared" si="201"/>
        <v>0</v>
      </c>
      <c r="O403" s="406">
        <f t="shared" si="201"/>
        <v>9886</v>
      </c>
    </row>
    <row r="404" spans="1:15" ht="17.25" thickTop="1" thickBot="1" x14ac:dyDescent="0.3">
      <c r="A404" s="407"/>
      <c r="B404" s="406" t="s">
        <v>423</v>
      </c>
      <c r="C404" s="406">
        <f>+C400+C402</f>
        <v>0</v>
      </c>
      <c r="D404" s="406">
        <f t="shared" ref="D404:O404" si="202">+D400+D402</f>
        <v>0</v>
      </c>
      <c r="E404" s="406">
        <f t="shared" si="202"/>
        <v>0</v>
      </c>
      <c r="F404" s="406">
        <f t="shared" si="202"/>
        <v>0</v>
      </c>
      <c r="G404" s="406">
        <f t="shared" si="202"/>
        <v>0</v>
      </c>
      <c r="H404" s="406">
        <f t="shared" si="202"/>
        <v>0</v>
      </c>
      <c r="I404" s="406">
        <f t="shared" si="202"/>
        <v>0</v>
      </c>
      <c r="J404" s="406">
        <f t="shared" si="202"/>
        <v>0</v>
      </c>
      <c r="K404" s="406">
        <f t="shared" si="202"/>
        <v>0</v>
      </c>
      <c r="L404" s="406">
        <f t="shared" si="202"/>
        <v>0</v>
      </c>
      <c r="M404" s="406">
        <f t="shared" si="202"/>
        <v>9886</v>
      </c>
      <c r="N404" s="406">
        <f t="shared" si="202"/>
        <v>0</v>
      </c>
      <c r="O404" s="406">
        <f t="shared" si="202"/>
        <v>9886</v>
      </c>
    </row>
    <row r="405" spans="1:15" ht="16.5" thickTop="1" x14ac:dyDescent="0.25">
      <c r="A405" s="420" t="s">
        <v>19</v>
      </c>
      <c r="B405" s="424" t="s">
        <v>426</v>
      </c>
      <c r="C405" s="424"/>
      <c r="D405" s="424"/>
      <c r="E405" s="424"/>
      <c r="F405" s="424"/>
      <c r="G405" s="424"/>
      <c r="H405" s="424"/>
      <c r="I405" s="424"/>
      <c r="J405" s="424"/>
      <c r="K405" s="424"/>
      <c r="L405" s="424"/>
      <c r="M405" s="424"/>
      <c r="N405" s="424"/>
      <c r="O405" s="424"/>
    </row>
    <row r="406" spans="1:15" x14ac:dyDescent="0.25">
      <c r="A406" s="420"/>
      <c r="B406" s="418" t="s">
        <v>387</v>
      </c>
      <c r="C406" s="418">
        <v>32800</v>
      </c>
      <c r="D406" s="418"/>
      <c r="E406" s="418"/>
      <c r="F406" s="418">
        <v>39179</v>
      </c>
      <c r="G406" s="418"/>
      <c r="H406" s="418">
        <v>13586</v>
      </c>
      <c r="I406" s="418"/>
      <c r="J406" s="414">
        <f>SUM(C406+E406+F406+H406)</f>
        <v>85565</v>
      </c>
      <c r="K406" s="414">
        <f>SUM(D406+G406+I406)</f>
        <v>0</v>
      </c>
      <c r="L406" s="414">
        <f>SUM(J406:K406)</f>
        <v>85565</v>
      </c>
      <c r="M406" s="414">
        <v>244777</v>
      </c>
      <c r="N406" s="414">
        <v>8251</v>
      </c>
      <c r="O406" s="414">
        <f>SUM(L406:N406)</f>
        <v>338593</v>
      </c>
    </row>
    <row r="407" spans="1:15" s="828" customFormat="1" x14ac:dyDescent="0.25">
      <c r="A407" s="422"/>
      <c r="B407" s="415" t="s">
        <v>424</v>
      </c>
      <c r="C407" s="415">
        <v>32800</v>
      </c>
      <c r="D407" s="415"/>
      <c r="E407" s="415"/>
      <c r="F407" s="415">
        <v>39179</v>
      </c>
      <c r="G407" s="415"/>
      <c r="H407" s="415">
        <v>13586</v>
      </c>
      <c r="I407" s="415"/>
      <c r="J407" s="421">
        <f>SUM(C407+E407+F407+H407)</f>
        <v>85565</v>
      </c>
      <c r="K407" s="421">
        <f>SUM(D407+G407+I407)</f>
        <v>0</v>
      </c>
      <c r="L407" s="421">
        <f>SUM(J407:K407)</f>
        <v>85565</v>
      </c>
      <c r="M407" s="421">
        <v>244777</v>
      </c>
      <c r="N407" s="421">
        <v>8251</v>
      </c>
      <c r="O407" s="421">
        <f>SUM(L407:N407)</f>
        <v>338593</v>
      </c>
    </row>
    <row r="408" spans="1:15" s="828" customFormat="1" x14ac:dyDescent="0.25">
      <c r="A408" s="422"/>
      <c r="B408" s="415" t="s">
        <v>140</v>
      </c>
      <c r="C408" s="415"/>
      <c r="D408" s="415"/>
      <c r="E408" s="415"/>
      <c r="F408" s="415"/>
      <c r="G408" s="415"/>
      <c r="H408" s="415"/>
      <c r="I408" s="415"/>
      <c r="J408" s="421"/>
      <c r="K408" s="421"/>
      <c r="L408" s="421"/>
      <c r="M408" s="421"/>
      <c r="N408" s="421"/>
      <c r="O408" s="421"/>
    </row>
    <row r="409" spans="1:15" s="828" customFormat="1" x14ac:dyDescent="0.25">
      <c r="A409" s="422"/>
      <c r="B409" s="608" t="s">
        <v>1046</v>
      </c>
      <c r="C409" s="608"/>
      <c r="D409" s="608"/>
      <c r="E409" s="608"/>
      <c r="F409" s="608"/>
      <c r="G409" s="608"/>
      <c r="H409" s="608"/>
      <c r="I409" s="608"/>
      <c r="J409" s="608">
        <f t="shared" ref="J409:J412" si="203">SUM(C409+E409+F409+H409)</f>
        <v>0</v>
      </c>
      <c r="K409" s="608">
        <f t="shared" ref="K409:K412" si="204">SUM(D409+G409+I409)</f>
        <v>0</v>
      </c>
      <c r="L409" s="608">
        <f t="shared" ref="L409:L412" si="205">SUM(J409:K409)</f>
        <v>0</v>
      </c>
      <c r="M409" s="608">
        <v>574</v>
      </c>
      <c r="N409" s="608"/>
      <c r="O409" s="608">
        <f t="shared" ref="O409:O410" si="206">SUM(L409:N409)</f>
        <v>574</v>
      </c>
    </row>
    <row r="410" spans="1:15" s="828" customFormat="1" x14ac:dyDescent="0.25">
      <c r="A410" s="422"/>
      <c r="B410" s="608" t="s">
        <v>1037</v>
      </c>
      <c r="C410" s="608"/>
      <c r="D410" s="608"/>
      <c r="E410" s="608"/>
      <c r="F410" s="608"/>
      <c r="G410" s="608"/>
      <c r="H410" s="608"/>
      <c r="I410" s="608"/>
      <c r="J410" s="608">
        <f t="shared" si="203"/>
        <v>0</v>
      </c>
      <c r="K410" s="608">
        <f t="shared" si="204"/>
        <v>0</v>
      </c>
      <c r="L410" s="608">
        <f t="shared" si="205"/>
        <v>0</v>
      </c>
      <c r="M410" s="608">
        <v>650</v>
      </c>
      <c r="N410" s="608"/>
      <c r="O410" s="608">
        <f t="shared" si="206"/>
        <v>650</v>
      </c>
    </row>
    <row r="411" spans="1:15" s="828" customFormat="1" ht="31.5" x14ac:dyDescent="0.25">
      <c r="A411" s="422"/>
      <c r="B411" s="608" t="s">
        <v>766</v>
      </c>
      <c r="C411" s="608">
        <v>931</v>
      </c>
      <c r="D411" s="608"/>
      <c r="E411" s="608"/>
      <c r="F411" s="608">
        <v>15235</v>
      </c>
      <c r="G411" s="608"/>
      <c r="H411" s="608">
        <f>250+1</f>
        <v>251</v>
      </c>
      <c r="I411" s="608"/>
      <c r="J411" s="608">
        <f t="shared" si="203"/>
        <v>16417</v>
      </c>
      <c r="K411" s="608">
        <f t="shared" si="204"/>
        <v>0</v>
      </c>
      <c r="L411" s="608">
        <f t="shared" si="205"/>
        <v>16417</v>
      </c>
      <c r="M411" s="608"/>
      <c r="N411" s="608"/>
      <c r="O411" s="608">
        <f>SUM(L411:N411)</f>
        <v>16417</v>
      </c>
    </row>
    <row r="412" spans="1:15" s="828" customFormat="1" ht="32.25" thickBot="1" x14ac:dyDescent="0.3">
      <c r="A412" s="422"/>
      <c r="B412" s="608" t="s">
        <v>767</v>
      </c>
      <c r="C412" s="608"/>
      <c r="D412" s="608"/>
      <c r="E412" s="608"/>
      <c r="F412" s="608">
        <v>-1</v>
      </c>
      <c r="G412" s="608"/>
      <c r="H412" s="608"/>
      <c r="I412" s="608"/>
      <c r="J412" s="608">
        <f t="shared" si="203"/>
        <v>-1</v>
      </c>
      <c r="K412" s="608">
        <f t="shared" si="204"/>
        <v>0</v>
      </c>
      <c r="L412" s="608">
        <f t="shared" si="205"/>
        <v>-1</v>
      </c>
      <c r="M412" s="608"/>
      <c r="N412" s="608">
        <v>1</v>
      </c>
      <c r="O412" s="608">
        <f>SUM(L412:N412)</f>
        <v>0</v>
      </c>
    </row>
    <row r="413" spans="1:15" ht="17.25" thickTop="1" thickBot="1" x14ac:dyDescent="0.3">
      <c r="A413" s="407"/>
      <c r="B413" s="406" t="s">
        <v>416</v>
      </c>
      <c r="C413" s="406">
        <f>+C406+C409+C410+C411+C412</f>
        <v>33731</v>
      </c>
      <c r="D413" s="406">
        <f t="shared" ref="D413:O413" si="207">+D406+D409+D410+D411+D412</f>
        <v>0</v>
      </c>
      <c r="E413" s="406">
        <f t="shared" si="207"/>
        <v>0</v>
      </c>
      <c r="F413" s="406">
        <f t="shared" si="207"/>
        <v>54413</v>
      </c>
      <c r="G413" s="406">
        <f t="shared" si="207"/>
        <v>0</v>
      </c>
      <c r="H413" s="406">
        <f t="shared" si="207"/>
        <v>13837</v>
      </c>
      <c r="I413" s="406">
        <f t="shared" si="207"/>
        <v>0</v>
      </c>
      <c r="J413" s="406">
        <f t="shared" si="207"/>
        <v>101981</v>
      </c>
      <c r="K413" s="406">
        <f t="shared" si="207"/>
        <v>0</v>
      </c>
      <c r="L413" s="406">
        <f t="shared" si="207"/>
        <v>101981</v>
      </c>
      <c r="M413" s="406">
        <f t="shared" si="207"/>
        <v>246001</v>
      </c>
      <c r="N413" s="406">
        <f t="shared" si="207"/>
        <v>8252</v>
      </c>
      <c r="O413" s="406">
        <f t="shared" si="207"/>
        <v>356234</v>
      </c>
    </row>
    <row r="414" spans="1:15" ht="17.25" thickTop="1" thickBot="1" x14ac:dyDescent="0.3">
      <c r="A414" s="407"/>
      <c r="B414" s="406" t="s">
        <v>423</v>
      </c>
      <c r="C414" s="406">
        <f>+C407+C409+C410+C411+C412</f>
        <v>33731</v>
      </c>
      <c r="D414" s="406">
        <f t="shared" ref="D414:O414" si="208">+D407+D409+D410+D411+D412</f>
        <v>0</v>
      </c>
      <c r="E414" s="406">
        <f t="shared" si="208"/>
        <v>0</v>
      </c>
      <c r="F414" s="406">
        <f t="shared" si="208"/>
        <v>54413</v>
      </c>
      <c r="G414" s="406">
        <f t="shared" si="208"/>
        <v>0</v>
      </c>
      <c r="H414" s="406">
        <f t="shared" si="208"/>
        <v>13837</v>
      </c>
      <c r="I414" s="406">
        <f t="shared" si="208"/>
        <v>0</v>
      </c>
      <c r="J414" s="406">
        <f t="shared" si="208"/>
        <v>101981</v>
      </c>
      <c r="K414" s="406">
        <f t="shared" si="208"/>
        <v>0</v>
      </c>
      <c r="L414" s="406">
        <f t="shared" si="208"/>
        <v>101981</v>
      </c>
      <c r="M414" s="406">
        <f t="shared" si="208"/>
        <v>246001</v>
      </c>
      <c r="N414" s="406">
        <f t="shared" si="208"/>
        <v>8252</v>
      </c>
      <c r="O414" s="406">
        <f t="shared" si="208"/>
        <v>356234</v>
      </c>
    </row>
    <row r="415" spans="1:15" ht="16.5" thickTop="1" x14ac:dyDescent="0.25">
      <c r="A415" s="416" t="s">
        <v>20</v>
      </c>
      <c r="B415" s="424" t="s">
        <v>425</v>
      </c>
      <c r="C415" s="424"/>
      <c r="D415" s="424"/>
      <c r="E415" s="424"/>
      <c r="F415" s="424"/>
      <c r="G415" s="424"/>
      <c r="H415" s="424"/>
      <c r="I415" s="424"/>
      <c r="J415" s="424"/>
      <c r="K415" s="424"/>
      <c r="L415" s="424"/>
      <c r="M415" s="424"/>
      <c r="N415" s="424"/>
      <c r="O415" s="424"/>
    </row>
    <row r="416" spans="1:15" x14ac:dyDescent="0.25">
      <c r="A416" s="428"/>
      <c r="B416" s="414" t="s">
        <v>387</v>
      </c>
      <c r="C416" s="414">
        <v>53717</v>
      </c>
      <c r="D416" s="414"/>
      <c r="E416" s="414"/>
      <c r="F416" s="414">
        <v>259831</v>
      </c>
      <c r="G416" s="414"/>
      <c r="H416" s="414">
        <v>123451</v>
      </c>
      <c r="I416" s="414"/>
      <c r="J416" s="414">
        <f>SUM(C416+E416+F416+H416)</f>
        <v>436999</v>
      </c>
      <c r="K416" s="414">
        <f>SUM(D416+G416+I416)</f>
        <v>0</v>
      </c>
      <c r="L416" s="414">
        <f>SUM(J416:K416)</f>
        <v>436999</v>
      </c>
      <c r="M416" s="414">
        <v>687877</v>
      </c>
      <c r="N416" s="414">
        <v>29461</v>
      </c>
      <c r="O416" s="414">
        <f>SUM(L416:N416)</f>
        <v>1154337</v>
      </c>
    </row>
    <row r="417" spans="1:15" s="828" customFormat="1" x14ac:dyDescent="0.25">
      <c r="A417" s="427"/>
      <c r="B417" s="415" t="s">
        <v>424</v>
      </c>
      <c r="C417" s="415">
        <v>53717</v>
      </c>
      <c r="D417" s="415"/>
      <c r="E417" s="415"/>
      <c r="F417" s="415">
        <v>259831</v>
      </c>
      <c r="G417" s="415"/>
      <c r="H417" s="415">
        <v>123451</v>
      </c>
      <c r="I417" s="415"/>
      <c r="J417" s="421">
        <f>SUM(C417+E417+F417+H417)</f>
        <v>436999</v>
      </c>
      <c r="K417" s="421">
        <f>SUM(D417+G417+I417)</f>
        <v>0</v>
      </c>
      <c r="L417" s="421">
        <f>SUM(J417:K417)</f>
        <v>436999</v>
      </c>
      <c r="M417" s="421">
        <v>687877</v>
      </c>
      <c r="N417" s="421">
        <v>29461</v>
      </c>
      <c r="O417" s="421">
        <f>SUM(L417:N417)</f>
        <v>1154337</v>
      </c>
    </row>
    <row r="418" spans="1:15" s="828" customFormat="1" x14ac:dyDescent="0.25">
      <c r="A418" s="427"/>
      <c r="B418" s="415" t="s">
        <v>140</v>
      </c>
      <c r="C418" s="415"/>
      <c r="D418" s="415"/>
      <c r="E418" s="415"/>
      <c r="F418" s="415"/>
      <c r="G418" s="415"/>
      <c r="H418" s="415"/>
      <c r="I418" s="415"/>
      <c r="J418" s="421"/>
      <c r="K418" s="421"/>
      <c r="L418" s="421"/>
      <c r="M418" s="421"/>
      <c r="N418" s="421"/>
      <c r="O418" s="421"/>
    </row>
    <row r="419" spans="1:15" s="828" customFormat="1" x14ac:dyDescent="0.25">
      <c r="A419" s="427"/>
      <c r="B419" s="608" t="s">
        <v>1034</v>
      </c>
      <c r="C419" s="608"/>
      <c r="D419" s="608"/>
      <c r="E419" s="608"/>
      <c r="F419" s="608"/>
      <c r="G419" s="608"/>
      <c r="H419" s="608"/>
      <c r="I419" s="608"/>
      <c r="J419" s="608">
        <f t="shared" ref="J419:J423" si="209">SUM(C419+E419+F419+H419)</f>
        <v>0</v>
      </c>
      <c r="K419" s="608">
        <f t="shared" ref="K419:K423" si="210">SUM(D419+G419+I419)</f>
        <v>0</v>
      </c>
      <c r="L419" s="608">
        <f t="shared" ref="L419:L423" si="211">SUM(J419:K419)</f>
        <v>0</v>
      </c>
      <c r="M419" s="608">
        <v>206</v>
      </c>
      <c r="N419" s="608"/>
      <c r="O419" s="608">
        <f t="shared" ref="O419:O423" si="212">SUM(L419:N419)</f>
        <v>206</v>
      </c>
    </row>
    <row r="420" spans="1:15" s="828" customFormat="1" x14ac:dyDescent="0.25">
      <c r="A420" s="427"/>
      <c r="B420" s="608" t="s">
        <v>1046</v>
      </c>
      <c r="C420" s="608"/>
      <c r="D420" s="608"/>
      <c r="E420" s="608"/>
      <c r="F420" s="608"/>
      <c r="G420" s="608"/>
      <c r="H420" s="608"/>
      <c r="I420" s="608"/>
      <c r="J420" s="608">
        <f t="shared" si="209"/>
        <v>0</v>
      </c>
      <c r="K420" s="608">
        <f t="shared" si="210"/>
        <v>0</v>
      </c>
      <c r="L420" s="608">
        <f t="shared" si="211"/>
        <v>0</v>
      </c>
      <c r="M420" s="608">
        <v>2072</v>
      </c>
      <c r="N420" s="608"/>
      <c r="O420" s="608">
        <f t="shared" si="212"/>
        <v>2072</v>
      </c>
    </row>
    <row r="421" spans="1:15" s="828" customFormat="1" x14ac:dyDescent="0.25">
      <c r="A421" s="427"/>
      <c r="B421" s="608" t="s">
        <v>1037</v>
      </c>
      <c r="C421" s="608"/>
      <c r="D421" s="608"/>
      <c r="E421" s="608"/>
      <c r="F421" s="608"/>
      <c r="G421" s="608"/>
      <c r="H421" s="608"/>
      <c r="I421" s="608"/>
      <c r="J421" s="608">
        <f t="shared" si="209"/>
        <v>0</v>
      </c>
      <c r="K421" s="608">
        <f t="shared" si="210"/>
        <v>0</v>
      </c>
      <c r="L421" s="608">
        <f t="shared" si="211"/>
        <v>0</v>
      </c>
      <c r="M421" s="608">
        <v>2617</v>
      </c>
      <c r="N421" s="608"/>
      <c r="O421" s="608">
        <f t="shared" si="212"/>
        <v>2617</v>
      </c>
    </row>
    <row r="422" spans="1:15" s="828" customFormat="1" ht="110.25" customHeight="1" x14ac:dyDescent="0.25">
      <c r="A422" s="427"/>
      <c r="B422" s="944" t="s">
        <v>1205</v>
      </c>
      <c r="C422" s="608"/>
      <c r="D422" s="608"/>
      <c r="E422" s="608"/>
      <c r="F422" s="608"/>
      <c r="G422" s="608"/>
      <c r="H422" s="608"/>
      <c r="I422" s="608"/>
      <c r="J422" s="608">
        <f t="shared" si="209"/>
        <v>0</v>
      </c>
      <c r="K422" s="608">
        <f t="shared" si="210"/>
        <v>0</v>
      </c>
      <c r="L422" s="608">
        <f t="shared" si="211"/>
        <v>0</v>
      </c>
      <c r="M422" s="608">
        <v>252</v>
      </c>
      <c r="N422" s="608"/>
      <c r="O422" s="608">
        <f t="shared" si="212"/>
        <v>252</v>
      </c>
    </row>
    <row r="423" spans="1:15" s="828" customFormat="1" ht="32.25" thickBot="1" x14ac:dyDescent="0.3">
      <c r="A423" s="427"/>
      <c r="B423" s="608" t="s">
        <v>766</v>
      </c>
      <c r="C423" s="608">
        <f>2300+88</f>
        <v>2388</v>
      </c>
      <c r="D423" s="608"/>
      <c r="E423" s="608"/>
      <c r="F423" s="608">
        <f>17925+1</f>
        <v>17926</v>
      </c>
      <c r="G423" s="608"/>
      <c r="H423" s="608"/>
      <c r="I423" s="608"/>
      <c r="J423" s="608">
        <f t="shared" si="209"/>
        <v>20314</v>
      </c>
      <c r="K423" s="608">
        <f t="shared" si="210"/>
        <v>0</v>
      </c>
      <c r="L423" s="608">
        <f t="shared" si="211"/>
        <v>20314</v>
      </c>
      <c r="M423" s="608">
        <v>29450</v>
      </c>
      <c r="N423" s="608"/>
      <c r="O423" s="608">
        <f t="shared" si="212"/>
        <v>49764</v>
      </c>
    </row>
    <row r="424" spans="1:15" ht="17.25" thickTop="1" thickBot="1" x14ac:dyDescent="0.3">
      <c r="A424" s="407"/>
      <c r="B424" s="406" t="s">
        <v>416</v>
      </c>
      <c r="C424" s="406">
        <f>+C416+C419+C420+C421+C422+C423</f>
        <v>56105</v>
      </c>
      <c r="D424" s="406">
        <f t="shared" ref="D424:O424" si="213">+D416+D419+D420+D421+D422+D423</f>
        <v>0</v>
      </c>
      <c r="E424" s="406">
        <f t="shared" si="213"/>
        <v>0</v>
      </c>
      <c r="F424" s="406">
        <f t="shared" si="213"/>
        <v>277757</v>
      </c>
      <c r="G424" s="406">
        <f t="shared" si="213"/>
        <v>0</v>
      </c>
      <c r="H424" s="406">
        <f t="shared" si="213"/>
        <v>123451</v>
      </c>
      <c r="I424" s="406">
        <f t="shared" si="213"/>
        <v>0</v>
      </c>
      <c r="J424" s="406">
        <f t="shared" si="213"/>
        <v>457313</v>
      </c>
      <c r="K424" s="406">
        <f t="shared" si="213"/>
        <v>0</v>
      </c>
      <c r="L424" s="406">
        <f t="shared" si="213"/>
        <v>457313</v>
      </c>
      <c r="M424" s="406">
        <f t="shared" si="213"/>
        <v>722474</v>
      </c>
      <c r="N424" s="406">
        <f t="shared" si="213"/>
        <v>29461</v>
      </c>
      <c r="O424" s="406">
        <f t="shared" si="213"/>
        <v>1209248</v>
      </c>
    </row>
    <row r="425" spans="1:15" ht="17.25" thickTop="1" thickBot="1" x14ac:dyDescent="0.3">
      <c r="A425" s="407"/>
      <c r="B425" s="406" t="s">
        <v>423</v>
      </c>
      <c r="C425" s="406">
        <f>+C417+C419+C420+C421+C422+C423</f>
        <v>56105</v>
      </c>
      <c r="D425" s="406">
        <f t="shared" ref="D425:O425" si="214">+D417+D419+D420+D421+D422+D423</f>
        <v>0</v>
      </c>
      <c r="E425" s="406">
        <f t="shared" si="214"/>
        <v>0</v>
      </c>
      <c r="F425" s="406">
        <f t="shared" si="214"/>
        <v>277757</v>
      </c>
      <c r="G425" s="406">
        <f t="shared" si="214"/>
        <v>0</v>
      </c>
      <c r="H425" s="406">
        <f t="shared" si="214"/>
        <v>123451</v>
      </c>
      <c r="I425" s="406">
        <f t="shared" si="214"/>
        <v>0</v>
      </c>
      <c r="J425" s="406">
        <f t="shared" si="214"/>
        <v>457313</v>
      </c>
      <c r="K425" s="406">
        <f t="shared" si="214"/>
        <v>0</v>
      </c>
      <c r="L425" s="406">
        <f t="shared" si="214"/>
        <v>457313</v>
      </c>
      <c r="M425" s="406">
        <f t="shared" si="214"/>
        <v>722474</v>
      </c>
      <c r="N425" s="406">
        <f t="shared" si="214"/>
        <v>29461</v>
      </c>
      <c r="O425" s="406">
        <f t="shared" si="214"/>
        <v>1209248</v>
      </c>
    </row>
    <row r="426" spans="1:15" ht="16.5" thickTop="1" x14ac:dyDescent="0.25">
      <c r="A426" s="413" t="s">
        <v>21</v>
      </c>
      <c r="B426" s="437" t="s">
        <v>764</v>
      </c>
      <c r="C426" s="437"/>
      <c r="D426" s="437"/>
      <c r="E426" s="437"/>
      <c r="F426" s="437"/>
      <c r="G426" s="437"/>
      <c r="H426" s="437"/>
      <c r="I426" s="437"/>
      <c r="J426" s="437"/>
      <c r="K426" s="437"/>
      <c r="L426" s="437"/>
      <c r="M426" s="437"/>
      <c r="N426" s="437"/>
      <c r="O426" s="437"/>
    </row>
    <row r="427" spans="1:15" s="828" customFormat="1" x14ac:dyDescent="0.25">
      <c r="A427" s="427"/>
      <c r="B427" s="608" t="s">
        <v>387</v>
      </c>
      <c r="C427" s="415"/>
      <c r="D427" s="415"/>
      <c r="E427" s="415"/>
      <c r="F427" s="415">
        <v>15466</v>
      </c>
      <c r="G427" s="415"/>
      <c r="H427" s="415"/>
      <c r="I427" s="415"/>
      <c r="J427" s="608">
        <f t="shared" ref="J427:J431" si="215">SUM(C427+E427+F427+H427)</f>
        <v>15466</v>
      </c>
      <c r="K427" s="608">
        <f t="shared" ref="K427:K431" si="216">SUM(D427+G427+I427)</f>
        <v>0</v>
      </c>
      <c r="L427" s="608">
        <f t="shared" ref="L427:L431" si="217">SUM(J427:K427)</f>
        <v>15466</v>
      </c>
      <c r="M427" s="421">
        <v>63931</v>
      </c>
      <c r="N427" s="421"/>
      <c r="O427" s="608">
        <f t="shared" ref="O427:O431" si="218">SUM(L427:N427)</f>
        <v>79397</v>
      </c>
    </row>
    <row r="428" spans="1:15" s="828" customFormat="1" x14ac:dyDescent="0.25">
      <c r="A428" s="427"/>
      <c r="B428" s="415" t="s">
        <v>814</v>
      </c>
      <c r="C428" s="608"/>
      <c r="D428" s="608"/>
      <c r="E428" s="608"/>
      <c r="F428" s="608">
        <v>15466</v>
      </c>
      <c r="G428" s="608"/>
      <c r="H428" s="608"/>
      <c r="I428" s="608"/>
      <c r="J428" s="608">
        <f t="shared" si="215"/>
        <v>15466</v>
      </c>
      <c r="K428" s="608">
        <f t="shared" si="216"/>
        <v>0</v>
      </c>
      <c r="L428" s="608">
        <f t="shared" si="217"/>
        <v>15466</v>
      </c>
      <c r="M428" s="608">
        <v>63931</v>
      </c>
      <c r="N428" s="608"/>
      <c r="O428" s="608">
        <f t="shared" si="218"/>
        <v>79397</v>
      </c>
    </row>
    <row r="429" spans="1:15" s="828" customFormat="1" x14ac:dyDescent="0.25">
      <c r="A429" s="427"/>
      <c r="B429" s="415" t="s">
        <v>140</v>
      </c>
      <c r="C429" s="415"/>
      <c r="D429" s="415"/>
      <c r="E429" s="415"/>
      <c r="F429" s="415"/>
      <c r="G429" s="415"/>
      <c r="H429" s="415"/>
      <c r="I429" s="415"/>
      <c r="J429" s="608"/>
      <c r="K429" s="608"/>
      <c r="L429" s="608"/>
      <c r="M429" s="421"/>
      <c r="N429" s="421"/>
      <c r="O429" s="608"/>
    </row>
    <row r="430" spans="1:15" s="828" customFormat="1" x14ac:dyDescent="0.25">
      <c r="A430" s="427"/>
      <c r="B430" s="608" t="s">
        <v>1046</v>
      </c>
      <c r="C430" s="415"/>
      <c r="D430" s="415"/>
      <c r="E430" s="415"/>
      <c r="F430" s="415"/>
      <c r="G430" s="415"/>
      <c r="H430" s="415"/>
      <c r="I430" s="415"/>
      <c r="J430" s="608">
        <f t="shared" si="215"/>
        <v>0</v>
      </c>
      <c r="K430" s="608">
        <f t="shared" si="216"/>
        <v>0</v>
      </c>
      <c r="L430" s="608">
        <f t="shared" si="217"/>
        <v>0</v>
      </c>
      <c r="M430" s="608">
        <v>326</v>
      </c>
      <c r="N430" s="421"/>
      <c r="O430" s="608">
        <f t="shared" si="218"/>
        <v>326</v>
      </c>
    </row>
    <row r="431" spans="1:15" s="828" customFormat="1" ht="16.5" thickBot="1" x14ac:dyDescent="0.3">
      <c r="A431" s="427"/>
      <c r="B431" s="608" t="s">
        <v>1037</v>
      </c>
      <c r="C431" s="415"/>
      <c r="D431" s="415"/>
      <c r="E431" s="415"/>
      <c r="F431" s="415"/>
      <c r="G431" s="415"/>
      <c r="H431" s="415"/>
      <c r="I431" s="415"/>
      <c r="J431" s="608">
        <f t="shared" si="215"/>
        <v>0</v>
      </c>
      <c r="K431" s="608">
        <f t="shared" si="216"/>
        <v>0</v>
      </c>
      <c r="L431" s="608">
        <f t="shared" si="217"/>
        <v>0</v>
      </c>
      <c r="M431" s="608">
        <v>451</v>
      </c>
      <c r="N431" s="421"/>
      <c r="O431" s="608">
        <f t="shared" si="218"/>
        <v>451</v>
      </c>
    </row>
    <row r="432" spans="1:15" ht="17.25" thickTop="1" thickBot="1" x14ac:dyDescent="0.3">
      <c r="A432" s="407"/>
      <c r="B432" s="406" t="s">
        <v>416</v>
      </c>
      <c r="C432" s="406">
        <f>+C427+C430+C431</f>
        <v>0</v>
      </c>
      <c r="D432" s="406">
        <f t="shared" ref="D432:O432" si="219">+D427+D430+D431</f>
        <v>0</v>
      </c>
      <c r="E432" s="406">
        <f t="shared" si="219"/>
        <v>0</v>
      </c>
      <c r="F432" s="406">
        <f t="shared" si="219"/>
        <v>15466</v>
      </c>
      <c r="G432" s="406">
        <f t="shared" si="219"/>
        <v>0</v>
      </c>
      <c r="H432" s="406">
        <f t="shared" si="219"/>
        <v>0</v>
      </c>
      <c r="I432" s="406">
        <f t="shared" si="219"/>
        <v>0</v>
      </c>
      <c r="J432" s="406">
        <f t="shared" si="219"/>
        <v>15466</v>
      </c>
      <c r="K432" s="406">
        <f t="shared" si="219"/>
        <v>0</v>
      </c>
      <c r="L432" s="406">
        <f t="shared" si="219"/>
        <v>15466</v>
      </c>
      <c r="M432" s="406">
        <f t="shared" si="219"/>
        <v>64708</v>
      </c>
      <c r="N432" s="406">
        <f t="shared" si="219"/>
        <v>0</v>
      </c>
      <c r="O432" s="406">
        <f t="shared" si="219"/>
        <v>80174</v>
      </c>
    </row>
    <row r="433" spans="1:15" ht="17.25" thickTop="1" thickBot="1" x14ac:dyDescent="0.3">
      <c r="A433" s="407"/>
      <c r="B433" s="406" t="s">
        <v>423</v>
      </c>
      <c r="C433" s="406">
        <f>+C428+C430+C431</f>
        <v>0</v>
      </c>
      <c r="D433" s="406">
        <f t="shared" ref="D433:O433" si="220">+D428+D430+D431</f>
        <v>0</v>
      </c>
      <c r="E433" s="406">
        <f t="shared" si="220"/>
        <v>0</v>
      </c>
      <c r="F433" s="406">
        <f t="shared" si="220"/>
        <v>15466</v>
      </c>
      <c r="G433" s="406">
        <f t="shared" si="220"/>
        <v>0</v>
      </c>
      <c r="H433" s="406">
        <f t="shared" si="220"/>
        <v>0</v>
      </c>
      <c r="I433" s="406">
        <f t="shared" si="220"/>
        <v>0</v>
      </c>
      <c r="J433" s="406">
        <f t="shared" si="220"/>
        <v>15466</v>
      </c>
      <c r="K433" s="406">
        <f t="shared" si="220"/>
        <v>0</v>
      </c>
      <c r="L433" s="406">
        <f t="shared" si="220"/>
        <v>15466</v>
      </c>
      <c r="M433" s="406">
        <f t="shared" si="220"/>
        <v>64708</v>
      </c>
      <c r="N433" s="406">
        <f t="shared" si="220"/>
        <v>0</v>
      </c>
      <c r="O433" s="406">
        <f t="shared" si="220"/>
        <v>80174</v>
      </c>
    </row>
    <row r="434" spans="1:15" ht="16.5" thickTop="1" x14ac:dyDescent="0.25">
      <c r="A434" s="416" t="s">
        <v>744</v>
      </c>
      <c r="B434" s="424" t="s">
        <v>422</v>
      </c>
      <c r="C434" s="424"/>
      <c r="D434" s="424"/>
      <c r="E434" s="424"/>
      <c r="F434" s="424"/>
      <c r="G434" s="424"/>
      <c r="H434" s="424"/>
      <c r="I434" s="424"/>
      <c r="J434" s="424"/>
      <c r="K434" s="424"/>
      <c r="L434" s="424"/>
      <c r="M434" s="424"/>
      <c r="N434" s="424"/>
      <c r="O434" s="424"/>
    </row>
    <row r="435" spans="1:15" x14ac:dyDescent="0.25">
      <c r="A435" s="420"/>
      <c r="B435" s="418" t="s">
        <v>387</v>
      </c>
      <c r="C435" s="418">
        <v>10835</v>
      </c>
      <c r="D435" s="418"/>
      <c r="E435" s="418"/>
      <c r="F435" s="418">
        <v>16800</v>
      </c>
      <c r="G435" s="418"/>
      <c r="H435" s="418"/>
      <c r="I435" s="418"/>
      <c r="J435" s="418">
        <f t="shared" ref="J435:J453" si="221">SUM(C435+E435+F435+H435)</f>
        <v>27635</v>
      </c>
      <c r="K435" s="418">
        <f t="shared" ref="K435:K453" si="222">SUM(D435+G435+I435)</f>
        <v>0</v>
      </c>
      <c r="L435" s="418">
        <f t="shared" ref="L435:L453" si="223">SUM(J435:K435)</f>
        <v>27635</v>
      </c>
      <c r="M435" s="418">
        <v>198819</v>
      </c>
      <c r="N435" s="418">
        <v>1498</v>
      </c>
      <c r="O435" s="418">
        <f t="shared" ref="O435:O453" si="224">SUM(L435:N435)</f>
        <v>227952</v>
      </c>
    </row>
    <row r="436" spans="1:15" s="828" customFormat="1" x14ac:dyDescent="0.25">
      <c r="A436" s="422"/>
      <c r="B436" s="419" t="s">
        <v>418</v>
      </c>
      <c r="C436" s="419">
        <v>8175</v>
      </c>
      <c r="D436" s="419"/>
      <c r="E436" s="419"/>
      <c r="F436" s="419">
        <v>16800</v>
      </c>
      <c r="G436" s="419"/>
      <c r="H436" s="419"/>
      <c r="I436" s="419"/>
      <c r="J436" s="435">
        <f t="shared" si="221"/>
        <v>24975</v>
      </c>
      <c r="K436" s="435">
        <f t="shared" si="222"/>
        <v>0</v>
      </c>
      <c r="L436" s="435">
        <f t="shared" si="223"/>
        <v>24975</v>
      </c>
      <c r="M436" s="435">
        <v>169161</v>
      </c>
      <c r="N436" s="435">
        <v>1498</v>
      </c>
      <c r="O436" s="435">
        <f t="shared" si="224"/>
        <v>195634</v>
      </c>
    </row>
    <row r="437" spans="1:15" s="828" customFormat="1" x14ac:dyDescent="0.25">
      <c r="A437" s="423"/>
      <c r="B437" s="415" t="s">
        <v>417</v>
      </c>
      <c r="C437" s="415">
        <v>2660</v>
      </c>
      <c r="D437" s="415"/>
      <c r="E437" s="415"/>
      <c r="F437" s="415"/>
      <c r="G437" s="415"/>
      <c r="H437" s="415"/>
      <c r="I437" s="415"/>
      <c r="J437" s="415">
        <f t="shared" si="221"/>
        <v>2660</v>
      </c>
      <c r="K437" s="415">
        <f t="shared" si="222"/>
        <v>0</v>
      </c>
      <c r="L437" s="415">
        <f t="shared" si="223"/>
        <v>2660</v>
      </c>
      <c r="M437" s="415">
        <v>29658</v>
      </c>
      <c r="N437" s="415"/>
      <c r="O437" s="415">
        <f t="shared" si="224"/>
        <v>32318</v>
      </c>
    </row>
    <row r="438" spans="1:15" s="828" customFormat="1" x14ac:dyDescent="0.25">
      <c r="A438" s="423"/>
      <c r="B438" s="415" t="s">
        <v>139</v>
      </c>
      <c r="C438" s="608"/>
      <c r="D438" s="608"/>
      <c r="E438" s="608"/>
      <c r="F438" s="608"/>
      <c r="G438" s="608"/>
      <c r="H438" s="608"/>
      <c r="I438" s="608"/>
      <c r="J438" s="608"/>
      <c r="K438" s="608"/>
      <c r="L438" s="608"/>
      <c r="M438" s="608"/>
      <c r="N438" s="608"/>
      <c r="O438" s="608"/>
    </row>
    <row r="439" spans="1:15" s="828" customFormat="1" x14ac:dyDescent="0.25">
      <c r="A439" s="423"/>
      <c r="B439" s="608" t="s">
        <v>1046</v>
      </c>
      <c r="C439" s="608"/>
      <c r="D439" s="608"/>
      <c r="E439" s="608"/>
      <c r="F439" s="608"/>
      <c r="G439" s="608"/>
      <c r="H439" s="608"/>
      <c r="I439" s="608"/>
      <c r="J439" s="608">
        <f t="shared" si="221"/>
        <v>0</v>
      </c>
      <c r="K439" s="608">
        <f t="shared" si="222"/>
        <v>0</v>
      </c>
      <c r="L439" s="608">
        <f t="shared" si="223"/>
        <v>0</v>
      </c>
      <c r="M439" s="608">
        <v>533</v>
      </c>
      <c r="N439" s="608"/>
      <c r="O439" s="608">
        <f t="shared" si="224"/>
        <v>533</v>
      </c>
    </row>
    <row r="440" spans="1:15" s="828" customFormat="1" ht="31.5" x14ac:dyDescent="0.25">
      <c r="A440" s="423"/>
      <c r="B440" s="608" t="s">
        <v>767</v>
      </c>
      <c r="C440" s="608"/>
      <c r="D440" s="608"/>
      <c r="E440" s="608"/>
      <c r="F440" s="608">
        <v>-1</v>
      </c>
      <c r="G440" s="608"/>
      <c r="H440" s="608"/>
      <c r="I440" s="608"/>
      <c r="J440" s="608">
        <f t="shared" si="221"/>
        <v>-1</v>
      </c>
      <c r="K440" s="608">
        <f t="shared" si="222"/>
        <v>0</v>
      </c>
      <c r="L440" s="608">
        <f t="shared" si="223"/>
        <v>-1</v>
      </c>
      <c r="M440" s="608"/>
      <c r="N440" s="608">
        <v>1</v>
      </c>
      <c r="O440" s="608">
        <f t="shared" si="224"/>
        <v>0</v>
      </c>
    </row>
    <row r="441" spans="1:15" s="828" customFormat="1" ht="31.5" x14ac:dyDescent="0.25">
      <c r="A441" s="423"/>
      <c r="B441" s="608" t="s">
        <v>766</v>
      </c>
      <c r="C441" s="608"/>
      <c r="D441" s="608"/>
      <c r="E441" s="608"/>
      <c r="F441" s="608">
        <v>2</v>
      </c>
      <c r="G441" s="608"/>
      <c r="H441" s="608"/>
      <c r="I441" s="608"/>
      <c r="J441" s="608">
        <f t="shared" si="221"/>
        <v>2</v>
      </c>
      <c r="K441" s="608">
        <f t="shared" si="222"/>
        <v>0</v>
      </c>
      <c r="L441" s="608">
        <f t="shared" si="223"/>
        <v>2</v>
      </c>
      <c r="M441" s="608"/>
      <c r="N441" s="608"/>
      <c r="O441" s="608">
        <f t="shared" si="224"/>
        <v>2</v>
      </c>
    </row>
    <row r="442" spans="1:15" s="828" customFormat="1" x14ac:dyDescent="0.25">
      <c r="A442" s="423"/>
      <c r="B442" s="415" t="s">
        <v>140</v>
      </c>
      <c r="C442" s="608"/>
      <c r="D442" s="608"/>
      <c r="E442" s="608"/>
      <c r="F442" s="608"/>
      <c r="G442" s="608"/>
      <c r="H442" s="608"/>
      <c r="I442" s="608"/>
      <c r="J442" s="608"/>
      <c r="K442" s="608"/>
      <c r="L442" s="608"/>
      <c r="M442" s="608"/>
      <c r="N442" s="608"/>
      <c r="O442" s="608"/>
    </row>
    <row r="443" spans="1:15" s="828" customFormat="1" x14ac:dyDescent="0.25">
      <c r="A443" s="423"/>
      <c r="B443" s="608" t="s">
        <v>1037</v>
      </c>
      <c r="C443" s="608"/>
      <c r="D443" s="608"/>
      <c r="E443" s="608"/>
      <c r="F443" s="608"/>
      <c r="G443" s="608"/>
      <c r="H443" s="608"/>
      <c r="I443" s="608"/>
      <c r="J443" s="608">
        <f t="shared" si="221"/>
        <v>0</v>
      </c>
      <c r="K443" s="608">
        <f t="shared" si="222"/>
        <v>0</v>
      </c>
      <c r="L443" s="608">
        <f t="shared" si="223"/>
        <v>0</v>
      </c>
      <c r="M443" s="608">
        <v>769</v>
      </c>
      <c r="N443" s="608"/>
      <c r="O443" s="608">
        <f t="shared" si="224"/>
        <v>769</v>
      </c>
    </row>
    <row r="444" spans="1:15" ht="63" x14ac:dyDescent="0.25">
      <c r="A444" s="416"/>
      <c r="B444" s="608" t="s">
        <v>1049</v>
      </c>
      <c r="C444" s="414"/>
      <c r="D444" s="414"/>
      <c r="E444" s="414"/>
      <c r="F444" s="414"/>
      <c r="G444" s="414"/>
      <c r="H444" s="414"/>
      <c r="I444" s="414"/>
      <c r="J444" s="414">
        <f t="shared" si="221"/>
        <v>0</v>
      </c>
      <c r="K444" s="414">
        <f t="shared" si="222"/>
        <v>0</v>
      </c>
      <c r="L444" s="414">
        <f t="shared" si="223"/>
        <v>0</v>
      </c>
      <c r="M444" s="414">
        <v>100</v>
      </c>
      <c r="N444" s="414"/>
      <c r="O444" s="414">
        <f t="shared" si="224"/>
        <v>100</v>
      </c>
    </row>
    <row r="445" spans="1:15" ht="94.5" customHeight="1" x14ac:dyDescent="0.25">
      <c r="A445" s="416"/>
      <c r="B445" s="608" t="s">
        <v>1050</v>
      </c>
      <c r="C445" s="414"/>
      <c r="D445" s="414"/>
      <c r="E445" s="414"/>
      <c r="F445" s="414"/>
      <c r="G445" s="414"/>
      <c r="H445" s="414"/>
      <c r="I445" s="414"/>
      <c r="J445" s="414">
        <f t="shared" si="221"/>
        <v>0</v>
      </c>
      <c r="K445" s="414">
        <f t="shared" si="222"/>
        <v>0</v>
      </c>
      <c r="L445" s="414">
        <f t="shared" si="223"/>
        <v>0</v>
      </c>
      <c r="M445" s="414">
        <v>120</v>
      </c>
      <c r="N445" s="414"/>
      <c r="O445" s="414">
        <f t="shared" si="224"/>
        <v>120</v>
      </c>
    </row>
    <row r="446" spans="1:15" ht="79.5" customHeight="1" x14ac:dyDescent="0.25">
      <c r="A446" s="416"/>
      <c r="B446" s="608" t="s">
        <v>1051</v>
      </c>
      <c r="C446" s="414"/>
      <c r="D446" s="414"/>
      <c r="E446" s="414"/>
      <c r="F446" s="414"/>
      <c r="G446" s="414"/>
      <c r="H446" s="414"/>
      <c r="I446" s="414"/>
      <c r="J446" s="414">
        <f t="shared" si="221"/>
        <v>0</v>
      </c>
      <c r="K446" s="414">
        <f t="shared" si="222"/>
        <v>0</v>
      </c>
      <c r="L446" s="414">
        <f t="shared" si="223"/>
        <v>0</v>
      </c>
      <c r="M446" s="414">
        <v>20</v>
      </c>
      <c r="N446" s="414"/>
      <c r="O446" s="414">
        <f t="shared" si="224"/>
        <v>20</v>
      </c>
    </row>
    <row r="447" spans="1:15" ht="63" x14ac:dyDescent="0.25">
      <c r="A447" s="416"/>
      <c r="B447" s="608" t="s">
        <v>1052</v>
      </c>
      <c r="C447" s="414"/>
      <c r="D447" s="414"/>
      <c r="E447" s="414"/>
      <c r="F447" s="414"/>
      <c r="G447" s="414"/>
      <c r="H447" s="414"/>
      <c r="I447" s="414"/>
      <c r="J447" s="414">
        <f t="shared" si="221"/>
        <v>0</v>
      </c>
      <c r="K447" s="414">
        <f t="shared" si="222"/>
        <v>0</v>
      </c>
      <c r="L447" s="414">
        <f t="shared" si="223"/>
        <v>0</v>
      </c>
      <c r="M447" s="414">
        <v>100</v>
      </c>
      <c r="N447" s="414"/>
      <c r="O447" s="414">
        <f t="shared" si="224"/>
        <v>100</v>
      </c>
    </row>
    <row r="448" spans="1:15" ht="47.25" x14ac:dyDescent="0.25">
      <c r="A448" s="420"/>
      <c r="B448" s="609" t="s">
        <v>1053</v>
      </c>
      <c r="C448" s="418"/>
      <c r="D448" s="418"/>
      <c r="E448" s="418"/>
      <c r="F448" s="418"/>
      <c r="G448" s="418"/>
      <c r="H448" s="418"/>
      <c r="I448" s="418"/>
      <c r="J448" s="418">
        <f t="shared" si="221"/>
        <v>0</v>
      </c>
      <c r="K448" s="418">
        <f t="shared" si="222"/>
        <v>0</v>
      </c>
      <c r="L448" s="418">
        <f t="shared" si="223"/>
        <v>0</v>
      </c>
      <c r="M448" s="418">
        <v>150</v>
      </c>
      <c r="N448" s="418"/>
      <c r="O448" s="418">
        <f t="shared" si="224"/>
        <v>150</v>
      </c>
    </row>
    <row r="449" spans="1:16" ht="96" customHeight="1" x14ac:dyDescent="0.25">
      <c r="A449" s="420"/>
      <c r="B449" s="609" t="s">
        <v>1054</v>
      </c>
      <c r="C449" s="418"/>
      <c r="D449" s="418"/>
      <c r="E449" s="418"/>
      <c r="F449" s="418"/>
      <c r="G449" s="418"/>
      <c r="H449" s="418"/>
      <c r="I449" s="418"/>
      <c r="J449" s="418">
        <f t="shared" si="221"/>
        <v>0</v>
      </c>
      <c r="K449" s="418">
        <f t="shared" si="222"/>
        <v>0</v>
      </c>
      <c r="L449" s="418">
        <f t="shared" si="223"/>
        <v>0</v>
      </c>
      <c r="M449" s="418">
        <v>100</v>
      </c>
      <c r="N449" s="418"/>
      <c r="O449" s="418">
        <f t="shared" si="224"/>
        <v>100</v>
      </c>
    </row>
    <row r="450" spans="1:16" ht="78.75" x14ac:dyDescent="0.25">
      <c r="A450" s="420"/>
      <c r="B450" s="609" t="s">
        <v>1055</v>
      </c>
      <c r="C450" s="418"/>
      <c r="D450" s="418"/>
      <c r="E450" s="418"/>
      <c r="F450" s="418"/>
      <c r="G450" s="418"/>
      <c r="H450" s="418"/>
      <c r="I450" s="418"/>
      <c r="J450" s="418">
        <f t="shared" si="221"/>
        <v>0</v>
      </c>
      <c r="K450" s="418">
        <f t="shared" si="222"/>
        <v>0</v>
      </c>
      <c r="L450" s="418">
        <f t="shared" si="223"/>
        <v>0</v>
      </c>
      <c r="M450" s="418">
        <v>50</v>
      </c>
      <c r="N450" s="418"/>
      <c r="O450" s="418">
        <f t="shared" si="224"/>
        <v>50</v>
      </c>
    </row>
    <row r="451" spans="1:16" ht="96" customHeight="1" x14ac:dyDescent="0.25">
      <c r="A451" s="420"/>
      <c r="B451" s="609" t="s">
        <v>1056</v>
      </c>
      <c r="C451" s="418"/>
      <c r="D451" s="418"/>
      <c r="E451" s="418"/>
      <c r="F451" s="418"/>
      <c r="G451" s="418"/>
      <c r="H451" s="418"/>
      <c r="I451" s="418"/>
      <c r="J451" s="418">
        <f t="shared" si="221"/>
        <v>0</v>
      </c>
      <c r="K451" s="418">
        <f t="shared" si="222"/>
        <v>0</v>
      </c>
      <c r="L451" s="418">
        <f t="shared" si="223"/>
        <v>0</v>
      </c>
      <c r="M451" s="418">
        <v>100</v>
      </c>
      <c r="N451" s="418"/>
      <c r="O451" s="418">
        <f t="shared" si="224"/>
        <v>100</v>
      </c>
    </row>
    <row r="452" spans="1:16" ht="78.75" x14ac:dyDescent="0.25">
      <c r="A452" s="416"/>
      <c r="B452" s="608" t="s">
        <v>1057</v>
      </c>
      <c r="C452" s="414"/>
      <c r="D452" s="414"/>
      <c r="E452" s="414"/>
      <c r="F452" s="414"/>
      <c r="G452" s="414"/>
      <c r="H452" s="414"/>
      <c r="I452" s="414"/>
      <c r="J452" s="414">
        <f t="shared" si="221"/>
        <v>0</v>
      </c>
      <c r="K452" s="414">
        <f t="shared" si="222"/>
        <v>0</v>
      </c>
      <c r="L452" s="414">
        <f t="shared" si="223"/>
        <v>0</v>
      </c>
      <c r="M452" s="414">
        <v>100</v>
      </c>
      <c r="N452" s="414"/>
      <c r="O452" s="414">
        <f t="shared" si="224"/>
        <v>100</v>
      </c>
    </row>
    <row r="453" spans="1:16" ht="32.25" thickBot="1" x14ac:dyDescent="0.3">
      <c r="A453" s="416"/>
      <c r="B453" s="608" t="s">
        <v>766</v>
      </c>
      <c r="C453" s="414">
        <v>4466</v>
      </c>
      <c r="D453" s="414"/>
      <c r="E453" s="414"/>
      <c r="F453" s="414">
        <v>4482</v>
      </c>
      <c r="G453" s="414"/>
      <c r="H453" s="414"/>
      <c r="I453" s="414"/>
      <c r="J453" s="414">
        <f t="shared" si="221"/>
        <v>8948</v>
      </c>
      <c r="K453" s="414">
        <f t="shared" si="222"/>
        <v>0</v>
      </c>
      <c r="L453" s="414">
        <f t="shared" si="223"/>
        <v>8948</v>
      </c>
      <c r="M453" s="414"/>
      <c r="N453" s="414"/>
      <c r="O453" s="414">
        <f t="shared" si="224"/>
        <v>8948</v>
      </c>
    </row>
    <row r="454" spans="1:16" ht="17.25" thickTop="1" thickBot="1" x14ac:dyDescent="0.3">
      <c r="A454" s="407"/>
      <c r="B454" s="406" t="s">
        <v>416</v>
      </c>
      <c r="C454" s="406">
        <f>+C435+C439+C440+C443+C444+C448+C449+C450+C445+C446+C447+C451+C452+C453+C441</f>
        <v>15301</v>
      </c>
      <c r="D454" s="406">
        <f t="shared" ref="D454:O454" si="225">+D435+D439+D440+D443+D444+D448+D449+D450+D445+D446+D447+D451+D452+D453+D441</f>
        <v>0</v>
      </c>
      <c r="E454" s="406">
        <f t="shared" si="225"/>
        <v>0</v>
      </c>
      <c r="F454" s="406">
        <f t="shared" si="225"/>
        <v>21283</v>
      </c>
      <c r="G454" s="406">
        <f t="shared" si="225"/>
        <v>0</v>
      </c>
      <c r="H454" s="406">
        <f t="shared" si="225"/>
        <v>0</v>
      </c>
      <c r="I454" s="406">
        <f t="shared" si="225"/>
        <v>0</v>
      </c>
      <c r="J454" s="406">
        <f t="shared" si="225"/>
        <v>36584</v>
      </c>
      <c r="K454" s="406">
        <f t="shared" si="225"/>
        <v>0</v>
      </c>
      <c r="L454" s="406">
        <f t="shared" si="225"/>
        <v>36584</v>
      </c>
      <c r="M454" s="406">
        <f t="shared" si="225"/>
        <v>200961</v>
      </c>
      <c r="N454" s="406">
        <f t="shared" si="225"/>
        <v>1499</v>
      </c>
      <c r="O454" s="406">
        <f t="shared" si="225"/>
        <v>239044</v>
      </c>
      <c r="P454" s="827">
        <f>O455+O456</f>
        <v>239044</v>
      </c>
    </row>
    <row r="455" spans="1:16" ht="17.25" thickTop="1" thickBot="1" x14ac:dyDescent="0.3">
      <c r="A455" s="407"/>
      <c r="B455" s="406" t="s">
        <v>415</v>
      </c>
      <c r="C455" s="406">
        <f>+C436+C439+C440+C441</f>
        <v>8175</v>
      </c>
      <c r="D455" s="406">
        <f t="shared" ref="D455:O455" si="226">+D436+D439+D440+D441</f>
        <v>0</v>
      </c>
      <c r="E455" s="406">
        <f t="shared" si="226"/>
        <v>0</v>
      </c>
      <c r="F455" s="406">
        <f t="shared" si="226"/>
        <v>16801</v>
      </c>
      <c r="G455" s="406">
        <f t="shared" si="226"/>
        <v>0</v>
      </c>
      <c r="H455" s="406">
        <f t="shared" si="226"/>
        <v>0</v>
      </c>
      <c r="I455" s="406">
        <f t="shared" si="226"/>
        <v>0</v>
      </c>
      <c r="J455" s="406">
        <f t="shared" si="226"/>
        <v>24976</v>
      </c>
      <c r="K455" s="406">
        <f t="shared" si="226"/>
        <v>0</v>
      </c>
      <c r="L455" s="406">
        <f t="shared" si="226"/>
        <v>24976</v>
      </c>
      <c r="M455" s="406">
        <f t="shared" si="226"/>
        <v>169694</v>
      </c>
      <c r="N455" s="406">
        <f t="shared" si="226"/>
        <v>1499</v>
      </c>
      <c r="O455" s="406">
        <f t="shared" si="226"/>
        <v>196169</v>
      </c>
    </row>
    <row r="456" spans="1:16" ht="17.25" thickTop="1" thickBot="1" x14ac:dyDescent="0.3">
      <c r="A456" s="407"/>
      <c r="B456" s="406" t="s">
        <v>414</v>
      </c>
      <c r="C456" s="406">
        <f>+C437+C443+C444+C448+C449+C450+C445+C446+C447+C451+C452+C453</f>
        <v>7126</v>
      </c>
      <c r="D456" s="406">
        <f t="shared" ref="D456:O456" si="227">+D437+D443+D444+D448+D449+D450+D445+D446+D447+D451+D452+D453</f>
        <v>0</v>
      </c>
      <c r="E456" s="406">
        <f t="shared" si="227"/>
        <v>0</v>
      </c>
      <c r="F456" s="406">
        <f t="shared" si="227"/>
        <v>4482</v>
      </c>
      <c r="G456" s="406">
        <f t="shared" si="227"/>
        <v>0</v>
      </c>
      <c r="H456" s="406">
        <f t="shared" si="227"/>
        <v>0</v>
      </c>
      <c r="I456" s="406">
        <f t="shared" si="227"/>
        <v>0</v>
      </c>
      <c r="J456" s="406">
        <f t="shared" si="227"/>
        <v>11608</v>
      </c>
      <c r="K456" s="406">
        <f t="shared" si="227"/>
        <v>0</v>
      </c>
      <c r="L456" s="406">
        <f t="shared" si="227"/>
        <v>11608</v>
      </c>
      <c r="M456" s="406">
        <f t="shared" si="227"/>
        <v>31267</v>
      </c>
      <c r="N456" s="406">
        <f t="shared" si="227"/>
        <v>0</v>
      </c>
      <c r="O456" s="406">
        <f t="shared" si="227"/>
        <v>42875</v>
      </c>
    </row>
    <row r="457" spans="1:16" ht="17.25" thickTop="1" thickBot="1" x14ac:dyDescent="0.3">
      <c r="A457" s="407"/>
      <c r="B457" s="406" t="s">
        <v>421</v>
      </c>
      <c r="C457" s="406">
        <f t="shared" ref="C457:O457" si="228">SUM(C366+C380+C395+C413+C424+C432+C454+C403)</f>
        <v>264334</v>
      </c>
      <c r="D457" s="406">
        <f t="shared" si="228"/>
        <v>0</v>
      </c>
      <c r="E457" s="406">
        <f t="shared" si="228"/>
        <v>0</v>
      </c>
      <c r="F457" s="406">
        <f t="shared" si="228"/>
        <v>541824</v>
      </c>
      <c r="G457" s="406">
        <f t="shared" si="228"/>
        <v>0</v>
      </c>
      <c r="H457" s="406">
        <f t="shared" si="228"/>
        <v>138567</v>
      </c>
      <c r="I457" s="406">
        <f t="shared" si="228"/>
        <v>0</v>
      </c>
      <c r="J457" s="406">
        <f t="shared" si="228"/>
        <v>944725</v>
      </c>
      <c r="K457" s="406">
        <f t="shared" si="228"/>
        <v>0</v>
      </c>
      <c r="L457" s="406">
        <f t="shared" si="228"/>
        <v>944725</v>
      </c>
      <c r="M457" s="406">
        <f t="shared" si="228"/>
        <v>2640490</v>
      </c>
      <c r="N457" s="406">
        <f t="shared" si="228"/>
        <v>136229</v>
      </c>
      <c r="O457" s="406">
        <f t="shared" si="228"/>
        <v>3721444</v>
      </c>
    </row>
    <row r="458" spans="1:16" ht="17.25" thickTop="1" thickBot="1" x14ac:dyDescent="0.3">
      <c r="A458" s="407"/>
      <c r="B458" s="406" t="s">
        <v>420</v>
      </c>
      <c r="C458" s="406">
        <f t="shared" ref="C458:O458" si="229">SUM(C297+C345+C355+C457)</f>
        <v>1413565</v>
      </c>
      <c r="D458" s="406">
        <f t="shared" si="229"/>
        <v>9123</v>
      </c>
      <c r="E458" s="406">
        <f t="shared" si="229"/>
        <v>0</v>
      </c>
      <c r="F458" s="406">
        <f t="shared" si="229"/>
        <v>1654016</v>
      </c>
      <c r="G458" s="406">
        <f t="shared" si="229"/>
        <v>786</v>
      </c>
      <c r="H458" s="406">
        <f t="shared" si="229"/>
        <v>143649</v>
      </c>
      <c r="I458" s="406">
        <f t="shared" si="229"/>
        <v>630</v>
      </c>
      <c r="J458" s="406">
        <f t="shared" si="229"/>
        <v>3211230</v>
      </c>
      <c r="K458" s="406">
        <f t="shared" si="229"/>
        <v>10539</v>
      </c>
      <c r="L458" s="406">
        <f t="shared" si="229"/>
        <v>3221769</v>
      </c>
      <c r="M458" s="406">
        <f t="shared" si="229"/>
        <v>8721550</v>
      </c>
      <c r="N458" s="406">
        <f t="shared" si="229"/>
        <v>480443</v>
      </c>
      <c r="O458" s="406">
        <f t="shared" si="229"/>
        <v>12423762</v>
      </c>
    </row>
    <row r="459" spans="1:16" ht="16.5" thickTop="1" x14ac:dyDescent="0.25">
      <c r="A459" s="416" t="s">
        <v>745</v>
      </c>
      <c r="B459" s="424" t="s">
        <v>419</v>
      </c>
      <c r="C459" s="424"/>
      <c r="D459" s="424"/>
      <c r="E459" s="424"/>
      <c r="F459" s="424"/>
      <c r="G459" s="424"/>
      <c r="H459" s="424"/>
      <c r="I459" s="424"/>
      <c r="J459" s="424"/>
      <c r="K459" s="424"/>
      <c r="L459" s="424"/>
      <c r="M459" s="424"/>
      <c r="N459" s="424"/>
      <c r="O459" s="424"/>
    </row>
    <row r="460" spans="1:16" x14ac:dyDescent="0.25">
      <c r="A460" s="416"/>
      <c r="B460" s="414" t="s">
        <v>387</v>
      </c>
      <c r="C460" s="414">
        <v>231612</v>
      </c>
      <c r="D460" s="414"/>
      <c r="E460" s="414">
        <v>200</v>
      </c>
      <c r="F460" s="414">
        <v>16583</v>
      </c>
      <c r="G460" s="414"/>
      <c r="H460" s="414"/>
      <c r="I460" s="414"/>
      <c r="J460" s="414">
        <f>SUM(C460+E460+F460+H460)</f>
        <v>248395</v>
      </c>
      <c r="K460" s="414">
        <f>SUM(D460+G460+I460)</f>
        <v>0</v>
      </c>
      <c r="L460" s="414">
        <f>SUM(J460:K460)</f>
        <v>248395</v>
      </c>
      <c r="M460" s="414">
        <v>2705044</v>
      </c>
      <c r="N460" s="414">
        <v>99604</v>
      </c>
      <c r="O460" s="414">
        <f>SUM(L460:N460)</f>
        <v>3053043</v>
      </c>
    </row>
    <row r="461" spans="1:16" s="828" customFormat="1" x14ac:dyDescent="0.25">
      <c r="A461" s="423"/>
      <c r="B461" s="415" t="s">
        <v>418</v>
      </c>
      <c r="C461" s="415">
        <v>45141</v>
      </c>
      <c r="D461" s="415"/>
      <c r="E461" s="415"/>
      <c r="F461" s="415">
        <v>3252</v>
      </c>
      <c r="G461" s="415"/>
      <c r="H461" s="415"/>
      <c r="I461" s="415"/>
      <c r="J461" s="421">
        <f>SUM(C461+E461+F461+H461)</f>
        <v>48393</v>
      </c>
      <c r="K461" s="421">
        <f>SUM(D461+G461+I461)</f>
        <v>0</v>
      </c>
      <c r="L461" s="421">
        <f>SUM(J461:K461)</f>
        <v>48393</v>
      </c>
      <c r="M461" s="421">
        <v>1318279</v>
      </c>
      <c r="N461" s="421">
        <v>99604</v>
      </c>
      <c r="O461" s="421">
        <f>SUM(L461:N461)</f>
        <v>1466276</v>
      </c>
    </row>
    <row r="462" spans="1:16" s="828" customFormat="1" x14ac:dyDescent="0.25">
      <c r="A462" s="423"/>
      <c r="B462" s="415" t="s">
        <v>417</v>
      </c>
      <c r="C462" s="415">
        <v>103044</v>
      </c>
      <c r="D462" s="415"/>
      <c r="E462" s="415"/>
      <c r="F462" s="415">
        <v>11063</v>
      </c>
      <c r="G462" s="415"/>
      <c r="H462" s="415"/>
      <c r="I462" s="415"/>
      <c r="J462" s="421">
        <f>SUM(C462+E462+F462+H462)</f>
        <v>114107</v>
      </c>
      <c r="K462" s="421">
        <f>SUM(D462+G462+I462)</f>
        <v>0</v>
      </c>
      <c r="L462" s="421">
        <f>SUM(J462:K462)</f>
        <v>114107</v>
      </c>
      <c r="M462" s="421">
        <v>473589</v>
      </c>
      <c r="N462" s="421"/>
      <c r="O462" s="421">
        <f>SUM(L462:N462)</f>
        <v>587696</v>
      </c>
    </row>
    <row r="463" spans="1:16" s="828" customFormat="1" x14ac:dyDescent="0.25">
      <c r="A463" s="422"/>
      <c r="B463" s="421" t="s">
        <v>487</v>
      </c>
      <c r="C463" s="421">
        <v>83427</v>
      </c>
      <c r="D463" s="421"/>
      <c r="E463" s="421">
        <v>200</v>
      </c>
      <c r="F463" s="421">
        <v>2268</v>
      </c>
      <c r="G463" s="421"/>
      <c r="H463" s="421"/>
      <c r="I463" s="421"/>
      <c r="J463" s="421">
        <f>SUM(C463+E463+F463+H463)</f>
        <v>85895</v>
      </c>
      <c r="K463" s="421">
        <f>SUM(D463+G463+I463)</f>
        <v>0</v>
      </c>
      <c r="L463" s="421">
        <f>SUM(J463:K463)</f>
        <v>85895</v>
      </c>
      <c r="M463" s="421">
        <v>913176</v>
      </c>
      <c r="N463" s="421"/>
      <c r="O463" s="421">
        <f>SUM(L463:N463)</f>
        <v>999071</v>
      </c>
    </row>
    <row r="464" spans="1:16" s="828" customFormat="1" x14ac:dyDescent="0.25">
      <c r="A464" s="422"/>
      <c r="B464" s="421" t="s">
        <v>139</v>
      </c>
      <c r="C464" s="608"/>
      <c r="D464" s="608"/>
      <c r="E464" s="608"/>
      <c r="F464" s="608"/>
      <c r="G464" s="608"/>
      <c r="H464" s="608"/>
      <c r="I464" s="608"/>
      <c r="J464" s="608"/>
      <c r="K464" s="608"/>
      <c r="L464" s="608"/>
      <c r="M464" s="608"/>
      <c r="N464" s="608"/>
      <c r="O464" s="608"/>
    </row>
    <row r="465" spans="1:16" s="828" customFormat="1" x14ac:dyDescent="0.25">
      <c r="A465" s="422"/>
      <c r="B465" s="608" t="s">
        <v>1034</v>
      </c>
      <c r="C465" s="608"/>
      <c r="D465" s="608"/>
      <c r="E465" s="608"/>
      <c r="F465" s="608"/>
      <c r="G465" s="608"/>
      <c r="H465" s="608"/>
      <c r="I465" s="608"/>
      <c r="J465" s="608">
        <f t="shared" ref="J465:J469" si="230">SUM(C465+E465+F465+H465)</f>
        <v>0</v>
      </c>
      <c r="K465" s="608">
        <f t="shared" ref="K465:K469" si="231">SUM(D465+G465+I465)</f>
        <v>0</v>
      </c>
      <c r="L465" s="608">
        <f t="shared" ref="L465:L469" si="232">SUM(J465:K465)</f>
        <v>0</v>
      </c>
      <c r="M465" s="608">
        <v>196</v>
      </c>
      <c r="N465" s="608"/>
      <c r="O465" s="608">
        <f t="shared" ref="O465:O469" si="233">SUM(L465:N465)</f>
        <v>196</v>
      </c>
    </row>
    <row r="466" spans="1:16" s="828" customFormat="1" ht="31.5" x14ac:dyDescent="0.25">
      <c r="A466" s="422"/>
      <c r="B466" s="608" t="s">
        <v>767</v>
      </c>
      <c r="C466" s="608"/>
      <c r="D466" s="608"/>
      <c r="E466" s="608"/>
      <c r="F466" s="608">
        <f>101+6+2468</f>
        <v>2575</v>
      </c>
      <c r="G466" s="608"/>
      <c r="H466" s="608"/>
      <c r="I466" s="608"/>
      <c r="J466" s="608">
        <f t="shared" si="230"/>
        <v>2575</v>
      </c>
      <c r="K466" s="608">
        <f t="shared" si="231"/>
        <v>0</v>
      </c>
      <c r="L466" s="608">
        <f t="shared" si="232"/>
        <v>2575</v>
      </c>
      <c r="M466" s="608">
        <v>-2575</v>
      </c>
      <c r="N466" s="608"/>
      <c r="O466" s="608">
        <f t="shared" si="233"/>
        <v>0</v>
      </c>
    </row>
    <row r="467" spans="1:16" s="828" customFormat="1" ht="31.5" x14ac:dyDescent="0.25">
      <c r="A467" s="422"/>
      <c r="B467" s="608" t="s">
        <v>766</v>
      </c>
      <c r="C467" s="608"/>
      <c r="D467" s="608"/>
      <c r="E467" s="608"/>
      <c r="F467" s="608">
        <f>269+6</f>
        <v>275</v>
      </c>
      <c r="G467" s="608"/>
      <c r="H467" s="608"/>
      <c r="I467" s="608"/>
      <c r="J467" s="608">
        <f t="shared" si="230"/>
        <v>275</v>
      </c>
      <c r="K467" s="608">
        <f t="shared" si="231"/>
        <v>0</v>
      </c>
      <c r="L467" s="608">
        <f t="shared" si="232"/>
        <v>275</v>
      </c>
      <c r="M467" s="608"/>
      <c r="N467" s="608"/>
      <c r="O467" s="608">
        <f t="shared" si="233"/>
        <v>275</v>
      </c>
    </row>
    <row r="468" spans="1:16" s="828" customFormat="1" x14ac:dyDescent="0.25">
      <c r="A468" s="422"/>
      <c r="B468" s="421" t="s">
        <v>140</v>
      </c>
      <c r="C468" s="608"/>
      <c r="D468" s="608"/>
      <c r="E468" s="608"/>
      <c r="F468" s="608"/>
      <c r="G468" s="608"/>
      <c r="H468" s="608"/>
      <c r="I468" s="608"/>
      <c r="J468" s="608"/>
      <c r="K468" s="608"/>
      <c r="L468" s="608"/>
      <c r="M468" s="608"/>
      <c r="N468" s="608"/>
      <c r="O468" s="608"/>
    </row>
    <row r="469" spans="1:16" s="828" customFormat="1" ht="31.5" x14ac:dyDescent="0.25">
      <c r="A469" s="422"/>
      <c r="B469" s="608" t="s">
        <v>767</v>
      </c>
      <c r="C469" s="608">
        <v>76572</v>
      </c>
      <c r="D469" s="608"/>
      <c r="E469" s="608"/>
      <c r="F469" s="608">
        <f>-245+1+460</f>
        <v>216</v>
      </c>
      <c r="G469" s="608"/>
      <c r="H469" s="608"/>
      <c r="I469" s="608"/>
      <c r="J469" s="608">
        <f t="shared" si="230"/>
        <v>76788</v>
      </c>
      <c r="K469" s="608">
        <f t="shared" si="231"/>
        <v>0</v>
      </c>
      <c r="L469" s="608">
        <f t="shared" si="232"/>
        <v>76788</v>
      </c>
      <c r="M469" s="608">
        <v>-76788</v>
      </c>
      <c r="N469" s="608"/>
      <c r="O469" s="608">
        <f t="shared" si="233"/>
        <v>0</v>
      </c>
    </row>
    <row r="470" spans="1:16" s="828" customFormat="1" x14ac:dyDescent="0.25">
      <c r="A470" s="422"/>
      <c r="B470" s="435" t="s">
        <v>367</v>
      </c>
      <c r="C470" s="609"/>
      <c r="D470" s="609"/>
      <c r="E470" s="609"/>
      <c r="F470" s="609"/>
      <c r="G470" s="609"/>
      <c r="H470" s="609"/>
      <c r="I470" s="609"/>
      <c r="J470" s="609"/>
      <c r="K470" s="609"/>
      <c r="L470" s="609"/>
      <c r="M470" s="609"/>
      <c r="N470" s="609"/>
      <c r="O470" s="609"/>
    </row>
    <row r="471" spans="1:16" s="828" customFormat="1" ht="32.25" thickBot="1" x14ac:dyDescent="0.3">
      <c r="A471" s="967"/>
      <c r="B471" s="968" t="s">
        <v>767</v>
      </c>
      <c r="C471" s="968"/>
      <c r="D471" s="968"/>
      <c r="E471" s="968">
        <v>1450</v>
      </c>
      <c r="F471" s="968"/>
      <c r="G471" s="968"/>
      <c r="H471" s="968"/>
      <c r="I471" s="968"/>
      <c r="J471" s="968">
        <f t="shared" ref="J471" si="234">SUM(C471+E471+F471+H471)</f>
        <v>1450</v>
      </c>
      <c r="K471" s="968">
        <f t="shared" ref="K471" si="235">SUM(D471+G471+I471)</f>
        <v>0</v>
      </c>
      <c r="L471" s="968">
        <f t="shared" ref="L471" si="236">SUM(J471:K471)</f>
        <v>1450</v>
      </c>
      <c r="M471" s="968">
        <v>-1450</v>
      </c>
      <c r="N471" s="968"/>
      <c r="O471" s="968">
        <f t="shared" ref="O471" si="237">SUM(L471:N471)</f>
        <v>0</v>
      </c>
    </row>
    <row r="472" spans="1:16" ht="17.25" thickTop="1" thickBot="1" x14ac:dyDescent="0.3">
      <c r="A472" s="407"/>
      <c r="B472" s="406" t="s">
        <v>416</v>
      </c>
      <c r="C472" s="406">
        <f>+C460+C465+C471+C466+C467+C469</f>
        <v>308184</v>
      </c>
      <c r="D472" s="406">
        <f t="shared" ref="D472:O472" si="238">+D460+D465+D471+D466+D467+D469</f>
        <v>0</v>
      </c>
      <c r="E472" s="406">
        <f t="shared" si="238"/>
        <v>1650</v>
      </c>
      <c r="F472" s="406">
        <f t="shared" si="238"/>
        <v>19649</v>
      </c>
      <c r="G472" s="406">
        <f t="shared" si="238"/>
        <v>0</v>
      </c>
      <c r="H472" s="406">
        <f t="shared" si="238"/>
        <v>0</v>
      </c>
      <c r="I472" s="406">
        <f t="shared" si="238"/>
        <v>0</v>
      </c>
      <c r="J472" s="406">
        <f t="shared" si="238"/>
        <v>329483</v>
      </c>
      <c r="K472" s="406">
        <f t="shared" si="238"/>
        <v>0</v>
      </c>
      <c r="L472" s="406">
        <f t="shared" si="238"/>
        <v>329483</v>
      </c>
      <c r="M472" s="406">
        <f t="shared" si="238"/>
        <v>2624427</v>
      </c>
      <c r="N472" s="406">
        <f t="shared" si="238"/>
        <v>99604</v>
      </c>
      <c r="O472" s="406">
        <f t="shared" si="238"/>
        <v>3053514</v>
      </c>
      <c r="P472" s="827">
        <f>O473+O474+O475</f>
        <v>3053514</v>
      </c>
    </row>
    <row r="473" spans="1:16" ht="17.25" thickTop="1" thickBot="1" x14ac:dyDescent="0.3">
      <c r="A473" s="407"/>
      <c r="B473" s="406" t="s">
        <v>415</v>
      </c>
      <c r="C473" s="406">
        <f>+C461+C465+C466+C467</f>
        <v>45141</v>
      </c>
      <c r="D473" s="406">
        <f t="shared" ref="D473:O473" si="239">+D461+D465+D466+D467</f>
        <v>0</v>
      </c>
      <c r="E473" s="406">
        <f t="shared" si="239"/>
        <v>0</v>
      </c>
      <c r="F473" s="406">
        <f t="shared" si="239"/>
        <v>6102</v>
      </c>
      <c r="G473" s="406">
        <f t="shared" si="239"/>
        <v>0</v>
      </c>
      <c r="H473" s="406">
        <f t="shared" si="239"/>
        <v>0</v>
      </c>
      <c r="I473" s="406">
        <f t="shared" si="239"/>
        <v>0</v>
      </c>
      <c r="J473" s="406">
        <f t="shared" si="239"/>
        <v>51243</v>
      </c>
      <c r="K473" s="406">
        <f t="shared" si="239"/>
        <v>0</v>
      </c>
      <c r="L473" s="406">
        <f t="shared" si="239"/>
        <v>51243</v>
      </c>
      <c r="M473" s="406">
        <f t="shared" si="239"/>
        <v>1315900</v>
      </c>
      <c r="N473" s="406">
        <f t="shared" si="239"/>
        <v>99604</v>
      </c>
      <c r="O473" s="406">
        <f t="shared" si="239"/>
        <v>1466747</v>
      </c>
    </row>
    <row r="474" spans="1:16" ht="17.25" thickTop="1" thickBot="1" x14ac:dyDescent="0.3">
      <c r="A474" s="407"/>
      <c r="B474" s="406" t="s">
        <v>414</v>
      </c>
      <c r="C474" s="406">
        <f>+C462+C469</f>
        <v>179616</v>
      </c>
      <c r="D474" s="406">
        <f t="shared" ref="D474:O474" si="240">+D462+D469</f>
        <v>0</v>
      </c>
      <c r="E474" s="406">
        <f t="shared" si="240"/>
        <v>0</v>
      </c>
      <c r="F474" s="406">
        <f t="shared" si="240"/>
        <v>11279</v>
      </c>
      <c r="G474" s="406">
        <f t="shared" si="240"/>
        <v>0</v>
      </c>
      <c r="H474" s="406">
        <f t="shared" si="240"/>
        <v>0</v>
      </c>
      <c r="I474" s="406">
        <f t="shared" si="240"/>
        <v>0</v>
      </c>
      <c r="J474" s="406">
        <f t="shared" si="240"/>
        <v>190895</v>
      </c>
      <c r="K474" s="406">
        <f t="shared" si="240"/>
        <v>0</v>
      </c>
      <c r="L474" s="406">
        <f t="shared" si="240"/>
        <v>190895</v>
      </c>
      <c r="M474" s="406">
        <f t="shared" si="240"/>
        <v>396801</v>
      </c>
      <c r="N474" s="406">
        <f t="shared" si="240"/>
        <v>0</v>
      </c>
      <c r="O474" s="406">
        <f t="shared" si="240"/>
        <v>587696</v>
      </c>
    </row>
    <row r="475" spans="1:16" ht="33" thickTop="1" thickBot="1" x14ac:dyDescent="0.3">
      <c r="A475" s="407"/>
      <c r="B475" s="406" t="s">
        <v>486</v>
      </c>
      <c r="C475" s="406">
        <f>SUM(C463+C471)</f>
        <v>83427</v>
      </c>
      <c r="D475" s="406">
        <f t="shared" ref="D475:O475" si="241">SUM(D463+D471)</f>
        <v>0</v>
      </c>
      <c r="E475" s="406">
        <f t="shared" si="241"/>
        <v>1650</v>
      </c>
      <c r="F475" s="406">
        <f t="shared" si="241"/>
        <v>2268</v>
      </c>
      <c r="G475" s="406">
        <f t="shared" si="241"/>
        <v>0</v>
      </c>
      <c r="H475" s="406">
        <f t="shared" si="241"/>
        <v>0</v>
      </c>
      <c r="I475" s="406">
        <f t="shared" si="241"/>
        <v>0</v>
      </c>
      <c r="J475" s="406">
        <f t="shared" si="241"/>
        <v>87345</v>
      </c>
      <c r="K475" s="406">
        <f t="shared" si="241"/>
        <v>0</v>
      </c>
      <c r="L475" s="406">
        <f t="shared" si="241"/>
        <v>87345</v>
      </c>
      <c r="M475" s="406">
        <f t="shared" si="241"/>
        <v>911726</v>
      </c>
      <c r="N475" s="406">
        <f t="shared" si="241"/>
        <v>0</v>
      </c>
      <c r="O475" s="406">
        <f t="shared" si="241"/>
        <v>999071</v>
      </c>
    </row>
    <row r="476" spans="1:16" ht="17.25" thickTop="1" thickBot="1" x14ac:dyDescent="0.3">
      <c r="A476" s="407"/>
      <c r="B476" s="406" t="s">
        <v>411</v>
      </c>
      <c r="C476" s="406">
        <f t="shared" ref="C476:O476" si="242">SUM(C458+C472)</f>
        <v>1721749</v>
      </c>
      <c r="D476" s="406">
        <f t="shared" si="242"/>
        <v>9123</v>
      </c>
      <c r="E476" s="406">
        <f t="shared" si="242"/>
        <v>1650</v>
      </c>
      <c r="F476" s="406">
        <f t="shared" si="242"/>
        <v>1673665</v>
      </c>
      <c r="G476" s="406">
        <f t="shared" si="242"/>
        <v>786</v>
      </c>
      <c r="H476" s="406">
        <f t="shared" si="242"/>
        <v>143649</v>
      </c>
      <c r="I476" s="406">
        <f t="shared" si="242"/>
        <v>630</v>
      </c>
      <c r="J476" s="406">
        <f t="shared" si="242"/>
        <v>3540713</v>
      </c>
      <c r="K476" s="406">
        <f t="shared" si="242"/>
        <v>10539</v>
      </c>
      <c r="L476" s="406">
        <f t="shared" si="242"/>
        <v>3551252</v>
      </c>
      <c r="M476" s="406">
        <f t="shared" si="242"/>
        <v>11345977</v>
      </c>
      <c r="N476" s="406">
        <f t="shared" si="242"/>
        <v>580047</v>
      </c>
      <c r="O476" s="406">
        <f t="shared" si="242"/>
        <v>15477276</v>
      </c>
    </row>
    <row r="477" spans="1:16" ht="17.25" thickTop="1" thickBot="1" x14ac:dyDescent="0.3">
      <c r="A477" s="413"/>
      <c r="B477" s="406" t="s">
        <v>387</v>
      </c>
      <c r="C477" s="406">
        <f t="shared" ref="C477:O477" si="243">SUM(C8+C22+C40+C54+C69+C83+C97+C110+C125+C141+C155+C170+C184+C199+C214+C229+C243+C256+C269+C282+C299+C316+C330+C347+C359+C369+C384+C406+C416+C427+C435+C460+C399)</f>
        <v>1525763</v>
      </c>
      <c r="D477" s="406">
        <f t="shared" si="243"/>
        <v>9123</v>
      </c>
      <c r="E477" s="406">
        <f t="shared" si="243"/>
        <v>200</v>
      </c>
      <c r="F477" s="406">
        <f t="shared" si="243"/>
        <v>1409842</v>
      </c>
      <c r="G477" s="406">
        <f t="shared" si="243"/>
        <v>0</v>
      </c>
      <c r="H477" s="406">
        <f t="shared" si="243"/>
        <v>143763</v>
      </c>
      <c r="I477" s="406">
        <f t="shared" si="243"/>
        <v>486</v>
      </c>
      <c r="J477" s="406">
        <f t="shared" si="243"/>
        <v>3079568</v>
      </c>
      <c r="K477" s="406">
        <f t="shared" si="243"/>
        <v>9609</v>
      </c>
      <c r="L477" s="406">
        <f t="shared" si="243"/>
        <v>3089177</v>
      </c>
      <c r="M477" s="406">
        <f t="shared" si="243"/>
        <v>11307037</v>
      </c>
      <c r="N477" s="406">
        <f t="shared" si="243"/>
        <v>580031</v>
      </c>
      <c r="O477" s="406">
        <f t="shared" si="243"/>
        <v>14976245</v>
      </c>
    </row>
    <row r="478" spans="1:16" ht="16.5" thickTop="1" x14ac:dyDescent="0.25">
      <c r="A478" s="410"/>
      <c r="B478" s="412" t="s">
        <v>139</v>
      </c>
      <c r="C478" s="412"/>
      <c r="D478" s="412"/>
      <c r="E478" s="412"/>
      <c r="F478" s="412"/>
      <c r="G478" s="412"/>
      <c r="H478" s="412"/>
      <c r="I478" s="412"/>
      <c r="J478" s="412"/>
      <c r="K478" s="412"/>
      <c r="L478" s="412"/>
      <c r="M478" s="412"/>
      <c r="N478" s="412"/>
      <c r="O478" s="412"/>
    </row>
    <row r="479" spans="1:16" s="830" customFormat="1" x14ac:dyDescent="0.25">
      <c r="A479" s="410"/>
      <c r="B479" s="945" t="s">
        <v>1034</v>
      </c>
      <c r="C479" s="946">
        <f t="shared" ref="C479:O479" si="244">C12+C26+C44+C58+C73+C87+C101+C114+C129+C145+C159+C174+C188+C203+C218+C233+C273+C286+C303+C320+C334+C351+C373+C388+C465</f>
        <v>0</v>
      </c>
      <c r="D479" s="946">
        <f t="shared" si="244"/>
        <v>0</v>
      </c>
      <c r="E479" s="946">
        <f t="shared" si="244"/>
        <v>0</v>
      </c>
      <c r="F479" s="946">
        <f t="shared" si="244"/>
        <v>0</v>
      </c>
      <c r="G479" s="946">
        <f t="shared" si="244"/>
        <v>0</v>
      </c>
      <c r="H479" s="946">
        <f t="shared" si="244"/>
        <v>0</v>
      </c>
      <c r="I479" s="946">
        <f t="shared" si="244"/>
        <v>0</v>
      </c>
      <c r="J479" s="946">
        <f t="shared" si="244"/>
        <v>0</v>
      </c>
      <c r="K479" s="946">
        <f t="shared" si="244"/>
        <v>0</v>
      </c>
      <c r="L479" s="946">
        <f t="shared" si="244"/>
        <v>0</v>
      </c>
      <c r="M479" s="946">
        <f t="shared" si="244"/>
        <v>2201</v>
      </c>
      <c r="N479" s="946">
        <f t="shared" si="244"/>
        <v>0</v>
      </c>
      <c r="O479" s="946">
        <f t="shared" si="244"/>
        <v>2201</v>
      </c>
    </row>
    <row r="480" spans="1:16" s="830" customFormat="1" ht="31.5" x14ac:dyDescent="0.25">
      <c r="A480" s="410"/>
      <c r="B480" s="945" t="s">
        <v>1038</v>
      </c>
      <c r="C480" s="946">
        <f t="shared" ref="C480:O480" si="245">C27+C45+C59+C74+C88+C102+C115+C304+C321+C335</f>
        <v>0</v>
      </c>
      <c r="D480" s="946">
        <f t="shared" si="245"/>
        <v>0</v>
      </c>
      <c r="E480" s="946">
        <f t="shared" si="245"/>
        <v>0</v>
      </c>
      <c r="F480" s="946">
        <f t="shared" si="245"/>
        <v>0</v>
      </c>
      <c r="G480" s="946">
        <f t="shared" si="245"/>
        <v>0</v>
      </c>
      <c r="H480" s="946">
        <f t="shared" si="245"/>
        <v>0</v>
      </c>
      <c r="I480" s="946">
        <f t="shared" si="245"/>
        <v>0</v>
      </c>
      <c r="J480" s="946">
        <f t="shared" si="245"/>
        <v>0</v>
      </c>
      <c r="K480" s="946">
        <f t="shared" si="245"/>
        <v>0</v>
      </c>
      <c r="L480" s="946">
        <f t="shared" si="245"/>
        <v>0</v>
      </c>
      <c r="M480" s="946">
        <f t="shared" si="245"/>
        <v>15164</v>
      </c>
      <c r="N480" s="946">
        <f t="shared" si="245"/>
        <v>0</v>
      </c>
      <c r="O480" s="946">
        <f t="shared" si="245"/>
        <v>15164</v>
      </c>
    </row>
    <row r="481" spans="1:15" s="830" customFormat="1" ht="47.25" x14ac:dyDescent="0.25">
      <c r="A481" s="409"/>
      <c r="B481" s="408" t="s">
        <v>1043</v>
      </c>
      <c r="C481" s="612">
        <f t="shared" ref="C481:O481" si="246">C305</f>
        <v>0</v>
      </c>
      <c r="D481" s="612">
        <f t="shared" si="246"/>
        <v>0</v>
      </c>
      <c r="E481" s="612">
        <f t="shared" si="246"/>
        <v>0</v>
      </c>
      <c r="F481" s="612">
        <f t="shared" si="246"/>
        <v>0</v>
      </c>
      <c r="G481" s="612">
        <f t="shared" si="246"/>
        <v>0</v>
      </c>
      <c r="H481" s="612">
        <f t="shared" si="246"/>
        <v>0</v>
      </c>
      <c r="I481" s="612">
        <f t="shared" si="246"/>
        <v>0</v>
      </c>
      <c r="J481" s="612">
        <f t="shared" si="246"/>
        <v>0</v>
      </c>
      <c r="K481" s="612">
        <f t="shared" si="246"/>
        <v>0</v>
      </c>
      <c r="L481" s="612">
        <f t="shared" si="246"/>
        <v>0</v>
      </c>
      <c r="M481" s="612">
        <f t="shared" si="246"/>
        <v>623</v>
      </c>
      <c r="N481" s="612">
        <f t="shared" si="246"/>
        <v>0</v>
      </c>
      <c r="O481" s="612">
        <f t="shared" si="246"/>
        <v>623</v>
      </c>
    </row>
    <row r="482" spans="1:15" s="830" customFormat="1" x14ac:dyDescent="0.25">
      <c r="A482" s="409"/>
      <c r="B482" s="408" t="s">
        <v>1046</v>
      </c>
      <c r="C482" s="612">
        <f t="shared" ref="C482:O482" si="247">C374+C389+C439</f>
        <v>0</v>
      </c>
      <c r="D482" s="612">
        <f t="shared" si="247"/>
        <v>0</v>
      </c>
      <c r="E482" s="612">
        <f t="shared" si="247"/>
        <v>0</v>
      </c>
      <c r="F482" s="612">
        <f t="shared" si="247"/>
        <v>0</v>
      </c>
      <c r="G482" s="612">
        <f t="shared" si="247"/>
        <v>0</v>
      </c>
      <c r="H482" s="612">
        <f t="shared" si="247"/>
        <v>0</v>
      </c>
      <c r="I482" s="612">
        <f t="shared" si="247"/>
        <v>0</v>
      </c>
      <c r="J482" s="612">
        <f t="shared" si="247"/>
        <v>0</v>
      </c>
      <c r="K482" s="612">
        <f t="shared" si="247"/>
        <v>0</v>
      </c>
      <c r="L482" s="612">
        <f t="shared" si="247"/>
        <v>0</v>
      </c>
      <c r="M482" s="612">
        <f t="shared" si="247"/>
        <v>4533</v>
      </c>
      <c r="N482" s="612">
        <f t="shared" si="247"/>
        <v>0</v>
      </c>
      <c r="O482" s="612">
        <f t="shared" si="247"/>
        <v>4533</v>
      </c>
    </row>
    <row r="483" spans="1:15" s="830" customFormat="1" x14ac:dyDescent="0.25">
      <c r="A483" s="409"/>
      <c r="B483" s="408" t="s">
        <v>1035</v>
      </c>
      <c r="C483" s="612">
        <f t="shared" ref="C483:O483" si="248">C13</f>
        <v>0</v>
      </c>
      <c r="D483" s="612">
        <f t="shared" si="248"/>
        <v>0</v>
      </c>
      <c r="E483" s="612">
        <f t="shared" si="248"/>
        <v>0</v>
      </c>
      <c r="F483" s="612">
        <f t="shared" si="248"/>
        <v>0</v>
      </c>
      <c r="G483" s="612">
        <f t="shared" si="248"/>
        <v>0</v>
      </c>
      <c r="H483" s="612">
        <f t="shared" si="248"/>
        <v>0</v>
      </c>
      <c r="I483" s="612">
        <f t="shared" si="248"/>
        <v>0</v>
      </c>
      <c r="J483" s="612">
        <f t="shared" si="248"/>
        <v>0</v>
      </c>
      <c r="K483" s="612">
        <f t="shared" si="248"/>
        <v>0</v>
      </c>
      <c r="L483" s="612">
        <f t="shared" si="248"/>
        <v>0</v>
      </c>
      <c r="M483" s="612">
        <f t="shared" si="248"/>
        <v>330</v>
      </c>
      <c r="N483" s="612">
        <f t="shared" si="248"/>
        <v>0</v>
      </c>
      <c r="O483" s="612">
        <f t="shared" si="248"/>
        <v>330</v>
      </c>
    </row>
    <row r="484" spans="1:15" s="830" customFormat="1" ht="47.25" x14ac:dyDescent="0.25">
      <c r="A484" s="409"/>
      <c r="B484" s="408" t="s">
        <v>1036</v>
      </c>
      <c r="C484" s="612">
        <f t="shared" ref="C484:O484" si="249">C14+C28+C60+C116+C130+C160+C175+C189+C204+C219+C234+C260+C287+C306</f>
        <v>0</v>
      </c>
      <c r="D484" s="612">
        <f t="shared" si="249"/>
        <v>0</v>
      </c>
      <c r="E484" s="612">
        <f t="shared" si="249"/>
        <v>0</v>
      </c>
      <c r="F484" s="612">
        <f t="shared" si="249"/>
        <v>0</v>
      </c>
      <c r="G484" s="612">
        <f t="shared" si="249"/>
        <v>0</v>
      </c>
      <c r="H484" s="612">
        <f t="shared" si="249"/>
        <v>0</v>
      </c>
      <c r="I484" s="612">
        <f t="shared" si="249"/>
        <v>0</v>
      </c>
      <c r="J484" s="612">
        <f t="shared" si="249"/>
        <v>0</v>
      </c>
      <c r="K484" s="612">
        <f t="shared" si="249"/>
        <v>0</v>
      </c>
      <c r="L484" s="612">
        <f t="shared" si="249"/>
        <v>0</v>
      </c>
      <c r="M484" s="612">
        <f t="shared" si="249"/>
        <v>12010</v>
      </c>
      <c r="N484" s="612">
        <f t="shared" si="249"/>
        <v>0</v>
      </c>
      <c r="O484" s="612">
        <f t="shared" si="249"/>
        <v>12010</v>
      </c>
    </row>
    <row r="485" spans="1:15" s="830" customFormat="1" ht="47.25" x14ac:dyDescent="0.25">
      <c r="A485" s="409"/>
      <c r="B485" s="408" t="s">
        <v>1039</v>
      </c>
      <c r="C485" s="612">
        <f t="shared" ref="C485:O485" si="250">C29+C131+C146+C161+C176+C190+C205+C220+C235+C247+C261+C274+C288+C322</f>
        <v>0</v>
      </c>
      <c r="D485" s="612">
        <f t="shared" si="250"/>
        <v>0</v>
      </c>
      <c r="E485" s="612">
        <f t="shared" si="250"/>
        <v>0</v>
      </c>
      <c r="F485" s="612">
        <f t="shared" si="250"/>
        <v>0</v>
      </c>
      <c r="G485" s="612">
        <f t="shared" si="250"/>
        <v>0</v>
      </c>
      <c r="H485" s="612">
        <f t="shared" si="250"/>
        <v>0</v>
      </c>
      <c r="I485" s="612">
        <f t="shared" si="250"/>
        <v>0</v>
      </c>
      <c r="J485" s="612">
        <f t="shared" si="250"/>
        <v>0</v>
      </c>
      <c r="K485" s="612">
        <f t="shared" si="250"/>
        <v>0</v>
      </c>
      <c r="L485" s="612">
        <f t="shared" si="250"/>
        <v>0</v>
      </c>
      <c r="M485" s="612">
        <f t="shared" si="250"/>
        <v>2198</v>
      </c>
      <c r="N485" s="612">
        <f t="shared" si="250"/>
        <v>0</v>
      </c>
      <c r="O485" s="612">
        <f t="shared" si="250"/>
        <v>2198</v>
      </c>
    </row>
    <row r="486" spans="1:15" s="830" customFormat="1" ht="31.5" x14ac:dyDescent="0.25">
      <c r="A486" s="409"/>
      <c r="B486" s="408" t="s">
        <v>767</v>
      </c>
      <c r="C486" s="612">
        <f t="shared" ref="C486:O486" si="251">C336+C31+C47+C62+C76+C90+C133+C148+C163+C192+C222+C290+C308+C375+C440+C207+C466</f>
        <v>-1</v>
      </c>
      <c r="D486" s="612">
        <f t="shared" si="251"/>
        <v>0</v>
      </c>
      <c r="E486" s="612">
        <f t="shared" si="251"/>
        <v>0</v>
      </c>
      <c r="F486" s="612">
        <f t="shared" si="251"/>
        <v>2561</v>
      </c>
      <c r="G486" s="612">
        <f t="shared" si="251"/>
        <v>0</v>
      </c>
      <c r="H486" s="612">
        <f t="shared" si="251"/>
        <v>-630</v>
      </c>
      <c r="I486" s="612">
        <f t="shared" si="251"/>
        <v>630</v>
      </c>
      <c r="J486" s="612">
        <f t="shared" si="251"/>
        <v>1930</v>
      </c>
      <c r="K486" s="612">
        <f t="shared" si="251"/>
        <v>630</v>
      </c>
      <c r="L486" s="612">
        <f t="shared" si="251"/>
        <v>2560</v>
      </c>
      <c r="M486" s="612">
        <f t="shared" si="251"/>
        <v>-2575</v>
      </c>
      <c r="N486" s="612">
        <f t="shared" si="251"/>
        <v>15</v>
      </c>
      <c r="O486" s="612">
        <f t="shared" si="251"/>
        <v>0</v>
      </c>
    </row>
    <row r="487" spans="1:15" s="830" customFormat="1" ht="31.5" x14ac:dyDescent="0.25">
      <c r="A487" s="409"/>
      <c r="B487" s="408" t="s">
        <v>766</v>
      </c>
      <c r="C487" s="612">
        <f t="shared" ref="C487:O487" si="252">C15+C30+C46+C61+C75+C89+C103+C117+C132+C147+C162+C177+C191+C206+C221+C236+C248+C262+C275+C289+C307+C337+C323+C352+C376+C390+C441+C467</f>
        <v>81339</v>
      </c>
      <c r="D487" s="612">
        <f t="shared" si="252"/>
        <v>0</v>
      </c>
      <c r="E487" s="612">
        <f t="shared" si="252"/>
        <v>0</v>
      </c>
      <c r="F487" s="612">
        <f t="shared" si="252"/>
        <v>223301</v>
      </c>
      <c r="G487" s="612">
        <f t="shared" si="252"/>
        <v>300</v>
      </c>
      <c r="H487" s="612">
        <f t="shared" si="252"/>
        <v>265</v>
      </c>
      <c r="I487" s="612">
        <f t="shared" si="252"/>
        <v>0</v>
      </c>
      <c r="J487" s="612">
        <f t="shared" si="252"/>
        <v>304905</v>
      </c>
      <c r="K487" s="612">
        <f t="shared" si="252"/>
        <v>300</v>
      </c>
      <c r="L487" s="612">
        <f t="shared" si="252"/>
        <v>305205</v>
      </c>
      <c r="M487" s="612">
        <f t="shared" si="252"/>
        <v>6465</v>
      </c>
      <c r="N487" s="612">
        <f t="shared" si="252"/>
        <v>0</v>
      </c>
      <c r="O487" s="612">
        <f t="shared" si="252"/>
        <v>311670</v>
      </c>
    </row>
    <row r="488" spans="1:15" s="830" customFormat="1" x14ac:dyDescent="0.25">
      <c r="A488" s="409"/>
      <c r="B488" s="411" t="s">
        <v>140</v>
      </c>
      <c r="C488" s="411"/>
      <c r="D488" s="411"/>
      <c r="E488" s="411"/>
      <c r="F488" s="411"/>
      <c r="G488" s="411"/>
      <c r="H488" s="411"/>
      <c r="I488" s="411"/>
      <c r="J488" s="411"/>
      <c r="K488" s="411"/>
      <c r="L488" s="411"/>
      <c r="M488" s="411"/>
      <c r="N488" s="411"/>
      <c r="O488" s="411"/>
    </row>
    <row r="489" spans="1:15" s="830" customFormat="1" x14ac:dyDescent="0.25">
      <c r="A489" s="409"/>
      <c r="B489" s="408" t="s">
        <v>1034</v>
      </c>
      <c r="C489" s="612">
        <f t="shared" ref="C489:O489" si="253">C362+C419</f>
        <v>0</v>
      </c>
      <c r="D489" s="612">
        <f t="shared" si="253"/>
        <v>0</v>
      </c>
      <c r="E489" s="612">
        <f t="shared" si="253"/>
        <v>0</v>
      </c>
      <c r="F489" s="612">
        <f t="shared" si="253"/>
        <v>0</v>
      </c>
      <c r="G489" s="612">
        <f t="shared" si="253"/>
        <v>0</v>
      </c>
      <c r="H489" s="612">
        <f t="shared" si="253"/>
        <v>0</v>
      </c>
      <c r="I489" s="612">
        <f t="shared" si="253"/>
        <v>0</v>
      </c>
      <c r="J489" s="612">
        <f t="shared" si="253"/>
        <v>0</v>
      </c>
      <c r="K489" s="612">
        <f t="shared" si="253"/>
        <v>0</v>
      </c>
      <c r="L489" s="612">
        <f t="shared" si="253"/>
        <v>0</v>
      </c>
      <c r="M489" s="612">
        <f t="shared" si="253"/>
        <v>209</v>
      </c>
      <c r="N489" s="612">
        <f t="shared" si="253"/>
        <v>0</v>
      </c>
      <c r="O489" s="612">
        <f t="shared" si="253"/>
        <v>209</v>
      </c>
    </row>
    <row r="490" spans="1:15" s="830" customFormat="1" x14ac:dyDescent="0.25">
      <c r="A490" s="409"/>
      <c r="B490" s="408" t="s">
        <v>1046</v>
      </c>
      <c r="C490" s="612">
        <f t="shared" ref="C490:O490" si="254">C363+C409+C420+C430</f>
        <v>0</v>
      </c>
      <c r="D490" s="612">
        <f t="shared" si="254"/>
        <v>0</v>
      </c>
      <c r="E490" s="612">
        <f t="shared" si="254"/>
        <v>0</v>
      </c>
      <c r="F490" s="612">
        <f t="shared" si="254"/>
        <v>0</v>
      </c>
      <c r="G490" s="612">
        <f t="shared" si="254"/>
        <v>0</v>
      </c>
      <c r="H490" s="612">
        <f t="shared" si="254"/>
        <v>0</v>
      </c>
      <c r="I490" s="612">
        <f t="shared" si="254"/>
        <v>0</v>
      </c>
      <c r="J490" s="612">
        <f t="shared" si="254"/>
        <v>0</v>
      </c>
      <c r="K490" s="612">
        <f t="shared" si="254"/>
        <v>0</v>
      </c>
      <c r="L490" s="612">
        <f t="shared" si="254"/>
        <v>0</v>
      </c>
      <c r="M490" s="612">
        <f t="shared" si="254"/>
        <v>3293</v>
      </c>
      <c r="N490" s="612">
        <f t="shared" si="254"/>
        <v>0</v>
      </c>
      <c r="O490" s="612">
        <f t="shared" si="254"/>
        <v>3293</v>
      </c>
    </row>
    <row r="491" spans="1:15" s="830" customFormat="1" x14ac:dyDescent="0.25">
      <c r="A491" s="409"/>
      <c r="B491" s="408" t="s">
        <v>1037</v>
      </c>
      <c r="C491" s="612">
        <f t="shared" ref="C491:O491" si="255">C17+C33+C49+C64+C78+C92+C105+C119+C135+C150+C165+C179+C194+C209+C224+C238+C250+C264+C277+C292+C310+C325+C339+C354+C364+C378+C392+C402+C410+C421+C431+C443</f>
        <v>0</v>
      </c>
      <c r="D491" s="612">
        <f t="shared" si="255"/>
        <v>0</v>
      </c>
      <c r="E491" s="612">
        <f t="shared" si="255"/>
        <v>0</v>
      </c>
      <c r="F491" s="612">
        <f t="shared" si="255"/>
        <v>0</v>
      </c>
      <c r="G491" s="612">
        <f t="shared" si="255"/>
        <v>0</v>
      </c>
      <c r="H491" s="612">
        <f t="shared" si="255"/>
        <v>0</v>
      </c>
      <c r="I491" s="612">
        <f t="shared" si="255"/>
        <v>0</v>
      </c>
      <c r="J491" s="612">
        <f t="shared" si="255"/>
        <v>0</v>
      </c>
      <c r="K491" s="612">
        <f t="shared" si="255"/>
        <v>0</v>
      </c>
      <c r="L491" s="612">
        <f t="shared" si="255"/>
        <v>0</v>
      </c>
      <c r="M491" s="612">
        <f t="shared" si="255"/>
        <v>37340</v>
      </c>
      <c r="N491" s="612">
        <f t="shared" si="255"/>
        <v>0</v>
      </c>
      <c r="O491" s="612">
        <f t="shared" si="255"/>
        <v>37340</v>
      </c>
    </row>
    <row r="492" spans="1:15" s="830" customFormat="1" x14ac:dyDescent="0.25">
      <c r="A492" s="409"/>
      <c r="B492" s="408" t="s">
        <v>842</v>
      </c>
      <c r="C492" s="612">
        <f t="shared" ref="C492:O492" si="256">C34+C251+C311+C340+C379+C444+C445+C446+C447+C448+C449+C450+C451</f>
        <v>0</v>
      </c>
      <c r="D492" s="612">
        <f t="shared" si="256"/>
        <v>0</v>
      </c>
      <c r="E492" s="612">
        <f t="shared" si="256"/>
        <v>0</v>
      </c>
      <c r="F492" s="612">
        <f t="shared" si="256"/>
        <v>0</v>
      </c>
      <c r="G492" s="612">
        <f t="shared" si="256"/>
        <v>0</v>
      </c>
      <c r="H492" s="612">
        <f t="shared" si="256"/>
        <v>0</v>
      </c>
      <c r="I492" s="612">
        <f t="shared" si="256"/>
        <v>0</v>
      </c>
      <c r="J492" s="612">
        <f t="shared" si="256"/>
        <v>0</v>
      </c>
      <c r="K492" s="612">
        <f t="shared" si="256"/>
        <v>0</v>
      </c>
      <c r="L492" s="612">
        <f t="shared" si="256"/>
        <v>0</v>
      </c>
      <c r="M492" s="612">
        <f t="shared" si="256"/>
        <v>2028</v>
      </c>
      <c r="N492" s="612">
        <f t="shared" si="256"/>
        <v>0</v>
      </c>
      <c r="O492" s="612">
        <f t="shared" si="256"/>
        <v>2028</v>
      </c>
    </row>
    <row r="493" spans="1:15" s="830" customFormat="1" x14ac:dyDescent="0.25">
      <c r="A493" s="409"/>
      <c r="B493" s="408" t="s">
        <v>1058</v>
      </c>
      <c r="C493" s="612">
        <f t="shared" ref="C493:O493" si="257">C136</f>
        <v>0</v>
      </c>
      <c r="D493" s="612">
        <f t="shared" si="257"/>
        <v>0</v>
      </c>
      <c r="E493" s="612">
        <f t="shared" si="257"/>
        <v>0</v>
      </c>
      <c r="F493" s="612">
        <f t="shared" si="257"/>
        <v>0</v>
      </c>
      <c r="G493" s="612">
        <f t="shared" si="257"/>
        <v>0</v>
      </c>
      <c r="H493" s="612">
        <f t="shared" si="257"/>
        <v>0</v>
      </c>
      <c r="I493" s="612">
        <f t="shared" si="257"/>
        <v>0</v>
      </c>
      <c r="J493" s="612">
        <f t="shared" si="257"/>
        <v>0</v>
      </c>
      <c r="K493" s="612">
        <f t="shared" si="257"/>
        <v>0</v>
      </c>
      <c r="L493" s="612">
        <f t="shared" si="257"/>
        <v>0</v>
      </c>
      <c r="M493" s="612">
        <f t="shared" si="257"/>
        <v>66</v>
      </c>
      <c r="N493" s="612">
        <f t="shared" si="257"/>
        <v>0</v>
      </c>
      <c r="O493" s="612">
        <f t="shared" si="257"/>
        <v>66</v>
      </c>
    </row>
    <row r="494" spans="1:15" s="830" customFormat="1" ht="47.25" x14ac:dyDescent="0.25">
      <c r="A494" s="409"/>
      <c r="B494" s="408" t="s">
        <v>1059</v>
      </c>
      <c r="C494" s="612">
        <f t="shared" ref="C494:O494" si="258">C422</f>
        <v>0</v>
      </c>
      <c r="D494" s="612">
        <f t="shared" si="258"/>
        <v>0</v>
      </c>
      <c r="E494" s="612">
        <f t="shared" si="258"/>
        <v>0</v>
      </c>
      <c r="F494" s="612">
        <f t="shared" si="258"/>
        <v>0</v>
      </c>
      <c r="G494" s="612">
        <f t="shared" si="258"/>
        <v>0</v>
      </c>
      <c r="H494" s="612">
        <f t="shared" si="258"/>
        <v>0</v>
      </c>
      <c r="I494" s="612">
        <f t="shared" si="258"/>
        <v>0</v>
      </c>
      <c r="J494" s="612">
        <f t="shared" si="258"/>
        <v>0</v>
      </c>
      <c r="K494" s="612">
        <f t="shared" si="258"/>
        <v>0</v>
      </c>
      <c r="L494" s="612">
        <f t="shared" si="258"/>
        <v>0</v>
      </c>
      <c r="M494" s="612">
        <f t="shared" si="258"/>
        <v>252</v>
      </c>
      <c r="N494" s="612">
        <f t="shared" si="258"/>
        <v>0</v>
      </c>
      <c r="O494" s="612">
        <f t="shared" si="258"/>
        <v>252</v>
      </c>
    </row>
    <row r="495" spans="1:15" s="830" customFormat="1" ht="47.25" x14ac:dyDescent="0.25">
      <c r="A495" s="409"/>
      <c r="B495" s="408" t="s">
        <v>1060</v>
      </c>
      <c r="C495" s="612">
        <f t="shared" ref="C495:O495" si="259">C452</f>
        <v>0</v>
      </c>
      <c r="D495" s="612">
        <f t="shared" si="259"/>
        <v>0</v>
      </c>
      <c r="E495" s="612">
        <f t="shared" si="259"/>
        <v>0</v>
      </c>
      <c r="F495" s="612">
        <f t="shared" si="259"/>
        <v>0</v>
      </c>
      <c r="G495" s="612">
        <f t="shared" si="259"/>
        <v>0</v>
      </c>
      <c r="H495" s="612">
        <f t="shared" si="259"/>
        <v>0</v>
      </c>
      <c r="I495" s="612">
        <f t="shared" si="259"/>
        <v>0</v>
      </c>
      <c r="J495" s="612">
        <f t="shared" si="259"/>
        <v>0</v>
      </c>
      <c r="K495" s="612">
        <f t="shared" si="259"/>
        <v>0</v>
      </c>
      <c r="L495" s="612">
        <f t="shared" si="259"/>
        <v>0</v>
      </c>
      <c r="M495" s="612">
        <f t="shared" si="259"/>
        <v>100</v>
      </c>
      <c r="N495" s="612">
        <f t="shared" si="259"/>
        <v>0</v>
      </c>
      <c r="O495" s="612">
        <f t="shared" si="259"/>
        <v>100</v>
      </c>
    </row>
    <row r="496" spans="1:15" s="830" customFormat="1" ht="31.5" x14ac:dyDescent="0.25">
      <c r="A496" s="409"/>
      <c r="B496" s="408" t="s">
        <v>1061</v>
      </c>
      <c r="C496" s="612">
        <f t="shared" ref="C496:O496" si="260">C393</f>
        <v>0</v>
      </c>
      <c r="D496" s="612">
        <f t="shared" si="260"/>
        <v>0</v>
      </c>
      <c r="E496" s="612">
        <f t="shared" si="260"/>
        <v>0</v>
      </c>
      <c r="F496" s="612">
        <f t="shared" si="260"/>
        <v>0</v>
      </c>
      <c r="G496" s="612">
        <f t="shared" si="260"/>
        <v>0</v>
      </c>
      <c r="H496" s="612">
        <f t="shared" si="260"/>
        <v>0</v>
      </c>
      <c r="I496" s="612">
        <f t="shared" si="260"/>
        <v>0</v>
      </c>
      <c r="J496" s="612">
        <f t="shared" si="260"/>
        <v>0</v>
      </c>
      <c r="K496" s="612">
        <f t="shared" si="260"/>
        <v>0</v>
      </c>
      <c r="L496" s="612">
        <f t="shared" si="260"/>
        <v>0</v>
      </c>
      <c r="M496" s="612">
        <f t="shared" si="260"/>
        <v>3491</v>
      </c>
      <c r="N496" s="612">
        <f t="shared" si="260"/>
        <v>0</v>
      </c>
      <c r="O496" s="612">
        <f t="shared" si="260"/>
        <v>3491</v>
      </c>
    </row>
    <row r="497" spans="1:16" s="830" customFormat="1" ht="31.5" x14ac:dyDescent="0.25">
      <c r="A497" s="410"/>
      <c r="B497" s="945" t="s">
        <v>767</v>
      </c>
      <c r="C497" s="946">
        <f>C341+C412+C469</f>
        <v>76572</v>
      </c>
      <c r="D497" s="946">
        <f t="shared" ref="D497:O497" si="261">D341+D412+D469</f>
        <v>0</v>
      </c>
      <c r="E497" s="946">
        <f t="shared" si="261"/>
        <v>0</v>
      </c>
      <c r="F497" s="946">
        <f t="shared" si="261"/>
        <v>215</v>
      </c>
      <c r="G497" s="946">
        <f t="shared" si="261"/>
        <v>486</v>
      </c>
      <c r="H497" s="946">
        <f t="shared" si="261"/>
        <v>0</v>
      </c>
      <c r="I497" s="946">
        <f t="shared" si="261"/>
        <v>-486</v>
      </c>
      <c r="J497" s="946">
        <f t="shared" si="261"/>
        <v>76787</v>
      </c>
      <c r="K497" s="946">
        <f t="shared" si="261"/>
        <v>0</v>
      </c>
      <c r="L497" s="946">
        <f t="shared" si="261"/>
        <v>76787</v>
      </c>
      <c r="M497" s="946">
        <f t="shared" si="261"/>
        <v>-76788</v>
      </c>
      <c r="N497" s="946">
        <f t="shared" si="261"/>
        <v>1</v>
      </c>
      <c r="O497" s="946">
        <f t="shared" si="261"/>
        <v>0</v>
      </c>
    </row>
    <row r="498" spans="1:16" s="830" customFormat="1" ht="31.5" x14ac:dyDescent="0.25">
      <c r="A498" s="410"/>
      <c r="B498" s="945" t="s">
        <v>766</v>
      </c>
      <c r="C498" s="946">
        <f t="shared" ref="C498:O498" si="262">C394+C411+C423+C453+C365</f>
        <v>38076</v>
      </c>
      <c r="D498" s="946">
        <f t="shared" si="262"/>
        <v>0</v>
      </c>
      <c r="E498" s="946">
        <f t="shared" si="262"/>
        <v>0</v>
      </c>
      <c r="F498" s="946">
        <f t="shared" si="262"/>
        <v>37746</v>
      </c>
      <c r="G498" s="946">
        <f t="shared" si="262"/>
        <v>0</v>
      </c>
      <c r="H498" s="946">
        <f t="shared" si="262"/>
        <v>251</v>
      </c>
      <c r="I498" s="946">
        <f t="shared" si="262"/>
        <v>0</v>
      </c>
      <c r="J498" s="946">
        <f t="shared" si="262"/>
        <v>76073</v>
      </c>
      <c r="K498" s="946">
        <f t="shared" si="262"/>
        <v>0</v>
      </c>
      <c r="L498" s="946">
        <f t="shared" si="262"/>
        <v>76073</v>
      </c>
      <c r="M498" s="946">
        <f t="shared" si="262"/>
        <v>29450</v>
      </c>
      <c r="N498" s="946">
        <f t="shared" si="262"/>
        <v>0</v>
      </c>
      <c r="O498" s="946">
        <f t="shared" si="262"/>
        <v>105523</v>
      </c>
    </row>
    <row r="499" spans="1:16" s="830" customFormat="1" x14ac:dyDescent="0.25">
      <c r="A499" s="409"/>
      <c r="B499" s="411" t="s">
        <v>367</v>
      </c>
      <c r="C499" s="612"/>
      <c r="D499" s="612"/>
      <c r="E499" s="612"/>
      <c r="F499" s="612"/>
      <c r="G499" s="612"/>
      <c r="H499" s="612"/>
      <c r="I499" s="612"/>
      <c r="J499" s="612"/>
      <c r="K499" s="612"/>
      <c r="L499" s="612"/>
      <c r="M499" s="612"/>
      <c r="N499" s="612"/>
      <c r="O499" s="612"/>
    </row>
    <row r="500" spans="1:16" s="830" customFormat="1" ht="32.25" thickBot="1" x14ac:dyDescent="0.3">
      <c r="A500" s="409"/>
      <c r="B500" s="408" t="s">
        <v>767</v>
      </c>
      <c r="C500" s="612">
        <f>+C471</f>
        <v>0</v>
      </c>
      <c r="D500" s="612">
        <f t="shared" ref="D500:O500" si="263">+D471</f>
        <v>0</v>
      </c>
      <c r="E500" s="612">
        <f t="shared" si="263"/>
        <v>1450</v>
      </c>
      <c r="F500" s="612">
        <f t="shared" si="263"/>
        <v>0</v>
      </c>
      <c r="G500" s="612">
        <f t="shared" si="263"/>
        <v>0</v>
      </c>
      <c r="H500" s="612">
        <f t="shared" si="263"/>
        <v>0</v>
      </c>
      <c r="I500" s="612">
        <f t="shared" si="263"/>
        <v>0</v>
      </c>
      <c r="J500" s="612">
        <f t="shared" si="263"/>
        <v>1450</v>
      </c>
      <c r="K500" s="612">
        <f t="shared" si="263"/>
        <v>0</v>
      </c>
      <c r="L500" s="612">
        <f t="shared" si="263"/>
        <v>1450</v>
      </c>
      <c r="M500" s="612">
        <f t="shared" si="263"/>
        <v>-1450</v>
      </c>
      <c r="N500" s="612">
        <f t="shared" si="263"/>
        <v>0</v>
      </c>
      <c r="O500" s="612">
        <f t="shared" si="263"/>
        <v>0</v>
      </c>
    </row>
    <row r="501" spans="1:16" ht="17.25" thickTop="1" thickBot="1" x14ac:dyDescent="0.3">
      <c r="A501" s="407"/>
      <c r="B501" s="406" t="s">
        <v>411</v>
      </c>
      <c r="C501" s="406">
        <f t="shared" ref="C501:O501" si="264">SUM(C477:C500)</f>
        <v>1721749</v>
      </c>
      <c r="D501" s="406">
        <f t="shared" si="264"/>
        <v>9123</v>
      </c>
      <c r="E501" s="406">
        <f t="shared" si="264"/>
        <v>1650</v>
      </c>
      <c r="F501" s="406">
        <f t="shared" si="264"/>
        <v>1673665</v>
      </c>
      <c r="G501" s="406">
        <f t="shared" si="264"/>
        <v>786</v>
      </c>
      <c r="H501" s="406">
        <f t="shared" si="264"/>
        <v>143649</v>
      </c>
      <c r="I501" s="406">
        <f t="shared" si="264"/>
        <v>630</v>
      </c>
      <c r="J501" s="406">
        <f t="shared" si="264"/>
        <v>3540713</v>
      </c>
      <c r="K501" s="406">
        <f t="shared" si="264"/>
        <v>10539</v>
      </c>
      <c r="L501" s="406">
        <f t="shared" si="264"/>
        <v>3551252</v>
      </c>
      <c r="M501" s="406">
        <f t="shared" si="264"/>
        <v>11345977</v>
      </c>
      <c r="N501" s="406">
        <f t="shared" si="264"/>
        <v>580047</v>
      </c>
      <c r="O501" s="406">
        <f t="shared" si="264"/>
        <v>15477276</v>
      </c>
      <c r="P501" s="831">
        <f>O502+O503+O504</f>
        <v>15477276</v>
      </c>
    </row>
    <row r="502" spans="1:16" ht="17.25" thickTop="1" thickBot="1" x14ac:dyDescent="0.3">
      <c r="A502" s="407"/>
      <c r="B502" s="406" t="s">
        <v>415</v>
      </c>
      <c r="C502" s="406">
        <f t="shared" ref="C502:O502" si="265">SUM(C19+C36+C51+C66+C80+C94+C107+C121+C138+C152+C167+C181+C196+C211+C226+C240+C253+C266+C279+C294+C313+C327+C343+C356+C381+C396+C455+C473)</f>
        <v>1079886</v>
      </c>
      <c r="D502" s="406">
        <f t="shared" si="265"/>
        <v>9123</v>
      </c>
      <c r="E502" s="406">
        <f t="shared" si="265"/>
        <v>0</v>
      </c>
      <c r="F502" s="406">
        <f t="shared" si="265"/>
        <v>1299342</v>
      </c>
      <c r="G502" s="406">
        <f t="shared" si="265"/>
        <v>300</v>
      </c>
      <c r="H502" s="406">
        <f t="shared" si="265"/>
        <v>6180</v>
      </c>
      <c r="I502" s="406">
        <f t="shared" si="265"/>
        <v>1116</v>
      </c>
      <c r="J502" s="406">
        <f t="shared" si="265"/>
        <v>2385408</v>
      </c>
      <c r="K502" s="406">
        <f t="shared" si="265"/>
        <v>10539</v>
      </c>
      <c r="L502" s="406">
        <f t="shared" si="265"/>
        <v>2395947</v>
      </c>
      <c r="M502" s="406">
        <f t="shared" si="265"/>
        <v>8503793</v>
      </c>
      <c r="N502" s="406">
        <f t="shared" si="265"/>
        <v>541399</v>
      </c>
      <c r="O502" s="406">
        <f t="shared" si="265"/>
        <v>11441139</v>
      </c>
    </row>
    <row r="503" spans="1:16" ht="17.25" thickTop="1" thickBot="1" x14ac:dyDescent="0.3">
      <c r="A503" s="407"/>
      <c r="B503" s="406" t="s">
        <v>414</v>
      </c>
      <c r="C503" s="406">
        <f t="shared" ref="C503:O503" si="266">SUM(C20+C37+C52+C67+C81+C95+C108+C122+C139+C153+C168+C182+C197+C212+C227+C241+C254+C267+C280+C295+C314+C328+C344+C357+C367+C382+C397+C414+C425+C433+C456+C474+C404)</f>
        <v>558436</v>
      </c>
      <c r="D503" s="406">
        <f t="shared" si="266"/>
        <v>0</v>
      </c>
      <c r="E503" s="406">
        <f t="shared" si="266"/>
        <v>0</v>
      </c>
      <c r="F503" s="406">
        <f t="shared" si="266"/>
        <v>372055</v>
      </c>
      <c r="G503" s="406">
        <f t="shared" si="266"/>
        <v>486</v>
      </c>
      <c r="H503" s="406">
        <f t="shared" si="266"/>
        <v>137469</v>
      </c>
      <c r="I503" s="406">
        <f t="shared" si="266"/>
        <v>-486</v>
      </c>
      <c r="J503" s="406">
        <f t="shared" si="266"/>
        <v>1067960</v>
      </c>
      <c r="K503" s="406">
        <f t="shared" si="266"/>
        <v>0</v>
      </c>
      <c r="L503" s="406">
        <f t="shared" si="266"/>
        <v>1067960</v>
      </c>
      <c r="M503" s="406">
        <f t="shared" si="266"/>
        <v>1930458</v>
      </c>
      <c r="N503" s="406">
        <f t="shared" si="266"/>
        <v>38648</v>
      </c>
      <c r="O503" s="406">
        <f t="shared" si="266"/>
        <v>3037066</v>
      </c>
    </row>
    <row r="504" spans="1:16" ht="33" thickTop="1" thickBot="1" x14ac:dyDescent="0.3">
      <c r="A504" s="407"/>
      <c r="B504" s="406" t="s">
        <v>486</v>
      </c>
      <c r="C504" s="406">
        <f t="shared" ref="C504:O504" si="267">SUM(C475)</f>
        <v>83427</v>
      </c>
      <c r="D504" s="406">
        <f t="shared" si="267"/>
        <v>0</v>
      </c>
      <c r="E504" s="406">
        <f t="shared" si="267"/>
        <v>1650</v>
      </c>
      <c r="F504" s="406">
        <f t="shared" si="267"/>
        <v>2268</v>
      </c>
      <c r="G504" s="406">
        <f t="shared" si="267"/>
        <v>0</v>
      </c>
      <c r="H504" s="406">
        <f t="shared" si="267"/>
        <v>0</v>
      </c>
      <c r="I504" s="406">
        <f t="shared" si="267"/>
        <v>0</v>
      </c>
      <c r="J504" s="406">
        <f t="shared" si="267"/>
        <v>87345</v>
      </c>
      <c r="K504" s="406">
        <f t="shared" si="267"/>
        <v>0</v>
      </c>
      <c r="L504" s="406">
        <f t="shared" si="267"/>
        <v>87345</v>
      </c>
      <c r="M504" s="406">
        <f t="shared" si="267"/>
        <v>911726</v>
      </c>
      <c r="N504" s="406">
        <f t="shared" si="267"/>
        <v>0</v>
      </c>
      <c r="O504" s="406">
        <f t="shared" si="267"/>
        <v>999071</v>
      </c>
    </row>
    <row r="505" spans="1:16" ht="16.5" thickTop="1" x14ac:dyDescent="0.25"/>
    <row r="506" spans="1:16" hidden="1" x14ac:dyDescent="0.25"/>
    <row r="507" spans="1:16" hidden="1" x14ac:dyDescent="0.25">
      <c r="C507" s="827">
        <f t="shared" ref="C507:O507" si="268">SUM(C501-C477)</f>
        <v>195986</v>
      </c>
      <c r="D507" s="827">
        <f t="shared" si="268"/>
        <v>0</v>
      </c>
      <c r="E507" s="827">
        <f t="shared" si="268"/>
        <v>1450</v>
      </c>
      <c r="F507" s="827">
        <f t="shared" si="268"/>
        <v>263823</v>
      </c>
      <c r="G507" s="827">
        <f t="shared" si="268"/>
        <v>786</v>
      </c>
      <c r="H507" s="827">
        <f t="shared" si="268"/>
        <v>-114</v>
      </c>
      <c r="I507" s="827">
        <f t="shared" si="268"/>
        <v>144</v>
      </c>
      <c r="J507" s="827">
        <f t="shared" si="268"/>
        <v>461145</v>
      </c>
      <c r="K507" s="827">
        <f t="shared" si="268"/>
        <v>930</v>
      </c>
      <c r="L507" s="827">
        <f t="shared" si="268"/>
        <v>462075</v>
      </c>
      <c r="M507" s="827">
        <f t="shared" si="268"/>
        <v>38940</v>
      </c>
      <c r="N507" s="827">
        <f t="shared" si="268"/>
        <v>16</v>
      </c>
      <c r="O507" s="827">
        <f t="shared" si="268"/>
        <v>501031</v>
      </c>
    </row>
    <row r="508" spans="1:16" hidden="1" x14ac:dyDescent="0.25"/>
    <row r="509" spans="1:16" hidden="1" x14ac:dyDescent="0.25">
      <c r="B509" s="405" t="s">
        <v>1062</v>
      </c>
      <c r="C509" s="827">
        <f>+C501-1525763</f>
        <v>195986</v>
      </c>
      <c r="D509" s="827">
        <f>+D501-9123</f>
        <v>0</v>
      </c>
      <c r="E509" s="827">
        <f>+E501-200</f>
        <v>1450</v>
      </c>
      <c r="F509" s="827">
        <f>+F501-1409842</f>
        <v>263823</v>
      </c>
      <c r="G509" s="827">
        <f>+G501</f>
        <v>786</v>
      </c>
      <c r="H509" s="827">
        <f>+H501-143763</f>
        <v>-114</v>
      </c>
      <c r="I509" s="827">
        <f>+I501-486</f>
        <v>144</v>
      </c>
      <c r="J509" s="827">
        <f>+J501-3079568</f>
        <v>461145</v>
      </c>
      <c r="K509" s="827">
        <f>+K501-9609</f>
        <v>930</v>
      </c>
      <c r="L509" s="827">
        <f>+L501-3089177</f>
        <v>462075</v>
      </c>
      <c r="M509" s="827">
        <f>+M501-11307037</f>
        <v>38940</v>
      </c>
      <c r="N509" s="827">
        <f>+N501-580031</f>
        <v>16</v>
      </c>
      <c r="O509" s="827">
        <f>+O501-14976245</f>
        <v>501031</v>
      </c>
    </row>
    <row r="510" spans="1:16" hidden="1" x14ac:dyDescent="0.25">
      <c r="B510" s="405" t="s">
        <v>1063</v>
      </c>
      <c r="C510" s="827">
        <f>+C502-998548</f>
        <v>81338</v>
      </c>
      <c r="D510" s="827">
        <f>+D502-9123</f>
        <v>0</v>
      </c>
      <c r="F510" s="827">
        <f>+F502-1073480</f>
        <v>225862</v>
      </c>
      <c r="G510" s="827">
        <f t="shared" ref="G510:G512" si="269">+G502</f>
        <v>300</v>
      </c>
      <c r="H510" s="831">
        <f>+H502-6545</f>
        <v>-365</v>
      </c>
      <c r="I510" s="827">
        <f>+I502-486</f>
        <v>630</v>
      </c>
      <c r="J510" s="827">
        <f>+J502-2078573</f>
        <v>306835</v>
      </c>
      <c r="K510" s="827">
        <f>+K502-9609</f>
        <v>930</v>
      </c>
      <c r="L510" s="827">
        <f>+L502-2088182</f>
        <v>307765</v>
      </c>
      <c r="M510" s="827">
        <f>+M502-8462844</f>
        <v>40949</v>
      </c>
      <c r="N510" s="827">
        <f>+N502-541384</f>
        <v>15</v>
      </c>
      <c r="O510" s="827">
        <f>+O502-11092410</f>
        <v>348729</v>
      </c>
    </row>
    <row r="511" spans="1:16" hidden="1" x14ac:dyDescent="0.25">
      <c r="B511" s="405" t="s">
        <v>414</v>
      </c>
      <c r="C511" s="827">
        <f>+C503-443788</f>
        <v>114648</v>
      </c>
      <c r="F511" s="827">
        <f>+F503-334094</f>
        <v>37961</v>
      </c>
      <c r="G511" s="827">
        <f t="shared" si="269"/>
        <v>486</v>
      </c>
      <c r="H511" s="831">
        <f>+H503-137218</f>
        <v>251</v>
      </c>
      <c r="I511" s="827">
        <f>+I503-0</f>
        <v>-486</v>
      </c>
      <c r="J511" s="827">
        <f>+J503-915100</f>
        <v>152860</v>
      </c>
      <c r="L511" s="827">
        <f>+L503-915100</f>
        <v>152860</v>
      </c>
      <c r="M511" s="827">
        <f>+M503-1931017</f>
        <v>-559</v>
      </c>
      <c r="N511" s="827">
        <f>+N503-38647</f>
        <v>1</v>
      </c>
      <c r="O511" s="827">
        <f>+O503-2884764</f>
        <v>152302</v>
      </c>
    </row>
    <row r="512" spans="1:16" hidden="1" x14ac:dyDescent="0.25">
      <c r="B512" s="405" t="s">
        <v>486</v>
      </c>
      <c r="C512" s="827">
        <f>+C504-83427</f>
        <v>0</v>
      </c>
      <c r="E512" s="827">
        <f>+E504-200</f>
        <v>1450</v>
      </c>
      <c r="F512" s="827">
        <f>+F504-2268</f>
        <v>0</v>
      </c>
      <c r="G512" s="827">
        <f t="shared" si="269"/>
        <v>0</v>
      </c>
      <c r="H512" s="831">
        <f>+H504-0</f>
        <v>0</v>
      </c>
      <c r="J512" s="827">
        <f>+J504-85895</f>
        <v>1450</v>
      </c>
      <c r="L512" s="827">
        <f>+L504-85895</f>
        <v>1450</v>
      </c>
      <c r="M512" s="827">
        <f>+M504-913176</f>
        <v>-1450</v>
      </c>
      <c r="O512" s="827">
        <f>+O504-999071</f>
        <v>0</v>
      </c>
    </row>
  </sheetData>
  <mergeCells count="17">
    <mergeCell ref="M6:N6"/>
    <mergeCell ref="G3:G4"/>
    <mergeCell ref="H3:H4"/>
    <mergeCell ref="I3:I4"/>
    <mergeCell ref="J3:J4"/>
    <mergeCell ref="K3:K4"/>
    <mergeCell ref="L3:L4"/>
    <mergeCell ref="E3:E4"/>
    <mergeCell ref="A1:O1"/>
    <mergeCell ref="M3:N3"/>
    <mergeCell ref="O3:O4"/>
    <mergeCell ref="M5:N5"/>
    <mergeCell ref="F3:F4"/>
    <mergeCell ref="A3:A5"/>
    <mergeCell ref="B3:B4"/>
    <mergeCell ref="C3:C4"/>
    <mergeCell ref="D3:D4"/>
  </mergeCells>
  <pageMargins left="0.11811023622047245" right="0.11811023622047245" top="0.55118110236220474" bottom="0.74803149606299213" header="0.31496062992125984" footer="0.31496062992125984"/>
  <pageSetup paperSize="9" scale="63" orientation="landscape" r:id="rId1"/>
  <headerFooter>
    <oddHeader>&amp;R&amp;"Times New Roman,Félkövér" 6. melléklet a 6/2019. (II.22.) önkormányzati rendelethez&amp;"-,Normál"
&amp;"Times New Roman,Dőlt"&amp;10 7.  melléklet
 a 3/2018.(II.8.) önkormányzati rendelethez</oddHeader>
  </headerFooter>
  <rowBreaks count="6" manualBreakCount="6">
    <brk id="36" max="14" man="1"/>
    <brk id="73" max="14" man="1"/>
    <brk id="111" max="14" man="1"/>
    <brk id="234" max="14" man="1"/>
    <brk id="297" max="14" man="1"/>
    <brk id="425" max="1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523"/>
  <sheetViews>
    <sheetView zoomScale="90" zoomScaleNormal="90" workbookViewId="0">
      <pane xSplit="2" ySplit="6" topLeftCell="C7" activePane="bottomRight" state="frozen"/>
      <selection activeCell="AD41" sqref="AD41"/>
      <selection pane="topRight" activeCell="AD41" sqref="AD41"/>
      <selection pane="bottomLeft" activeCell="AD41" sqref="AD41"/>
      <selection pane="bottomRight" activeCell="AD41" sqref="AD41"/>
    </sheetView>
  </sheetViews>
  <sheetFormatPr defaultRowHeight="15.75" x14ac:dyDescent="0.25"/>
  <cols>
    <col min="1" max="1" width="3.625" style="447" customWidth="1"/>
    <col min="2" max="2" width="36.75" style="447" customWidth="1"/>
    <col min="3" max="3" width="10.875" style="447" customWidth="1"/>
    <col min="4" max="4" width="15.625" style="447" customWidth="1"/>
    <col min="5" max="5" width="9.875" style="447" customWidth="1"/>
    <col min="6" max="6" width="11" style="447" customWidth="1"/>
    <col min="7" max="7" width="10.875" style="447" customWidth="1"/>
    <col min="8" max="8" width="11.125" style="447" customWidth="1"/>
    <col min="9" max="9" width="12.5" style="447" customWidth="1"/>
    <col min="10" max="10" width="11.5" style="447" customWidth="1"/>
    <col min="11" max="11" width="13.25" style="447" customWidth="1"/>
    <col min="12" max="12" width="13.125" style="447" customWidth="1"/>
    <col min="13" max="13" width="12.625" style="447" customWidth="1"/>
    <col min="14" max="14" width="14" style="447" customWidth="1"/>
    <col min="15" max="15" width="12.25" style="447" customWidth="1"/>
    <col min="16" max="16" width="16.375" style="447" hidden="1" customWidth="1"/>
    <col min="17" max="16384" width="9" style="447"/>
  </cols>
  <sheetData>
    <row r="1" spans="1:15" x14ac:dyDescent="0.25">
      <c r="A1" s="1008" t="s">
        <v>765</v>
      </c>
      <c r="B1" s="1008"/>
      <c r="C1" s="1008"/>
      <c r="D1" s="1008"/>
      <c r="E1" s="1008"/>
      <c r="F1" s="1008"/>
      <c r="G1" s="1008"/>
      <c r="H1" s="1008"/>
      <c r="I1" s="1008"/>
      <c r="J1" s="1008"/>
      <c r="K1" s="1008"/>
      <c r="L1" s="1008"/>
      <c r="M1" s="1008"/>
      <c r="N1" s="1008"/>
      <c r="O1" s="1008"/>
    </row>
    <row r="3" spans="1:15" ht="16.5" thickBot="1" x14ac:dyDescent="0.3"/>
    <row r="4" spans="1:15" ht="58.5" thickTop="1" thickBot="1" x14ac:dyDescent="0.3">
      <c r="A4" s="538" t="s">
        <v>480</v>
      </c>
      <c r="B4" s="537" t="s">
        <v>479</v>
      </c>
      <c r="C4" s="536" t="s">
        <v>30</v>
      </c>
      <c r="D4" s="532" t="s">
        <v>478</v>
      </c>
      <c r="E4" s="532" t="s">
        <v>56</v>
      </c>
      <c r="F4" s="533" t="s">
        <v>477</v>
      </c>
      <c r="G4" s="532" t="s">
        <v>476</v>
      </c>
      <c r="H4" s="532" t="s">
        <v>488</v>
      </c>
      <c r="I4" s="535" t="s">
        <v>51</v>
      </c>
      <c r="J4" s="534" t="s">
        <v>59</v>
      </c>
      <c r="K4" s="533" t="s">
        <v>269</v>
      </c>
      <c r="L4" s="532" t="s">
        <v>489</v>
      </c>
      <c r="M4" s="532" t="s">
        <v>270</v>
      </c>
      <c r="N4" s="532" t="s">
        <v>475</v>
      </c>
      <c r="O4" s="532" t="s">
        <v>474</v>
      </c>
    </row>
    <row r="5" spans="1:15" ht="17.25" thickTop="1" thickBot="1" x14ac:dyDescent="0.3">
      <c r="A5" s="538"/>
      <c r="B5" s="537"/>
      <c r="C5" s="536" t="s">
        <v>163</v>
      </c>
      <c r="D5" s="532" t="s">
        <v>164</v>
      </c>
      <c r="E5" s="532" t="s">
        <v>165</v>
      </c>
      <c r="F5" s="533" t="s">
        <v>166</v>
      </c>
      <c r="G5" s="532" t="s">
        <v>271</v>
      </c>
      <c r="H5" s="532" t="s">
        <v>473</v>
      </c>
      <c r="I5" s="535" t="s">
        <v>167</v>
      </c>
      <c r="J5" s="534" t="s">
        <v>168</v>
      </c>
      <c r="K5" s="533" t="s">
        <v>169</v>
      </c>
      <c r="L5" s="532" t="s">
        <v>472</v>
      </c>
      <c r="M5" s="532" t="s">
        <v>286</v>
      </c>
      <c r="N5" s="532" t="s">
        <v>221</v>
      </c>
      <c r="O5" s="532" t="s">
        <v>471</v>
      </c>
    </row>
    <row r="6" spans="1:15" s="525" customFormat="1" ht="14.25" thickTop="1" thickBot="1" x14ac:dyDescent="0.25">
      <c r="A6" s="531" t="s">
        <v>146</v>
      </c>
      <c r="B6" s="530" t="s">
        <v>147</v>
      </c>
      <c r="C6" s="526" t="s">
        <v>148</v>
      </c>
      <c r="D6" s="526" t="s">
        <v>149</v>
      </c>
      <c r="E6" s="526" t="s">
        <v>150</v>
      </c>
      <c r="F6" s="527" t="s">
        <v>151</v>
      </c>
      <c r="G6" s="526" t="s">
        <v>453</v>
      </c>
      <c r="H6" s="529" t="s">
        <v>470</v>
      </c>
      <c r="I6" s="528" t="s">
        <v>35</v>
      </c>
      <c r="J6" s="526" t="s">
        <v>36</v>
      </c>
      <c r="K6" s="527" t="s">
        <v>469</v>
      </c>
      <c r="L6" s="526" t="s">
        <v>468</v>
      </c>
      <c r="M6" s="526" t="s">
        <v>467</v>
      </c>
      <c r="N6" s="526" t="s">
        <v>466</v>
      </c>
      <c r="O6" s="526" t="s">
        <v>465</v>
      </c>
    </row>
    <row r="7" spans="1:15" ht="16.5" thickTop="1" x14ac:dyDescent="0.25">
      <c r="A7" s="469" t="s">
        <v>153</v>
      </c>
      <c r="B7" s="425" t="s">
        <v>449</v>
      </c>
      <c r="C7" s="471"/>
      <c r="D7" s="466"/>
      <c r="E7" s="466"/>
      <c r="F7" s="464"/>
      <c r="G7" s="466"/>
      <c r="H7" s="463"/>
      <c r="I7" s="465"/>
      <c r="J7" s="464"/>
      <c r="K7" s="464"/>
      <c r="L7" s="463"/>
      <c r="M7" s="462"/>
      <c r="N7" s="462"/>
      <c r="O7" s="462"/>
    </row>
    <row r="8" spans="1:15" x14ac:dyDescent="0.25">
      <c r="A8" s="469"/>
      <c r="B8" s="417" t="s">
        <v>387</v>
      </c>
      <c r="C8" s="471">
        <v>576933</v>
      </c>
      <c r="D8" s="466">
        <v>121586</v>
      </c>
      <c r="E8" s="466">
        <v>216302</v>
      </c>
      <c r="F8" s="464"/>
      <c r="G8" s="466"/>
      <c r="H8" s="463">
        <f>SUM(C8:G8)</f>
        <v>914821</v>
      </c>
      <c r="I8" s="465">
        <v>11066</v>
      </c>
      <c r="J8" s="464">
        <v>8673</v>
      </c>
      <c r="K8" s="464"/>
      <c r="L8" s="463">
        <f>SUM(I8:K8)</f>
        <v>19739</v>
      </c>
      <c r="M8" s="462">
        <f>SUM(H8+L8)</f>
        <v>934560</v>
      </c>
      <c r="N8" s="462"/>
      <c r="O8" s="462">
        <f>SUM(M8+N8)</f>
        <v>934560</v>
      </c>
    </row>
    <row r="9" spans="1:15" s="476" customFormat="1" x14ac:dyDescent="0.25">
      <c r="A9" s="485"/>
      <c r="B9" s="470" t="s">
        <v>418</v>
      </c>
      <c r="C9" s="502">
        <v>421810</v>
      </c>
      <c r="D9" s="483">
        <v>88514</v>
      </c>
      <c r="E9" s="483">
        <v>134898</v>
      </c>
      <c r="F9" s="479"/>
      <c r="G9" s="483"/>
      <c r="H9" s="478">
        <f>SUM(C9:G9)</f>
        <v>645222</v>
      </c>
      <c r="I9" s="524">
        <v>10795</v>
      </c>
      <c r="J9" s="494"/>
      <c r="K9" s="494"/>
      <c r="L9" s="478">
        <f>SUM(I9:K9)</f>
        <v>10795</v>
      </c>
      <c r="M9" s="477">
        <f>SUM(H9+L9)</f>
        <v>656017</v>
      </c>
      <c r="N9" s="477"/>
      <c r="O9" s="477">
        <f>SUM(M9+N9)</f>
        <v>656017</v>
      </c>
    </row>
    <row r="10" spans="1:15" x14ac:dyDescent="0.25">
      <c r="A10" s="469"/>
      <c r="B10" s="470" t="s">
        <v>417</v>
      </c>
      <c r="C10" s="502">
        <v>155123</v>
      </c>
      <c r="D10" s="483">
        <v>33072</v>
      </c>
      <c r="E10" s="483">
        <v>81404</v>
      </c>
      <c r="F10" s="464"/>
      <c r="G10" s="466"/>
      <c r="H10" s="478">
        <f>SUM(C10:G10)</f>
        <v>269599</v>
      </c>
      <c r="I10" s="465">
        <v>271</v>
      </c>
      <c r="J10" s="464">
        <v>8673</v>
      </c>
      <c r="K10" s="464"/>
      <c r="L10" s="463">
        <f>SUM(I10:K10)</f>
        <v>8944</v>
      </c>
      <c r="M10" s="477">
        <f>SUM(H10+L10)</f>
        <v>278543</v>
      </c>
      <c r="N10" s="477"/>
      <c r="O10" s="477">
        <f>SUM(M10+N10)</f>
        <v>278543</v>
      </c>
    </row>
    <row r="11" spans="1:15" s="476" customFormat="1" x14ac:dyDescent="0.25">
      <c r="A11" s="485"/>
      <c r="B11" s="470" t="s">
        <v>139</v>
      </c>
      <c r="C11" s="502"/>
      <c r="D11" s="483"/>
      <c r="E11" s="483"/>
      <c r="F11" s="479"/>
      <c r="G11" s="483"/>
      <c r="H11" s="463"/>
      <c r="I11" s="524"/>
      <c r="J11" s="494"/>
      <c r="K11" s="494"/>
      <c r="L11" s="463">
        <f t="shared" ref="L11:L18" si="0">SUM(I11:K11)</f>
        <v>0</v>
      </c>
      <c r="M11" s="462">
        <f t="shared" ref="M11:M18" si="1">SUM(H11+L11)</f>
        <v>0</v>
      </c>
      <c r="N11" s="477"/>
      <c r="O11" s="462">
        <f t="shared" ref="O11:O18" si="2">SUM(M11+N11)</f>
        <v>0</v>
      </c>
    </row>
    <row r="12" spans="1:15" x14ac:dyDescent="0.25">
      <c r="A12" s="469"/>
      <c r="B12" s="417" t="s">
        <v>1034</v>
      </c>
      <c r="C12" s="471">
        <v>556</v>
      </c>
      <c r="D12" s="466">
        <v>108</v>
      </c>
      <c r="E12" s="466"/>
      <c r="F12" s="464"/>
      <c r="G12" s="466"/>
      <c r="H12" s="463">
        <f t="shared" ref="H12:H18" si="3">SUM(C12:G12)</f>
        <v>664</v>
      </c>
      <c r="I12" s="465"/>
      <c r="J12" s="464"/>
      <c r="K12" s="464"/>
      <c r="L12" s="463">
        <f t="shared" si="0"/>
        <v>0</v>
      </c>
      <c r="M12" s="462">
        <f t="shared" si="1"/>
        <v>664</v>
      </c>
      <c r="N12" s="462"/>
      <c r="O12" s="462">
        <f t="shared" si="2"/>
        <v>664</v>
      </c>
    </row>
    <row r="13" spans="1:15" x14ac:dyDescent="0.25">
      <c r="A13" s="469"/>
      <c r="B13" s="417" t="s">
        <v>1035</v>
      </c>
      <c r="C13" s="471">
        <v>276</v>
      </c>
      <c r="D13" s="466">
        <v>54</v>
      </c>
      <c r="E13" s="466"/>
      <c r="F13" s="464"/>
      <c r="G13" s="466"/>
      <c r="H13" s="463">
        <f t="shared" si="3"/>
        <v>330</v>
      </c>
      <c r="I13" s="500"/>
      <c r="J13" s="472"/>
      <c r="K13" s="472"/>
      <c r="L13" s="463">
        <f t="shared" si="0"/>
        <v>0</v>
      </c>
      <c r="M13" s="462">
        <f t="shared" si="1"/>
        <v>330</v>
      </c>
      <c r="N13" s="462"/>
      <c r="O13" s="462">
        <f t="shared" si="2"/>
        <v>330</v>
      </c>
    </row>
    <row r="14" spans="1:15" ht="47.25" x14ac:dyDescent="0.25">
      <c r="A14" s="469"/>
      <c r="B14" s="417" t="s">
        <v>1064</v>
      </c>
      <c r="C14" s="471">
        <v>985</v>
      </c>
      <c r="D14" s="466">
        <v>192</v>
      </c>
      <c r="E14" s="466"/>
      <c r="F14" s="464"/>
      <c r="G14" s="466"/>
      <c r="H14" s="463">
        <f t="shared" si="3"/>
        <v>1177</v>
      </c>
      <c r="I14" s="500"/>
      <c r="J14" s="472"/>
      <c r="K14" s="472"/>
      <c r="L14" s="463">
        <f t="shared" si="0"/>
        <v>0</v>
      </c>
      <c r="M14" s="462">
        <f t="shared" si="1"/>
        <v>1177</v>
      </c>
      <c r="N14" s="462"/>
      <c r="O14" s="462">
        <f t="shared" si="2"/>
        <v>1177</v>
      </c>
    </row>
    <row r="15" spans="1:15" ht="31.5" x14ac:dyDescent="0.25">
      <c r="A15" s="469"/>
      <c r="B15" s="417" t="s">
        <v>767</v>
      </c>
      <c r="C15" s="471"/>
      <c r="D15" s="466"/>
      <c r="E15" s="466">
        <v>-20233</v>
      </c>
      <c r="F15" s="464"/>
      <c r="G15" s="466"/>
      <c r="H15" s="463">
        <f t="shared" si="3"/>
        <v>-20233</v>
      </c>
      <c r="I15" s="500">
        <v>20058</v>
      </c>
      <c r="J15" s="472">
        <v>175</v>
      </c>
      <c r="K15" s="472"/>
      <c r="L15" s="463">
        <f t="shared" si="0"/>
        <v>20233</v>
      </c>
      <c r="M15" s="462">
        <f t="shared" si="1"/>
        <v>0</v>
      </c>
      <c r="N15" s="462"/>
      <c r="O15" s="462">
        <f t="shared" si="2"/>
        <v>0</v>
      </c>
    </row>
    <row r="16" spans="1:15" ht="31.5" x14ac:dyDescent="0.25">
      <c r="A16" s="469"/>
      <c r="B16" s="417" t="s">
        <v>766</v>
      </c>
      <c r="C16" s="471">
        <v>43861</v>
      </c>
      <c r="D16" s="466">
        <v>12231</v>
      </c>
      <c r="E16" s="466">
        <v>11725</v>
      </c>
      <c r="F16" s="464"/>
      <c r="G16" s="466"/>
      <c r="H16" s="463">
        <f t="shared" si="3"/>
        <v>67817</v>
      </c>
      <c r="I16" s="500">
        <v>11119</v>
      </c>
      <c r="J16" s="472"/>
      <c r="K16" s="472"/>
      <c r="L16" s="463">
        <f t="shared" si="0"/>
        <v>11119</v>
      </c>
      <c r="M16" s="462">
        <f t="shared" si="1"/>
        <v>78936</v>
      </c>
      <c r="N16" s="462"/>
      <c r="O16" s="462">
        <f t="shared" si="2"/>
        <v>78936</v>
      </c>
    </row>
    <row r="17" spans="1:16" s="476" customFormat="1" x14ac:dyDescent="0.25">
      <c r="A17" s="485"/>
      <c r="B17" s="470" t="s">
        <v>140</v>
      </c>
      <c r="C17" s="502"/>
      <c r="D17" s="483"/>
      <c r="E17" s="483"/>
      <c r="F17" s="479"/>
      <c r="G17" s="483"/>
      <c r="H17" s="463"/>
      <c r="I17" s="524"/>
      <c r="J17" s="494"/>
      <c r="K17" s="494"/>
      <c r="L17" s="463">
        <f t="shared" si="0"/>
        <v>0</v>
      </c>
      <c r="M17" s="462">
        <f t="shared" si="1"/>
        <v>0</v>
      </c>
      <c r="N17" s="477"/>
      <c r="O17" s="462">
        <f t="shared" si="2"/>
        <v>0</v>
      </c>
    </row>
    <row r="18" spans="1:16" ht="16.5" thickBot="1" x14ac:dyDescent="0.3">
      <c r="A18" s="469"/>
      <c r="B18" s="417" t="s">
        <v>1065</v>
      </c>
      <c r="C18" s="471">
        <v>2065</v>
      </c>
      <c r="D18" s="466">
        <v>707</v>
      </c>
      <c r="E18" s="466"/>
      <c r="F18" s="464"/>
      <c r="G18" s="466"/>
      <c r="H18" s="463">
        <f t="shared" si="3"/>
        <v>2772</v>
      </c>
      <c r="I18" s="465"/>
      <c r="J18" s="464"/>
      <c r="K18" s="464"/>
      <c r="L18" s="463">
        <f t="shared" si="0"/>
        <v>0</v>
      </c>
      <c r="M18" s="462">
        <f t="shared" si="1"/>
        <v>2772</v>
      </c>
      <c r="N18" s="462"/>
      <c r="O18" s="462">
        <f t="shared" si="2"/>
        <v>2772</v>
      </c>
    </row>
    <row r="19" spans="1:16" ht="17.25" thickTop="1" thickBot="1" x14ac:dyDescent="0.3">
      <c r="A19" s="450"/>
      <c r="B19" s="449" t="s">
        <v>416</v>
      </c>
      <c r="C19" s="448">
        <f>+C8+C12+C18+C13+C14+C15+C16</f>
        <v>624676</v>
      </c>
      <c r="D19" s="448">
        <f t="shared" ref="D19:O19" si="4">+D8+D12+D18+D13+D14+D15+D16</f>
        <v>134878</v>
      </c>
      <c r="E19" s="448">
        <f t="shared" si="4"/>
        <v>207794</v>
      </c>
      <c r="F19" s="448">
        <f t="shared" si="4"/>
        <v>0</v>
      </c>
      <c r="G19" s="448">
        <f t="shared" si="4"/>
        <v>0</v>
      </c>
      <c r="H19" s="448">
        <f t="shared" si="4"/>
        <v>967348</v>
      </c>
      <c r="I19" s="448">
        <f t="shared" si="4"/>
        <v>42243</v>
      </c>
      <c r="J19" s="448">
        <f t="shared" si="4"/>
        <v>8848</v>
      </c>
      <c r="K19" s="448">
        <f t="shared" si="4"/>
        <v>0</v>
      </c>
      <c r="L19" s="448">
        <f t="shared" si="4"/>
        <v>51091</v>
      </c>
      <c r="M19" s="448">
        <f t="shared" si="4"/>
        <v>1018439</v>
      </c>
      <c r="N19" s="448">
        <f t="shared" si="4"/>
        <v>0</v>
      </c>
      <c r="O19" s="448">
        <f t="shared" si="4"/>
        <v>1018439</v>
      </c>
      <c r="P19" s="405">
        <f>+O20+O21</f>
        <v>1018439</v>
      </c>
    </row>
    <row r="20" spans="1:16" ht="17.25" thickTop="1" thickBot="1" x14ac:dyDescent="0.3">
      <c r="A20" s="450"/>
      <c r="B20" s="449" t="s">
        <v>415</v>
      </c>
      <c r="C20" s="448">
        <f t="shared" ref="C20:O20" si="5">+C9+C12+C13+C14+C15+C16</f>
        <v>467488</v>
      </c>
      <c r="D20" s="448">
        <f t="shared" si="5"/>
        <v>101099</v>
      </c>
      <c r="E20" s="448">
        <f t="shared" si="5"/>
        <v>126390</v>
      </c>
      <c r="F20" s="448">
        <f t="shared" si="5"/>
        <v>0</v>
      </c>
      <c r="G20" s="448">
        <f t="shared" si="5"/>
        <v>0</v>
      </c>
      <c r="H20" s="448">
        <f t="shared" si="5"/>
        <v>694977</v>
      </c>
      <c r="I20" s="448">
        <f t="shared" si="5"/>
        <v>41972</v>
      </c>
      <c r="J20" s="448">
        <f t="shared" si="5"/>
        <v>175</v>
      </c>
      <c r="K20" s="448">
        <f t="shared" si="5"/>
        <v>0</v>
      </c>
      <c r="L20" s="448">
        <f t="shared" si="5"/>
        <v>42147</v>
      </c>
      <c r="M20" s="448">
        <f t="shared" si="5"/>
        <v>737124</v>
      </c>
      <c r="N20" s="448">
        <f t="shared" si="5"/>
        <v>0</v>
      </c>
      <c r="O20" s="448">
        <f t="shared" si="5"/>
        <v>737124</v>
      </c>
      <c r="P20" s="405"/>
    </row>
    <row r="21" spans="1:16" ht="17.25" thickTop="1" thickBot="1" x14ac:dyDescent="0.3">
      <c r="A21" s="450"/>
      <c r="B21" s="449" t="s">
        <v>414</v>
      </c>
      <c r="C21" s="448">
        <f>+C10+C18</f>
        <v>157188</v>
      </c>
      <c r="D21" s="448">
        <f t="shared" ref="D21:O21" si="6">+D10+D18</f>
        <v>33779</v>
      </c>
      <c r="E21" s="448">
        <f t="shared" si="6"/>
        <v>81404</v>
      </c>
      <c r="F21" s="448">
        <f t="shared" si="6"/>
        <v>0</v>
      </c>
      <c r="G21" s="448">
        <f t="shared" si="6"/>
        <v>0</v>
      </c>
      <c r="H21" s="448">
        <f t="shared" si="6"/>
        <v>272371</v>
      </c>
      <c r="I21" s="448">
        <f t="shared" si="6"/>
        <v>271</v>
      </c>
      <c r="J21" s="448">
        <f t="shared" si="6"/>
        <v>8673</v>
      </c>
      <c r="K21" s="448">
        <f t="shared" si="6"/>
        <v>0</v>
      </c>
      <c r="L21" s="448">
        <f t="shared" si="6"/>
        <v>8944</v>
      </c>
      <c r="M21" s="448">
        <f t="shared" si="6"/>
        <v>281315</v>
      </c>
      <c r="N21" s="448">
        <f t="shared" si="6"/>
        <v>0</v>
      </c>
      <c r="O21" s="448">
        <f t="shared" si="6"/>
        <v>281315</v>
      </c>
    </row>
    <row r="22" spans="1:16" ht="32.25" thickTop="1" x14ac:dyDescent="0.25">
      <c r="A22" s="469" t="s">
        <v>154</v>
      </c>
      <c r="B22" s="425" t="s">
        <v>448</v>
      </c>
      <c r="C22" s="471"/>
      <c r="D22" s="466"/>
      <c r="E22" s="466"/>
      <c r="F22" s="464"/>
      <c r="G22" s="466"/>
      <c r="H22" s="463"/>
      <c r="I22" s="465"/>
      <c r="J22" s="464"/>
      <c r="K22" s="464"/>
      <c r="L22" s="463"/>
      <c r="M22" s="462"/>
      <c r="N22" s="462"/>
      <c r="O22" s="462"/>
    </row>
    <row r="23" spans="1:16" x14ac:dyDescent="0.25">
      <c r="A23" s="469"/>
      <c r="B23" s="417" t="s">
        <v>387</v>
      </c>
      <c r="C23" s="471">
        <v>91576</v>
      </c>
      <c r="D23" s="466">
        <v>17945</v>
      </c>
      <c r="E23" s="466">
        <v>30813</v>
      </c>
      <c r="F23" s="464"/>
      <c r="G23" s="466"/>
      <c r="H23" s="463">
        <f>SUM(C23:G23)</f>
        <v>140334</v>
      </c>
      <c r="I23" s="465">
        <v>8752</v>
      </c>
      <c r="J23" s="464"/>
      <c r="K23" s="464"/>
      <c r="L23" s="463">
        <f>SUM(I23:K23)</f>
        <v>8752</v>
      </c>
      <c r="M23" s="462">
        <f>SUM(H23+L23)</f>
        <v>149086</v>
      </c>
      <c r="N23" s="462"/>
      <c r="O23" s="462">
        <f>SUM(M23+N23)</f>
        <v>149086</v>
      </c>
    </row>
    <row r="24" spans="1:16" s="476" customFormat="1" x14ac:dyDescent="0.25">
      <c r="A24" s="485"/>
      <c r="B24" s="470" t="s">
        <v>418</v>
      </c>
      <c r="C24" s="502">
        <v>47378</v>
      </c>
      <c r="D24" s="483">
        <v>9274</v>
      </c>
      <c r="E24" s="483">
        <v>9379</v>
      </c>
      <c r="F24" s="479"/>
      <c r="G24" s="483"/>
      <c r="H24" s="478">
        <f>SUM(C24:G24)</f>
        <v>66031</v>
      </c>
      <c r="I24" s="480">
        <v>3777</v>
      </c>
      <c r="J24" s="479"/>
      <c r="K24" s="479"/>
      <c r="L24" s="478">
        <f>SUM(I24:K24)</f>
        <v>3777</v>
      </c>
      <c r="M24" s="477">
        <f>SUM(H24+L24)</f>
        <v>69808</v>
      </c>
      <c r="N24" s="477"/>
      <c r="O24" s="477">
        <f>SUM(M24+N24)</f>
        <v>69808</v>
      </c>
    </row>
    <row r="25" spans="1:16" x14ac:dyDescent="0.25">
      <c r="A25" s="469"/>
      <c r="B25" s="470" t="s">
        <v>417</v>
      </c>
      <c r="C25" s="502">
        <v>44198</v>
      </c>
      <c r="D25" s="483">
        <v>8671</v>
      </c>
      <c r="E25" s="483">
        <v>21434</v>
      </c>
      <c r="F25" s="479"/>
      <c r="G25" s="483"/>
      <c r="H25" s="478">
        <f>SUM(C25:G25)</f>
        <v>74303</v>
      </c>
      <c r="I25" s="480">
        <v>4975</v>
      </c>
      <c r="J25" s="479"/>
      <c r="K25" s="479"/>
      <c r="L25" s="478">
        <f>SUM(I25:K25)</f>
        <v>4975</v>
      </c>
      <c r="M25" s="477">
        <f>SUM(H25+L25)</f>
        <v>79278</v>
      </c>
      <c r="N25" s="477"/>
      <c r="O25" s="477">
        <f>SUM(M25+N25)</f>
        <v>79278</v>
      </c>
    </row>
    <row r="26" spans="1:16" x14ac:dyDescent="0.25">
      <c r="A26" s="469"/>
      <c r="B26" s="470" t="s">
        <v>139</v>
      </c>
      <c r="C26" s="471"/>
      <c r="D26" s="466"/>
      <c r="E26" s="466"/>
      <c r="F26" s="464"/>
      <c r="G26" s="466"/>
      <c r="H26" s="478"/>
      <c r="I26" s="465"/>
      <c r="J26" s="464"/>
      <c r="K26" s="464"/>
      <c r="L26" s="478"/>
      <c r="M26" s="477"/>
      <c r="N26" s="462"/>
      <c r="O26" s="477"/>
    </row>
    <row r="27" spans="1:16" x14ac:dyDescent="0.25">
      <c r="A27" s="469"/>
      <c r="B27" s="417" t="s">
        <v>1034</v>
      </c>
      <c r="C27" s="471">
        <v>80</v>
      </c>
      <c r="D27" s="466">
        <v>16</v>
      </c>
      <c r="E27" s="466"/>
      <c r="F27" s="464"/>
      <c r="G27" s="466"/>
      <c r="H27" s="517">
        <f t="shared" ref="H27:H34" si="7">SUM(C27:G27)</f>
        <v>96</v>
      </c>
      <c r="I27" s="465"/>
      <c r="J27" s="464"/>
      <c r="K27" s="464"/>
      <c r="L27" s="517">
        <f t="shared" ref="L27:L33" si="8">SUM(I27:K27)</f>
        <v>0</v>
      </c>
      <c r="M27" s="516">
        <f t="shared" ref="M27:M34" si="9">SUM(H27+L27)</f>
        <v>96</v>
      </c>
      <c r="N27" s="462"/>
      <c r="O27" s="516">
        <f t="shared" ref="O27:O34" si="10">SUM(M27+N27)</f>
        <v>96</v>
      </c>
    </row>
    <row r="28" spans="1:16" x14ac:dyDescent="0.25">
      <c r="A28" s="469"/>
      <c r="B28" s="417" t="s">
        <v>1066</v>
      </c>
      <c r="C28" s="471">
        <v>1076</v>
      </c>
      <c r="D28" s="466">
        <v>210</v>
      </c>
      <c r="E28" s="466"/>
      <c r="F28" s="464"/>
      <c r="G28" s="466"/>
      <c r="H28" s="517">
        <f t="shared" si="7"/>
        <v>1286</v>
      </c>
      <c r="I28" s="465"/>
      <c r="J28" s="464"/>
      <c r="K28" s="464"/>
      <c r="L28" s="517">
        <f t="shared" si="8"/>
        <v>0</v>
      </c>
      <c r="M28" s="516">
        <f t="shared" si="9"/>
        <v>1286</v>
      </c>
      <c r="N28" s="462"/>
      <c r="O28" s="516">
        <f t="shared" si="10"/>
        <v>1286</v>
      </c>
    </row>
    <row r="29" spans="1:16" ht="47.25" x14ac:dyDescent="0.25">
      <c r="A29" s="469"/>
      <c r="B29" s="417" t="s">
        <v>1064</v>
      </c>
      <c r="C29" s="471">
        <v>361</v>
      </c>
      <c r="D29" s="466">
        <v>70</v>
      </c>
      <c r="E29" s="466"/>
      <c r="F29" s="464"/>
      <c r="G29" s="466"/>
      <c r="H29" s="517">
        <f t="shared" si="7"/>
        <v>431</v>
      </c>
      <c r="I29" s="465"/>
      <c r="J29" s="464"/>
      <c r="K29" s="464"/>
      <c r="L29" s="517">
        <f t="shared" si="8"/>
        <v>0</v>
      </c>
      <c r="M29" s="516">
        <f t="shared" si="9"/>
        <v>431</v>
      </c>
      <c r="N29" s="462"/>
      <c r="O29" s="516">
        <f t="shared" si="10"/>
        <v>431</v>
      </c>
    </row>
    <row r="30" spans="1:16" ht="47.25" x14ac:dyDescent="0.25">
      <c r="A30" s="469"/>
      <c r="B30" s="417" t="s">
        <v>812</v>
      </c>
      <c r="C30" s="471"/>
      <c r="D30" s="466"/>
      <c r="E30" s="466">
        <v>318</v>
      </c>
      <c r="F30" s="464"/>
      <c r="G30" s="466"/>
      <c r="H30" s="517">
        <f t="shared" si="7"/>
        <v>318</v>
      </c>
      <c r="I30" s="465"/>
      <c r="J30" s="464"/>
      <c r="K30" s="464"/>
      <c r="L30" s="517">
        <f t="shared" si="8"/>
        <v>0</v>
      </c>
      <c r="M30" s="516">
        <f t="shared" si="9"/>
        <v>318</v>
      </c>
      <c r="N30" s="462"/>
      <c r="O30" s="516">
        <f t="shared" si="10"/>
        <v>318</v>
      </c>
    </row>
    <row r="31" spans="1:16" ht="31.5" x14ac:dyDescent="0.25">
      <c r="A31" s="469"/>
      <c r="B31" s="417" t="s">
        <v>766</v>
      </c>
      <c r="C31" s="471"/>
      <c r="D31" s="466"/>
      <c r="E31" s="466">
        <v>3136</v>
      </c>
      <c r="F31" s="464"/>
      <c r="G31" s="466"/>
      <c r="H31" s="517">
        <f t="shared" si="7"/>
        <v>3136</v>
      </c>
      <c r="I31" s="465">
        <v>1476</v>
      </c>
      <c r="J31" s="464"/>
      <c r="K31" s="464"/>
      <c r="L31" s="517">
        <f t="shared" si="8"/>
        <v>1476</v>
      </c>
      <c r="M31" s="516">
        <f t="shared" si="9"/>
        <v>4612</v>
      </c>
      <c r="N31" s="462"/>
      <c r="O31" s="516">
        <f t="shared" si="10"/>
        <v>4612</v>
      </c>
    </row>
    <row r="32" spans="1:16" x14ac:dyDescent="0.25">
      <c r="A32" s="469"/>
      <c r="B32" s="470" t="s">
        <v>140</v>
      </c>
      <c r="C32" s="471"/>
      <c r="D32" s="466"/>
      <c r="E32" s="466"/>
      <c r="F32" s="464"/>
      <c r="G32" s="466"/>
      <c r="H32" s="478"/>
      <c r="I32" s="465"/>
      <c r="J32" s="464"/>
      <c r="K32" s="464"/>
      <c r="L32" s="517"/>
      <c r="M32" s="516"/>
      <c r="N32" s="462"/>
      <c r="O32" s="516"/>
    </row>
    <row r="33" spans="1:16" x14ac:dyDescent="0.25">
      <c r="A33" s="475"/>
      <c r="B33" s="425" t="s">
        <v>1065</v>
      </c>
      <c r="C33" s="471">
        <v>447</v>
      </c>
      <c r="D33" s="466">
        <v>153</v>
      </c>
      <c r="E33" s="466"/>
      <c r="F33" s="464"/>
      <c r="G33" s="466"/>
      <c r="H33" s="517">
        <f t="shared" si="7"/>
        <v>600</v>
      </c>
      <c r="I33" s="465"/>
      <c r="J33" s="464"/>
      <c r="K33" s="464"/>
      <c r="L33" s="517">
        <f t="shared" si="8"/>
        <v>0</v>
      </c>
      <c r="M33" s="517">
        <f t="shared" si="9"/>
        <v>600</v>
      </c>
      <c r="N33" s="463"/>
      <c r="O33" s="517">
        <f t="shared" si="10"/>
        <v>600</v>
      </c>
    </row>
    <row r="34" spans="1:16" ht="79.5" thickBot="1" x14ac:dyDescent="0.3">
      <c r="A34" s="947"/>
      <c r="B34" s="948" t="s">
        <v>1067</v>
      </c>
      <c r="C34" s="949"/>
      <c r="D34" s="950"/>
      <c r="E34" s="950">
        <v>250</v>
      </c>
      <c r="F34" s="951"/>
      <c r="G34" s="950"/>
      <c r="H34" s="952">
        <f t="shared" si="7"/>
        <v>250</v>
      </c>
      <c r="I34" s="953"/>
      <c r="J34" s="951"/>
      <c r="K34" s="951"/>
      <c r="L34" s="952"/>
      <c r="M34" s="952">
        <f t="shared" si="9"/>
        <v>250</v>
      </c>
      <c r="N34" s="954"/>
      <c r="O34" s="952">
        <f t="shared" si="10"/>
        <v>250</v>
      </c>
    </row>
    <row r="35" spans="1:16" ht="17.25" thickTop="1" thickBot="1" x14ac:dyDescent="0.3">
      <c r="A35" s="450"/>
      <c r="B35" s="449" t="s">
        <v>416</v>
      </c>
      <c r="C35" s="448">
        <f>+C23+C27+C33+C28+C29+C34+C30+C31</f>
        <v>93540</v>
      </c>
      <c r="D35" s="448">
        <f t="shared" ref="D35:O35" si="11">+D23+D27+D33+D28+D29+D34+D30+D31</f>
        <v>18394</v>
      </c>
      <c r="E35" s="448">
        <f t="shared" si="11"/>
        <v>34517</v>
      </c>
      <c r="F35" s="448">
        <f t="shared" si="11"/>
        <v>0</v>
      </c>
      <c r="G35" s="448">
        <f t="shared" si="11"/>
        <v>0</v>
      </c>
      <c r="H35" s="448">
        <f t="shared" si="11"/>
        <v>146451</v>
      </c>
      <c r="I35" s="448">
        <f t="shared" si="11"/>
        <v>10228</v>
      </c>
      <c r="J35" s="448">
        <f t="shared" si="11"/>
        <v>0</v>
      </c>
      <c r="K35" s="448">
        <f t="shared" si="11"/>
        <v>0</v>
      </c>
      <c r="L35" s="448">
        <f t="shared" si="11"/>
        <v>10228</v>
      </c>
      <c r="M35" s="448">
        <f t="shared" si="11"/>
        <v>156679</v>
      </c>
      <c r="N35" s="448">
        <f t="shared" si="11"/>
        <v>0</v>
      </c>
      <c r="O35" s="448">
        <f t="shared" si="11"/>
        <v>156679</v>
      </c>
    </row>
    <row r="36" spans="1:16" ht="17.25" thickTop="1" thickBot="1" x14ac:dyDescent="0.3">
      <c r="A36" s="450"/>
      <c r="B36" s="449" t="s">
        <v>415</v>
      </c>
      <c r="C36" s="448">
        <f>+C24+C27+C28+C29+C30+C31</f>
        <v>48895</v>
      </c>
      <c r="D36" s="448">
        <f t="shared" ref="D36:O36" si="12">+D24+D27+D28+D29+D30+D31</f>
        <v>9570</v>
      </c>
      <c r="E36" s="448">
        <f t="shared" si="12"/>
        <v>12833</v>
      </c>
      <c r="F36" s="448">
        <f t="shared" si="12"/>
        <v>0</v>
      </c>
      <c r="G36" s="448">
        <f t="shared" si="12"/>
        <v>0</v>
      </c>
      <c r="H36" s="448">
        <f t="shared" si="12"/>
        <v>71298</v>
      </c>
      <c r="I36" s="448">
        <f t="shared" si="12"/>
        <v>5253</v>
      </c>
      <c r="J36" s="448">
        <f t="shared" si="12"/>
        <v>0</v>
      </c>
      <c r="K36" s="448">
        <f t="shared" si="12"/>
        <v>0</v>
      </c>
      <c r="L36" s="448">
        <f t="shared" si="12"/>
        <v>5253</v>
      </c>
      <c r="M36" s="448">
        <f t="shared" si="12"/>
        <v>76551</v>
      </c>
      <c r="N36" s="448">
        <f t="shared" si="12"/>
        <v>0</v>
      </c>
      <c r="O36" s="448">
        <f t="shared" si="12"/>
        <v>76551</v>
      </c>
      <c r="P36" s="405">
        <f>+O36+O37</f>
        <v>156679</v>
      </c>
    </row>
    <row r="37" spans="1:16" ht="17.25" thickTop="1" thickBot="1" x14ac:dyDescent="0.3">
      <c r="A37" s="450"/>
      <c r="B37" s="449" t="s">
        <v>414</v>
      </c>
      <c r="C37" s="448">
        <f>+C25+C33+C34</f>
        <v>44645</v>
      </c>
      <c r="D37" s="448">
        <f t="shared" ref="D37:O37" si="13">+D25+D33+D34</f>
        <v>8824</v>
      </c>
      <c r="E37" s="448">
        <f t="shared" si="13"/>
        <v>21684</v>
      </c>
      <c r="F37" s="448">
        <f t="shared" si="13"/>
        <v>0</v>
      </c>
      <c r="G37" s="448">
        <f t="shared" si="13"/>
        <v>0</v>
      </c>
      <c r="H37" s="448">
        <f t="shared" si="13"/>
        <v>75153</v>
      </c>
      <c r="I37" s="448">
        <f t="shared" si="13"/>
        <v>4975</v>
      </c>
      <c r="J37" s="448">
        <f t="shared" si="13"/>
        <v>0</v>
      </c>
      <c r="K37" s="448">
        <f t="shared" si="13"/>
        <v>0</v>
      </c>
      <c r="L37" s="448">
        <f t="shared" si="13"/>
        <v>4975</v>
      </c>
      <c r="M37" s="448">
        <f t="shared" si="13"/>
        <v>80128</v>
      </c>
      <c r="N37" s="448">
        <f t="shared" si="13"/>
        <v>0</v>
      </c>
      <c r="O37" s="448">
        <f t="shared" si="13"/>
        <v>80128</v>
      </c>
    </row>
    <row r="38" spans="1:16" ht="17.25" thickTop="1" thickBot="1" x14ac:dyDescent="0.3">
      <c r="A38" s="450"/>
      <c r="B38" s="449" t="s">
        <v>447</v>
      </c>
      <c r="C38" s="448">
        <f t="shared" ref="C38:O38" si="14">SUM(C19+C35)</f>
        <v>718216</v>
      </c>
      <c r="D38" s="448">
        <f t="shared" si="14"/>
        <v>153272</v>
      </c>
      <c r="E38" s="448">
        <f t="shared" si="14"/>
        <v>242311</v>
      </c>
      <c r="F38" s="448">
        <f t="shared" si="14"/>
        <v>0</v>
      </c>
      <c r="G38" s="448">
        <f t="shared" si="14"/>
        <v>0</v>
      </c>
      <c r="H38" s="448">
        <f t="shared" si="14"/>
        <v>1113799</v>
      </c>
      <c r="I38" s="448">
        <f t="shared" si="14"/>
        <v>52471</v>
      </c>
      <c r="J38" s="448">
        <f t="shared" si="14"/>
        <v>8848</v>
      </c>
      <c r="K38" s="448">
        <f t="shared" si="14"/>
        <v>0</v>
      </c>
      <c r="L38" s="448">
        <f t="shared" si="14"/>
        <v>61319</v>
      </c>
      <c r="M38" s="448">
        <f t="shared" si="14"/>
        <v>1175118</v>
      </c>
      <c r="N38" s="448">
        <f t="shared" si="14"/>
        <v>0</v>
      </c>
      <c r="O38" s="448">
        <f t="shared" si="14"/>
        <v>1175118</v>
      </c>
    </row>
    <row r="39" spans="1:16" ht="16.5" thickTop="1" x14ac:dyDescent="0.25">
      <c r="A39" s="469" t="s">
        <v>155</v>
      </c>
      <c r="B39" s="491" t="s">
        <v>446</v>
      </c>
      <c r="C39" s="468"/>
      <c r="D39" s="486"/>
      <c r="E39" s="466"/>
      <c r="F39" s="466"/>
      <c r="G39" s="486"/>
      <c r="H39" s="463"/>
      <c r="I39" s="489"/>
      <c r="J39" s="487"/>
      <c r="K39" s="487"/>
      <c r="L39" s="463"/>
      <c r="M39" s="488"/>
      <c r="N39" s="488"/>
      <c r="O39" s="488"/>
    </row>
    <row r="40" spans="1:16" x14ac:dyDescent="0.25">
      <c r="A40" s="469"/>
      <c r="B40" s="417" t="s">
        <v>387</v>
      </c>
      <c r="C40" s="468">
        <v>66318</v>
      </c>
      <c r="D40" s="486">
        <v>13107</v>
      </c>
      <c r="E40" s="466">
        <v>15929</v>
      </c>
      <c r="F40" s="486"/>
      <c r="G40" s="466"/>
      <c r="H40" s="463">
        <f>SUM(C40:G40)</f>
        <v>95354</v>
      </c>
      <c r="I40" s="465">
        <v>26</v>
      </c>
      <c r="J40" s="464"/>
      <c r="K40" s="464"/>
      <c r="L40" s="463">
        <f>SUM(I40:K40)</f>
        <v>26</v>
      </c>
      <c r="M40" s="462">
        <f>SUM(H40+L40)</f>
        <v>95380</v>
      </c>
      <c r="N40" s="462"/>
      <c r="O40" s="488">
        <f>SUM(M40+N40)</f>
        <v>95380</v>
      </c>
    </row>
    <row r="41" spans="1:16" s="476" customFormat="1" x14ac:dyDescent="0.25">
      <c r="A41" s="485"/>
      <c r="B41" s="470" t="s">
        <v>418</v>
      </c>
      <c r="C41" s="502">
        <v>63991</v>
      </c>
      <c r="D41" s="483">
        <v>12333</v>
      </c>
      <c r="E41" s="483">
        <v>15859</v>
      </c>
      <c r="F41" s="479"/>
      <c r="G41" s="483"/>
      <c r="H41" s="463">
        <f>SUM(C41:G41)</f>
        <v>92183</v>
      </c>
      <c r="I41" s="465">
        <v>26</v>
      </c>
      <c r="J41" s="464"/>
      <c r="K41" s="464"/>
      <c r="L41" s="463">
        <f>SUM(I41:K41)</f>
        <v>26</v>
      </c>
      <c r="M41" s="462">
        <f>SUM(H41+L41)</f>
        <v>92209</v>
      </c>
      <c r="N41" s="462"/>
      <c r="O41" s="488">
        <f>SUM(M41+N41)</f>
        <v>92209</v>
      </c>
    </row>
    <row r="42" spans="1:16" s="476" customFormat="1" x14ac:dyDescent="0.25">
      <c r="A42" s="485"/>
      <c r="B42" s="470" t="s">
        <v>417</v>
      </c>
      <c r="C42" s="484">
        <v>2327</v>
      </c>
      <c r="D42" s="481">
        <v>774</v>
      </c>
      <c r="E42" s="483">
        <v>70</v>
      </c>
      <c r="F42" s="481"/>
      <c r="G42" s="483"/>
      <c r="H42" s="478">
        <f>SUM(C42:G42)</f>
        <v>3171</v>
      </c>
      <c r="I42" s="480"/>
      <c r="J42" s="479"/>
      <c r="K42" s="479"/>
      <c r="L42" s="478">
        <f>SUM(I42:K42)</f>
        <v>0</v>
      </c>
      <c r="M42" s="477">
        <f>SUM(H42+L42)</f>
        <v>3171</v>
      </c>
      <c r="N42" s="477"/>
      <c r="O42" s="593">
        <f>SUM(M42+N42)</f>
        <v>3171</v>
      </c>
    </row>
    <row r="43" spans="1:16" x14ac:dyDescent="0.25">
      <c r="A43" s="469"/>
      <c r="B43" s="470" t="s">
        <v>139</v>
      </c>
      <c r="C43" s="468"/>
      <c r="D43" s="486"/>
      <c r="E43" s="466"/>
      <c r="F43" s="486"/>
      <c r="G43" s="466"/>
      <c r="H43" s="478"/>
      <c r="I43" s="465"/>
      <c r="J43" s="464"/>
      <c r="K43" s="464"/>
      <c r="L43" s="478"/>
      <c r="M43" s="477"/>
      <c r="N43" s="462"/>
      <c r="O43" s="593"/>
    </row>
    <row r="44" spans="1:16" x14ac:dyDescent="0.25">
      <c r="A44" s="469"/>
      <c r="B44" s="417" t="s">
        <v>1034</v>
      </c>
      <c r="C44" s="468">
        <v>21</v>
      </c>
      <c r="D44" s="486">
        <v>4</v>
      </c>
      <c r="E44" s="466"/>
      <c r="F44" s="486"/>
      <c r="G44" s="466"/>
      <c r="H44" s="517">
        <f t="shared" ref="H44:H48" si="15">SUM(C44:G44)</f>
        <v>25</v>
      </c>
      <c r="I44" s="465"/>
      <c r="J44" s="464"/>
      <c r="K44" s="464"/>
      <c r="L44" s="517">
        <f t="shared" ref="L44:L48" si="16">SUM(I44:K44)</f>
        <v>0</v>
      </c>
      <c r="M44" s="516">
        <f t="shared" ref="M44:M48" si="17">SUM(H44+L44)</f>
        <v>25</v>
      </c>
      <c r="N44" s="462"/>
      <c r="O44" s="594">
        <f t="shared" ref="O44:O48" si="18">SUM(M44+N44)</f>
        <v>25</v>
      </c>
    </row>
    <row r="45" spans="1:16" x14ac:dyDescent="0.25">
      <c r="A45" s="469"/>
      <c r="B45" s="417" t="s">
        <v>1066</v>
      </c>
      <c r="C45" s="468">
        <v>91</v>
      </c>
      <c r="D45" s="486">
        <v>18</v>
      </c>
      <c r="E45" s="466"/>
      <c r="F45" s="486"/>
      <c r="G45" s="466"/>
      <c r="H45" s="517">
        <f t="shared" si="15"/>
        <v>109</v>
      </c>
      <c r="I45" s="465"/>
      <c r="J45" s="464"/>
      <c r="K45" s="464"/>
      <c r="L45" s="517">
        <f t="shared" si="16"/>
        <v>0</v>
      </c>
      <c r="M45" s="516">
        <f t="shared" si="17"/>
        <v>109</v>
      </c>
      <c r="N45" s="462"/>
      <c r="O45" s="594">
        <f t="shared" si="18"/>
        <v>109</v>
      </c>
    </row>
    <row r="46" spans="1:16" ht="31.5" x14ac:dyDescent="0.25">
      <c r="A46" s="469"/>
      <c r="B46" s="417" t="s">
        <v>766</v>
      </c>
      <c r="C46" s="468"/>
      <c r="D46" s="486"/>
      <c r="E46" s="466">
        <v>610</v>
      </c>
      <c r="F46" s="486"/>
      <c r="G46" s="466"/>
      <c r="H46" s="517">
        <f t="shared" si="15"/>
        <v>610</v>
      </c>
      <c r="I46" s="465">
        <v>420</v>
      </c>
      <c r="J46" s="464"/>
      <c r="K46" s="464"/>
      <c r="L46" s="517">
        <f t="shared" si="16"/>
        <v>420</v>
      </c>
      <c r="M46" s="516">
        <f t="shared" si="17"/>
        <v>1030</v>
      </c>
      <c r="N46" s="462"/>
      <c r="O46" s="594">
        <f t="shared" si="18"/>
        <v>1030</v>
      </c>
    </row>
    <row r="47" spans="1:16" x14ac:dyDescent="0.25">
      <c r="A47" s="469"/>
      <c r="B47" s="470" t="s">
        <v>140</v>
      </c>
      <c r="C47" s="468"/>
      <c r="D47" s="486"/>
      <c r="E47" s="466"/>
      <c r="F47" s="486"/>
      <c r="G47" s="466"/>
      <c r="H47" s="478"/>
      <c r="I47" s="465"/>
      <c r="J47" s="464"/>
      <c r="K47" s="464"/>
      <c r="L47" s="517"/>
      <c r="M47" s="516"/>
      <c r="N47" s="462"/>
      <c r="O47" s="594"/>
    </row>
    <row r="48" spans="1:16" ht="16.5" thickBot="1" x14ac:dyDescent="0.3">
      <c r="A48" s="469"/>
      <c r="B48" s="417" t="s">
        <v>1065</v>
      </c>
      <c r="C48" s="468">
        <v>436</v>
      </c>
      <c r="D48" s="486">
        <v>149</v>
      </c>
      <c r="E48" s="466"/>
      <c r="F48" s="486"/>
      <c r="G48" s="466"/>
      <c r="H48" s="517">
        <f t="shared" si="15"/>
        <v>585</v>
      </c>
      <c r="I48" s="465"/>
      <c r="J48" s="464"/>
      <c r="K48" s="464"/>
      <c r="L48" s="517">
        <f t="shared" si="16"/>
        <v>0</v>
      </c>
      <c r="M48" s="516">
        <f t="shared" si="17"/>
        <v>585</v>
      </c>
      <c r="N48" s="462"/>
      <c r="O48" s="594">
        <f t="shared" si="18"/>
        <v>585</v>
      </c>
    </row>
    <row r="49" spans="1:16" ht="17.25" thickTop="1" thickBot="1" x14ac:dyDescent="0.3">
      <c r="A49" s="450"/>
      <c r="B49" s="449" t="s">
        <v>416</v>
      </c>
      <c r="C49" s="448">
        <f>+C40+C44+C48+C45+C46</f>
        <v>66866</v>
      </c>
      <c r="D49" s="448">
        <f t="shared" ref="D49:O49" si="19">+D40+D44+D48+D45+D46</f>
        <v>13278</v>
      </c>
      <c r="E49" s="448">
        <f t="shared" si="19"/>
        <v>16539</v>
      </c>
      <c r="F49" s="448">
        <f t="shared" si="19"/>
        <v>0</v>
      </c>
      <c r="G49" s="448">
        <f t="shared" si="19"/>
        <v>0</v>
      </c>
      <c r="H49" s="448">
        <f t="shared" si="19"/>
        <v>96683</v>
      </c>
      <c r="I49" s="448">
        <f t="shared" si="19"/>
        <v>446</v>
      </c>
      <c r="J49" s="448">
        <f t="shared" si="19"/>
        <v>0</v>
      </c>
      <c r="K49" s="448">
        <f t="shared" si="19"/>
        <v>0</v>
      </c>
      <c r="L49" s="448">
        <f t="shared" si="19"/>
        <v>446</v>
      </c>
      <c r="M49" s="448">
        <f t="shared" si="19"/>
        <v>97129</v>
      </c>
      <c r="N49" s="448">
        <f t="shared" si="19"/>
        <v>0</v>
      </c>
      <c r="O49" s="448">
        <f t="shared" si="19"/>
        <v>97129</v>
      </c>
      <c r="P49" s="405">
        <f>O50+O51</f>
        <v>97129</v>
      </c>
    </row>
    <row r="50" spans="1:16" ht="17.25" thickTop="1" thickBot="1" x14ac:dyDescent="0.3">
      <c r="A50" s="450"/>
      <c r="B50" s="449" t="s">
        <v>415</v>
      </c>
      <c r="C50" s="448">
        <f t="shared" ref="C50:O50" si="20">+C41+C44+C45+C46</f>
        <v>64103</v>
      </c>
      <c r="D50" s="448">
        <f t="shared" si="20"/>
        <v>12355</v>
      </c>
      <c r="E50" s="448">
        <f t="shared" si="20"/>
        <v>16469</v>
      </c>
      <c r="F50" s="448">
        <f t="shared" si="20"/>
        <v>0</v>
      </c>
      <c r="G50" s="448">
        <f t="shared" si="20"/>
        <v>0</v>
      </c>
      <c r="H50" s="448">
        <f t="shared" si="20"/>
        <v>92927</v>
      </c>
      <c r="I50" s="448">
        <f t="shared" si="20"/>
        <v>446</v>
      </c>
      <c r="J50" s="448">
        <f t="shared" si="20"/>
        <v>0</v>
      </c>
      <c r="K50" s="448">
        <f t="shared" si="20"/>
        <v>0</v>
      </c>
      <c r="L50" s="448">
        <f t="shared" si="20"/>
        <v>446</v>
      </c>
      <c r="M50" s="448">
        <f t="shared" si="20"/>
        <v>93373</v>
      </c>
      <c r="N50" s="448">
        <f t="shared" si="20"/>
        <v>0</v>
      </c>
      <c r="O50" s="448">
        <f t="shared" si="20"/>
        <v>93373</v>
      </c>
    </row>
    <row r="51" spans="1:16" ht="17.25" thickTop="1" thickBot="1" x14ac:dyDescent="0.3">
      <c r="A51" s="450"/>
      <c r="B51" s="449" t="s">
        <v>414</v>
      </c>
      <c r="C51" s="448">
        <f>+C42+C48</f>
        <v>2763</v>
      </c>
      <c r="D51" s="448">
        <f t="shared" ref="D51:O51" si="21">+D42+D48</f>
        <v>923</v>
      </c>
      <c r="E51" s="448">
        <f t="shared" si="21"/>
        <v>70</v>
      </c>
      <c r="F51" s="448">
        <f t="shared" si="21"/>
        <v>0</v>
      </c>
      <c r="G51" s="448">
        <f t="shared" si="21"/>
        <v>0</v>
      </c>
      <c r="H51" s="448">
        <f t="shared" si="21"/>
        <v>3756</v>
      </c>
      <c r="I51" s="448">
        <f t="shared" si="21"/>
        <v>0</v>
      </c>
      <c r="J51" s="448">
        <f t="shared" si="21"/>
        <v>0</v>
      </c>
      <c r="K51" s="448">
        <f t="shared" si="21"/>
        <v>0</v>
      </c>
      <c r="L51" s="448">
        <f t="shared" si="21"/>
        <v>0</v>
      </c>
      <c r="M51" s="448">
        <f t="shared" si="21"/>
        <v>3756</v>
      </c>
      <c r="N51" s="448">
        <f t="shared" si="21"/>
        <v>0</v>
      </c>
      <c r="O51" s="448">
        <f t="shared" si="21"/>
        <v>3756</v>
      </c>
    </row>
    <row r="52" spans="1:16" ht="16.5" thickTop="1" x14ac:dyDescent="0.25">
      <c r="A52" s="469" t="s">
        <v>156</v>
      </c>
      <c r="B52" s="425" t="s">
        <v>807</v>
      </c>
      <c r="C52" s="471"/>
      <c r="D52" s="466"/>
      <c r="E52" s="466"/>
      <c r="F52" s="472"/>
      <c r="G52" s="466"/>
      <c r="H52" s="463"/>
      <c r="I52" s="465"/>
      <c r="J52" s="464"/>
      <c r="K52" s="464"/>
      <c r="L52" s="463"/>
      <c r="M52" s="463"/>
      <c r="N52" s="463"/>
      <c r="O52" s="463"/>
    </row>
    <row r="53" spans="1:16" x14ac:dyDescent="0.25">
      <c r="A53" s="469"/>
      <c r="B53" s="417" t="s">
        <v>387</v>
      </c>
      <c r="C53" s="471">
        <v>74012</v>
      </c>
      <c r="D53" s="466">
        <v>14702</v>
      </c>
      <c r="E53" s="466">
        <v>16140</v>
      </c>
      <c r="F53" s="464"/>
      <c r="G53" s="466"/>
      <c r="H53" s="463">
        <f>SUM(C53:G53)</f>
        <v>104854</v>
      </c>
      <c r="I53" s="500">
        <v>218</v>
      </c>
      <c r="J53" s="472"/>
      <c r="K53" s="472"/>
      <c r="L53" s="463">
        <f>SUM(I53:K53)</f>
        <v>218</v>
      </c>
      <c r="M53" s="462">
        <f>SUM(H53+L53)</f>
        <v>105072</v>
      </c>
      <c r="N53" s="462"/>
      <c r="O53" s="462">
        <f>SUM(M53+N53)</f>
        <v>105072</v>
      </c>
    </row>
    <row r="54" spans="1:16" s="476" customFormat="1" x14ac:dyDescent="0.25">
      <c r="A54" s="485"/>
      <c r="B54" s="470" t="s">
        <v>418</v>
      </c>
      <c r="C54" s="502">
        <v>71736</v>
      </c>
      <c r="D54" s="483">
        <v>13946</v>
      </c>
      <c r="E54" s="483">
        <v>16085</v>
      </c>
      <c r="F54" s="479"/>
      <c r="G54" s="483"/>
      <c r="H54" s="478">
        <f>SUM(C54:G54)</f>
        <v>101767</v>
      </c>
      <c r="I54" s="524">
        <v>218</v>
      </c>
      <c r="J54" s="494"/>
      <c r="K54" s="494"/>
      <c r="L54" s="478">
        <f>SUM(I54:K54)</f>
        <v>218</v>
      </c>
      <c r="M54" s="477">
        <f>SUM(H54+L54)</f>
        <v>101985</v>
      </c>
      <c r="N54" s="477"/>
      <c r="O54" s="477">
        <f>SUM(M54+N54)</f>
        <v>101985</v>
      </c>
    </row>
    <row r="55" spans="1:16" s="476" customFormat="1" x14ac:dyDescent="0.25">
      <c r="A55" s="485"/>
      <c r="B55" s="470" t="s">
        <v>417</v>
      </c>
      <c r="C55" s="502">
        <v>2276</v>
      </c>
      <c r="D55" s="483">
        <v>756</v>
      </c>
      <c r="E55" s="483">
        <v>55</v>
      </c>
      <c r="F55" s="479"/>
      <c r="G55" s="483"/>
      <c r="H55" s="478">
        <f>SUM(C55:G55)</f>
        <v>3087</v>
      </c>
      <c r="I55" s="524"/>
      <c r="J55" s="494"/>
      <c r="K55" s="494"/>
      <c r="L55" s="478">
        <f>SUM(I55:K55)</f>
        <v>0</v>
      </c>
      <c r="M55" s="477">
        <f>SUM(H55+L55)</f>
        <v>3087</v>
      </c>
      <c r="N55" s="477"/>
      <c r="O55" s="477">
        <f>SUM(M55+N55)</f>
        <v>3087</v>
      </c>
    </row>
    <row r="56" spans="1:16" s="515" customFormat="1" x14ac:dyDescent="0.25">
      <c r="A56" s="523"/>
      <c r="B56" s="470" t="s">
        <v>139</v>
      </c>
      <c r="C56" s="522"/>
      <c r="D56" s="520"/>
      <c r="E56" s="520"/>
      <c r="F56" s="521"/>
      <c r="G56" s="520"/>
      <c r="H56" s="478"/>
      <c r="I56" s="519"/>
      <c r="J56" s="518"/>
      <c r="K56" s="518"/>
      <c r="L56" s="478"/>
      <c r="M56" s="477"/>
      <c r="N56" s="516"/>
      <c r="O56" s="477"/>
    </row>
    <row r="57" spans="1:16" s="515" customFormat="1" x14ac:dyDescent="0.25">
      <c r="A57" s="523"/>
      <c r="B57" s="417" t="s">
        <v>1034</v>
      </c>
      <c r="C57" s="522">
        <v>60</v>
      </c>
      <c r="D57" s="520">
        <v>12</v>
      </c>
      <c r="E57" s="520"/>
      <c r="F57" s="521"/>
      <c r="G57" s="520"/>
      <c r="H57" s="517">
        <f t="shared" ref="H57:H63" si="22">SUM(C57:G57)</f>
        <v>72</v>
      </c>
      <c r="I57" s="519"/>
      <c r="J57" s="518"/>
      <c r="K57" s="518"/>
      <c r="L57" s="517">
        <f t="shared" ref="L57:L63" si="23">SUM(I57:K57)</f>
        <v>0</v>
      </c>
      <c r="M57" s="516">
        <f t="shared" ref="M57:M63" si="24">SUM(H57+L57)</f>
        <v>72</v>
      </c>
      <c r="N57" s="516"/>
      <c r="O57" s="516">
        <f t="shared" ref="O57:O63" si="25">SUM(M57+N57)</f>
        <v>72</v>
      </c>
    </row>
    <row r="58" spans="1:16" s="515" customFormat="1" x14ac:dyDescent="0.25">
      <c r="A58" s="523"/>
      <c r="B58" s="417" t="s">
        <v>1066</v>
      </c>
      <c r="C58" s="522">
        <v>128</v>
      </c>
      <c r="D58" s="520">
        <v>25</v>
      </c>
      <c r="E58" s="520"/>
      <c r="F58" s="521"/>
      <c r="G58" s="520"/>
      <c r="H58" s="517">
        <f t="shared" si="22"/>
        <v>153</v>
      </c>
      <c r="I58" s="519"/>
      <c r="J58" s="518"/>
      <c r="K58" s="518"/>
      <c r="L58" s="517">
        <f t="shared" si="23"/>
        <v>0</v>
      </c>
      <c r="M58" s="516">
        <f t="shared" si="24"/>
        <v>153</v>
      </c>
      <c r="N58" s="516"/>
      <c r="O58" s="516">
        <f t="shared" si="25"/>
        <v>153</v>
      </c>
    </row>
    <row r="59" spans="1:16" s="515" customFormat="1" ht="47.25" x14ac:dyDescent="0.25">
      <c r="A59" s="523"/>
      <c r="B59" s="417" t="s">
        <v>1064</v>
      </c>
      <c r="C59" s="522">
        <v>361</v>
      </c>
      <c r="D59" s="520">
        <v>70</v>
      </c>
      <c r="E59" s="520"/>
      <c r="F59" s="521"/>
      <c r="G59" s="520"/>
      <c r="H59" s="517">
        <f t="shared" si="22"/>
        <v>431</v>
      </c>
      <c r="I59" s="519"/>
      <c r="J59" s="518"/>
      <c r="K59" s="518"/>
      <c r="L59" s="517">
        <f t="shared" si="23"/>
        <v>0</v>
      </c>
      <c r="M59" s="516">
        <f t="shared" si="24"/>
        <v>431</v>
      </c>
      <c r="N59" s="516"/>
      <c r="O59" s="516">
        <f t="shared" si="25"/>
        <v>431</v>
      </c>
    </row>
    <row r="60" spans="1:16" s="515" customFormat="1" ht="31.5" x14ac:dyDescent="0.25">
      <c r="A60" s="523"/>
      <c r="B60" s="417" t="s">
        <v>766</v>
      </c>
      <c r="C60" s="522"/>
      <c r="D60" s="520"/>
      <c r="E60" s="520">
        <v>3188</v>
      </c>
      <c r="F60" s="521"/>
      <c r="G60" s="520"/>
      <c r="H60" s="517">
        <f t="shared" si="22"/>
        <v>3188</v>
      </c>
      <c r="I60" s="519"/>
      <c r="J60" s="518"/>
      <c r="K60" s="518"/>
      <c r="L60" s="517">
        <f t="shared" si="23"/>
        <v>0</v>
      </c>
      <c r="M60" s="516">
        <f t="shared" si="24"/>
        <v>3188</v>
      </c>
      <c r="N60" s="516"/>
      <c r="O60" s="516">
        <f t="shared" si="25"/>
        <v>3188</v>
      </c>
    </row>
    <row r="61" spans="1:16" s="515" customFormat="1" ht="31.5" x14ac:dyDescent="0.25">
      <c r="A61" s="523"/>
      <c r="B61" s="417" t="s">
        <v>1068</v>
      </c>
      <c r="C61" s="522"/>
      <c r="D61" s="520"/>
      <c r="E61" s="520">
        <v>-488</v>
      </c>
      <c r="F61" s="521"/>
      <c r="G61" s="520"/>
      <c r="H61" s="517">
        <f t="shared" si="22"/>
        <v>-488</v>
      </c>
      <c r="I61" s="519">
        <v>488</v>
      </c>
      <c r="J61" s="518"/>
      <c r="K61" s="518"/>
      <c r="L61" s="517">
        <f t="shared" si="23"/>
        <v>488</v>
      </c>
      <c r="M61" s="516">
        <f t="shared" si="24"/>
        <v>0</v>
      </c>
      <c r="N61" s="516"/>
      <c r="O61" s="516">
        <f t="shared" si="25"/>
        <v>0</v>
      </c>
    </row>
    <row r="62" spans="1:16" s="515" customFormat="1" x14ac:dyDescent="0.25">
      <c r="A62" s="523"/>
      <c r="B62" s="470" t="s">
        <v>140</v>
      </c>
      <c r="C62" s="522"/>
      <c r="D62" s="520"/>
      <c r="E62" s="520"/>
      <c r="F62" s="521"/>
      <c r="G62" s="520"/>
      <c r="H62" s="478"/>
      <c r="I62" s="519"/>
      <c r="J62" s="518"/>
      <c r="K62" s="518"/>
      <c r="L62" s="478"/>
      <c r="M62" s="477"/>
      <c r="N62" s="516"/>
      <c r="O62" s="477"/>
    </row>
    <row r="63" spans="1:16" s="515" customFormat="1" ht="16.5" thickBot="1" x14ac:dyDescent="0.3">
      <c r="A63" s="523"/>
      <c r="B63" s="417" t="s">
        <v>1065</v>
      </c>
      <c r="C63" s="522">
        <v>419</v>
      </c>
      <c r="D63" s="520">
        <v>143</v>
      </c>
      <c r="E63" s="520"/>
      <c r="F63" s="521"/>
      <c r="G63" s="520"/>
      <c r="H63" s="517">
        <f t="shared" si="22"/>
        <v>562</v>
      </c>
      <c r="I63" s="519"/>
      <c r="J63" s="518"/>
      <c r="K63" s="518"/>
      <c r="L63" s="517">
        <f t="shared" si="23"/>
        <v>0</v>
      </c>
      <c r="M63" s="516">
        <f t="shared" si="24"/>
        <v>562</v>
      </c>
      <c r="N63" s="516"/>
      <c r="O63" s="516">
        <f t="shared" si="25"/>
        <v>562</v>
      </c>
    </row>
    <row r="64" spans="1:16" ht="17.25" thickTop="1" thickBot="1" x14ac:dyDescent="0.3">
      <c r="A64" s="450"/>
      <c r="B64" s="449" t="s">
        <v>416</v>
      </c>
      <c r="C64" s="448">
        <f>+C53+C57+C63+C58+C59+C60+C61</f>
        <v>74980</v>
      </c>
      <c r="D64" s="448">
        <f t="shared" ref="D64:O64" si="26">+D53+D57+D63+D58+D59+D60+D61</f>
        <v>14952</v>
      </c>
      <c r="E64" s="448">
        <f t="shared" si="26"/>
        <v>18840</v>
      </c>
      <c r="F64" s="448">
        <f t="shared" si="26"/>
        <v>0</v>
      </c>
      <c r="G64" s="448">
        <f t="shared" si="26"/>
        <v>0</v>
      </c>
      <c r="H64" s="448">
        <f t="shared" si="26"/>
        <v>108772</v>
      </c>
      <c r="I64" s="448">
        <f t="shared" si="26"/>
        <v>706</v>
      </c>
      <c r="J64" s="448">
        <f t="shared" si="26"/>
        <v>0</v>
      </c>
      <c r="K64" s="448">
        <f t="shared" si="26"/>
        <v>0</v>
      </c>
      <c r="L64" s="448">
        <f t="shared" si="26"/>
        <v>706</v>
      </c>
      <c r="M64" s="448">
        <f t="shared" si="26"/>
        <v>109478</v>
      </c>
      <c r="N64" s="448">
        <f t="shared" si="26"/>
        <v>0</v>
      </c>
      <c r="O64" s="448">
        <f t="shared" si="26"/>
        <v>109478</v>
      </c>
      <c r="P64" s="405">
        <f>O65+O66</f>
        <v>109478</v>
      </c>
    </row>
    <row r="65" spans="1:16" ht="17.25" thickTop="1" thickBot="1" x14ac:dyDescent="0.3">
      <c r="A65" s="450"/>
      <c r="B65" s="449" t="s">
        <v>415</v>
      </c>
      <c r="C65" s="448">
        <f>+C54+C57+C58+C59+C60+C61</f>
        <v>72285</v>
      </c>
      <c r="D65" s="448">
        <f t="shared" ref="D65:O65" si="27">+D54+D57+D58+D59+D60+D61</f>
        <v>14053</v>
      </c>
      <c r="E65" s="448">
        <f t="shared" si="27"/>
        <v>18785</v>
      </c>
      <c r="F65" s="448">
        <f t="shared" si="27"/>
        <v>0</v>
      </c>
      <c r="G65" s="448">
        <f t="shared" si="27"/>
        <v>0</v>
      </c>
      <c r="H65" s="448">
        <f t="shared" si="27"/>
        <v>105123</v>
      </c>
      <c r="I65" s="448">
        <f t="shared" si="27"/>
        <v>706</v>
      </c>
      <c r="J65" s="448">
        <f t="shared" si="27"/>
        <v>0</v>
      </c>
      <c r="K65" s="448">
        <f t="shared" si="27"/>
        <v>0</v>
      </c>
      <c r="L65" s="448">
        <f t="shared" si="27"/>
        <v>706</v>
      </c>
      <c r="M65" s="448">
        <f t="shared" si="27"/>
        <v>105829</v>
      </c>
      <c r="N65" s="448">
        <f t="shared" si="27"/>
        <v>0</v>
      </c>
      <c r="O65" s="448">
        <f t="shared" si="27"/>
        <v>105829</v>
      </c>
    </row>
    <row r="66" spans="1:16" ht="17.25" thickTop="1" thickBot="1" x14ac:dyDescent="0.3">
      <c r="A66" s="450"/>
      <c r="B66" s="449" t="s">
        <v>414</v>
      </c>
      <c r="C66" s="448">
        <f>+C55+C63</f>
        <v>2695</v>
      </c>
      <c r="D66" s="448">
        <f t="shared" ref="D66:O66" si="28">+D55+D63</f>
        <v>899</v>
      </c>
      <c r="E66" s="448">
        <f t="shared" si="28"/>
        <v>55</v>
      </c>
      <c r="F66" s="448">
        <f t="shared" si="28"/>
        <v>0</v>
      </c>
      <c r="G66" s="448">
        <f t="shared" si="28"/>
        <v>0</v>
      </c>
      <c r="H66" s="448">
        <f t="shared" si="28"/>
        <v>3649</v>
      </c>
      <c r="I66" s="448">
        <f t="shared" si="28"/>
        <v>0</v>
      </c>
      <c r="J66" s="448">
        <f t="shared" si="28"/>
        <v>0</v>
      </c>
      <c r="K66" s="448">
        <f t="shared" si="28"/>
        <v>0</v>
      </c>
      <c r="L66" s="448">
        <f t="shared" si="28"/>
        <v>0</v>
      </c>
      <c r="M66" s="448">
        <f t="shared" si="28"/>
        <v>3649</v>
      </c>
      <c r="N66" s="448">
        <f t="shared" si="28"/>
        <v>0</v>
      </c>
      <c r="O66" s="448">
        <f t="shared" si="28"/>
        <v>3649</v>
      </c>
    </row>
    <row r="67" spans="1:16" ht="16.5" thickTop="1" x14ac:dyDescent="0.25">
      <c r="A67" s="469" t="s">
        <v>157</v>
      </c>
      <c r="B67" s="425" t="s">
        <v>445</v>
      </c>
      <c r="C67" s="471"/>
      <c r="D67" s="466"/>
      <c r="E67" s="466"/>
      <c r="F67" s="472"/>
      <c r="G67" s="466"/>
      <c r="H67" s="463"/>
      <c r="I67" s="465"/>
      <c r="J67" s="464"/>
      <c r="K67" s="464"/>
      <c r="L67" s="463"/>
      <c r="M67" s="463"/>
      <c r="N67" s="463"/>
      <c r="O67" s="463"/>
    </row>
    <row r="68" spans="1:16" x14ac:dyDescent="0.25">
      <c r="A68" s="469"/>
      <c r="B68" s="417" t="s">
        <v>387</v>
      </c>
      <c r="C68" s="471">
        <v>69919</v>
      </c>
      <c r="D68" s="466">
        <v>13812</v>
      </c>
      <c r="E68" s="466">
        <v>14002</v>
      </c>
      <c r="F68" s="464"/>
      <c r="G68" s="466"/>
      <c r="H68" s="463">
        <f>SUM(C68:G68)</f>
        <v>97733</v>
      </c>
      <c r="I68" s="465">
        <v>124</v>
      </c>
      <c r="J68" s="464"/>
      <c r="K68" s="464"/>
      <c r="L68" s="463">
        <f>SUM(I68:K68)</f>
        <v>124</v>
      </c>
      <c r="M68" s="462">
        <f>SUM(H68+L68)</f>
        <v>97857</v>
      </c>
      <c r="N68" s="462"/>
      <c r="O68" s="462">
        <f>SUM(M68+N68)</f>
        <v>97857</v>
      </c>
    </row>
    <row r="69" spans="1:16" s="476" customFormat="1" x14ac:dyDescent="0.25">
      <c r="A69" s="485"/>
      <c r="B69" s="470" t="s">
        <v>418</v>
      </c>
      <c r="C69" s="502">
        <v>67588</v>
      </c>
      <c r="D69" s="483">
        <v>13049</v>
      </c>
      <c r="E69" s="483">
        <v>13772</v>
      </c>
      <c r="F69" s="479"/>
      <c r="G69" s="483"/>
      <c r="H69" s="478">
        <f>SUM(C69:G69)</f>
        <v>94409</v>
      </c>
      <c r="I69" s="480">
        <v>124</v>
      </c>
      <c r="J69" s="479"/>
      <c r="K69" s="479"/>
      <c r="L69" s="478">
        <f>SUM(I69:K69)</f>
        <v>124</v>
      </c>
      <c r="M69" s="477">
        <f>SUM(H69+L69)</f>
        <v>94533</v>
      </c>
      <c r="N69" s="477"/>
      <c r="O69" s="477">
        <f>SUM(M69+N69)</f>
        <v>94533</v>
      </c>
    </row>
    <row r="70" spans="1:16" s="476" customFormat="1" x14ac:dyDescent="0.25">
      <c r="A70" s="485"/>
      <c r="B70" s="470" t="s">
        <v>417</v>
      </c>
      <c r="C70" s="502">
        <v>2331</v>
      </c>
      <c r="D70" s="483">
        <v>763</v>
      </c>
      <c r="E70" s="483">
        <v>230</v>
      </c>
      <c r="F70" s="479"/>
      <c r="G70" s="483"/>
      <c r="H70" s="478">
        <f>SUM(C70:G70)</f>
        <v>3324</v>
      </c>
      <c r="I70" s="480"/>
      <c r="J70" s="479"/>
      <c r="K70" s="479"/>
      <c r="L70" s="478">
        <f>SUM(I70:K70)</f>
        <v>0</v>
      </c>
      <c r="M70" s="477">
        <f>SUM(H70+L70)</f>
        <v>3324</v>
      </c>
      <c r="N70" s="477"/>
      <c r="O70" s="477">
        <f>SUM(M70+N70)</f>
        <v>3324</v>
      </c>
    </row>
    <row r="71" spans="1:16" s="476" customFormat="1" x14ac:dyDescent="0.25">
      <c r="A71" s="485"/>
      <c r="B71" s="470" t="s">
        <v>139</v>
      </c>
      <c r="C71" s="502"/>
      <c r="D71" s="483"/>
      <c r="E71" s="483"/>
      <c r="F71" s="479"/>
      <c r="G71" s="483"/>
      <c r="H71" s="478"/>
      <c r="I71" s="480"/>
      <c r="J71" s="479"/>
      <c r="K71" s="479"/>
      <c r="L71" s="478"/>
      <c r="M71" s="477"/>
      <c r="N71" s="477"/>
      <c r="O71" s="477"/>
    </row>
    <row r="72" spans="1:16" s="476" customFormat="1" x14ac:dyDescent="0.25">
      <c r="A72" s="485"/>
      <c r="B72" s="417" t="s">
        <v>1034</v>
      </c>
      <c r="C72" s="522">
        <v>39</v>
      </c>
      <c r="D72" s="520">
        <v>8</v>
      </c>
      <c r="E72" s="520"/>
      <c r="F72" s="521"/>
      <c r="G72" s="520"/>
      <c r="H72" s="517">
        <f t="shared" ref="H72:H77" si="29">SUM(C72:G72)</f>
        <v>47</v>
      </c>
      <c r="I72" s="550"/>
      <c r="J72" s="521"/>
      <c r="K72" s="521"/>
      <c r="L72" s="517">
        <f t="shared" ref="L72:L77" si="30">SUM(I72:K72)</f>
        <v>0</v>
      </c>
      <c r="M72" s="516">
        <f t="shared" ref="M72:M77" si="31">SUM(H72+L72)</f>
        <v>47</v>
      </c>
      <c r="N72" s="516"/>
      <c r="O72" s="516">
        <f t="shared" ref="O72:O77" si="32">SUM(M72+N72)</f>
        <v>47</v>
      </c>
    </row>
    <row r="73" spans="1:16" s="476" customFormat="1" x14ac:dyDescent="0.25">
      <c r="A73" s="485"/>
      <c r="B73" s="417" t="s">
        <v>1066</v>
      </c>
      <c r="C73" s="522">
        <v>145</v>
      </c>
      <c r="D73" s="520">
        <v>28</v>
      </c>
      <c r="E73" s="520"/>
      <c r="F73" s="521"/>
      <c r="G73" s="520"/>
      <c r="H73" s="517">
        <f t="shared" si="29"/>
        <v>173</v>
      </c>
      <c r="I73" s="550"/>
      <c r="J73" s="521"/>
      <c r="K73" s="521"/>
      <c r="L73" s="517">
        <f t="shared" si="30"/>
        <v>0</v>
      </c>
      <c r="M73" s="516">
        <f t="shared" si="31"/>
        <v>173</v>
      </c>
      <c r="N73" s="516"/>
      <c r="O73" s="516">
        <f t="shared" si="32"/>
        <v>173</v>
      </c>
    </row>
    <row r="74" spans="1:16" s="476" customFormat="1" ht="31.5" x14ac:dyDescent="0.25">
      <c r="A74" s="485"/>
      <c r="B74" s="417" t="s">
        <v>766</v>
      </c>
      <c r="C74" s="522"/>
      <c r="D74" s="520"/>
      <c r="E74" s="520">
        <v>207</v>
      </c>
      <c r="F74" s="521"/>
      <c r="G74" s="520"/>
      <c r="H74" s="517">
        <f t="shared" si="29"/>
        <v>207</v>
      </c>
      <c r="I74" s="550">
        <v>335</v>
      </c>
      <c r="J74" s="521"/>
      <c r="K74" s="521"/>
      <c r="L74" s="517">
        <f t="shared" si="30"/>
        <v>335</v>
      </c>
      <c r="M74" s="516">
        <f t="shared" si="31"/>
        <v>542</v>
      </c>
      <c r="N74" s="516"/>
      <c r="O74" s="516">
        <f t="shared" si="32"/>
        <v>542</v>
      </c>
    </row>
    <row r="75" spans="1:16" s="476" customFormat="1" ht="31.5" x14ac:dyDescent="0.25">
      <c r="A75" s="485"/>
      <c r="B75" s="417" t="s">
        <v>767</v>
      </c>
      <c r="C75" s="522">
        <v>-618</v>
      </c>
      <c r="D75" s="520">
        <v>618</v>
      </c>
      <c r="E75" s="520"/>
      <c r="F75" s="521"/>
      <c r="G75" s="520"/>
      <c r="H75" s="517">
        <f t="shared" si="29"/>
        <v>0</v>
      </c>
      <c r="I75" s="550"/>
      <c r="J75" s="521"/>
      <c r="K75" s="521"/>
      <c r="L75" s="517">
        <f t="shared" si="30"/>
        <v>0</v>
      </c>
      <c r="M75" s="516">
        <f t="shared" si="31"/>
        <v>0</v>
      </c>
      <c r="N75" s="516"/>
      <c r="O75" s="516">
        <f t="shared" si="32"/>
        <v>0</v>
      </c>
    </row>
    <row r="76" spans="1:16" s="476" customFormat="1" x14ac:dyDescent="0.25">
      <c r="A76" s="485"/>
      <c r="B76" s="470" t="s">
        <v>140</v>
      </c>
      <c r="C76" s="502"/>
      <c r="D76" s="483"/>
      <c r="E76" s="483"/>
      <c r="F76" s="479"/>
      <c r="G76" s="483"/>
      <c r="H76" s="478"/>
      <c r="I76" s="480"/>
      <c r="J76" s="479"/>
      <c r="K76" s="479"/>
      <c r="L76" s="478"/>
      <c r="M76" s="477"/>
      <c r="N76" s="477"/>
      <c r="O76" s="477"/>
    </row>
    <row r="77" spans="1:16" s="476" customFormat="1" ht="16.5" thickBot="1" x14ac:dyDescent="0.3">
      <c r="A77" s="485"/>
      <c r="B77" s="417" t="s">
        <v>1065</v>
      </c>
      <c r="C77" s="522">
        <v>433</v>
      </c>
      <c r="D77" s="520">
        <v>148</v>
      </c>
      <c r="E77" s="520"/>
      <c r="F77" s="521"/>
      <c r="G77" s="520"/>
      <c r="H77" s="517">
        <f t="shared" si="29"/>
        <v>581</v>
      </c>
      <c r="I77" s="550"/>
      <c r="J77" s="521"/>
      <c r="K77" s="521"/>
      <c r="L77" s="517">
        <f t="shared" si="30"/>
        <v>0</v>
      </c>
      <c r="M77" s="516">
        <f t="shared" si="31"/>
        <v>581</v>
      </c>
      <c r="N77" s="516"/>
      <c r="O77" s="516">
        <f t="shared" si="32"/>
        <v>581</v>
      </c>
    </row>
    <row r="78" spans="1:16" ht="17.25" thickTop="1" thickBot="1" x14ac:dyDescent="0.3">
      <c r="A78" s="450"/>
      <c r="B78" s="449" t="s">
        <v>416</v>
      </c>
      <c r="C78" s="448">
        <f>+C68+C72+C77+C73+C74+C75</f>
        <v>69918</v>
      </c>
      <c r="D78" s="448">
        <f t="shared" ref="D78:O78" si="33">+D68+D72+D77+D73+D74+D75</f>
        <v>14614</v>
      </c>
      <c r="E78" s="448">
        <f t="shared" si="33"/>
        <v>14209</v>
      </c>
      <c r="F78" s="448">
        <f t="shared" si="33"/>
        <v>0</v>
      </c>
      <c r="G78" s="448">
        <f t="shared" si="33"/>
        <v>0</v>
      </c>
      <c r="H78" s="448">
        <f t="shared" si="33"/>
        <v>98741</v>
      </c>
      <c r="I78" s="448">
        <f t="shared" si="33"/>
        <v>459</v>
      </c>
      <c r="J78" s="448">
        <f t="shared" si="33"/>
        <v>0</v>
      </c>
      <c r="K78" s="448">
        <f t="shared" si="33"/>
        <v>0</v>
      </c>
      <c r="L78" s="448">
        <f t="shared" si="33"/>
        <v>459</v>
      </c>
      <c r="M78" s="448">
        <f t="shared" si="33"/>
        <v>99200</v>
      </c>
      <c r="N78" s="448">
        <f t="shared" si="33"/>
        <v>0</v>
      </c>
      <c r="O78" s="448">
        <f t="shared" si="33"/>
        <v>99200</v>
      </c>
      <c r="P78" s="405">
        <f>O79+O80</f>
        <v>99200</v>
      </c>
    </row>
    <row r="79" spans="1:16" ht="17.25" thickTop="1" thickBot="1" x14ac:dyDescent="0.3">
      <c r="A79" s="450"/>
      <c r="B79" s="449" t="s">
        <v>415</v>
      </c>
      <c r="C79" s="448">
        <f t="shared" ref="C79:O79" si="34">+C69+C72+C73+C74+C75</f>
        <v>67154</v>
      </c>
      <c r="D79" s="448">
        <f t="shared" si="34"/>
        <v>13703</v>
      </c>
      <c r="E79" s="448">
        <f t="shared" si="34"/>
        <v>13979</v>
      </c>
      <c r="F79" s="448">
        <f t="shared" si="34"/>
        <v>0</v>
      </c>
      <c r="G79" s="448">
        <f t="shared" si="34"/>
        <v>0</v>
      </c>
      <c r="H79" s="448">
        <f t="shared" si="34"/>
        <v>94836</v>
      </c>
      <c r="I79" s="448">
        <f t="shared" si="34"/>
        <v>459</v>
      </c>
      <c r="J79" s="448">
        <f t="shared" si="34"/>
        <v>0</v>
      </c>
      <c r="K79" s="448">
        <f t="shared" si="34"/>
        <v>0</v>
      </c>
      <c r="L79" s="448">
        <f t="shared" si="34"/>
        <v>459</v>
      </c>
      <c r="M79" s="448">
        <f t="shared" si="34"/>
        <v>95295</v>
      </c>
      <c r="N79" s="448">
        <f t="shared" si="34"/>
        <v>0</v>
      </c>
      <c r="O79" s="448">
        <f t="shared" si="34"/>
        <v>95295</v>
      </c>
    </row>
    <row r="80" spans="1:16" ht="17.25" thickTop="1" thickBot="1" x14ac:dyDescent="0.3">
      <c r="A80" s="450"/>
      <c r="B80" s="449" t="s">
        <v>414</v>
      </c>
      <c r="C80" s="448">
        <f>+C70+C77</f>
        <v>2764</v>
      </c>
      <c r="D80" s="448">
        <f t="shared" ref="D80:O80" si="35">+D70+D77</f>
        <v>911</v>
      </c>
      <c r="E80" s="448">
        <f t="shared" si="35"/>
        <v>230</v>
      </c>
      <c r="F80" s="448">
        <f t="shared" si="35"/>
        <v>0</v>
      </c>
      <c r="G80" s="448">
        <f t="shared" si="35"/>
        <v>0</v>
      </c>
      <c r="H80" s="448">
        <f t="shared" si="35"/>
        <v>3905</v>
      </c>
      <c r="I80" s="448">
        <f t="shared" si="35"/>
        <v>0</v>
      </c>
      <c r="J80" s="448">
        <f t="shared" si="35"/>
        <v>0</v>
      </c>
      <c r="K80" s="448">
        <f t="shared" si="35"/>
        <v>0</v>
      </c>
      <c r="L80" s="448">
        <f t="shared" si="35"/>
        <v>0</v>
      </c>
      <c r="M80" s="448">
        <f t="shared" si="35"/>
        <v>3905</v>
      </c>
      <c r="N80" s="448">
        <f t="shared" si="35"/>
        <v>0</v>
      </c>
      <c r="O80" s="448">
        <f t="shared" si="35"/>
        <v>3905</v>
      </c>
    </row>
    <row r="81" spans="1:16" ht="16.5" thickTop="1" x14ac:dyDescent="0.25">
      <c r="A81" s="459" t="s">
        <v>158</v>
      </c>
      <c r="B81" s="514" t="s">
        <v>444</v>
      </c>
      <c r="C81" s="457"/>
      <c r="D81" s="456"/>
      <c r="E81" s="456"/>
      <c r="F81" s="454"/>
      <c r="G81" s="456"/>
      <c r="H81" s="453"/>
      <c r="I81" s="455"/>
      <c r="J81" s="454"/>
      <c r="K81" s="454"/>
      <c r="L81" s="453"/>
      <c r="M81" s="453"/>
      <c r="N81" s="453"/>
      <c r="O81" s="453"/>
    </row>
    <row r="82" spans="1:16" x14ac:dyDescent="0.25">
      <c r="A82" s="469"/>
      <c r="B82" s="417" t="s">
        <v>387</v>
      </c>
      <c r="C82" s="471">
        <v>40884</v>
      </c>
      <c r="D82" s="466">
        <v>8052</v>
      </c>
      <c r="E82" s="466">
        <v>7636</v>
      </c>
      <c r="F82" s="464"/>
      <c r="G82" s="466"/>
      <c r="H82" s="463">
        <f>SUM(C82:G82)</f>
        <v>56572</v>
      </c>
      <c r="I82" s="465"/>
      <c r="J82" s="464"/>
      <c r="K82" s="464"/>
      <c r="L82" s="463">
        <f>SUM(I82:K82)</f>
        <v>0</v>
      </c>
      <c r="M82" s="462">
        <f>SUM(H82+L82)</f>
        <v>56572</v>
      </c>
      <c r="N82" s="462"/>
      <c r="O82" s="462">
        <f>SUM(M82+N82)</f>
        <v>56572</v>
      </c>
    </row>
    <row r="83" spans="1:16" s="476" customFormat="1" x14ac:dyDescent="0.25">
      <c r="A83" s="485"/>
      <c r="B83" s="470" t="s">
        <v>418</v>
      </c>
      <c r="C83" s="502">
        <v>39631</v>
      </c>
      <c r="D83" s="483">
        <v>7635</v>
      </c>
      <c r="E83" s="483">
        <v>7566</v>
      </c>
      <c r="F83" s="479"/>
      <c r="G83" s="483"/>
      <c r="H83" s="478">
        <f>SUM(C83:G83)</f>
        <v>54832</v>
      </c>
      <c r="I83" s="480"/>
      <c r="J83" s="479"/>
      <c r="K83" s="479"/>
      <c r="L83" s="478">
        <f>SUM(I83:K83)</f>
        <v>0</v>
      </c>
      <c r="M83" s="477">
        <f>SUM(H83+L83)</f>
        <v>54832</v>
      </c>
      <c r="N83" s="477"/>
      <c r="O83" s="477">
        <f>SUM(M83+N83)</f>
        <v>54832</v>
      </c>
    </row>
    <row r="84" spans="1:16" s="476" customFormat="1" x14ac:dyDescent="0.25">
      <c r="A84" s="485"/>
      <c r="B84" s="470" t="s">
        <v>417</v>
      </c>
      <c r="C84" s="502">
        <v>1253</v>
      </c>
      <c r="D84" s="483">
        <v>417</v>
      </c>
      <c r="E84" s="483">
        <v>70</v>
      </c>
      <c r="F84" s="479"/>
      <c r="G84" s="483"/>
      <c r="H84" s="478">
        <f>SUM(C84:G84)</f>
        <v>1740</v>
      </c>
      <c r="I84" s="480"/>
      <c r="J84" s="479"/>
      <c r="K84" s="479"/>
      <c r="L84" s="478">
        <f>SUM(I84:K84)</f>
        <v>0</v>
      </c>
      <c r="M84" s="477">
        <f>SUM(H84+L84)</f>
        <v>1740</v>
      </c>
      <c r="N84" s="477"/>
      <c r="O84" s="477">
        <f>SUM(M84+N84)</f>
        <v>1740</v>
      </c>
    </row>
    <row r="85" spans="1:16" s="476" customFormat="1" x14ac:dyDescent="0.25">
      <c r="A85" s="485"/>
      <c r="B85" s="470" t="s">
        <v>139</v>
      </c>
      <c r="C85" s="502"/>
      <c r="D85" s="483"/>
      <c r="E85" s="483"/>
      <c r="F85" s="479"/>
      <c r="G85" s="483"/>
      <c r="H85" s="478"/>
      <c r="I85" s="480"/>
      <c r="J85" s="479"/>
      <c r="K85" s="479"/>
      <c r="L85" s="478"/>
      <c r="M85" s="477"/>
      <c r="N85" s="477"/>
      <c r="O85" s="477"/>
    </row>
    <row r="86" spans="1:16" s="476" customFormat="1" x14ac:dyDescent="0.25">
      <c r="A86" s="485"/>
      <c r="B86" s="417" t="s">
        <v>1034</v>
      </c>
      <c r="C86" s="522">
        <v>19</v>
      </c>
      <c r="D86" s="520">
        <v>4</v>
      </c>
      <c r="E86" s="520"/>
      <c r="F86" s="521"/>
      <c r="G86" s="520"/>
      <c r="H86" s="517">
        <f t="shared" ref="H86:H90" si="36">SUM(C86:G86)</f>
        <v>23</v>
      </c>
      <c r="I86" s="550"/>
      <c r="J86" s="521"/>
      <c r="K86" s="521"/>
      <c r="L86" s="517">
        <f t="shared" ref="L86:L90" si="37">SUM(I86:K86)</f>
        <v>0</v>
      </c>
      <c r="M86" s="516">
        <f t="shared" ref="M86:M90" si="38">SUM(H86+L86)</f>
        <v>23</v>
      </c>
      <c r="N86" s="516"/>
      <c r="O86" s="516">
        <f t="shared" ref="O86:O90" si="39">SUM(M86+N86)</f>
        <v>23</v>
      </c>
    </row>
    <row r="87" spans="1:16" s="476" customFormat="1" x14ac:dyDescent="0.25">
      <c r="A87" s="485"/>
      <c r="B87" s="417" t="s">
        <v>1066</v>
      </c>
      <c r="C87" s="522">
        <v>82</v>
      </c>
      <c r="D87" s="520">
        <v>16</v>
      </c>
      <c r="E87" s="520"/>
      <c r="F87" s="521"/>
      <c r="G87" s="520"/>
      <c r="H87" s="517">
        <f t="shared" si="36"/>
        <v>98</v>
      </c>
      <c r="I87" s="550"/>
      <c r="J87" s="521"/>
      <c r="K87" s="521"/>
      <c r="L87" s="517">
        <f t="shared" si="37"/>
        <v>0</v>
      </c>
      <c r="M87" s="516">
        <f t="shared" si="38"/>
        <v>98</v>
      </c>
      <c r="N87" s="516"/>
      <c r="O87" s="516">
        <f t="shared" si="39"/>
        <v>98</v>
      </c>
    </row>
    <row r="88" spans="1:16" s="476" customFormat="1" ht="31.5" x14ac:dyDescent="0.25">
      <c r="A88" s="485"/>
      <c r="B88" s="417" t="s">
        <v>766</v>
      </c>
      <c r="C88" s="522"/>
      <c r="D88" s="520"/>
      <c r="E88" s="520">
        <v>591</v>
      </c>
      <c r="F88" s="521"/>
      <c r="G88" s="520"/>
      <c r="H88" s="517">
        <f t="shared" si="36"/>
        <v>591</v>
      </c>
      <c r="I88" s="550"/>
      <c r="J88" s="521"/>
      <c r="K88" s="521"/>
      <c r="L88" s="517">
        <f t="shared" si="37"/>
        <v>0</v>
      </c>
      <c r="M88" s="516">
        <f t="shared" si="38"/>
        <v>591</v>
      </c>
      <c r="N88" s="516"/>
      <c r="O88" s="516">
        <f t="shared" si="39"/>
        <v>591</v>
      </c>
    </row>
    <row r="89" spans="1:16" s="476" customFormat="1" x14ac:dyDescent="0.25">
      <c r="A89" s="485"/>
      <c r="B89" s="470" t="s">
        <v>140</v>
      </c>
      <c r="C89" s="502"/>
      <c r="D89" s="483"/>
      <c r="E89" s="483"/>
      <c r="F89" s="479"/>
      <c r="G89" s="483"/>
      <c r="H89" s="478"/>
      <c r="I89" s="480"/>
      <c r="J89" s="479"/>
      <c r="K89" s="479"/>
      <c r="L89" s="478"/>
      <c r="M89" s="477"/>
      <c r="N89" s="477"/>
      <c r="O89" s="477"/>
    </row>
    <row r="90" spans="1:16" s="476" customFormat="1" ht="16.5" thickBot="1" x14ac:dyDescent="0.3">
      <c r="A90" s="485"/>
      <c r="B90" s="417" t="s">
        <v>1065</v>
      </c>
      <c r="C90" s="522">
        <v>233</v>
      </c>
      <c r="D90" s="520">
        <v>80</v>
      </c>
      <c r="E90" s="520"/>
      <c r="F90" s="521"/>
      <c r="G90" s="520"/>
      <c r="H90" s="517">
        <f t="shared" si="36"/>
        <v>313</v>
      </c>
      <c r="I90" s="550"/>
      <c r="J90" s="521"/>
      <c r="K90" s="521"/>
      <c r="L90" s="517">
        <f t="shared" si="37"/>
        <v>0</v>
      </c>
      <c r="M90" s="516">
        <f t="shared" si="38"/>
        <v>313</v>
      </c>
      <c r="N90" s="516"/>
      <c r="O90" s="516">
        <f t="shared" si="39"/>
        <v>313</v>
      </c>
    </row>
    <row r="91" spans="1:16" ht="17.25" thickTop="1" thickBot="1" x14ac:dyDescent="0.3">
      <c r="A91" s="450"/>
      <c r="B91" s="449" t="s">
        <v>416</v>
      </c>
      <c r="C91" s="448">
        <f>+C82+C86+C90+C87+C88</f>
        <v>41218</v>
      </c>
      <c r="D91" s="448">
        <f t="shared" ref="D91:O91" si="40">+D82+D86+D90+D87+D88</f>
        <v>8152</v>
      </c>
      <c r="E91" s="448">
        <f t="shared" si="40"/>
        <v>8227</v>
      </c>
      <c r="F91" s="448">
        <f t="shared" si="40"/>
        <v>0</v>
      </c>
      <c r="G91" s="448">
        <f t="shared" si="40"/>
        <v>0</v>
      </c>
      <c r="H91" s="448">
        <f t="shared" si="40"/>
        <v>57597</v>
      </c>
      <c r="I91" s="448">
        <f t="shared" si="40"/>
        <v>0</v>
      </c>
      <c r="J91" s="448">
        <f t="shared" si="40"/>
        <v>0</v>
      </c>
      <c r="K91" s="448">
        <f t="shared" si="40"/>
        <v>0</v>
      </c>
      <c r="L91" s="448">
        <f t="shared" si="40"/>
        <v>0</v>
      </c>
      <c r="M91" s="448">
        <f t="shared" si="40"/>
        <v>57597</v>
      </c>
      <c r="N91" s="448">
        <f t="shared" si="40"/>
        <v>0</v>
      </c>
      <c r="O91" s="448">
        <f t="shared" si="40"/>
        <v>57597</v>
      </c>
      <c r="P91" s="405">
        <f>O92+O93</f>
        <v>57597</v>
      </c>
    </row>
    <row r="92" spans="1:16" ht="17.25" thickTop="1" thickBot="1" x14ac:dyDescent="0.3">
      <c r="A92" s="450"/>
      <c r="B92" s="449" t="s">
        <v>415</v>
      </c>
      <c r="C92" s="448">
        <f>+C83+C86+C87+C88</f>
        <v>39732</v>
      </c>
      <c r="D92" s="448">
        <f t="shared" ref="D92:O92" si="41">+D83+D86+D87+D88</f>
        <v>7655</v>
      </c>
      <c r="E92" s="448">
        <f t="shared" si="41"/>
        <v>8157</v>
      </c>
      <c r="F92" s="448">
        <f t="shared" si="41"/>
        <v>0</v>
      </c>
      <c r="G92" s="448">
        <f t="shared" si="41"/>
        <v>0</v>
      </c>
      <c r="H92" s="448">
        <f t="shared" si="41"/>
        <v>55544</v>
      </c>
      <c r="I92" s="448">
        <f t="shared" si="41"/>
        <v>0</v>
      </c>
      <c r="J92" s="448">
        <f t="shared" si="41"/>
        <v>0</v>
      </c>
      <c r="K92" s="448">
        <f t="shared" si="41"/>
        <v>0</v>
      </c>
      <c r="L92" s="448">
        <f t="shared" si="41"/>
        <v>0</v>
      </c>
      <c r="M92" s="448">
        <f t="shared" si="41"/>
        <v>55544</v>
      </c>
      <c r="N92" s="448">
        <f t="shared" si="41"/>
        <v>0</v>
      </c>
      <c r="O92" s="448">
        <f t="shared" si="41"/>
        <v>55544</v>
      </c>
    </row>
    <row r="93" spans="1:16" ht="17.25" thickTop="1" thickBot="1" x14ac:dyDescent="0.3">
      <c r="A93" s="450"/>
      <c r="B93" s="449" t="s">
        <v>414</v>
      </c>
      <c r="C93" s="448">
        <f>+C84+C90</f>
        <v>1486</v>
      </c>
      <c r="D93" s="448">
        <f t="shared" ref="D93:O93" si="42">+D84+D90</f>
        <v>497</v>
      </c>
      <c r="E93" s="448">
        <f t="shared" si="42"/>
        <v>70</v>
      </c>
      <c r="F93" s="448">
        <f t="shared" si="42"/>
        <v>0</v>
      </c>
      <c r="G93" s="448">
        <f t="shared" si="42"/>
        <v>0</v>
      </c>
      <c r="H93" s="448">
        <f t="shared" si="42"/>
        <v>2053</v>
      </c>
      <c r="I93" s="448">
        <f t="shared" si="42"/>
        <v>0</v>
      </c>
      <c r="J93" s="448">
        <f t="shared" si="42"/>
        <v>0</v>
      </c>
      <c r="K93" s="448">
        <f t="shared" si="42"/>
        <v>0</v>
      </c>
      <c r="L93" s="448">
        <f t="shared" si="42"/>
        <v>0</v>
      </c>
      <c r="M93" s="448">
        <f t="shared" si="42"/>
        <v>2053</v>
      </c>
      <c r="N93" s="448">
        <f t="shared" si="42"/>
        <v>0</v>
      </c>
      <c r="O93" s="448">
        <f t="shared" si="42"/>
        <v>2053</v>
      </c>
    </row>
    <row r="94" spans="1:16" ht="16.5" thickTop="1" x14ac:dyDescent="0.25">
      <c r="A94" s="469"/>
      <c r="B94" s="425" t="s">
        <v>808</v>
      </c>
      <c r="C94" s="471"/>
      <c r="D94" s="466"/>
      <c r="E94" s="466"/>
      <c r="F94" s="472"/>
      <c r="G94" s="466"/>
      <c r="H94" s="463"/>
      <c r="I94" s="465"/>
      <c r="J94" s="464"/>
      <c r="K94" s="464"/>
      <c r="L94" s="463"/>
      <c r="M94" s="463"/>
      <c r="N94" s="463"/>
      <c r="O94" s="463"/>
    </row>
    <row r="95" spans="1:16" x14ac:dyDescent="0.25">
      <c r="A95" s="469" t="s">
        <v>159</v>
      </c>
      <c r="B95" s="417" t="s">
        <v>387</v>
      </c>
      <c r="C95" s="471">
        <v>90636</v>
      </c>
      <c r="D95" s="466">
        <v>19459</v>
      </c>
      <c r="E95" s="466">
        <v>21351</v>
      </c>
      <c r="F95" s="464"/>
      <c r="G95" s="466"/>
      <c r="H95" s="463">
        <f>SUM(C95:G95)</f>
        <v>131446</v>
      </c>
      <c r="I95" s="465">
        <v>719</v>
      </c>
      <c r="J95" s="464"/>
      <c r="K95" s="464"/>
      <c r="L95" s="463">
        <f>SUM(I95:K95)</f>
        <v>719</v>
      </c>
      <c r="M95" s="462">
        <f>SUM(H95+L95)</f>
        <v>132165</v>
      </c>
      <c r="N95" s="462"/>
      <c r="O95" s="462">
        <f>SUM(M95+N95)</f>
        <v>132165</v>
      </c>
    </row>
    <row r="96" spans="1:16" s="476" customFormat="1" x14ac:dyDescent="0.25">
      <c r="A96" s="485"/>
      <c r="B96" s="470" t="s">
        <v>418</v>
      </c>
      <c r="C96" s="502">
        <v>87992</v>
      </c>
      <c r="D96" s="483">
        <v>18581</v>
      </c>
      <c r="E96" s="483">
        <v>21296</v>
      </c>
      <c r="F96" s="479"/>
      <c r="G96" s="483"/>
      <c r="H96" s="478">
        <f>SUM(C96:G96)</f>
        <v>127869</v>
      </c>
      <c r="I96" s="480">
        <v>719</v>
      </c>
      <c r="J96" s="479"/>
      <c r="K96" s="479"/>
      <c r="L96" s="478">
        <f>SUM(I96:K96)</f>
        <v>719</v>
      </c>
      <c r="M96" s="477">
        <f>SUM(H96+L96)</f>
        <v>128588</v>
      </c>
      <c r="N96" s="477"/>
      <c r="O96" s="477">
        <f>SUM(M96+N96)</f>
        <v>128588</v>
      </c>
    </row>
    <row r="97" spans="1:16" s="476" customFormat="1" x14ac:dyDescent="0.25">
      <c r="A97" s="485"/>
      <c r="B97" s="470" t="s">
        <v>417</v>
      </c>
      <c r="C97" s="502">
        <v>2644</v>
      </c>
      <c r="D97" s="483">
        <v>878</v>
      </c>
      <c r="E97" s="483">
        <v>55</v>
      </c>
      <c r="F97" s="479"/>
      <c r="G97" s="483"/>
      <c r="H97" s="478">
        <f>SUM(C97:G97)</f>
        <v>3577</v>
      </c>
      <c r="I97" s="480"/>
      <c r="J97" s="479"/>
      <c r="K97" s="479"/>
      <c r="L97" s="478">
        <f>SUM(I97:K97)</f>
        <v>0</v>
      </c>
      <c r="M97" s="477">
        <f>SUM(H97+L97)</f>
        <v>3577</v>
      </c>
      <c r="N97" s="477"/>
      <c r="O97" s="477">
        <f>SUM(M97+N97)</f>
        <v>3577</v>
      </c>
    </row>
    <row r="98" spans="1:16" s="476" customFormat="1" x14ac:dyDescent="0.25">
      <c r="A98" s="485"/>
      <c r="B98" s="470" t="s">
        <v>139</v>
      </c>
      <c r="C98" s="502"/>
      <c r="D98" s="483"/>
      <c r="E98" s="483"/>
      <c r="F98" s="479"/>
      <c r="G98" s="483"/>
      <c r="H98" s="478"/>
      <c r="I98" s="480"/>
      <c r="J98" s="479"/>
      <c r="K98" s="479"/>
      <c r="L98" s="478"/>
      <c r="M98" s="477"/>
      <c r="N98" s="477"/>
      <c r="O98" s="477"/>
    </row>
    <row r="99" spans="1:16" s="515" customFormat="1" x14ac:dyDescent="0.25">
      <c r="A99" s="523"/>
      <c r="B99" s="417" t="s">
        <v>1034</v>
      </c>
      <c r="C99" s="522">
        <v>132</v>
      </c>
      <c r="D99" s="520">
        <v>26</v>
      </c>
      <c r="E99" s="520"/>
      <c r="F99" s="521"/>
      <c r="G99" s="520"/>
      <c r="H99" s="517">
        <f t="shared" ref="H99:H103" si="43">SUM(C99:G99)</f>
        <v>158</v>
      </c>
      <c r="I99" s="550"/>
      <c r="J99" s="521"/>
      <c r="K99" s="521"/>
      <c r="L99" s="517">
        <f t="shared" ref="L99:L103" si="44">SUM(I99:K99)</f>
        <v>0</v>
      </c>
      <c r="M99" s="516">
        <f t="shared" ref="M99:M103" si="45">SUM(H99+L99)</f>
        <v>158</v>
      </c>
      <c r="N99" s="516"/>
      <c r="O99" s="516">
        <f t="shared" ref="O99:O103" si="46">SUM(M99+N99)</f>
        <v>158</v>
      </c>
    </row>
    <row r="100" spans="1:16" s="515" customFormat="1" x14ac:dyDescent="0.25">
      <c r="A100" s="523"/>
      <c r="B100" s="417" t="s">
        <v>1066</v>
      </c>
      <c r="C100" s="522">
        <v>134</v>
      </c>
      <c r="D100" s="520">
        <v>26</v>
      </c>
      <c r="E100" s="520"/>
      <c r="F100" s="521"/>
      <c r="G100" s="520"/>
      <c r="H100" s="517">
        <f t="shared" si="43"/>
        <v>160</v>
      </c>
      <c r="I100" s="550"/>
      <c r="J100" s="521"/>
      <c r="K100" s="521"/>
      <c r="L100" s="517">
        <f t="shared" si="44"/>
        <v>0</v>
      </c>
      <c r="M100" s="516">
        <f t="shared" si="45"/>
        <v>160</v>
      </c>
      <c r="N100" s="516"/>
      <c r="O100" s="516">
        <f t="shared" si="46"/>
        <v>160</v>
      </c>
    </row>
    <row r="101" spans="1:16" s="515" customFormat="1" ht="31.5" x14ac:dyDescent="0.25">
      <c r="A101" s="549"/>
      <c r="B101" s="425" t="s">
        <v>766</v>
      </c>
      <c r="C101" s="522"/>
      <c r="D101" s="520"/>
      <c r="E101" s="520">
        <v>2131</v>
      </c>
      <c r="F101" s="521"/>
      <c r="G101" s="520"/>
      <c r="H101" s="517">
        <f t="shared" si="43"/>
        <v>2131</v>
      </c>
      <c r="I101" s="550">
        <v>38</v>
      </c>
      <c r="J101" s="521"/>
      <c r="K101" s="521"/>
      <c r="L101" s="517">
        <f t="shared" si="44"/>
        <v>38</v>
      </c>
      <c r="M101" s="517">
        <f t="shared" si="45"/>
        <v>2169</v>
      </c>
      <c r="N101" s="517"/>
      <c r="O101" s="517">
        <f t="shared" si="46"/>
        <v>2169</v>
      </c>
    </row>
    <row r="102" spans="1:16" s="476" customFormat="1" x14ac:dyDescent="0.25">
      <c r="A102" s="503"/>
      <c r="B102" s="474" t="s">
        <v>140</v>
      </c>
      <c r="C102" s="502"/>
      <c r="D102" s="483"/>
      <c r="E102" s="483"/>
      <c r="F102" s="479"/>
      <c r="G102" s="483"/>
      <c r="H102" s="478"/>
      <c r="I102" s="480"/>
      <c r="J102" s="479"/>
      <c r="K102" s="479"/>
      <c r="L102" s="478"/>
      <c r="M102" s="478"/>
      <c r="N102" s="478"/>
      <c r="O102" s="478"/>
    </row>
    <row r="103" spans="1:16" s="515" customFormat="1" ht="16.5" thickBot="1" x14ac:dyDescent="0.3">
      <c r="A103" s="523"/>
      <c r="B103" s="417" t="s">
        <v>1065</v>
      </c>
      <c r="C103" s="522">
        <v>497</v>
      </c>
      <c r="D103" s="520">
        <v>170</v>
      </c>
      <c r="E103" s="520"/>
      <c r="F103" s="521"/>
      <c r="G103" s="520"/>
      <c r="H103" s="517">
        <f t="shared" si="43"/>
        <v>667</v>
      </c>
      <c r="I103" s="550"/>
      <c r="J103" s="521"/>
      <c r="K103" s="521"/>
      <c r="L103" s="517">
        <f t="shared" si="44"/>
        <v>0</v>
      </c>
      <c r="M103" s="516">
        <f t="shared" si="45"/>
        <v>667</v>
      </c>
      <c r="N103" s="516"/>
      <c r="O103" s="516">
        <f t="shared" si="46"/>
        <v>667</v>
      </c>
    </row>
    <row r="104" spans="1:16" ht="17.25" thickTop="1" thickBot="1" x14ac:dyDescent="0.3">
      <c r="A104" s="450"/>
      <c r="B104" s="449" t="s">
        <v>416</v>
      </c>
      <c r="C104" s="448">
        <f>+C95+C99+C103+C100+C101</f>
        <v>91399</v>
      </c>
      <c r="D104" s="448">
        <f t="shared" ref="D104:O104" si="47">+D95+D99+D103+D100+D101</f>
        <v>19681</v>
      </c>
      <c r="E104" s="448">
        <f t="shared" si="47"/>
        <v>23482</v>
      </c>
      <c r="F104" s="448">
        <f t="shared" si="47"/>
        <v>0</v>
      </c>
      <c r="G104" s="448">
        <f t="shared" si="47"/>
        <v>0</v>
      </c>
      <c r="H104" s="448">
        <f t="shared" si="47"/>
        <v>134562</v>
      </c>
      <c r="I104" s="448">
        <f t="shared" si="47"/>
        <v>757</v>
      </c>
      <c r="J104" s="448">
        <f t="shared" si="47"/>
        <v>0</v>
      </c>
      <c r="K104" s="448">
        <f t="shared" si="47"/>
        <v>0</v>
      </c>
      <c r="L104" s="448">
        <f t="shared" si="47"/>
        <v>757</v>
      </c>
      <c r="M104" s="448">
        <f t="shared" si="47"/>
        <v>135319</v>
      </c>
      <c r="N104" s="448">
        <f t="shared" si="47"/>
        <v>0</v>
      </c>
      <c r="O104" s="448">
        <f t="shared" si="47"/>
        <v>135319</v>
      </c>
      <c r="P104" s="405">
        <f>O105+O106</f>
        <v>135319</v>
      </c>
    </row>
    <row r="105" spans="1:16" ht="17.25" thickTop="1" thickBot="1" x14ac:dyDescent="0.3">
      <c r="A105" s="450"/>
      <c r="B105" s="449" t="s">
        <v>415</v>
      </c>
      <c r="C105" s="448">
        <f>+C96+C99+C100+C101</f>
        <v>88258</v>
      </c>
      <c r="D105" s="448">
        <f t="shared" ref="D105:O105" si="48">+D96+D99+D100+D101</f>
        <v>18633</v>
      </c>
      <c r="E105" s="448">
        <f t="shared" si="48"/>
        <v>23427</v>
      </c>
      <c r="F105" s="448">
        <f t="shared" si="48"/>
        <v>0</v>
      </c>
      <c r="G105" s="448">
        <f t="shared" si="48"/>
        <v>0</v>
      </c>
      <c r="H105" s="448">
        <f t="shared" si="48"/>
        <v>130318</v>
      </c>
      <c r="I105" s="448">
        <f t="shared" si="48"/>
        <v>757</v>
      </c>
      <c r="J105" s="448">
        <f t="shared" si="48"/>
        <v>0</v>
      </c>
      <c r="K105" s="448">
        <f t="shared" si="48"/>
        <v>0</v>
      </c>
      <c r="L105" s="448">
        <f t="shared" si="48"/>
        <v>757</v>
      </c>
      <c r="M105" s="448">
        <f t="shared" si="48"/>
        <v>131075</v>
      </c>
      <c r="N105" s="448">
        <f t="shared" si="48"/>
        <v>0</v>
      </c>
      <c r="O105" s="448">
        <f t="shared" si="48"/>
        <v>131075</v>
      </c>
    </row>
    <row r="106" spans="1:16" ht="17.25" thickTop="1" thickBot="1" x14ac:dyDescent="0.3">
      <c r="A106" s="450"/>
      <c r="B106" s="449" t="s">
        <v>414</v>
      </c>
      <c r="C106" s="448">
        <f>+C97+C103</f>
        <v>3141</v>
      </c>
      <c r="D106" s="448">
        <f t="shared" ref="D106:O106" si="49">+D97+D103</f>
        <v>1048</v>
      </c>
      <c r="E106" s="448">
        <f t="shared" si="49"/>
        <v>55</v>
      </c>
      <c r="F106" s="448">
        <f t="shared" si="49"/>
        <v>0</v>
      </c>
      <c r="G106" s="448">
        <f t="shared" si="49"/>
        <v>0</v>
      </c>
      <c r="H106" s="448">
        <f t="shared" si="49"/>
        <v>4244</v>
      </c>
      <c r="I106" s="448">
        <f t="shared" si="49"/>
        <v>0</v>
      </c>
      <c r="J106" s="448">
        <f t="shared" si="49"/>
        <v>0</v>
      </c>
      <c r="K106" s="448">
        <f t="shared" si="49"/>
        <v>0</v>
      </c>
      <c r="L106" s="448">
        <f t="shared" si="49"/>
        <v>0</v>
      </c>
      <c r="M106" s="448">
        <f t="shared" si="49"/>
        <v>4244</v>
      </c>
      <c r="N106" s="448">
        <f t="shared" si="49"/>
        <v>0</v>
      </c>
      <c r="O106" s="448">
        <f t="shared" si="49"/>
        <v>4244</v>
      </c>
    </row>
    <row r="107" spans="1:16" ht="16.5" thickTop="1" x14ac:dyDescent="0.25">
      <c r="A107" s="469" t="s">
        <v>160</v>
      </c>
      <c r="B107" s="425" t="s">
        <v>809</v>
      </c>
      <c r="C107" s="471"/>
      <c r="D107" s="466"/>
      <c r="E107" s="466"/>
      <c r="F107" s="472"/>
      <c r="G107" s="466"/>
      <c r="H107" s="463"/>
      <c r="I107" s="465"/>
      <c r="J107" s="464"/>
      <c r="K107" s="464"/>
      <c r="L107" s="463"/>
      <c r="M107" s="463"/>
      <c r="N107" s="463"/>
      <c r="O107" s="463"/>
    </row>
    <row r="108" spans="1:16" x14ac:dyDescent="0.25">
      <c r="A108" s="469"/>
      <c r="B108" s="417" t="s">
        <v>387</v>
      </c>
      <c r="C108" s="471">
        <v>80816</v>
      </c>
      <c r="D108" s="466">
        <v>17577</v>
      </c>
      <c r="E108" s="466">
        <v>22783</v>
      </c>
      <c r="F108" s="464"/>
      <c r="G108" s="466"/>
      <c r="H108" s="463">
        <f>SUM(C108:G108)</f>
        <v>121176</v>
      </c>
      <c r="I108" s="465">
        <v>271</v>
      </c>
      <c r="J108" s="464"/>
      <c r="K108" s="464"/>
      <c r="L108" s="463">
        <f>SUM(I108:K108)</f>
        <v>271</v>
      </c>
      <c r="M108" s="462">
        <f>SUM(H108+L108)</f>
        <v>121447</v>
      </c>
      <c r="N108" s="462"/>
      <c r="O108" s="462">
        <f>SUM(M108+N108)</f>
        <v>121447</v>
      </c>
    </row>
    <row r="109" spans="1:16" s="476" customFormat="1" x14ac:dyDescent="0.25">
      <c r="A109" s="485"/>
      <c r="B109" s="470" t="s">
        <v>418</v>
      </c>
      <c r="C109" s="502">
        <v>78067</v>
      </c>
      <c r="D109" s="483">
        <v>16685</v>
      </c>
      <c r="E109" s="483">
        <v>22728</v>
      </c>
      <c r="F109" s="479"/>
      <c r="G109" s="483"/>
      <c r="H109" s="478">
        <f>SUM(C109:G109)</f>
        <v>117480</v>
      </c>
      <c r="I109" s="480">
        <v>271</v>
      </c>
      <c r="J109" s="479"/>
      <c r="K109" s="479"/>
      <c r="L109" s="478">
        <f>SUM(I109:K109)</f>
        <v>271</v>
      </c>
      <c r="M109" s="477">
        <f>SUM(H109+L109)</f>
        <v>117751</v>
      </c>
      <c r="N109" s="477"/>
      <c r="O109" s="477">
        <f>SUM(M109+N109)</f>
        <v>117751</v>
      </c>
    </row>
    <row r="110" spans="1:16" s="476" customFormat="1" x14ac:dyDescent="0.25">
      <c r="A110" s="485"/>
      <c r="B110" s="470" t="s">
        <v>417</v>
      </c>
      <c r="C110" s="502">
        <v>2749</v>
      </c>
      <c r="D110" s="483">
        <v>892</v>
      </c>
      <c r="E110" s="483">
        <v>55</v>
      </c>
      <c r="F110" s="479"/>
      <c r="G110" s="483"/>
      <c r="H110" s="478">
        <f>SUM(C110:G110)</f>
        <v>3696</v>
      </c>
      <c r="I110" s="480"/>
      <c r="J110" s="479"/>
      <c r="K110" s="479"/>
      <c r="L110" s="478">
        <f>SUM(I110:K110)</f>
        <v>0</v>
      </c>
      <c r="M110" s="477">
        <f>SUM(H110+L110)</f>
        <v>3696</v>
      </c>
      <c r="N110" s="477"/>
      <c r="O110" s="477">
        <f>SUM(M110+N110)</f>
        <v>3696</v>
      </c>
    </row>
    <row r="111" spans="1:16" s="476" customFormat="1" x14ac:dyDescent="0.25">
      <c r="A111" s="485"/>
      <c r="B111" s="470" t="s">
        <v>139</v>
      </c>
      <c r="C111" s="502"/>
      <c r="D111" s="483"/>
      <c r="E111" s="483"/>
      <c r="F111" s="479"/>
      <c r="G111" s="483"/>
      <c r="H111" s="478"/>
      <c r="I111" s="480"/>
      <c r="J111" s="479"/>
      <c r="K111" s="479"/>
      <c r="L111" s="478"/>
      <c r="M111" s="477"/>
      <c r="N111" s="477"/>
      <c r="O111" s="477"/>
    </row>
    <row r="112" spans="1:16" s="476" customFormat="1" x14ac:dyDescent="0.25">
      <c r="A112" s="485"/>
      <c r="B112" s="417" t="s">
        <v>1034</v>
      </c>
      <c r="C112" s="522">
        <v>28</v>
      </c>
      <c r="D112" s="520">
        <v>5</v>
      </c>
      <c r="E112" s="520"/>
      <c r="F112" s="479"/>
      <c r="G112" s="483"/>
      <c r="H112" s="517">
        <f t="shared" ref="H112:H117" si="50">SUM(C112:G112)</f>
        <v>33</v>
      </c>
      <c r="I112" s="480"/>
      <c r="J112" s="479"/>
      <c r="K112" s="479"/>
      <c r="L112" s="517">
        <f t="shared" ref="L112:L117" si="51">SUM(I112:K112)</f>
        <v>0</v>
      </c>
      <c r="M112" s="516">
        <f t="shared" ref="M112:M117" si="52">SUM(H112+L112)</f>
        <v>33</v>
      </c>
      <c r="N112" s="477"/>
      <c r="O112" s="516">
        <f t="shared" ref="O112:O117" si="53">SUM(M112+N112)</f>
        <v>33</v>
      </c>
    </row>
    <row r="113" spans="1:16" s="476" customFormat="1" x14ac:dyDescent="0.25">
      <c r="A113" s="485"/>
      <c r="B113" s="417" t="s">
        <v>1066</v>
      </c>
      <c r="C113" s="522">
        <v>104</v>
      </c>
      <c r="D113" s="520">
        <v>20</v>
      </c>
      <c r="E113" s="520"/>
      <c r="F113" s="479"/>
      <c r="G113" s="483"/>
      <c r="H113" s="517">
        <f t="shared" si="50"/>
        <v>124</v>
      </c>
      <c r="I113" s="480"/>
      <c r="J113" s="479"/>
      <c r="K113" s="479"/>
      <c r="L113" s="517">
        <f t="shared" si="51"/>
        <v>0</v>
      </c>
      <c r="M113" s="516">
        <f t="shared" si="52"/>
        <v>124</v>
      </c>
      <c r="N113" s="477"/>
      <c r="O113" s="516">
        <f t="shared" si="53"/>
        <v>124</v>
      </c>
    </row>
    <row r="114" spans="1:16" s="476" customFormat="1" ht="47.25" x14ac:dyDescent="0.25">
      <c r="A114" s="485"/>
      <c r="B114" s="417" t="s">
        <v>1064</v>
      </c>
      <c r="C114" s="522">
        <v>21</v>
      </c>
      <c r="D114" s="520">
        <v>4</v>
      </c>
      <c r="E114" s="520"/>
      <c r="F114" s="479"/>
      <c r="G114" s="483"/>
      <c r="H114" s="517">
        <f t="shared" si="50"/>
        <v>25</v>
      </c>
      <c r="I114" s="480"/>
      <c r="J114" s="479"/>
      <c r="K114" s="479"/>
      <c r="L114" s="517">
        <f t="shared" si="51"/>
        <v>0</v>
      </c>
      <c r="M114" s="516">
        <f t="shared" si="52"/>
        <v>25</v>
      </c>
      <c r="N114" s="477"/>
      <c r="O114" s="516">
        <f t="shared" si="53"/>
        <v>25</v>
      </c>
    </row>
    <row r="115" spans="1:16" s="476" customFormat="1" ht="31.5" x14ac:dyDescent="0.25">
      <c r="A115" s="485"/>
      <c r="B115" s="417" t="s">
        <v>766</v>
      </c>
      <c r="C115" s="522"/>
      <c r="D115" s="520"/>
      <c r="E115" s="520">
        <v>1138</v>
      </c>
      <c r="F115" s="479"/>
      <c r="G115" s="483"/>
      <c r="H115" s="517">
        <f t="shared" si="50"/>
        <v>1138</v>
      </c>
      <c r="I115" s="550">
        <v>101</v>
      </c>
      <c r="J115" s="479"/>
      <c r="K115" s="479"/>
      <c r="L115" s="517">
        <f t="shared" si="51"/>
        <v>101</v>
      </c>
      <c r="M115" s="516">
        <f t="shared" si="52"/>
        <v>1239</v>
      </c>
      <c r="N115" s="477"/>
      <c r="O115" s="516">
        <f t="shared" si="53"/>
        <v>1239</v>
      </c>
    </row>
    <row r="116" spans="1:16" s="476" customFormat="1" x14ac:dyDescent="0.25">
      <c r="A116" s="485"/>
      <c r="B116" s="470" t="s">
        <v>140</v>
      </c>
      <c r="C116" s="522"/>
      <c r="D116" s="520"/>
      <c r="E116" s="520"/>
      <c r="F116" s="479"/>
      <c r="G116" s="483"/>
      <c r="H116" s="517"/>
      <c r="I116" s="480"/>
      <c r="J116" s="479"/>
      <c r="K116" s="479"/>
      <c r="L116" s="517"/>
      <c r="M116" s="516"/>
      <c r="N116" s="477"/>
      <c r="O116" s="516"/>
    </row>
    <row r="117" spans="1:16" s="476" customFormat="1" ht="16.5" thickBot="1" x14ac:dyDescent="0.3">
      <c r="A117" s="485"/>
      <c r="B117" s="417" t="s">
        <v>1065</v>
      </c>
      <c r="C117" s="522">
        <v>416</v>
      </c>
      <c r="D117" s="520">
        <v>143</v>
      </c>
      <c r="E117" s="520"/>
      <c r="F117" s="479"/>
      <c r="G117" s="483"/>
      <c r="H117" s="517">
        <f t="shared" si="50"/>
        <v>559</v>
      </c>
      <c r="I117" s="480"/>
      <c r="J117" s="479"/>
      <c r="K117" s="479"/>
      <c r="L117" s="517">
        <f t="shared" si="51"/>
        <v>0</v>
      </c>
      <c r="M117" s="516">
        <f t="shared" si="52"/>
        <v>559</v>
      </c>
      <c r="N117" s="477"/>
      <c r="O117" s="516">
        <f t="shared" si="53"/>
        <v>559</v>
      </c>
    </row>
    <row r="118" spans="1:16" ht="17.25" thickTop="1" thickBot="1" x14ac:dyDescent="0.3">
      <c r="A118" s="450"/>
      <c r="B118" s="449" t="s">
        <v>416</v>
      </c>
      <c r="C118" s="448">
        <f>+C108+C112+C117+C113+C114+C115</f>
        <v>81385</v>
      </c>
      <c r="D118" s="448">
        <f t="shared" ref="D118:O118" si="54">+D108+D112+D117+D113+D114+D115</f>
        <v>17749</v>
      </c>
      <c r="E118" s="448">
        <f t="shared" si="54"/>
        <v>23921</v>
      </c>
      <c r="F118" s="448">
        <f t="shared" si="54"/>
        <v>0</v>
      </c>
      <c r="G118" s="448">
        <f t="shared" si="54"/>
        <v>0</v>
      </c>
      <c r="H118" s="448">
        <f t="shared" si="54"/>
        <v>123055</v>
      </c>
      <c r="I118" s="448">
        <f t="shared" si="54"/>
        <v>372</v>
      </c>
      <c r="J118" s="448">
        <f t="shared" si="54"/>
        <v>0</v>
      </c>
      <c r="K118" s="448">
        <f t="shared" si="54"/>
        <v>0</v>
      </c>
      <c r="L118" s="448">
        <f t="shared" si="54"/>
        <v>372</v>
      </c>
      <c r="M118" s="448">
        <f t="shared" si="54"/>
        <v>123427</v>
      </c>
      <c r="N118" s="448">
        <f t="shared" si="54"/>
        <v>0</v>
      </c>
      <c r="O118" s="448">
        <f t="shared" si="54"/>
        <v>123427</v>
      </c>
      <c r="P118" s="405">
        <f>O119+O120</f>
        <v>123427</v>
      </c>
    </row>
    <row r="119" spans="1:16" ht="17.25" thickTop="1" thickBot="1" x14ac:dyDescent="0.3">
      <c r="A119" s="450"/>
      <c r="B119" s="449" t="s">
        <v>415</v>
      </c>
      <c r="C119" s="448">
        <f t="shared" ref="C119:O119" si="55">+C109+C112+C113+C114+C115</f>
        <v>78220</v>
      </c>
      <c r="D119" s="448">
        <f t="shared" si="55"/>
        <v>16714</v>
      </c>
      <c r="E119" s="448">
        <f t="shared" si="55"/>
        <v>23866</v>
      </c>
      <c r="F119" s="448">
        <f t="shared" si="55"/>
        <v>0</v>
      </c>
      <c r="G119" s="448">
        <f t="shared" si="55"/>
        <v>0</v>
      </c>
      <c r="H119" s="448">
        <f t="shared" si="55"/>
        <v>118800</v>
      </c>
      <c r="I119" s="448">
        <f t="shared" si="55"/>
        <v>372</v>
      </c>
      <c r="J119" s="448">
        <f t="shared" si="55"/>
        <v>0</v>
      </c>
      <c r="K119" s="448">
        <f t="shared" si="55"/>
        <v>0</v>
      </c>
      <c r="L119" s="448">
        <f t="shared" si="55"/>
        <v>372</v>
      </c>
      <c r="M119" s="448">
        <f t="shared" si="55"/>
        <v>119172</v>
      </c>
      <c r="N119" s="448">
        <f t="shared" si="55"/>
        <v>0</v>
      </c>
      <c r="O119" s="448">
        <f t="shared" si="55"/>
        <v>119172</v>
      </c>
    </row>
    <row r="120" spans="1:16" ht="17.25" thickTop="1" thickBot="1" x14ac:dyDescent="0.3">
      <c r="A120" s="450"/>
      <c r="B120" s="449" t="s">
        <v>414</v>
      </c>
      <c r="C120" s="448">
        <f>+C110+C117</f>
        <v>3165</v>
      </c>
      <c r="D120" s="448">
        <f t="shared" ref="D120:O120" si="56">+D110+D117</f>
        <v>1035</v>
      </c>
      <c r="E120" s="448">
        <f t="shared" si="56"/>
        <v>55</v>
      </c>
      <c r="F120" s="448">
        <f t="shared" si="56"/>
        <v>0</v>
      </c>
      <c r="G120" s="448">
        <f t="shared" si="56"/>
        <v>0</v>
      </c>
      <c r="H120" s="448">
        <f t="shared" si="56"/>
        <v>4255</v>
      </c>
      <c r="I120" s="448">
        <f t="shared" si="56"/>
        <v>0</v>
      </c>
      <c r="J120" s="448">
        <f t="shared" si="56"/>
        <v>0</v>
      </c>
      <c r="K120" s="448">
        <f t="shared" si="56"/>
        <v>0</v>
      </c>
      <c r="L120" s="448">
        <f t="shared" si="56"/>
        <v>0</v>
      </c>
      <c r="M120" s="448">
        <f t="shared" si="56"/>
        <v>4255</v>
      </c>
      <c r="N120" s="448">
        <f t="shared" si="56"/>
        <v>0</v>
      </c>
      <c r="O120" s="448">
        <f t="shared" si="56"/>
        <v>4255</v>
      </c>
    </row>
    <row r="121" spans="1:16" ht="17.25" thickTop="1" thickBot="1" x14ac:dyDescent="0.3">
      <c r="A121" s="450"/>
      <c r="B121" s="449" t="s">
        <v>443</v>
      </c>
      <c r="C121" s="448">
        <f t="shared" ref="C121:O121" si="57">SUM(C49+C64+C78+C91+C104+C118)</f>
        <v>425766</v>
      </c>
      <c r="D121" s="448">
        <f t="shared" si="57"/>
        <v>88426</v>
      </c>
      <c r="E121" s="448">
        <f t="shared" si="57"/>
        <v>105218</v>
      </c>
      <c r="F121" s="448">
        <f t="shared" si="57"/>
        <v>0</v>
      </c>
      <c r="G121" s="448">
        <f t="shared" si="57"/>
        <v>0</v>
      </c>
      <c r="H121" s="448">
        <f t="shared" si="57"/>
        <v>619410</v>
      </c>
      <c r="I121" s="448">
        <f t="shared" si="57"/>
        <v>2740</v>
      </c>
      <c r="J121" s="448">
        <f t="shared" si="57"/>
        <v>0</v>
      </c>
      <c r="K121" s="448">
        <f t="shared" si="57"/>
        <v>0</v>
      </c>
      <c r="L121" s="448">
        <f t="shared" si="57"/>
        <v>2740</v>
      </c>
      <c r="M121" s="448">
        <f t="shared" si="57"/>
        <v>622150</v>
      </c>
      <c r="N121" s="448">
        <f t="shared" si="57"/>
        <v>0</v>
      </c>
      <c r="O121" s="448">
        <f t="shared" si="57"/>
        <v>622150</v>
      </c>
    </row>
    <row r="122" spans="1:16" ht="16.5" thickTop="1" x14ac:dyDescent="0.25">
      <c r="A122" s="469" t="s">
        <v>161</v>
      </c>
      <c r="B122" s="425" t="s">
        <v>442</v>
      </c>
      <c r="C122" s="471"/>
      <c r="D122" s="466"/>
      <c r="E122" s="466"/>
      <c r="F122" s="472"/>
      <c r="G122" s="466"/>
      <c r="H122" s="463"/>
      <c r="I122" s="465"/>
      <c r="J122" s="464"/>
      <c r="K122" s="464"/>
      <c r="L122" s="463"/>
      <c r="M122" s="463"/>
      <c r="N122" s="463"/>
      <c r="O122" s="463"/>
    </row>
    <row r="123" spans="1:16" x14ac:dyDescent="0.25">
      <c r="A123" s="469"/>
      <c r="B123" s="417" t="s">
        <v>387</v>
      </c>
      <c r="C123" s="471">
        <v>172219</v>
      </c>
      <c r="D123" s="466">
        <v>36836</v>
      </c>
      <c r="E123" s="466">
        <v>84215</v>
      </c>
      <c r="F123" s="464"/>
      <c r="G123" s="466"/>
      <c r="H123" s="463">
        <f>SUM(C123:G123)</f>
        <v>293270</v>
      </c>
      <c r="I123" s="465">
        <v>72</v>
      </c>
      <c r="J123" s="464"/>
      <c r="K123" s="464"/>
      <c r="L123" s="463">
        <f>SUM(I123:K123)</f>
        <v>72</v>
      </c>
      <c r="M123" s="462">
        <f>SUM(H123+L123)</f>
        <v>293342</v>
      </c>
      <c r="N123" s="462"/>
      <c r="O123" s="462">
        <f>SUM(M123+N123)</f>
        <v>293342</v>
      </c>
    </row>
    <row r="124" spans="1:16" x14ac:dyDescent="0.25">
      <c r="A124" s="469"/>
      <c r="B124" s="470" t="s">
        <v>418</v>
      </c>
      <c r="C124" s="502">
        <v>167406</v>
      </c>
      <c r="D124" s="483">
        <v>35256</v>
      </c>
      <c r="E124" s="483">
        <v>83985</v>
      </c>
      <c r="F124" s="479"/>
      <c r="G124" s="483"/>
      <c r="H124" s="478">
        <f>SUM(C124:G124)</f>
        <v>286647</v>
      </c>
      <c r="I124" s="480">
        <v>72</v>
      </c>
      <c r="J124" s="479"/>
      <c r="K124" s="479"/>
      <c r="L124" s="478">
        <f>SUM(I124:K124)</f>
        <v>72</v>
      </c>
      <c r="M124" s="477">
        <f>SUM(H124+L124)</f>
        <v>286719</v>
      </c>
      <c r="N124" s="477"/>
      <c r="O124" s="477">
        <f>SUM(M124+N124)</f>
        <v>286719</v>
      </c>
    </row>
    <row r="125" spans="1:16" x14ac:dyDescent="0.25">
      <c r="A125" s="469"/>
      <c r="B125" s="470" t="s">
        <v>417</v>
      </c>
      <c r="C125" s="502">
        <v>4813</v>
      </c>
      <c r="D125" s="483">
        <v>1580</v>
      </c>
      <c r="E125" s="483">
        <v>230</v>
      </c>
      <c r="F125" s="479"/>
      <c r="G125" s="483"/>
      <c r="H125" s="478">
        <f>SUM(C125:G125)</f>
        <v>6623</v>
      </c>
      <c r="I125" s="480"/>
      <c r="J125" s="479"/>
      <c r="K125" s="479"/>
      <c r="L125" s="478">
        <f>SUM(I125:K125)</f>
        <v>0</v>
      </c>
      <c r="M125" s="477">
        <f>SUM(H125+L125)</f>
        <v>6623</v>
      </c>
      <c r="N125" s="477"/>
      <c r="O125" s="477">
        <f>SUM(M125+N125)</f>
        <v>6623</v>
      </c>
    </row>
    <row r="126" spans="1:16" x14ac:dyDescent="0.25">
      <c r="A126" s="469"/>
      <c r="B126" s="470" t="s">
        <v>139</v>
      </c>
      <c r="C126" s="502"/>
      <c r="D126" s="483"/>
      <c r="E126" s="483"/>
      <c r="F126" s="479"/>
      <c r="G126" s="483"/>
      <c r="H126" s="478"/>
      <c r="I126" s="480"/>
      <c r="J126" s="479"/>
      <c r="K126" s="479"/>
      <c r="L126" s="478"/>
      <c r="M126" s="477"/>
      <c r="N126" s="477"/>
      <c r="O126" s="477"/>
    </row>
    <row r="127" spans="1:16" x14ac:dyDescent="0.25">
      <c r="A127" s="469"/>
      <c r="B127" s="417" t="s">
        <v>1034</v>
      </c>
      <c r="C127" s="522">
        <v>7</v>
      </c>
      <c r="D127" s="520">
        <v>1</v>
      </c>
      <c r="E127" s="520"/>
      <c r="F127" s="521"/>
      <c r="G127" s="483"/>
      <c r="H127" s="517">
        <f t="shared" ref="H127:H134" si="58">SUM(C127:G127)</f>
        <v>8</v>
      </c>
      <c r="I127" s="480"/>
      <c r="J127" s="479"/>
      <c r="K127" s="479"/>
      <c r="L127" s="517">
        <f t="shared" ref="L127:L134" si="59">SUM(I127:K127)</f>
        <v>0</v>
      </c>
      <c r="M127" s="516">
        <f t="shared" ref="M127:M134" si="60">SUM(H127+L127)</f>
        <v>8</v>
      </c>
      <c r="N127" s="477"/>
      <c r="O127" s="516">
        <f t="shared" ref="O127:O134" si="61">SUM(M127+N127)</f>
        <v>8</v>
      </c>
    </row>
    <row r="128" spans="1:16" ht="47.25" x14ac:dyDescent="0.25">
      <c r="A128" s="469"/>
      <c r="B128" s="417" t="s">
        <v>1064</v>
      </c>
      <c r="C128" s="522">
        <v>1927</v>
      </c>
      <c r="D128" s="520">
        <v>376</v>
      </c>
      <c r="E128" s="520"/>
      <c r="F128" s="521"/>
      <c r="G128" s="483"/>
      <c r="H128" s="517">
        <f t="shared" si="58"/>
        <v>2303</v>
      </c>
      <c r="I128" s="480"/>
      <c r="J128" s="479"/>
      <c r="K128" s="479"/>
      <c r="L128" s="517">
        <f t="shared" si="59"/>
        <v>0</v>
      </c>
      <c r="M128" s="516">
        <f t="shared" si="60"/>
        <v>2303</v>
      </c>
      <c r="N128" s="477"/>
      <c r="O128" s="516">
        <f t="shared" si="61"/>
        <v>2303</v>
      </c>
    </row>
    <row r="129" spans="1:16" ht="47.25" x14ac:dyDescent="0.25">
      <c r="A129" s="469"/>
      <c r="B129" s="417" t="s">
        <v>812</v>
      </c>
      <c r="C129" s="522"/>
      <c r="D129" s="520"/>
      <c r="E129" s="520">
        <v>127</v>
      </c>
      <c r="F129" s="521"/>
      <c r="G129" s="483"/>
      <c r="H129" s="517">
        <f t="shared" si="58"/>
        <v>127</v>
      </c>
      <c r="I129" s="480"/>
      <c r="J129" s="479"/>
      <c r="K129" s="479"/>
      <c r="L129" s="517">
        <f t="shared" si="59"/>
        <v>0</v>
      </c>
      <c r="M129" s="516">
        <f t="shared" si="60"/>
        <v>127</v>
      </c>
      <c r="N129" s="477"/>
      <c r="O129" s="516">
        <f t="shared" si="61"/>
        <v>127</v>
      </c>
    </row>
    <row r="130" spans="1:16" ht="31.5" x14ac:dyDescent="0.25">
      <c r="A130" s="469"/>
      <c r="B130" s="417" t="s">
        <v>766</v>
      </c>
      <c r="C130" s="522"/>
      <c r="D130" s="520"/>
      <c r="E130" s="520">
        <v>6964</v>
      </c>
      <c r="F130" s="521"/>
      <c r="G130" s="483"/>
      <c r="H130" s="517">
        <f t="shared" si="58"/>
        <v>6964</v>
      </c>
      <c r="I130" s="550">
        <v>906</v>
      </c>
      <c r="J130" s="479"/>
      <c r="K130" s="479"/>
      <c r="L130" s="517">
        <f t="shared" si="59"/>
        <v>906</v>
      </c>
      <c r="M130" s="516">
        <f t="shared" si="60"/>
        <v>7870</v>
      </c>
      <c r="N130" s="477"/>
      <c r="O130" s="516">
        <f t="shared" si="61"/>
        <v>7870</v>
      </c>
    </row>
    <row r="131" spans="1:16" ht="31.5" x14ac:dyDescent="0.25">
      <c r="A131" s="469"/>
      <c r="B131" s="417" t="s">
        <v>767</v>
      </c>
      <c r="C131" s="522">
        <v>-205</v>
      </c>
      <c r="D131" s="520">
        <v>205</v>
      </c>
      <c r="E131" s="520"/>
      <c r="F131" s="521"/>
      <c r="G131" s="483"/>
      <c r="H131" s="517">
        <f t="shared" si="58"/>
        <v>0</v>
      </c>
      <c r="I131" s="550"/>
      <c r="J131" s="479"/>
      <c r="K131" s="479"/>
      <c r="L131" s="517">
        <f t="shared" si="59"/>
        <v>0</v>
      </c>
      <c r="M131" s="516">
        <f t="shared" si="60"/>
        <v>0</v>
      </c>
      <c r="N131" s="477"/>
      <c r="O131" s="516">
        <f t="shared" si="61"/>
        <v>0</v>
      </c>
    </row>
    <row r="132" spans="1:16" x14ac:dyDescent="0.25">
      <c r="A132" s="469"/>
      <c r="B132" s="470" t="s">
        <v>140</v>
      </c>
      <c r="C132" s="522"/>
      <c r="D132" s="520"/>
      <c r="E132" s="520"/>
      <c r="F132" s="521"/>
      <c r="G132" s="483"/>
      <c r="H132" s="517"/>
      <c r="I132" s="480"/>
      <c r="J132" s="479"/>
      <c r="K132" s="479"/>
      <c r="L132" s="517"/>
      <c r="M132" s="516"/>
      <c r="N132" s="477"/>
      <c r="O132" s="516"/>
    </row>
    <row r="133" spans="1:16" x14ac:dyDescent="0.25">
      <c r="A133" s="475"/>
      <c r="B133" s="425" t="s">
        <v>1065</v>
      </c>
      <c r="C133" s="522">
        <v>867</v>
      </c>
      <c r="D133" s="520">
        <v>296</v>
      </c>
      <c r="E133" s="520"/>
      <c r="F133" s="521"/>
      <c r="G133" s="483"/>
      <c r="H133" s="517">
        <f t="shared" si="58"/>
        <v>1163</v>
      </c>
      <c r="I133" s="480"/>
      <c r="J133" s="479"/>
      <c r="K133" s="479"/>
      <c r="L133" s="517">
        <f t="shared" si="59"/>
        <v>0</v>
      </c>
      <c r="M133" s="517">
        <f t="shared" si="60"/>
        <v>1163</v>
      </c>
      <c r="N133" s="478"/>
      <c r="O133" s="517">
        <f t="shared" si="61"/>
        <v>1163</v>
      </c>
    </row>
    <row r="134" spans="1:16" ht="79.5" thickBot="1" x14ac:dyDescent="0.3">
      <c r="A134" s="947"/>
      <c r="B134" s="948" t="s">
        <v>1069</v>
      </c>
      <c r="C134" s="955"/>
      <c r="D134" s="956"/>
      <c r="E134" s="956">
        <v>66</v>
      </c>
      <c r="F134" s="957"/>
      <c r="G134" s="958"/>
      <c r="H134" s="952">
        <f t="shared" si="58"/>
        <v>66</v>
      </c>
      <c r="I134" s="959"/>
      <c r="J134" s="960"/>
      <c r="K134" s="960"/>
      <c r="L134" s="952">
        <f t="shared" si="59"/>
        <v>0</v>
      </c>
      <c r="M134" s="952">
        <f t="shared" si="60"/>
        <v>66</v>
      </c>
      <c r="N134" s="961"/>
      <c r="O134" s="952">
        <f t="shared" si="61"/>
        <v>66</v>
      </c>
    </row>
    <row r="135" spans="1:16" ht="17.25" thickTop="1" thickBot="1" x14ac:dyDescent="0.3">
      <c r="A135" s="450"/>
      <c r="B135" s="449" t="s">
        <v>416</v>
      </c>
      <c r="C135" s="448">
        <f>+C123+C127+C133+C128+C134+C129+C130+C131</f>
        <v>174815</v>
      </c>
      <c r="D135" s="448">
        <f t="shared" ref="D135:O135" si="62">+D123+D127+D133+D128+D134+D129+D130+D131</f>
        <v>37714</v>
      </c>
      <c r="E135" s="448">
        <f t="shared" si="62"/>
        <v>91372</v>
      </c>
      <c r="F135" s="448">
        <f t="shared" si="62"/>
        <v>0</v>
      </c>
      <c r="G135" s="448">
        <f t="shared" si="62"/>
        <v>0</v>
      </c>
      <c r="H135" s="448">
        <f t="shared" si="62"/>
        <v>303901</v>
      </c>
      <c r="I135" s="448">
        <f t="shared" si="62"/>
        <v>978</v>
      </c>
      <c r="J135" s="448">
        <f t="shared" si="62"/>
        <v>0</v>
      </c>
      <c r="K135" s="448">
        <f t="shared" si="62"/>
        <v>0</v>
      </c>
      <c r="L135" s="448">
        <f t="shared" si="62"/>
        <v>978</v>
      </c>
      <c r="M135" s="448">
        <f t="shared" si="62"/>
        <v>304879</v>
      </c>
      <c r="N135" s="448">
        <f t="shared" si="62"/>
        <v>0</v>
      </c>
      <c r="O135" s="448">
        <f t="shared" si="62"/>
        <v>304879</v>
      </c>
      <c r="P135" s="405">
        <f>O136+O137</f>
        <v>304879</v>
      </c>
    </row>
    <row r="136" spans="1:16" ht="17.25" thickTop="1" thickBot="1" x14ac:dyDescent="0.3">
      <c r="A136" s="450"/>
      <c r="B136" s="449" t="s">
        <v>415</v>
      </c>
      <c r="C136" s="448">
        <f t="shared" ref="C136:O136" si="63">+C124+C127+C128+C129+C130+C131</f>
        <v>169135</v>
      </c>
      <c r="D136" s="448">
        <f t="shared" si="63"/>
        <v>35838</v>
      </c>
      <c r="E136" s="448">
        <f t="shared" si="63"/>
        <v>91076</v>
      </c>
      <c r="F136" s="448">
        <f t="shared" si="63"/>
        <v>0</v>
      </c>
      <c r="G136" s="448">
        <f t="shared" si="63"/>
        <v>0</v>
      </c>
      <c r="H136" s="448">
        <f t="shared" si="63"/>
        <v>296049</v>
      </c>
      <c r="I136" s="448">
        <f t="shared" si="63"/>
        <v>978</v>
      </c>
      <c r="J136" s="448">
        <f t="shared" si="63"/>
        <v>0</v>
      </c>
      <c r="K136" s="448">
        <f t="shared" si="63"/>
        <v>0</v>
      </c>
      <c r="L136" s="448">
        <f t="shared" si="63"/>
        <v>978</v>
      </c>
      <c r="M136" s="448">
        <f t="shared" si="63"/>
        <v>297027</v>
      </c>
      <c r="N136" s="448">
        <f t="shared" si="63"/>
        <v>0</v>
      </c>
      <c r="O136" s="448">
        <f t="shared" si="63"/>
        <v>297027</v>
      </c>
    </row>
    <row r="137" spans="1:16" ht="17.25" thickTop="1" thickBot="1" x14ac:dyDescent="0.3">
      <c r="A137" s="450"/>
      <c r="B137" s="449" t="s">
        <v>414</v>
      </c>
      <c r="C137" s="448">
        <f>+C125+C133+C134</f>
        <v>5680</v>
      </c>
      <c r="D137" s="448">
        <f t="shared" ref="D137:O137" si="64">+D125+D133+D134</f>
        <v>1876</v>
      </c>
      <c r="E137" s="448">
        <f t="shared" si="64"/>
        <v>296</v>
      </c>
      <c r="F137" s="448">
        <f t="shared" si="64"/>
        <v>0</v>
      </c>
      <c r="G137" s="448">
        <f t="shared" si="64"/>
        <v>0</v>
      </c>
      <c r="H137" s="448">
        <f t="shared" si="64"/>
        <v>7852</v>
      </c>
      <c r="I137" s="448">
        <f t="shared" si="64"/>
        <v>0</v>
      </c>
      <c r="J137" s="448">
        <f t="shared" si="64"/>
        <v>0</v>
      </c>
      <c r="K137" s="448">
        <f t="shared" si="64"/>
        <v>0</v>
      </c>
      <c r="L137" s="448">
        <f t="shared" si="64"/>
        <v>0</v>
      </c>
      <c r="M137" s="448">
        <f t="shared" si="64"/>
        <v>7852</v>
      </c>
      <c r="N137" s="448">
        <f t="shared" si="64"/>
        <v>0</v>
      </c>
      <c r="O137" s="448">
        <f t="shared" si="64"/>
        <v>7852</v>
      </c>
    </row>
    <row r="138" spans="1:16" ht="16.5" thickTop="1" x14ac:dyDescent="0.25">
      <c r="A138" s="469" t="s">
        <v>0</v>
      </c>
      <c r="B138" s="425" t="s">
        <v>810</v>
      </c>
      <c r="C138" s="471"/>
      <c r="D138" s="466"/>
      <c r="E138" s="466"/>
      <c r="F138" s="472"/>
      <c r="G138" s="466"/>
      <c r="H138" s="463"/>
      <c r="I138" s="465"/>
      <c r="J138" s="464"/>
      <c r="K138" s="464"/>
      <c r="L138" s="463"/>
      <c r="M138" s="463"/>
      <c r="N138" s="463"/>
      <c r="O138" s="463"/>
    </row>
    <row r="139" spans="1:16" x14ac:dyDescent="0.25">
      <c r="A139" s="469"/>
      <c r="B139" s="417" t="s">
        <v>387</v>
      </c>
      <c r="C139" s="471">
        <v>175463</v>
      </c>
      <c r="D139" s="466">
        <v>37864</v>
      </c>
      <c r="E139" s="466">
        <v>69064</v>
      </c>
      <c r="F139" s="464"/>
      <c r="G139" s="466"/>
      <c r="H139" s="463">
        <f>SUM(C139:G139)</f>
        <v>282391</v>
      </c>
      <c r="I139" s="465">
        <v>1430</v>
      </c>
      <c r="J139" s="464"/>
      <c r="K139" s="464"/>
      <c r="L139" s="463">
        <f>SUM(I139:K139)</f>
        <v>1430</v>
      </c>
      <c r="M139" s="462">
        <f>SUM(H139+L139)</f>
        <v>283821</v>
      </c>
      <c r="N139" s="462"/>
      <c r="O139" s="462">
        <f>SUM(M139+N139)</f>
        <v>283821</v>
      </c>
    </row>
    <row r="140" spans="1:16" s="476" customFormat="1" x14ac:dyDescent="0.25">
      <c r="A140" s="485"/>
      <c r="B140" s="470" t="s">
        <v>418</v>
      </c>
      <c r="C140" s="502">
        <v>170506</v>
      </c>
      <c r="D140" s="483">
        <v>36255</v>
      </c>
      <c r="E140" s="483">
        <v>68934</v>
      </c>
      <c r="F140" s="479"/>
      <c r="G140" s="483"/>
      <c r="H140" s="478">
        <f>SUM(C140:G140)</f>
        <v>275695</v>
      </c>
      <c r="I140" s="480">
        <v>1430</v>
      </c>
      <c r="J140" s="479"/>
      <c r="K140" s="479"/>
      <c r="L140" s="478">
        <f>SUM(I140:K140)</f>
        <v>1430</v>
      </c>
      <c r="M140" s="477">
        <f>SUM(H140+L140)</f>
        <v>277125</v>
      </c>
      <c r="N140" s="477"/>
      <c r="O140" s="477">
        <f>SUM(M140+N140)</f>
        <v>277125</v>
      </c>
    </row>
    <row r="141" spans="1:16" s="476" customFormat="1" x14ac:dyDescent="0.25">
      <c r="A141" s="485"/>
      <c r="B141" s="470" t="s">
        <v>417</v>
      </c>
      <c r="C141" s="502">
        <v>4957</v>
      </c>
      <c r="D141" s="483">
        <v>1609</v>
      </c>
      <c r="E141" s="483">
        <v>130</v>
      </c>
      <c r="F141" s="479"/>
      <c r="G141" s="483"/>
      <c r="H141" s="478">
        <f>SUM(C141:G141)</f>
        <v>6696</v>
      </c>
      <c r="I141" s="480"/>
      <c r="J141" s="479"/>
      <c r="K141" s="479"/>
      <c r="L141" s="478">
        <f>SUM(I141:K141)</f>
        <v>0</v>
      </c>
      <c r="M141" s="477">
        <f>SUM(H141+L141)</f>
        <v>6696</v>
      </c>
      <c r="N141" s="477"/>
      <c r="O141" s="477">
        <f>SUM(M141+N141)</f>
        <v>6696</v>
      </c>
    </row>
    <row r="142" spans="1:16" s="476" customFormat="1" x14ac:dyDescent="0.25">
      <c r="A142" s="485"/>
      <c r="B142" s="470" t="s">
        <v>139</v>
      </c>
      <c r="C142" s="502"/>
      <c r="D142" s="483"/>
      <c r="E142" s="483"/>
      <c r="F142" s="479"/>
      <c r="G142" s="483"/>
      <c r="H142" s="478"/>
      <c r="I142" s="480"/>
      <c r="J142" s="479"/>
      <c r="K142" s="479"/>
      <c r="L142" s="478"/>
      <c r="M142" s="477"/>
      <c r="N142" s="477"/>
      <c r="O142" s="477"/>
    </row>
    <row r="143" spans="1:16" s="476" customFormat="1" x14ac:dyDescent="0.25">
      <c r="A143" s="485"/>
      <c r="B143" s="417" t="s">
        <v>1034</v>
      </c>
      <c r="C143" s="522">
        <v>28</v>
      </c>
      <c r="D143" s="520">
        <v>6</v>
      </c>
      <c r="E143" s="520"/>
      <c r="F143" s="479"/>
      <c r="G143" s="483"/>
      <c r="H143" s="517">
        <f t="shared" ref="H143:H147" si="65">SUM(C143:G143)</f>
        <v>34</v>
      </c>
      <c r="I143" s="480"/>
      <c r="J143" s="479"/>
      <c r="K143" s="479"/>
      <c r="L143" s="517">
        <f t="shared" ref="L143:L147" si="66">SUM(I143:K143)</f>
        <v>0</v>
      </c>
      <c r="M143" s="516">
        <f t="shared" ref="M143:M147" si="67">SUM(H143+L143)</f>
        <v>34</v>
      </c>
      <c r="N143" s="477"/>
      <c r="O143" s="516">
        <f t="shared" ref="O143:O147" si="68">SUM(M143+N143)</f>
        <v>34</v>
      </c>
    </row>
    <row r="144" spans="1:16" s="476" customFormat="1" ht="47.25" x14ac:dyDescent="0.25">
      <c r="A144" s="485"/>
      <c r="B144" s="417" t="s">
        <v>812</v>
      </c>
      <c r="C144" s="522"/>
      <c r="D144" s="520"/>
      <c r="E144" s="520">
        <v>127</v>
      </c>
      <c r="F144" s="479"/>
      <c r="G144" s="483"/>
      <c r="H144" s="517">
        <f t="shared" si="65"/>
        <v>127</v>
      </c>
      <c r="I144" s="480"/>
      <c r="J144" s="479"/>
      <c r="K144" s="479"/>
      <c r="L144" s="517">
        <f t="shared" si="66"/>
        <v>0</v>
      </c>
      <c r="M144" s="516">
        <f t="shared" si="67"/>
        <v>127</v>
      </c>
      <c r="N144" s="477"/>
      <c r="O144" s="516">
        <f t="shared" si="68"/>
        <v>127</v>
      </c>
    </row>
    <row r="145" spans="1:16" s="476" customFormat="1" ht="31.5" x14ac:dyDescent="0.25">
      <c r="A145" s="485"/>
      <c r="B145" s="417" t="s">
        <v>766</v>
      </c>
      <c r="C145" s="522"/>
      <c r="D145" s="520"/>
      <c r="E145" s="520">
        <v>4400</v>
      </c>
      <c r="F145" s="479"/>
      <c r="G145" s="483"/>
      <c r="H145" s="517">
        <f t="shared" si="65"/>
        <v>4400</v>
      </c>
      <c r="I145" s="550">
        <v>56</v>
      </c>
      <c r="J145" s="479"/>
      <c r="K145" s="479"/>
      <c r="L145" s="517">
        <f t="shared" si="66"/>
        <v>56</v>
      </c>
      <c r="M145" s="516">
        <f t="shared" si="67"/>
        <v>4456</v>
      </c>
      <c r="N145" s="477"/>
      <c r="O145" s="516">
        <f t="shared" si="68"/>
        <v>4456</v>
      </c>
    </row>
    <row r="146" spans="1:16" s="476" customFormat="1" x14ac:dyDescent="0.25">
      <c r="A146" s="485"/>
      <c r="B146" s="470" t="s">
        <v>140</v>
      </c>
      <c r="C146" s="522"/>
      <c r="D146" s="520"/>
      <c r="E146" s="520"/>
      <c r="F146" s="479"/>
      <c r="G146" s="483"/>
      <c r="H146" s="517"/>
      <c r="I146" s="480"/>
      <c r="J146" s="479"/>
      <c r="K146" s="479"/>
      <c r="L146" s="517"/>
      <c r="M146" s="516"/>
      <c r="N146" s="477"/>
      <c r="O146" s="516"/>
    </row>
    <row r="147" spans="1:16" s="476" customFormat="1" ht="16.5" thickBot="1" x14ac:dyDescent="0.3">
      <c r="A147" s="485"/>
      <c r="B147" s="417" t="s">
        <v>1065</v>
      </c>
      <c r="C147" s="522">
        <v>913</v>
      </c>
      <c r="D147" s="520">
        <v>312</v>
      </c>
      <c r="E147" s="520"/>
      <c r="F147" s="479"/>
      <c r="G147" s="483"/>
      <c r="H147" s="517">
        <f t="shared" si="65"/>
        <v>1225</v>
      </c>
      <c r="I147" s="480"/>
      <c r="J147" s="479"/>
      <c r="K147" s="479"/>
      <c r="L147" s="517">
        <f t="shared" si="66"/>
        <v>0</v>
      </c>
      <c r="M147" s="516">
        <f t="shared" si="67"/>
        <v>1225</v>
      </c>
      <c r="N147" s="477"/>
      <c r="O147" s="516">
        <f t="shared" si="68"/>
        <v>1225</v>
      </c>
    </row>
    <row r="148" spans="1:16" ht="17.25" thickTop="1" thickBot="1" x14ac:dyDescent="0.3">
      <c r="A148" s="450"/>
      <c r="B148" s="449" t="s">
        <v>416</v>
      </c>
      <c r="C148" s="448">
        <f>+C139+C143+C147+C144+C145</f>
        <v>176404</v>
      </c>
      <c r="D148" s="448">
        <f t="shared" ref="D148:O148" si="69">+D139+D143+D147+D144+D145</f>
        <v>38182</v>
      </c>
      <c r="E148" s="448">
        <f t="shared" si="69"/>
        <v>73591</v>
      </c>
      <c r="F148" s="448">
        <f t="shared" si="69"/>
        <v>0</v>
      </c>
      <c r="G148" s="448">
        <f t="shared" si="69"/>
        <v>0</v>
      </c>
      <c r="H148" s="448">
        <f t="shared" si="69"/>
        <v>288177</v>
      </c>
      <c r="I148" s="448">
        <f t="shared" si="69"/>
        <v>1486</v>
      </c>
      <c r="J148" s="448">
        <f t="shared" si="69"/>
        <v>0</v>
      </c>
      <c r="K148" s="448">
        <f t="shared" si="69"/>
        <v>0</v>
      </c>
      <c r="L148" s="448">
        <f t="shared" si="69"/>
        <v>1486</v>
      </c>
      <c r="M148" s="448">
        <f t="shared" si="69"/>
        <v>289663</v>
      </c>
      <c r="N148" s="448">
        <f t="shared" si="69"/>
        <v>0</v>
      </c>
      <c r="O148" s="448">
        <f t="shared" si="69"/>
        <v>289663</v>
      </c>
      <c r="P148" s="405">
        <f>O149+O150</f>
        <v>289663</v>
      </c>
    </row>
    <row r="149" spans="1:16" ht="17.25" thickTop="1" thickBot="1" x14ac:dyDescent="0.3">
      <c r="A149" s="450"/>
      <c r="B149" s="449" t="s">
        <v>415</v>
      </c>
      <c r="C149" s="448">
        <f>+C140+C143+C144+C145</f>
        <v>170534</v>
      </c>
      <c r="D149" s="448">
        <f t="shared" ref="D149:O149" si="70">+D140+D143+D144+D145</f>
        <v>36261</v>
      </c>
      <c r="E149" s="448">
        <f t="shared" si="70"/>
        <v>73461</v>
      </c>
      <c r="F149" s="448">
        <f t="shared" si="70"/>
        <v>0</v>
      </c>
      <c r="G149" s="448">
        <f t="shared" si="70"/>
        <v>0</v>
      </c>
      <c r="H149" s="448">
        <f t="shared" si="70"/>
        <v>280256</v>
      </c>
      <c r="I149" s="448">
        <f t="shared" si="70"/>
        <v>1486</v>
      </c>
      <c r="J149" s="448">
        <f t="shared" si="70"/>
        <v>0</v>
      </c>
      <c r="K149" s="448">
        <f t="shared" si="70"/>
        <v>0</v>
      </c>
      <c r="L149" s="448">
        <f t="shared" si="70"/>
        <v>1486</v>
      </c>
      <c r="M149" s="448">
        <f t="shared" si="70"/>
        <v>281742</v>
      </c>
      <c r="N149" s="448">
        <f t="shared" si="70"/>
        <v>0</v>
      </c>
      <c r="O149" s="448">
        <f t="shared" si="70"/>
        <v>281742</v>
      </c>
    </row>
    <row r="150" spans="1:16" ht="17.25" thickTop="1" thickBot="1" x14ac:dyDescent="0.3">
      <c r="A150" s="450"/>
      <c r="B150" s="449" t="s">
        <v>414</v>
      </c>
      <c r="C150" s="448">
        <f>+C141+C147</f>
        <v>5870</v>
      </c>
      <c r="D150" s="448">
        <f t="shared" ref="D150:O150" si="71">+D141+D147</f>
        <v>1921</v>
      </c>
      <c r="E150" s="448">
        <f t="shared" si="71"/>
        <v>130</v>
      </c>
      <c r="F150" s="448">
        <f t="shared" si="71"/>
        <v>0</v>
      </c>
      <c r="G150" s="448">
        <f t="shared" si="71"/>
        <v>0</v>
      </c>
      <c r="H150" s="448">
        <f t="shared" si="71"/>
        <v>7921</v>
      </c>
      <c r="I150" s="448">
        <f t="shared" si="71"/>
        <v>0</v>
      </c>
      <c r="J150" s="448">
        <f t="shared" si="71"/>
        <v>0</v>
      </c>
      <c r="K150" s="448">
        <f t="shared" si="71"/>
        <v>0</v>
      </c>
      <c r="L150" s="448">
        <f t="shared" si="71"/>
        <v>0</v>
      </c>
      <c r="M150" s="448">
        <f t="shared" si="71"/>
        <v>7921</v>
      </c>
      <c r="N150" s="448">
        <f t="shared" si="71"/>
        <v>0</v>
      </c>
      <c r="O150" s="448">
        <f t="shared" si="71"/>
        <v>7921</v>
      </c>
    </row>
    <row r="151" spans="1:16" ht="32.25" thickTop="1" x14ac:dyDescent="0.25">
      <c r="A151" s="459" t="s">
        <v>1</v>
      </c>
      <c r="B151" s="514" t="s">
        <v>811</v>
      </c>
      <c r="C151" s="457"/>
      <c r="D151" s="456"/>
      <c r="E151" s="456"/>
      <c r="F151" s="454"/>
      <c r="G151" s="456"/>
      <c r="H151" s="453"/>
      <c r="I151" s="455"/>
      <c r="J151" s="454"/>
      <c r="K151" s="454"/>
      <c r="L151" s="453"/>
      <c r="M151" s="453"/>
      <c r="N151" s="453"/>
      <c r="O151" s="453"/>
    </row>
    <row r="152" spans="1:16" x14ac:dyDescent="0.25">
      <c r="A152" s="469"/>
      <c r="B152" s="417" t="s">
        <v>387</v>
      </c>
      <c r="C152" s="471">
        <v>187505</v>
      </c>
      <c r="D152" s="466">
        <v>40426</v>
      </c>
      <c r="E152" s="466">
        <v>100360</v>
      </c>
      <c r="F152" s="464"/>
      <c r="G152" s="466"/>
      <c r="H152" s="463">
        <f>SUM(C152:G152)</f>
        <v>328291</v>
      </c>
      <c r="I152" s="465">
        <v>680</v>
      </c>
      <c r="J152" s="464"/>
      <c r="K152" s="464"/>
      <c r="L152" s="463">
        <f>SUM(I152:K152)</f>
        <v>680</v>
      </c>
      <c r="M152" s="462">
        <f>SUM(H152+L152)</f>
        <v>328971</v>
      </c>
      <c r="N152" s="462"/>
      <c r="O152" s="462">
        <f>SUM(M152+N152)</f>
        <v>328971</v>
      </c>
    </row>
    <row r="153" spans="1:16" s="476" customFormat="1" x14ac:dyDescent="0.25">
      <c r="A153" s="485"/>
      <c r="B153" s="470" t="s">
        <v>418</v>
      </c>
      <c r="C153" s="502">
        <v>182334</v>
      </c>
      <c r="D153" s="483">
        <v>38720</v>
      </c>
      <c r="E153" s="483">
        <v>100305</v>
      </c>
      <c r="F153" s="479"/>
      <c r="G153" s="483"/>
      <c r="H153" s="478">
        <f>SUM(C153:G153)</f>
        <v>321359</v>
      </c>
      <c r="I153" s="480">
        <v>680</v>
      </c>
      <c r="J153" s="479"/>
      <c r="K153" s="479"/>
      <c r="L153" s="478">
        <f>SUM(I153:K153)</f>
        <v>680</v>
      </c>
      <c r="M153" s="477">
        <f>SUM(H153+L153)</f>
        <v>322039</v>
      </c>
      <c r="N153" s="477"/>
      <c r="O153" s="477">
        <f>SUM(M153+N153)</f>
        <v>322039</v>
      </c>
    </row>
    <row r="154" spans="1:16" s="476" customFormat="1" x14ac:dyDescent="0.25">
      <c r="A154" s="485"/>
      <c r="B154" s="470" t="s">
        <v>417</v>
      </c>
      <c r="C154" s="502">
        <v>5171</v>
      </c>
      <c r="D154" s="483">
        <v>1706</v>
      </c>
      <c r="E154" s="483">
        <v>55</v>
      </c>
      <c r="F154" s="479"/>
      <c r="G154" s="483"/>
      <c r="H154" s="478">
        <f>SUM(C154:G154)</f>
        <v>6932</v>
      </c>
      <c r="I154" s="480"/>
      <c r="J154" s="479"/>
      <c r="K154" s="479"/>
      <c r="L154" s="478">
        <f>SUM(I154:K154)</f>
        <v>0</v>
      </c>
      <c r="M154" s="477">
        <f>SUM(H154+L154)</f>
        <v>6932</v>
      </c>
      <c r="N154" s="477"/>
      <c r="O154" s="477">
        <f>SUM(M154+N154)</f>
        <v>6932</v>
      </c>
    </row>
    <row r="155" spans="1:16" s="476" customFormat="1" x14ac:dyDescent="0.25">
      <c r="A155" s="485"/>
      <c r="B155" s="470" t="s">
        <v>139</v>
      </c>
      <c r="C155" s="502"/>
      <c r="D155" s="483"/>
      <c r="E155" s="483"/>
      <c r="F155" s="479"/>
      <c r="G155" s="483"/>
      <c r="H155" s="478"/>
      <c r="I155" s="480"/>
      <c r="J155" s="479"/>
      <c r="K155" s="479"/>
      <c r="L155" s="478"/>
      <c r="M155" s="477"/>
      <c r="N155" s="477"/>
      <c r="O155" s="477"/>
    </row>
    <row r="156" spans="1:16" s="476" customFormat="1" x14ac:dyDescent="0.25">
      <c r="A156" s="485"/>
      <c r="B156" s="417" t="s">
        <v>1034</v>
      </c>
      <c r="C156" s="522">
        <v>19</v>
      </c>
      <c r="D156" s="520">
        <v>4</v>
      </c>
      <c r="E156" s="520"/>
      <c r="F156" s="479"/>
      <c r="G156" s="483"/>
      <c r="H156" s="517">
        <f t="shared" ref="H156:H162" si="72">SUM(C156:G156)</f>
        <v>23</v>
      </c>
      <c r="I156" s="480"/>
      <c r="J156" s="479"/>
      <c r="K156" s="479"/>
      <c r="L156" s="517">
        <f t="shared" ref="L156:L162" si="73">SUM(I156:K156)</f>
        <v>0</v>
      </c>
      <c r="M156" s="516">
        <f t="shared" ref="M156:M162" si="74">SUM(H156+L156)</f>
        <v>23</v>
      </c>
      <c r="N156" s="477"/>
      <c r="O156" s="516">
        <f t="shared" ref="O156:O162" si="75">SUM(M156+N156)</f>
        <v>23</v>
      </c>
    </row>
    <row r="157" spans="1:16" s="476" customFormat="1" ht="47.25" x14ac:dyDescent="0.25">
      <c r="A157" s="485"/>
      <c r="B157" s="417" t="s">
        <v>1064</v>
      </c>
      <c r="C157" s="522">
        <v>649</v>
      </c>
      <c r="D157" s="520">
        <v>127</v>
      </c>
      <c r="E157" s="520"/>
      <c r="F157" s="479"/>
      <c r="G157" s="483"/>
      <c r="H157" s="517">
        <f t="shared" si="72"/>
        <v>776</v>
      </c>
      <c r="I157" s="480"/>
      <c r="J157" s="479"/>
      <c r="K157" s="479"/>
      <c r="L157" s="517">
        <f t="shared" si="73"/>
        <v>0</v>
      </c>
      <c r="M157" s="516">
        <f t="shared" si="74"/>
        <v>776</v>
      </c>
      <c r="N157" s="477"/>
      <c r="O157" s="516">
        <f t="shared" si="75"/>
        <v>776</v>
      </c>
    </row>
    <row r="158" spans="1:16" s="476" customFormat="1" ht="47.25" x14ac:dyDescent="0.25">
      <c r="A158" s="485"/>
      <c r="B158" s="417" t="s">
        <v>812</v>
      </c>
      <c r="C158" s="522"/>
      <c r="D158" s="520"/>
      <c r="E158" s="520">
        <v>127</v>
      </c>
      <c r="F158" s="479"/>
      <c r="G158" s="483"/>
      <c r="H158" s="517">
        <f t="shared" si="72"/>
        <v>127</v>
      </c>
      <c r="I158" s="480"/>
      <c r="J158" s="479"/>
      <c r="K158" s="479"/>
      <c r="L158" s="517">
        <f t="shared" si="73"/>
        <v>0</v>
      </c>
      <c r="M158" s="516">
        <f t="shared" si="74"/>
        <v>127</v>
      </c>
      <c r="N158" s="477"/>
      <c r="O158" s="516">
        <f t="shared" si="75"/>
        <v>127</v>
      </c>
    </row>
    <row r="159" spans="1:16" s="476" customFormat="1" ht="31.5" x14ac:dyDescent="0.25">
      <c r="A159" s="485"/>
      <c r="B159" s="417" t="s">
        <v>766</v>
      </c>
      <c r="C159" s="522"/>
      <c r="D159" s="520"/>
      <c r="E159" s="520">
        <f>5045+99</f>
        <v>5144</v>
      </c>
      <c r="F159" s="479"/>
      <c r="G159" s="483"/>
      <c r="H159" s="517">
        <f t="shared" si="72"/>
        <v>5144</v>
      </c>
      <c r="I159" s="550">
        <v>309</v>
      </c>
      <c r="J159" s="479"/>
      <c r="K159" s="479"/>
      <c r="L159" s="517">
        <f t="shared" si="73"/>
        <v>309</v>
      </c>
      <c r="M159" s="516">
        <f t="shared" si="74"/>
        <v>5453</v>
      </c>
      <c r="N159" s="477"/>
      <c r="O159" s="516">
        <f t="shared" si="75"/>
        <v>5453</v>
      </c>
    </row>
    <row r="160" spans="1:16" s="476" customFormat="1" ht="31.5" x14ac:dyDescent="0.25">
      <c r="A160" s="503"/>
      <c r="B160" s="425" t="s">
        <v>767</v>
      </c>
      <c r="C160" s="522">
        <v>-309</v>
      </c>
      <c r="D160" s="520">
        <v>309</v>
      </c>
      <c r="E160" s="520"/>
      <c r="F160" s="479"/>
      <c r="G160" s="483"/>
      <c r="H160" s="517">
        <f t="shared" si="72"/>
        <v>0</v>
      </c>
      <c r="I160" s="550"/>
      <c r="J160" s="479"/>
      <c r="K160" s="479"/>
      <c r="L160" s="517">
        <f t="shared" si="73"/>
        <v>0</v>
      </c>
      <c r="M160" s="517">
        <f t="shared" si="74"/>
        <v>0</v>
      </c>
      <c r="N160" s="478"/>
      <c r="O160" s="517">
        <f t="shared" si="75"/>
        <v>0</v>
      </c>
    </row>
    <row r="161" spans="1:16" s="476" customFormat="1" x14ac:dyDescent="0.25">
      <c r="A161" s="503"/>
      <c r="B161" s="474" t="s">
        <v>140</v>
      </c>
      <c r="C161" s="522"/>
      <c r="D161" s="520"/>
      <c r="E161" s="520"/>
      <c r="F161" s="479"/>
      <c r="G161" s="483"/>
      <c r="H161" s="517"/>
      <c r="I161" s="480"/>
      <c r="J161" s="479"/>
      <c r="K161" s="479"/>
      <c r="L161" s="517"/>
      <c r="M161" s="517"/>
      <c r="N161" s="478"/>
      <c r="O161" s="517"/>
    </row>
    <row r="162" spans="1:16" s="476" customFormat="1" ht="16.5" thickBot="1" x14ac:dyDescent="0.3">
      <c r="A162" s="485"/>
      <c r="B162" s="417" t="s">
        <v>1065</v>
      </c>
      <c r="C162" s="522">
        <v>935</v>
      </c>
      <c r="D162" s="520">
        <v>320</v>
      </c>
      <c r="E162" s="520"/>
      <c r="F162" s="479"/>
      <c r="G162" s="483"/>
      <c r="H162" s="517">
        <f t="shared" si="72"/>
        <v>1255</v>
      </c>
      <c r="I162" s="480"/>
      <c r="J162" s="479"/>
      <c r="K162" s="479"/>
      <c r="L162" s="517">
        <f t="shared" si="73"/>
        <v>0</v>
      </c>
      <c r="M162" s="516">
        <f t="shared" si="74"/>
        <v>1255</v>
      </c>
      <c r="N162" s="477"/>
      <c r="O162" s="516">
        <f t="shared" si="75"/>
        <v>1255</v>
      </c>
    </row>
    <row r="163" spans="1:16" ht="17.25" thickTop="1" thickBot="1" x14ac:dyDescent="0.3">
      <c r="A163" s="450"/>
      <c r="B163" s="449" t="s">
        <v>416</v>
      </c>
      <c r="C163" s="448">
        <f>+C152+C156+C162+C157+C158+C159+C160</f>
        <v>188799</v>
      </c>
      <c r="D163" s="448">
        <f t="shared" ref="D163:O163" si="76">+D152+D156+D162+D157+D158+D159+D160</f>
        <v>41186</v>
      </c>
      <c r="E163" s="448">
        <f t="shared" si="76"/>
        <v>105631</v>
      </c>
      <c r="F163" s="448">
        <f t="shared" si="76"/>
        <v>0</v>
      </c>
      <c r="G163" s="448">
        <f t="shared" si="76"/>
        <v>0</v>
      </c>
      <c r="H163" s="448">
        <f t="shared" si="76"/>
        <v>335616</v>
      </c>
      <c r="I163" s="448">
        <f t="shared" si="76"/>
        <v>989</v>
      </c>
      <c r="J163" s="448">
        <f t="shared" si="76"/>
        <v>0</v>
      </c>
      <c r="K163" s="448">
        <f t="shared" si="76"/>
        <v>0</v>
      </c>
      <c r="L163" s="448">
        <f t="shared" si="76"/>
        <v>989</v>
      </c>
      <c r="M163" s="448">
        <f t="shared" si="76"/>
        <v>336605</v>
      </c>
      <c r="N163" s="448">
        <f t="shared" si="76"/>
        <v>0</v>
      </c>
      <c r="O163" s="448">
        <f t="shared" si="76"/>
        <v>336605</v>
      </c>
      <c r="P163" s="405">
        <f>O164+O165</f>
        <v>336605</v>
      </c>
    </row>
    <row r="164" spans="1:16" ht="17.25" thickTop="1" thickBot="1" x14ac:dyDescent="0.3">
      <c r="A164" s="450"/>
      <c r="B164" s="449" t="s">
        <v>415</v>
      </c>
      <c r="C164" s="448">
        <f t="shared" ref="C164:O164" si="77">+C153+C156+C157+C158+C159+C160</f>
        <v>182693</v>
      </c>
      <c r="D164" s="448">
        <f t="shared" si="77"/>
        <v>39160</v>
      </c>
      <c r="E164" s="448">
        <f t="shared" si="77"/>
        <v>105576</v>
      </c>
      <c r="F164" s="448">
        <f t="shared" si="77"/>
        <v>0</v>
      </c>
      <c r="G164" s="448">
        <f t="shared" si="77"/>
        <v>0</v>
      </c>
      <c r="H164" s="448">
        <f t="shared" si="77"/>
        <v>327429</v>
      </c>
      <c r="I164" s="448">
        <f t="shared" si="77"/>
        <v>989</v>
      </c>
      <c r="J164" s="448">
        <f t="shared" si="77"/>
        <v>0</v>
      </c>
      <c r="K164" s="448">
        <f t="shared" si="77"/>
        <v>0</v>
      </c>
      <c r="L164" s="448">
        <f t="shared" si="77"/>
        <v>989</v>
      </c>
      <c r="M164" s="448">
        <f t="shared" si="77"/>
        <v>328418</v>
      </c>
      <c r="N164" s="448">
        <f t="shared" si="77"/>
        <v>0</v>
      </c>
      <c r="O164" s="448">
        <f t="shared" si="77"/>
        <v>328418</v>
      </c>
    </row>
    <row r="165" spans="1:16" ht="17.25" thickTop="1" thickBot="1" x14ac:dyDescent="0.3">
      <c r="A165" s="450"/>
      <c r="B165" s="449" t="s">
        <v>414</v>
      </c>
      <c r="C165" s="448">
        <f>+C154+C162</f>
        <v>6106</v>
      </c>
      <c r="D165" s="448">
        <f t="shared" ref="D165:O165" si="78">+D154+D162</f>
        <v>2026</v>
      </c>
      <c r="E165" s="448">
        <f t="shared" si="78"/>
        <v>55</v>
      </c>
      <c r="F165" s="448">
        <f t="shared" si="78"/>
        <v>0</v>
      </c>
      <c r="G165" s="448">
        <f t="shared" si="78"/>
        <v>0</v>
      </c>
      <c r="H165" s="448">
        <f t="shared" si="78"/>
        <v>8187</v>
      </c>
      <c r="I165" s="448">
        <f t="shared" si="78"/>
        <v>0</v>
      </c>
      <c r="J165" s="448">
        <f t="shared" si="78"/>
        <v>0</v>
      </c>
      <c r="K165" s="448">
        <f t="shared" si="78"/>
        <v>0</v>
      </c>
      <c r="L165" s="448">
        <f t="shared" si="78"/>
        <v>0</v>
      </c>
      <c r="M165" s="448">
        <f t="shared" si="78"/>
        <v>8187</v>
      </c>
      <c r="N165" s="448">
        <f t="shared" si="78"/>
        <v>0</v>
      </c>
      <c r="O165" s="448">
        <f t="shared" si="78"/>
        <v>8187</v>
      </c>
    </row>
    <row r="166" spans="1:16" ht="16.5" thickTop="1" x14ac:dyDescent="0.25">
      <c r="A166" s="469" t="s">
        <v>2</v>
      </c>
      <c r="B166" s="425" t="s">
        <v>441</v>
      </c>
      <c r="C166" s="471"/>
      <c r="D166" s="466"/>
      <c r="E166" s="466"/>
      <c r="F166" s="472"/>
      <c r="G166" s="466"/>
      <c r="H166" s="463"/>
      <c r="I166" s="465"/>
      <c r="J166" s="464"/>
      <c r="K166" s="464"/>
      <c r="L166" s="463"/>
      <c r="M166" s="463"/>
      <c r="N166" s="463"/>
      <c r="O166" s="463"/>
    </row>
    <row r="167" spans="1:16" x14ac:dyDescent="0.25">
      <c r="A167" s="475"/>
      <c r="B167" s="425" t="s">
        <v>387</v>
      </c>
      <c r="C167" s="471">
        <v>124953</v>
      </c>
      <c r="D167" s="466">
        <v>26687</v>
      </c>
      <c r="E167" s="466">
        <v>55016</v>
      </c>
      <c r="F167" s="464"/>
      <c r="G167" s="466"/>
      <c r="H167" s="463">
        <f>SUM(C167:G167)</f>
        <v>206656</v>
      </c>
      <c r="I167" s="465">
        <v>1238</v>
      </c>
      <c r="J167" s="464"/>
      <c r="K167" s="464"/>
      <c r="L167" s="463">
        <f>SUM(I167:K167)</f>
        <v>1238</v>
      </c>
      <c r="M167" s="462">
        <f>SUM(H167+L167)</f>
        <v>207894</v>
      </c>
      <c r="N167" s="462"/>
      <c r="O167" s="462">
        <f>SUM(M167+N167)</f>
        <v>207894</v>
      </c>
    </row>
    <row r="168" spans="1:16" s="476" customFormat="1" x14ac:dyDescent="0.25">
      <c r="A168" s="503"/>
      <c r="B168" s="470" t="s">
        <v>418</v>
      </c>
      <c r="C168" s="502">
        <v>121682</v>
      </c>
      <c r="D168" s="483">
        <v>25621</v>
      </c>
      <c r="E168" s="483">
        <v>54381</v>
      </c>
      <c r="F168" s="479"/>
      <c r="G168" s="483"/>
      <c r="H168" s="478">
        <f>SUM(C168:G168)</f>
        <v>201684</v>
      </c>
      <c r="I168" s="480">
        <v>1238</v>
      </c>
      <c r="J168" s="479"/>
      <c r="K168" s="479"/>
      <c r="L168" s="478">
        <f>SUM(I168:K168)</f>
        <v>1238</v>
      </c>
      <c r="M168" s="477">
        <f>SUM(H168+L168)</f>
        <v>202922</v>
      </c>
      <c r="N168" s="477"/>
      <c r="O168" s="477">
        <f>SUM(M168+N168)</f>
        <v>202922</v>
      </c>
    </row>
    <row r="169" spans="1:16" s="476" customFormat="1" x14ac:dyDescent="0.25">
      <c r="A169" s="503"/>
      <c r="B169" s="470" t="s">
        <v>417</v>
      </c>
      <c r="C169" s="502">
        <v>3271</v>
      </c>
      <c r="D169" s="483">
        <v>1066</v>
      </c>
      <c r="E169" s="483">
        <v>635</v>
      </c>
      <c r="F169" s="479"/>
      <c r="G169" s="483"/>
      <c r="H169" s="478">
        <f>SUM(C169:G169)</f>
        <v>4972</v>
      </c>
      <c r="I169" s="480"/>
      <c r="J169" s="479"/>
      <c r="K169" s="479"/>
      <c r="L169" s="478">
        <f>SUM(I169:K169)</f>
        <v>0</v>
      </c>
      <c r="M169" s="477">
        <f>SUM(H169+L169)</f>
        <v>4972</v>
      </c>
      <c r="N169" s="477"/>
      <c r="O169" s="477">
        <f>SUM(M169+N169)</f>
        <v>4972</v>
      </c>
    </row>
    <row r="170" spans="1:16" x14ac:dyDescent="0.25">
      <c r="A170" s="475"/>
      <c r="B170" s="474" t="s">
        <v>139</v>
      </c>
      <c r="C170" s="471"/>
      <c r="D170" s="466"/>
      <c r="E170" s="466"/>
      <c r="F170" s="464"/>
      <c r="G170" s="466"/>
      <c r="H170" s="478"/>
      <c r="I170" s="465"/>
      <c r="J170" s="464"/>
      <c r="K170" s="464"/>
      <c r="L170" s="478"/>
      <c r="M170" s="477"/>
      <c r="N170" s="462"/>
      <c r="O170" s="477"/>
    </row>
    <row r="171" spans="1:16" x14ac:dyDescent="0.25">
      <c r="A171" s="475"/>
      <c r="B171" s="417" t="s">
        <v>1034</v>
      </c>
      <c r="C171" s="522">
        <v>43</v>
      </c>
      <c r="D171" s="520">
        <v>9</v>
      </c>
      <c r="E171" s="520"/>
      <c r="F171" s="521"/>
      <c r="G171" s="520"/>
      <c r="H171" s="517">
        <f t="shared" ref="H171:H172" si="79">SUM(C171:G171)</f>
        <v>52</v>
      </c>
      <c r="I171" s="550"/>
      <c r="J171" s="521"/>
      <c r="K171" s="521"/>
      <c r="L171" s="517">
        <f t="shared" ref="L171:L172" si="80">SUM(I171:K171)</f>
        <v>0</v>
      </c>
      <c r="M171" s="516">
        <f t="shared" ref="M171:M172" si="81">SUM(H171+L171)</f>
        <v>52</v>
      </c>
      <c r="N171" s="516"/>
      <c r="O171" s="516">
        <f t="shared" ref="O171:O177" si="82">SUM(M171+N171)</f>
        <v>52</v>
      </c>
    </row>
    <row r="172" spans="1:16" ht="47.25" x14ac:dyDescent="0.25">
      <c r="A172" s="475"/>
      <c r="B172" s="417" t="s">
        <v>1064</v>
      </c>
      <c r="C172" s="522">
        <v>43</v>
      </c>
      <c r="D172" s="520">
        <v>8</v>
      </c>
      <c r="E172" s="520"/>
      <c r="F172" s="521"/>
      <c r="G172" s="520"/>
      <c r="H172" s="517">
        <f t="shared" si="79"/>
        <v>51</v>
      </c>
      <c r="I172" s="550"/>
      <c r="J172" s="521"/>
      <c r="K172" s="521"/>
      <c r="L172" s="517">
        <f t="shared" si="80"/>
        <v>0</v>
      </c>
      <c r="M172" s="516">
        <f t="shared" si="81"/>
        <v>51</v>
      </c>
      <c r="N172" s="516"/>
      <c r="O172" s="516">
        <f t="shared" si="82"/>
        <v>51</v>
      </c>
    </row>
    <row r="173" spans="1:16" ht="47.25" x14ac:dyDescent="0.25">
      <c r="A173" s="475"/>
      <c r="B173" s="417" t="s">
        <v>812</v>
      </c>
      <c r="C173" s="522"/>
      <c r="D173" s="520"/>
      <c r="E173" s="520">
        <v>127</v>
      </c>
      <c r="F173" s="521"/>
      <c r="G173" s="520"/>
      <c r="H173" s="517">
        <f>SUM(C173:G173)</f>
        <v>127</v>
      </c>
      <c r="I173" s="550"/>
      <c r="J173" s="521"/>
      <c r="K173" s="521"/>
      <c r="L173" s="517">
        <f>SUM(I173:K173)</f>
        <v>0</v>
      </c>
      <c r="M173" s="517">
        <f>SUM(H173+L173)</f>
        <v>127</v>
      </c>
      <c r="N173" s="517"/>
      <c r="O173" s="516">
        <f t="shared" si="82"/>
        <v>127</v>
      </c>
    </row>
    <row r="174" spans="1:16" ht="31.5" x14ac:dyDescent="0.25">
      <c r="A174" s="475"/>
      <c r="B174" s="417" t="s">
        <v>766</v>
      </c>
      <c r="C174" s="522"/>
      <c r="D174" s="520"/>
      <c r="E174" s="520">
        <f>2767+96</f>
        <v>2863</v>
      </c>
      <c r="F174" s="521"/>
      <c r="G174" s="520"/>
      <c r="H174" s="517">
        <f>SUM(C174:G174)</f>
        <v>2863</v>
      </c>
      <c r="I174" s="550">
        <v>218</v>
      </c>
      <c r="J174" s="521"/>
      <c r="K174" s="521"/>
      <c r="L174" s="517">
        <f>SUM(I174:K174)</f>
        <v>218</v>
      </c>
      <c r="M174" s="517">
        <f>SUM(H174+L174)</f>
        <v>3081</v>
      </c>
      <c r="N174" s="517"/>
      <c r="O174" s="516">
        <f t="shared" si="82"/>
        <v>3081</v>
      </c>
    </row>
    <row r="175" spans="1:16" ht="31.5" x14ac:dyDescent="0.25">
      <c r="A175" s="475"/>
      <c r="B175" s="417" t="s">
        <v>767</v>
      </c>
      <c r="C175" s="522"/>
      <c r="D175" s="520">
        <v>759</v>
      </c>
      <c r="E175" s="520">
        <v>-759</v>
      </c>
      <c r="F175" s="521"/>
      <c r="G175" s="520"/>
      <c r="H175" s="517">
        <f>SUM(C175:G175)</f>
        <v>0</v>
      </c>
      <c r="I175" s="550"/>
      <c r="J175" s="521"/>
      <c r="K175" s="521"/>
      <c r="L175" s="517">
        <f>SUM(I175:K175)</f>
        <v>0</v>
      </c>
      <c r="M175" s="517">
        <f>SUM(H175+L175)</f>
        <v>0</v>
      </c>
      <c r="N175" s="517"/>
      <c r="O175" s="516">
        <f t="shared" si="82"/>
        <v>0</v>
      </c>
    </row>
    <row r="176" spans="1:16" x14ac:dyDescent="0.25">
      <c r="A176" s="475"/>
      <c r="B176" s="419" t="s">
        <v>140</v>
      </c>
      <c r="C176" s="522"/>
      <c r="D176" s="520"/>
      <c r="E176" s="520"/>
      <c r="F176" s="521"/>
      <c r="G176" s="520"/>
      <c r="H176" s="517"/>
      <c r="I176" s="550"/>
      <c r="J176" s="521"/>
      <c r="K176" s="521"/>
      <c r="L176" s="517"/>
      <c r="M176" s="517"/>
      <c r="N176" s="517"/>
      <c r="O176" s="516"/>
    </row>
    <row r="177" spans="1:16" ht="16.5" thickBot="1" x14ac:dyDescent="0.3">
      <c r="A177" s="475"/>
      <c r="B177" s="417" t="s">
        <v>1065</v>
      </c>
      <c r="C177" s="522">
        <v>594</v>
      </c>
      <c r="D177" s="520">
        <v>204</v>
      </c>
      <c r="E177" s="520"/>
      <c r="F177" s="521"/>
      <c r="G177" s="520"/>
      <c r="H177" s="517">
        <f t="shared" ref="H177" si="83">SUM(C177:G177)</f>
        <v>798</v>
      </c>
      <c r="I177" s="550"/>
      <c r="J177" s="521"/>
      <c r="K177" s="521"/>
      <c r="L177" s="517">
        <f t="shared" ref="L177" si="84">SUM(I177:K177)</f>
        <v>0</v>
      </c>
      <c r="M177" s="517">
        <f t="shared" ref="M177" si="85">SUM(H177+L177)</f>
        <v>798</v>
      </c>
      <c r="N177" s="517"/>
      <c r="O177" s="516">
        <f t="shared" si="82"/>
        <v>798</v>
      </c>
    </row>
    <row r="178" spans="1:16" ht="17.25" thickTop="1" thickBot="1" x14ac:dyDescent="0.3">
      <c r="A178" s="450"/>
      <c r="B178" s="449" t="s">
        <v>416</v>
      </c>
      <c r="C178" s="448">
        <f>+C167+C173+C171+C172+C177+C174+C175</f>
        <v>125633</v>
      </c>
      <c r="D178" s="448">
        <f t="shared" ref="D178:O178" si="86">+D167+D173+D171+D172+D177+D174+D175</f>
        <v>27667</v>
      </c>
      <c r="E178" s="448">
        <f t="shared" si="86"/>
        <v>57247</v>
      </c>
      <c r="F178" s="448">
        <f t="shared" si="86"/>
        <v>0</v>
      </c>
      <c r="G178" s="448">
        <f t="shared" si="86"/>
        <v>0</v>
      </c>
      <c r="H178" s="448">
        <f t="shared" si="86"/>
        <v>210547</v>
      </c>
      <c r="I178" s="448">
        <f t="shared" si="86"/>
        <v>1456</v>
      </c>
      <c r="J178" s="448">
        <f t="shared" si="86"/>
        <v>0</v>
      </c>
      <c r="K178" s="448">
        <f t="shared" si="86"/>
        <v>0</v>
      </c>
      <c r="L178" s="448">
        <f t="shared" si="86"/>
        <v>1456</v>
      </c>
      <c r="M178" s="448">
        <f t="shared" si="86"/>
        <v>212003</v>
      </c>
      <c r="N178" s="448">
        <f t="shared" si="86"/>
        <v>0</v>
      </c>
      <c r="O178" s="448">
        <f t="shared" si="86"/>
        <v>212003</v>
      </c>
      <c r="P178" s="405">
        <f>O179+O180</f>
        <v>212003</v>
      </c>
    </row>
    <row r="179" spans="1:16" ht="17.25" thickTop="1" thickBot="1" x14ac:dyDescent="0.3">
      <c r="A179" s="450"/>
      <c r="B179" s="449" t="s">
        <v>415</v>
      </c>
      <c r="C179" s="448">
        <f t="shared" ref="C179:O179" si="87">+C168+C173+C171+C172+C174+C175</f>
        <v>121768</v>
      </c>
      <c r="D179" s="448">
        <f t="shared" si="87"/>
        <v>26397</v>
      </c>
      <c r="E179" s="448">
        <f t="shared" si="87"/>
        <v>56612</v>
      </c>
      <c r="F179" s="448">
        <f t="shared" si="87"/>
        <v>0</v>
      </c>
      <c r="G179" s="448">
        <f t="shared" si="87"/>
        <v>0</v>
      </c>
      <c r="H179" s="448">
        <f t="shared" si="87"/>
        <v>204777</v>
      </c>
      <c r="I179" s="448">
        <f t="shared" si="87"/>
        <v>1456</v>
      </c>
      <c r="J179" s="448">
        <f t="shared" si="87"/>
        <v>0</v>
      </c>
      <c r="K179" s="448">
        <f t="shared" si="87"/>
        <v>0</v>
      </c>
      <c r="L179" s="448">
        <f t="shared" si="87"/>
        <v>1456</v>
      </c>
      <c r="M179" s="448">
        <f t="shared" si="87"/>
        <v>206233</v>
      </c>
      <c r="N179" s="448">
        <f t="shared" si="87"/>
        <v>0</v>
      </c>
      <c r="O179" s="448">
        <f t="shared" si="87"/>
        <v>206233</v>
      </c>
    </row>
    <row r="180" spans="1:16" ht="17.25" thickTop="1" thickBot="1" x14ac:dyDescent="0.3">
      <c r="A180" s="450"/>
      <c r="B180" s="449" t="s">
        <v>414</v>
      </c>
      <c r="C180" s="448">
        <f>+C169+C177</f>
        <v>3865</v>
      </c>
      <c r="D180" s="448">
        <f t="shared" ref="D180:O180" si="88">+D169+D177</f>
        <v>1270</v>
      </c>
      <c r="E180" s="448">
        <f t="shared" si="88"/>
        <v>635</v>
      </c>
      <c r="F180" s="448">
        <f t="shared" si="88"/>
        <v>0</v>
      </c>
      <c r="G180" s="448">
        <f t="shared" si="88"/>
        <v>0</v>
      </c>
      <c r="H180" s="448">
        <f t="shared" si="88"/>
        <v>5770</v>
      </c>
      <c r="I180" s="448">
        <f t="shared" si="88"/>
        <v>0</v>
      </c>
      <c r="J180" s="448">
        <f t="shared" si="88"/>
        <v>0</v>
      </c>
      <c r="K180" s="448">
        <f t="shared" si="88"/>
        <v>0</v>
      </c>
      <c r="L180" s="448">
        <f t="shared" si="88"/>
        <v>0</v>
      </c>
      <c r="M180" s="448">
        <f t="shared" si="88"/>
        <v>5770</v>
      </c>
      <c r="N180" s="448">
        <f t="shared" si="88"/>
        <v>0</v>
      </c>
      <c r="O180" s="448">
        <f t="shared" si="88"/>
        <v>5770</v>
      </c>
    </row>
    <row r="181" spans="1:16" ht="16.5" thickTop="1" x14ac:dyDescent="0.25">
      <c r="A181" s="469" t="s">
        <v>3</v>
      </c>
      <c r="B181" s="425" t="s">
        <v>440</v>
      </c>
      <c r="C181" s="471"/>
      <c r="D181" s="466"/>
      <c r="E181" s="466"/>
      <c r="F181" s="472"/>
      <c r="G181" s="466"/>
      <c r="H181" s="463"/>
      <c r="I181" s="465"/>
      <c r="J181" s="464"/>
      <c r="K181" s="464"/>
      <c r="L181" s="463"/>
      <c r="M181" s="463"/>
      <c r="N181" s="463"/>
      <c r="O181" s="463"/>
    </row>
    <row r="182" spans="1:16" x14ac:dyDescent="0.25">
      <c r="A182" s="469"/>
      <c r="B182" s="417" t="s">
        <v>387</v>
      </c>
      <c r="C182" s="471">
        <v>160148</v>
      </c>
      <c r="D182" s="466">
        <v>34090</v>
      </c>
      <c r="E182" s="466">
        <v>62918</v>
      </c>
      <c r="F182" s="464"/>
      <c r="G182" s="466"/>
      <c r="H182" s="463">
        <f>SUM(C182:G182)</f>
        <v>257156</v>
      </c>
      <c r="I182" s="465">
        <v>284</v>
      </c>
      <c r="J182" s="464"/>
      <c r="K182" s="464"/>
      <c r="L182" s="463">
        <f>SUM(I182:K182)</f>
        <v>284</v>
      </c>
      <c r="M182" s="462">
        <f>SUM(H182+L182)</f>
        <v>257440</v>
      </c>
      <c r="N182" s="462"/>
      <c r="O182" s="462">
        <f>SUM(M182+N182)</f>
        <v>257440</v>
      </c>
    </row>
    <row r="183" spans="1:16" s="476" customFormat="1" x14ac:dyDescent="0.25">
      <c r="A183" s="485"/>
      <c r="B183" s="470" t="s">
        <v>418</v>
      </c>
      <c r="C183" s="502">
        <v>155911</v>
      </c>
      <c r="D183" s="483">
        <v>32696</v>
      </c>
      <c r="E183" s="483">
        <v>62833</v>
      </c>
      <c r="F183" s="479"/>
      <c r="G183" s="483"/>
      <c r="H183" s="478">
        <f>SUM(C183:G183)</f>
        <v>251440</v>
      </c>
      <c r="I183" s="480">
        <v>284</v>
      </c>
      <c r="J183" s="479"/>
      <c r="K183" s="479"/>
      <c r="L183" s="478">
        <f>SUM(I183:K183)</f>
        <v>284</v>
      </c>
      <c r="M183" s="477">
        <f>SUM(H183+L183)</f>
        <v>251724</v>
      </c>
      <c r="N183" s="477"/>
      <c r="O183" s="477">
        <f>SUM(M183+N183)</f>
        <v>251724</v>
      </c>
    </row>
    <row r="184" spans="1:16" s="476" customFormat="1" x14ac:dyDescent="0.25">
      <c r="A184" s="485"/>
      <c r="B184" s="470" t="s">
        <v>417</v>
      </c>
      <c r="C184" s="502">
        <v>4237</v>
      </c>
      <c r="D184" s="483">
        <v>1394</v>
      </c>
      <c r="E184" s="483">
        <v>85</v>
      </c>
      <c r="F184" s="479"/>
      <c r="G184" s="483"/>
      <c r="H184" s="478">
        <f>SUM(C184:G184)</f>
        <v>5716</v>
      </c>
      <c r="I184" s="480"/>
      <c r="J184" s="479"/>
      <c r="K184" s="479"/>
      <c r="L184" s="478">
        <f>SUM(I184:K184)</f>
        <v>0</v>
      </c>
      <c r="M184" s="477">
        <f>SUM(H184+L184)</f>
        <v>5716</v>
      </c>
      <c r="N184" s="477"/>
      <c r="O184" s="477">
        <f>SUM(M184+N184)</f>
        <v>5716</v>
      </c>
    </row>
    <row r="185" spans="1:16" s="476" customFormat="1" x14ac:dyDescent="0.25">
      <c r="A185" s="485"/>
      <c r="B185" s="470" t="s">
        <v>139</v>
      </c>
      <c r="C185" s="502"/>
      <c r="D185" s="483"/>
      <c r="E185" s="483"/>
      <c r="F185" s="479"/>
      <c r="G185" s="483"/>
      <c r="H185" s="478"/>
      <c r="I185" s="480"/>
      <c r="J185" s="479"/>
      <c r="K185" s="479"/>
      <c r="L185" s="478"/>
      <c r="M185" s="477"/>
      <c r="N185" s="477"/>
      <c r="O185" s="477"/>
    </row>
    <row r="186" spans="1:16" s="476" customFormat="1" x14ac:dyDescent="0.25">
      <c r="A186" s="485"/>
      <c r="B186" s="417" t="s">
        <v>1034</v>
      </c>
      <c r="C186" s="522">
        <v>12</v>
      </c>
      <c r="D186" s="520">
        <v>2</v>
      </c>
      <c r="E186" s="520"/>
      <c r="F186" s="521"/>
      <c r="G186" s="483"/>
      <c r="H186" s="517">
        <f t="shared" ref="H186:H191" si="89">SUM(C186:G186)</f>
        <v>14</v>
      </c>
      <c r="I186" s="480"/>
      <c r="J186" s="479"/>
      <c r="K186" s="479"/>
      <c r="L186" s="517">
        <f t="shared" ref="L186:L191" si="90">SUM(I186:K186)</f>
        <v>0</v>
      </c>
      <c r="M186" s="516">
        <f t="shared" ref="M186:M191" si="91">SUM(H186+L186)</f>
        <v>14</v>
      </c>
      <c r="N186" s="477"/>
      <c r="O186" s="516">
        <f t="shared" ref="O186:O191" si="92">SUM(M186+N186)</f>
        <v>14</v>
      </c>
    </row>
    <row r="187" spans="1:16" s="476" customFormat="1" ht="47.25" x14ac:dyDescent="0.25">
      <c r="A187" s="485"/>
      <c r="B187" s="417" t="s">
        <v>1064</v>
      </c>
      <c r="C187" s="522">
        <v>1207</v>
      </c>
      <c r="D187" s="520">
        <v>236</v>
      </c>
      <c r="E187" s="520"/>
      <c r="F187" s="521"/>
      <c r="G187" s="483"/>
      <c r="H187" s="517">
        <f t="shared" si="89"/>
        <v>1443</v>
      </c>
      <c r="I187" s="480"/>
      <c r="J187" s="479"/>
      <c r="K187" s="479"/>
      <c r="L187" s="517">
        <f t="shared" si="90"/>
        <v>0</v>
      </c>
      <c r="M187" s="516">
        <f t="shared" si="91"/>
        <v>1443</v>
      </c>
      <c r="N187" s="477"/>
      <c r="O187" s="516">
        <f t="shared" si="92"/>
        <v>1443</v>
      </c>
    </row>
    <row r="188" spans="1:16" s="476" customFormat="1" ht="47.25" x14ac:dyDescent="0.25">
      <c r="A188" s="485"/>
      <c r="B188" s="417" t="s">
        <v>812</v>
      </c>
      <c r="C188" s="522"/>
      <c r="D188" s="520"/>
      <c r="E188" s="520">
        <v>102</v>
      </c>
      <c r="F188" s="521"/>
      <c r="G188" s="483"/>
      <c r="H188" s="517">
        <f t="shared" si="89"/>
        <v>102</v>
      </c>
      <c r="I188" s="550"/>
      <c r="J188" s="479"/>
      <c r="K188" s="479"/>
      <c r="L188" s="517">
        <f t="shared" si="90"/>
        <v>0</v>
      </c>
      <c r="M188" s="516">
        <f t="shared" si="91"/>
        <v>102</v>
      </c>
      <c r="N188" s="477"/>
      <c r="O188" s="516">
        <f t="shared" si="92"/>
        <v>102</v>
      </c>
    </row>
    <row r="189" spans="1:16" s="476" customFormat="1" ht="31.5" x14ac:dyDescent="0.25">
      <c r="A189" s="485"/>
      <c r="B189" s="417" t="s">
        <v>766</v>
      </c>
      <c r="C189" s="522"/>
      <c r="D189" s="520"/>
      <c r="E189" s="520">
        <v>4520</v>
      </c>
      <c r="F189" s="521"/>
      <c r="G189" s="483"/>
      <c r="H189" s="517">
        <f t="shared" si="89"/>
        <v>4520</v>
      </c>
      <c r="I189" s="550">
        <v>245</v>
      </c>
      <c r="J189" s="479"/>
      <c r="K189" s="479"/>
      <c r="L189" s="517">
        <f t="shared" si="90"/>
        <v>245</v>
      </c>
      <c r="M189" s="516">
        <f t="shared" si="91"/>
        <v>4765</v>
      </c>
      <c r="N189" s="477"/>
      <c r="O189" s="516">
        <f t="shared" si="92"/>
        <v>4765</v>
      </c>
    </row>
    <row r="190" spans="1:16" s="476" customFormat="1" x14ac:dyDescent="0.25">
      <c r="A190" s="503"/>
      <c r="B190" s="474" t="s">
        <v>140</v>
      </c>
      <c r="C190" s="522"/>
      <c r="D190" s="520"/>
      <c r="E190" s="520"/>
      <c r="F190" s="521"/>
      <c r="G190" s="483"/>
      <c r="H190" s="517"/>
      <c r="I190" s="480"/>
      <c r="J190" s="479"/>
      <c r="K190" s="479"/>
      <c r="L190" s="517"/>
      <c r="M190" s="517"/>
      <c r="N190" s="478"/>
      <c r="O190" s="517"/>
    </row>
    <row r="191" spans="1:16" s="476" customFormat="1" ht="16.5" thickBot="1" x14ac:dyDescent="0.3">
      <c r="A191" s="962"/>
      <c r="B191" s="948" t="s">
        <v>1065</v>
      </c>
      <c r="C191" s="955">
        <v>757</v>
      </c>
      <c r="D191" s="956">
        <v>259</v>
      </c>
      <c r="E191" s="956"/>
      <c r="F191" s="957"/>
      <c r="G191" s="958"/>
      <c r="H191" s="952">
        <f t="shared" si="89"/>
        <v>1016</v>
      </c>
      <c r="I191" s="959"/>
      <c r="J191" s="960"/>
      <c r="K191" s="960"/>
      <c r="L191" s="952">
        <f t="shared" si="90"/>
        <v>0</v>
      </c>
      <c r="M191" s="952">
        <f t="shared" si="91"/>
        <v>1016</v>
      </c>
      <c r="N191" s="961"/>
      <c r="O191" s="952">
        <f t="shared" si="92"/>
        <v>1016</v>
      </c>
    </row>
    <row r="192" spans="1:16" ht="17.25" thickTop="1" thickBot="1" x14ac:dyDescent="0.3">
      <c r="A192" s="450"/>
      <c r="B192" s="449" t="s">
        <v>416</v>
      </c>
      <c r="C192" s="448">
        <f>+C182+C186+C191+C187+C188+C189</f>
        <v>162124</v>
      </c>
      <c r="D192" s="448">
        <f t="shared" ref="D192:O192" si="93">+D182+D186+D191+D187+D188+D189</f>
        <v>34587</v>
      </c>
      <c r="E192" s="448">
        <f t="shared" si="93"/>
        <v>67540</v>
      </c>
      <c r="F192" s="448">
        <f t="shared" si="93"/>
        <v>0</v>
      </c>
      <c r="G192" s="448">
        <f t="shared" si="93"/>
        <v>0</v>
      </c>
      <c r="H192" s="448">
        <f t="shared" si="93"/>
        <v>264251</v>
      </c>
      <c r="I192" s="448">
        <f t="shared" si="93"/>
        <v>529</v>
      </c>
      <c r="J192" s="448">
        <f t="shared" si="93"/>
        <v>0</v>
      </c>
      <c r="K192" s="448">
        <f t="shared" si="93"/>
        <v>0</v>
      </c>
      <c r="L192" s="448">
        <f t="shared" si="93"/>
        <v>529</v>
      </c>
      <c r="M192" s="448">
        <f t="shared" si="93"/>
        <v>264780</v>
      </c>
      <c r="N192" s="448">
        <f t="shared" si="93"/>
        <v>0</v>
      </c>
      <c r="O192" s="448">
        <f t="shared" si="93"/>
        <v>264780</v>
      </c>
      <c r="P192" s="405">
        <f>O193+O194</f>
        <v>264780</v>
      </c>
    </row>
    <row r="193" spans="1:16" ht="17.25" thickTop="1" thickBot="1" x14ac:dyDescent="0.3">
      <c r="A193" s="450"/>
      <c r="B193" s="449" t="s">
        <v>415</v>
      </c>
      <c r="C193" s="448">
        <f t="shared" ref="C193:O193" si="94">+C183+C186+C187+C188+C189</f>
        <v>157130</v>
      </c>
      <c r="D193" s="448">
        <f t="shared" si="94"/>
        <v>32934</v>
      </c>
      <c r="E193" s="448">
        <f t="shared" si="94"/>
        <v>67455</v>
      </c>
      <c r="F193" s="448">
        <f t="shared" si="94"/>
        <v>0</v>
      </c>
      <c r="G193" s="448">
        <f t="shared" si="94"/>
        <v>0</v>
      </c>
      <c r="H193" s="448">
        <f t="shared" si="94"/>
        <v>257519</v>
      </c>
      <c r="I193" s="448">
        <f t="shared" si="94"/>
        <v>529</v>
      </c>
      <c r="J193" s="448">
        <f t="shared" si="94"/>
        <v>0</v>
      </c>
      <c r="K193" s="448">
        <f t="shared" si="94"/>
        <v>0</v>
      </c>
      <c r="L193" s="448">
        <f t="shared" si="94"/>
        <v>529</v>
      </c>
      <c r="M193" s="448">
        <f t="shared" si="94"/>
        <v>258048</v>
      </c>
      <c r="N193" s="448">
        <f t="shared" si="94"/>
        <v>0</v>
      </c>
      <c r="O193" s="448">
        <f t="shared" si="94"/>
        <v>258048</v>
      </c>
    </row>
    <row r="194" spans="1:16" ht="17.25" thickTop="1" thickBot="1" x14ac:dyDescent="0.3">
      <c r="A194" s="450"/>
      <c r="B194" s="449" t="s">
        <v>414</v>
      </c>
      <c r="C194" s="448">
        <f>+C184+C191</f>
        <v>4994</v>
      </c>
      <c r="D194" s="448">
        <f t="shared" ref="D194:O194" si="95">+D184+D191</f>
        <v>1653</v>
      </c>
      <c r="E194" s="448">
        <f t="shared" si="95"/>
        <v>85</v>
      </c>
      <c r="F194" s="448">
        <f t="shared" si="95"/>
        <v>0</v>
      </c>
      <c r="G194" s="448">
        <f t="shared" si="95"/>
        <v>0</v>
      </c>
      <c r="H194" s="448">
        <f t="shared" si="95"/>
        <v>6732</v>
      </c>
      <c r="I194" s="448">
        <f t="shared" si="95"/>
        <v>0</v>
      </c>
      <c r="J194" s="448">
        <f t="shared" si="95"/>
        <v>0</v>
      </c>
      <c r="K194" s="448">
        <f t="shared" si="95"/>
        <v>0</v>
      </c>
      <c r="L194" s="448">
        <f t="shared" si="95"/>
        <v>0</v>
      </c>
      <c r="M194" s="448">
        <f t="shared" si="95"/>
        <v>6732</v>
      </c>
      <c r="N194" s="448">
        <f t="shared" si="95"/>
        <v>0</v>
      </c>
      <c r="O194" s="448">
        <f t="shared" si="95"/>
        <v>6732</v>
      </c>
    </row>
    <row r="195" spans="1:16" ht="16.5" thickTop="1" x14ac:dyDescent="0.25">
      <c r="A195" s="469" t="s">
        <v>4</v>
      </c>
      <c r="B195" s="425" t="s">
        <v>439</v>
      </c>
      <c r="C195" s="471"/>
      <c r="D195" s="466"/>
      <c r="E195" s="466"/>
      <c r="F195" s="472"/>
      <c r="G195" s="466"/>
      <c r="H195" s="463"/>
      <c r="I195" s="465"/>
      <c r="J195" s="464"/>
      <c r="K195" s="464"/>
      <c r="L195" s="463"/>
      <c r="M195" s="463"/>
      <c r="N195" s="463"/>
      <c r="O195" s="463"/>
    </row>
    <row r="196" spans="1:16" x14ac:dyDescent="0.25">
      <c r="A196" s="475"/>
      <c r="B196" s="425" t="s">
        <v>387</v>
      </c>
      <c r="C196" s="471">
        <v>135837</v>
      </c>
      <c r="D196" s="466">
        <v>29172</v>
      </c>
      <c r="E196" s="466">
        <v>62663</v>
      </c>
      <c r="F196" s="464"/>
      <c r="G196" s="466"/>
      <c r="H196" s="463">
        <f>SUM(C196:G196)</f>
        <v>227672</v>
      </c>
      <c r="I196" s="465">
        <v>708</v>
      </c>
      <c r="J196" s="464"/>
      <c r="K196" s="464"/>
      <c r="L196" s="463">
        <f>SUM(I196:K196)</f>
        <v>708</v>
      </c>
      <c r="M196" s="462">
        <f>SUM(H196+L196)</f>
        <v>228380</v>
      </c>
      <c r="N196" s="462"/>
      <c r="O196" s="462">
        <f>SUM(M196+N196)</f>
        <v>228380</v>
      </c>
    </row>
    <row r="197" spans="1:16" s="476" customFormat="1" x14ac:dyDescent="0.25">
      <c r="A197" s="503"/>
      <c r="B197" s="470" t="s">
        <v>418</v>
      </c>
      <c r="C197" s="502">
        <v>132184</v>
      </c>
      <c r="D197" s="483">
        <v>27968</v>
      </c>
      <c r="E197" s="483">
        <v>62608</v>
      </c>
      <c r="F197" s="479"/>
      <c r="G197" s="483"/>
      <c r="H197" s="478">
        <f>SUM(C197:G197)</f>
        <v>222760</v>
      </c>
      <c r="I197" s="480">
        <v>708</v>
      </c>
      <c r="J197" s="479"/>
      <c r="K197" s="479"/>
      <c r="L197" s="478">
        <f>SUM(I197:K197)</f>
        <v>708</v>
      </c>
      <c r="M197" s="477">
        <f>SUM(H197+L197)</f>
        <v>223468</v>
      </c>
      <c r="N197" s="477"/>
      <c r="O197" s="477">
        <f>SUM(M197+N197)</f>
        <v>223468</v>
      </c>
    </row>
    <row r="198" spans="1:16" s="476" customFormat="1" x14ac:dyDescent="0.25">
      <c r="A198" s="503"/>
      <c r="B198" s="470" t="s">
        <v>417</v>
      </c>
      <c r="C198" s="502">
        <v>3653</v>
      </c>
      <c r="D198" s="483">
        <v>1204</v>
      </c>
      <c r="E198" s="483">
        <v>55</v>
      </c>
      <c r="F198" s="479"/>
      <c r="G198" s="483"/>
      <c r="H198" s="478">
        <f>SUM(C198:G198)</f>
        <v>4912</v>
      </c>
      <c r="I198" s="480"/>
      <c r="J198" s="479"/>
      <c r="K198" s="479"/>
      <c r="L198" s="478">
        <f>SUM(I198:K198)</f>
        <v>0</v>
      </c>
      <c r="M198" s="477">
        <f>SUM(H198+L198)</f>
        <v>4912</v>
      </c>
      <c r="N198" s="477"/>
      <c r="O198" s="477">
        <f>SUM(M198+N198)</f>
        <v>4912</v>
      </c>
    </row>
    <row r="199" spans="1:16" s="476" customFormat="1" x14ac:dyDescent="0.25">
      <c r="A199" s="503"/>
      <c r="B199" s="470" t="s">
        <v>139</v>
      </c>
      <c r="C199" s="502"/>
      <c r="D199" s="483"/>
      <c r="E199" s="483"/>
      <c r="F199" s="479"/>
      <c r="G199" s="483"/>
      <c r="H199" s="478"/>
      <c r="I199" s="480"/>
      <c r="J199" s="479"/>
      <c r="K199" s="479"/>
      <c r="L199" s="478"/>
      <c r="M199" s="477"/>
      <c r="N199" s="477"/>
      <c r="O199" s="477"/>
    </row>
    <row r="200" spans="1:16" s="476" customFormat="1" x14ac:dyDescent="0.25">
      <c r="A200" s="503"/>
      <c r="B200" s="417" t="s">
        <v>1034</v>
      </c>
      <c r="C200" s="522">
        <v>3</v>
      </c>
      <c r="D200" s="520">
        <v>1</v>
      </c>
      <c r="E200" s="520"/>
      <c r="F200" s="521"/>
      <c r="G200" s="483"/>
      <c r="H200" s="517">
        <f t="shared" ref="H200:H205" si="96">SUM(C200:G200)</f>
        <v>4</v>
      </c>
      <c r="I200" s="480"/>
      <c r="J200" s="479"/>
      <c r="K200" s="479"/>
      <c r="L200" s="517">
        <f t="shared" ref="L200:L205" si="97">SUM(I200:K200)</f>
        <v>0</v>
      </c>
      <c r="M200" s="516">
        <f t="shared" ref="M200:M205" si="98">SUM(H200+L200)</f>
        <v>4</v>
      </c>
      <c r="N200" s="477"/>
      <c r="O200" s="516">
        <f t="shared" ref="O200:O205" si="99">SUM(M200+N200)</f>
        <v>4</v>
      </c>
    </row>
    <row r="201" spans="1:16" s="476" customFormat="1" ht="47.25" x14ac:dyDescent="0.25">
      <c r="A201" s="503"/>
      <c r="B201" s="417" t="s">
        <v>1064</v>
      </c>
      <c r="C201" s="522">
        <v>310</v>
      </c>
      <c r="D201" s="520">
        <v>60</v>
      </c>
      <c r="E201" s="520"/>
      <c r="F201" s="521"/>
      <c r="G201" s="483"/>
      <c r="H201" s="517">
        <f t="shared" si="96"/>
        <v>370</v>
      </c>
      <c r="I201" s="480"/>
      <c r="J201" s="479"/>
      <c r="K201" s="479"/>
      <c r="L201" s="517">
        <f t="shared" si="97"/>
        <v>0</v>
      </c>
      <c r="M201" s="516">
        <f t="shared" si="98"/>
        <v>370</v>
      </c>
      <c r="N201" s="477"/>
      <c r="O201" s="516">
        <f t="shared" si="99"/>
        <v>370</v>
      </c>
    </row>
    <row r="202" spans="1:16" s="476" customFormat="1" ht="47.25" x14ac:dyDescent="0.25">
      <c r="A202" s="503"/>
      <c r="B202" s="417" t="s">
        <v>812</v>
      </c>
      <c r="C202" s="522"/>
      <c r="D202" s="520"/>
      <c r="E202" s="520">
        <v>127</v>
      </c>
      <c r="F202" s="521"/>
      <c r="G202" s="483"/>
      <c r="H202" s="517">
        <f t="shared" si="96"/>
        <v>127</v>
      </c>
      <c r="I202" s="550"/>
      <c r="J202" s="479"/>
      <c r="K202" s="479"/>
      <c r="L202" s="517">
        <f t="shared" si="97"/>
        <v>0</v>
      </c>
      <c r="M202" s="516">
        <f t="shared" si="98"/>
        <v>127</v>
      </c>
      <c r="N202" s="477"/>
      <c r="O202" s="516">
        <f t="shared" si="99"/>
        <v>127</v>
      </c>
    </row>
    <row r="203" spans="1:16" s="476" customFormat="1" ht="31.5" x14ac:dyDescent="0.25">
      <c r="A203" s="503"/>
      <c r="B203" s="417" t="s">
        <v>766</v>
      </c>
      <c r="C203" s="522"/>
      <c r="D203" s="520"/>
      <c r="E203" s="520">
        <v>4184</v>
      </c>
      <c r="F203" s="521"/>
      <c r="G203" s="483"/>
      <c r="H203" s="517">
        <f t="shared" si="96"/>
        <v>4184</v>
      </c>
      <c r="I203" s="550">
        <v>16</v>
      </c>
      <c r="J203" s="479"/>
      <c r="K203" s="479"/>
      <c r="L203" s="517">
        <f t="shared" si="97"/>
        <v>16</v>
      </c>
      <c r="M203" s="516">
        <f t="shared" si="98"/>
        <v>4200</v>
      </c>
      <c r="N203" s="477"/>
      <c r="O203" s="516">
        <f t="shared" si="99"/>
        <v>4200</v>
      </c>
    </row>
    <row r="204" spans="1:16" s="476" customFormat="1" x14ac:dyDescent="0.25">
      <c r="A204" s="503"/>
      <c r="B204" s="470" t="s">
        <v>140</v>
      </c>
      <c r="C204" s="522"/>
      <c r="D204" s="520"/>
      <c r="E204" s="520"/>
      <c r="F204" s="521"/>
      <c r="G204" s="483"/>
      <c r="H204" s="517"/>
      <c r="I204" s="480"/>
      <c r="J204" s="479"/>
      <c r="K204" s="479"/>
      <c r="L204" s="517"/>
      <c r="M204" s="516"/>
      <c r="N204" s="477"/>
      <c r="O204" s="516"/>
    </row>
    <row r="205" spans="1:16" s="476" customFormat="1" ht="16.5" thickBot="1" x14ac:dyDescent="0.3">
      <c r="A205" s="503"/>
      <c r="B205" s="417" t="s">
        <v>1065</v>
      </c>
      <c r="C205" s="522">
        <v>671</v>
      </c>
      <c r="D205" s="520">
        <v>229</v>
      </c>
      <c r="E205" s="520"/>
      <c r="F205" s="521"/>
      <c r="G205" s="483"/>
      <c r="H205" s="517">
        <f t="shared" si="96"/>
        <v>900</v>
      </c>
      <c r="I205" s="480"/>
      <c r="J205" s="479"/>
      <c r="K205" s="479"/>
      <c r="L205" s="517">
        <f t="shared" si="97"/>
        <v>0</v>
      </c>
      <c r="M205" s="516">
        <f t="shared" si="98"/>
        <v>900</v>
      </c>
      <c r="N205" s="477"/>
      <c r="O205" s="516">
        <f t="shared" si="99"/>
        <v>900</v>
      </c>
    </row>
    <row r="206" spans="1:16" ht="17.25" thickTop="1" thickBot="1" x14ac:dyDescent="0.3">
      <c r="A206" s="450"/>
      <c r="B206" s="449" t="s">
        <v>416</v>
      </c>
      <c r="C206" s="448">
        <f>+C196+C200+C205+C201+C202+C203</f>
        <v>136821</v>
      </c>
      <c r="D206" s="448">
        <f t="shared" ref="D206:O206" si="100">+D196+D200+D205+D201+D202+D203</f>
        <v>29462</v>
      </c>
      <c r="E206" s="448">
        <f t="shared" si="100"/>
        <v>66974</v>
      </c>
      <c r="F206" s="448">
        <f t="shared" si="100"/>
        <v>0</v>
      </c>
      <c r="G206" s="448">
        <f t="shared" si="100"/>
        <v>0</v>
      </c>
      <c r="H206" s="448">
        <f t="shared" si="100"/>
        <v>233257</v>
      </c>
      <c r="I206" s="448">
        <f t="shared" si="100"/>
        <v>724</v>
      </c>
      <c r="J206" s="448">
        <f t="shared" si="100"/>
        <v>0</v>
      </c>
      <c r="K206" s="448">
        <f t="shared" si="100"/>
        <v>0</v>
      </c>
      <c r="L206" s="448">
        <f t="shared" si="100"/>
        <v>724</v>
      </c>
      <c r="M206" s="448">
        <f t="shared" si="100"/>
        <v>233981</v>
      </c>
      <c r="N206" s="448">
        <f t="shared" si="100"/>
        <v>0</v>
      </c>
      <c r="O206" s="448">
        <f t="shared" si="100"/>
        <v>233981</v>
      </c>
      <c r="P206" s="405">
        <f>O207+O208</f>
        <v>233981</v>
      </c>
    </row>
    <row r="207" spans="1:16" ht="17.25" thickTop="1" thickBot="1" x14ac:dyDescent="0.3">
      <c r="A207" s="450"/>
      <c r="B207" s="449" t="s">
        <v>415</v>
      </c>
      <c r="C207" s="448">
        <f>+C197+C200+C201+C202+C203</f>
        <v>132497</v>
      </c>
      <c r="D207" s="448">
        <f t="shared" ref="D207:O207" si="101">+D197+D200+D201+D202+D203</f>
        <v>28029</v>
      </c>
      <c r="E207" s="448">
        <f t="shared" si="101"/>
        <v>66919</v>
      </c>
      <c r="F207" s="448">
        <f t="shared" si="101"/>
        <v>0</v>
      </c>
      <c r="G207" s="448">
        <f t="shared" si="101"/>
        <v>0</v>
      </c>
      <c r="H207" s="448">
        <f t="shared" si="101"/>
        <v>227445</v>
      </c>
      <c r="I207" s="448">
        <f t="shared" si="101"/>
        <v>724</v>
      </c>
      <c r="J207" s="448">
        <f t="shared" si="101"/>
        <v>0</v>
      </c>
      <c r="K207" s="448">
        <f t="shared" si="101"/>
        <v>0</v>
      </c>
      <c r="L207" s="448">
        <f t="shared" si="101"/>
        <v>724</v>
      </c>
      <c r="M207" s="448">
        <f t="shared" si="101"/>
        <v>228169</v>
      </c>
      <c r="N207" s="448">
        <f t="shared" si="101"/>
        <v>0</v>
      </c>
      <c r="O207" s="448">
        <f t="shared" si="101"/>
        <v>228169</v>
      </c>
    </row>
    <row r="208" spans="1:16" ht="17.25" thickTop="1" thickBot="1" x14ac:dyDescent="0.3">
      <c r="A208" s="450"/>
      <c r="B208" s="449" t="s">
        <v>414</v>
      </c>
      <c r="C208" s="448">
        <f>+C198+C205</f>
        <v>4324</v>
      </c>
      <c r="D208" s="448">
        <f t="shared" ref="D208:O208" si="102">+D198+D205</f>
        <v>1433</v>
      </c>
      <c r="E208" s="448">
        <f t="shared" si="102"/>
        <v>55</v>
      </c>
      <c r="F208" s="448">
        <f t="shared" si="102"/>
        <v>0</v>
      </c>
      <c r="G208" s="448">
        <f t="shared" si="102"/>
        <v>0</v>
      </c>
      <c r="H208" s="448">
        <f t="shared" si="102"/>
        <v>5812</v>
      </c>
      <c r="I208" s="448">
        <f t="shared" si="102"/>
        <v>0</v>
      </c>
      <c r="J208" s="448">
        <f t="shared" si="102"/>
        <v>0</v>
      </c>
      <c r="K208" s="448">
        <f t="shared" si="102"/>
        <v>0</v>
      </c>
      <c r="L208" s="448">
        <f t="shared" si="102"/>
        <v>0</v>
      </c>
      <c r="M208" s="448">
        <f t="shared" si="102"/>
        <v>5812</v>
      </c>
      <c r="N208" s="448">
        <f t="shared" si="102"/>
        <v>0</v>
      </c>
      <c r="O208" s="448">
        <f t="shared" si="102"/>
        <v>5812</v>
      </c>
    </row>
    <row r="209" spans="1:16" ht="16.5" thickTop="1" x14ac:dyDescent="0.25">
      <c r="A209" s="469" t="s">
        <v>5</v>
      </c>
      <c r="B209" s="425" t="s">
        <v>438</v>
      </c>
      <c r="C209" s="471"/>
      <c r="D209" s="466"/>
      <c r="E209" s="466"/>
      <c r="F209" s="472"/>
      <c r="G209" s="466"/>
      <c r="H209" s="463"/>
      <c r="I209" s="465"/>
      <c r="J209" s="464"/>
      <c r="K209" s="464"/>
      <c r="L209" s="463"/>
      <c r="M209" s="463"/>
      <c r="N209" s="463"/>
      <c r="O209" s="463"/>
    </row>
    <row r="210" spans="1:16" x14ac:dyDescent="0.25">
      <c r="A210" s="469"/>
      <c r="B210" s="417" t="s">
        <v>815</v>
      </c>
      <c r="C210" s="471">
        <v>151654</v>
      </c>
      <c r="D210" s="466">
        <v>32625</v>
      </c>
      <c r="E210" s="466">
        <v>69408</v>
      </c>
      <c r="F210" s="472"/>
      <c r="G210" s="466"/>
      <c r="H210" s="463">
        <f>SUM(C210:G210)</f>
        <v>253687</v>
      </c>
      <c r="I210" s="465">
        <v>1052</v>
      </c>
      <c r="J210" s="464"/>
      <c r="K210" s="464"/>
      <c r="L210" s="463">
        <f>SUM(I210:K210)</f>
        <v>1052</v>
      </c>
      <c r="M210" s="462">
        <f>SUM(H210+L210)</f>
        <v>254739</v>
      </c>
      <c r="N210" s="462"/>
      <c r="O210" s="462">
        <f>SUM(M210+N210)</f>
        <v>254739</v>
      </c>
    </row>
    <row r="211" spans="1:16" s="476" customFormat="1" x14ac:dyDescent="0.25">
      <c r="A211" s="485"/>
      <c r="B211" s="470" t="s">
        <v>418</v>
      </c>
      <c r="C211" s="502">
        <v>147418</v>
      </c>
      <c r="D211" s="483">
        <v>31235</v>
      </c>
      <c r="E211" s="483">
        <v>69073</v>
      </c>
      <c r="F211" s="494"/>
      <c r="G211" s="483"/>
      <c r="H211" s="478">
        <f>SUM(C211:G211)</f>
        <v>247726</v>
      </c>
      <c r="I211" s="480">
        <v>1052</v>
      </c>
      <c r="J211" s="479"/>
      <c r="K211" s="479"/>
      <c r="L211" s="478">
        <f>SUM(I211:K211)</f>
        <v>1052</v>
      </c>
      <c r="M211" s="477">
        <f>SUM(H211+L211)</f>
        <v>248778</v>
      </c>
      <c r="N211" s="477"/>
      <c r="O211" s="477">
        <f>SUM(M211+N211)</f>
        <v>248778</v>
      </c>
    </row>
    <row r="212" spans="1:16" s="476" customFormat="1" x14ac:dyDescent="0.25">
      <c r="A212" s="485"/>
      <c r="B212" s="470" t="s">
        <v>417</v>
      </c>
      <c r="C212" s="502">
        <v>4236</v>
      </c>
      <c r="D212" s="483">
        <v>1390</v>
      </c>
      <c r="E212" s="483">
        <v>335</v>
      </c>
      <c r="F212" s="494"/>
      <c r="G212" s="483"/>
      <c r="H212" s="478">
        <f>SUM(C212:G212)</f>
        <v>5961</v>
      </c>
      <c r="I212" s="480"/>
      <c r="J212" s="479"/>
      <c r="K212" s="479"/>
      <c r="L212" s="478">
        <f>SUM(I212:K212)</f>
        <v>0</v>
      </c>
      <c r="M212" s="477">
        <f>SUM(H212+L212)</f>
        <v>5961</v>
      </c>
      <c r="N212" s="477"/>
      <c r="O212" s="477">
        <f>SUM(M212+N212)</f>
        <v>5961</v>
      </c>
    </row>
    <row r="213" spans="1:16" s="476" customFormat="1" x14ac:dyDescent="0.25">
      <c r="A213" s="485"/>
      <c r="B213" s="470" t="s">
        <v>139</v>
      </c>
      <c r="C213" s="502"/>
      <c r="D213" s="483"/>
      <c r="E213" s="483"/>
      <c r="F213" s="494"/>
      <c r="G213" s="483"/>
      <c r="H213" s="478"/>
      <c r="I213" s="480"/>
      <c r="J213" s="479"/>
      <c r="K213" s="479"/>
      <c r="L213" s="478"/>
      <c r="M213" s="477"/>
      <c r="N213" s="477"/>
      <c r="O213" s="477"/>
    </row>
    <row r="214" spans="1:16" s="476" customFormat="1" x14ac:dyDescent="0.25">
      <c r="A214" s="485"/>
      <c r="B214" s="417" t="s">
        <v>1034</v>
      </c>
      <c r="C214" s="522">
        <v>6</v>
      </c>
      <c r="D214" s="520">
        <v>1</v>
      </c>
      <c r="E214" s="520"/>
      <c r="F214" s="518"/>
      <c r="G214" s="483"/>
      <c r="H214" s="517">
        <f t="shared" ref="H214:H219" si="103">SUM(C214:G214)</f>
        <v>7</v>
      </c>
      <c r="I214" s="480"/>
      <c r="J214" s="479"/>
      <c r="K214" s="479"/>
      <c r="L214" s="517">
        <f t="shared" ref="L214:L219" si="104">SUM(I214:K214)</f>
        <v>0</v>
      </c>
      <c r="M214" s="516">
        <f t="shared" ref="M214:M219" si="105">SUM(H214+L214)</f>
        <v>7</v>
      </c>
      <c r="N214" s="477"/>
      <c r="O214" s="516">
        <f t="shared" ref="O214:O219" si="106">SUM(M214+N214)</f>
        <v>7</v>
      </c>
    </row>
    <row r="215" spans="1:16" s="476" customFormat="1" ht="47.25" x14ac:dyDescent="0.25">
      <c r="A215" s="485"/>
      <c r="B215" s="417" t="s">
        <v>1064</v>
      </c>
      <c r="C215" s="522">
        <v>240</v>
      </c>
      <c r="D215" s="520">
        <v>47</v>
      </c>
      <c r="E215" s="520"/>
      <c r="F215" s="518"/>
      <c r="G215" s="483"/>
      <c r="H215" s="517">
        <f t="shared" si="103"/>
        <v>287</v>
      </c>
      <c r="I215" s="480"/>
      <c r="J215" s="479"/>
      <c r="K215" s="479"/>
      <c r="L215" s="517">
        <f t="shared" si="104"/>
        <v>0</v>
      </c>
      <c r="M215" s="516">
        <f t="shared" si="105"/>
        <v>287</v>
      </c>
      <c r="N215" s="477"/>
      <c r="O215" s="516">
        <f t="shared" si="106"/>
        <v>287</v>
      </c>
    </row>
    <row r="216" spans="1:16" s="476" customFormat="1" ht="47.25" x14ac:dyDescent="0.25">
      <c r="A216" s="485"/>
      <c r="B216" s="417" t="s">
        <v>812</v>
      </c>
      <c r="C216" s="522"/>
      <c r="D216" s="520"/>
      <c r="E216" s="520">
        <v>127</v>
      </c>
      <c r="F216" s="518"/>
      <c r="G216" s="483"/>
      <c r="H216" s="517">
        <f t="shared" si="103"/>
        <v>127</v>
      </c>
      <c r="I216" s="480"/>
      <c r="J216" s="479"/>
      <c r="K216" s="479"/>
      <c r="L216" s="517">
        <f t="shared" si="104"/>
        <v>0</v>
      </c>
      <c r="M216" s="516">
        <f t="shared" si="105"/>
        <v>127</v>
      </c>
      <c r="N216" s="477"/>
      <c r="O216" s="516">
        <f t="shared" si="106"/>
        <v>127</v>
      </c>
    </row>
    <row r="217" spans="1:16" s="476" customFormat="1" ht="31.5" x14ac:dyDescent="0.25">
      <c r="A217" s="485"/>
      <c r="B217" s="417" t="s">
        <v>766</v>
      </c>
      <c r="C217" s="522"/>
      <c r="D217" s="520"/>
      <c r="E217" s="520">
        <v>6824</v>
      </c>
      <c r="F217" s="518"/>
      <c r="G217" s="483"/>
      <c r="H217" s="517">
        <f t="shared" si="103"/>
        <v>6824</v>
      </c>
      <c r="I217" s="550">
        <v>245</v>
      </c>
      <c r="J217" s="479"/>
      <c r="K217" s="479"/>
      <c r="L217" s="517">
        <f t="shared" si="104"/>
        <v>245</v>
      </c>
      <c r="M217" s="516">
        <f t="shared" si="105"/>
        <v>7069</v>
      </c>
      <c r="N217" s="477"/>
      <c r="O217" s="516">
        <f t="shared" si="106"/>
        <v>7069</v>
      </c>
    </row>
    <row r="218" spans="1:16" s="476" customFormat="1" x14ac:dyDescent="0.25">
      <c r="A218" s="485"/>
      <c r="B218" s="470" t="s">
        <v>140</v>
      </c>
      <c r="C218" s="522"/>
      <c r="D218" s="520"/>
      <c r="E218" s="520"/>
      <c r="F218" s="518"/>
      <c r="G218" s="483"/>
      <c r="H218" s="517"/>
      <c r="I218" s="480"/>
      <c r="J218" s="479"/>
      <c r="K218" s="479"/>
      <c r="L218" s="517"/>
      <c r="M218" s="516"/>
      <c r="N218" s="477"/>
      <c r="O218" s="516"/>
    </row>
    <row r="219" spans="1:16" s="476" customFormat="1" ht="16.5" thickBot="1" x14ac:dyDescent="0.3">
      <c r="A219" s="485"/>
      <c r="B219" s="417" t="s">
        <v>1065</v>
      </c>
      <c r="C219" s="522">
        <v>773</v>
      </c>
      <c r="D219" s="520">
        <v>264</v>
      </c>
      <c r="E219" s="520"/>
      <c r="F219" s="518"/>
      <c r="G219" s="483"/>
      <c r="H219" s="517">
        <f t="shared" si="103"/>
        <v>1037</v>
      </c>
      <c r="I219" s="480"/>
      <c r="J219" s="479"/>
      <c r="K219" s="479"/>
      <c r="L219" s="517">
        <f t="shared" si="104"/>
        <v>0</v>
      </c>
      <c r="M219" s="516">
        <f t="shared" si="105"/>
        <v>1037</v>
      </c>
      <c r="N219" s="477"/>
      <c r="O219" s="516">
        <f t="shared" si="106"/>
        <v>1037</v>
      </c>
    </row>
    <row r="220" spans="1:16" ht="17.25" thickTop="1" thickBot="1" x14ac:dyDescent="0.3">
      <c r="A220" s="450"/>
      <c r="B220" s="449" t="s">
        <v>416</v>
      </c>
      <c r="C220" s="448">
        <f>+C210+C214+C215+C219+C216+C217</f>
        <v>152673</v>
      </c>
      <c r="D220" s="448">
        <f t="shared" ref="D220:O220" si="107">+D210+D214+D215+D219+D216+D217</f>
        <v>32937</v>
      </c>
      <c r="E220" s="448">
        <f t="shared" si="107"/>
        <v>76359</v>
      </c>
      <c r="F220" s="448">
        <f t="shared" si="107"/>
        <v>0</v>
      </c>
      <c r="G220" s="448">
        <f t="shared" si="107"/>
        <v>0</v>
      </c>
      <c r="H220" s="448">
        <f t="shared" si="107"/>
        <v>261969</v>
      </c>
      <c r="I220" s="448">
        <f t="shared" si="107"/>
        <v>1297</v>
      </c>
      <c r="J220" s="448">
        <f t="shared" si="107"/>
        <v>0</v>
      </c>
      <c r="K220" s="448">
        <f t="shared" si="107"/>
        <v>0</v>
      </c>
      <c r="L220" s="448">
        <f t="shared" si="107"/>
        <v>1297</v>
      </c>
      <c r="M220" s="448">
        <f t="shared" si="107"/>
        <v>263266</v>
      </c>
      <c r="N220" s="448">
        <f t="shared" si="107"/>
        <v>0</v>
      </c>
      <c r="O220" s="448">
        <f t="shared" si="107"/>
        <v>263266</v>
      </c>
      <c r="P220" s="405">
        <f>O221+O222</f>
        <v>263266</v>
      </c>
    </row>
    <row r="221" spans="1:16" ht="17.25" thickTop="1" thickBot="1" x14ac:dyDescent="0.3">
      <c r="A221" s="450"/>
      <c r="B221" s="449" t="s">
        <v>415</v>
      </c>
      <c r="C221" s="448">
        <f t="shared" ref="C221:O221" si="108">+C211+C214+C215+C216+C217</f>
        <v>147664</v>
      </c>
      <c r="D221" s="448">
        <f t="shared" si="108"/>
        <v>31283</v>
      </c>
      <c r="E221" s="448">
        <f t="shared" si="108"/>
        <v>76024</v>
      </c>
      <c r="F221" s="448">
        <f t="shared" si="108"/>
        <v>0</v>
      </c>
      <c r="G221" s="448">
        <f t="shared" si="108"/>
        <v>0</v>
      </c>
      <c r="H221" s="448">
        <f t="shared" si="108"/>
        <v>254971</v>
      </c>
      <c r="I221" s="448">
        <f t="shared" si="108"/>
        <v>1297</v>
      </c>
      <c r="J221" s="448">
        <f t="shared" si="108"/>
        <v>0</v>
      </c>
      <c r="K221" s="448">
        <f t="shared" si="108"/>
        <v>0</v>
      </c>
      <c r="L221" s="448">
        <f t="shared" si="108"/>
        <v>1297</v>
      </c>
      <c r="M221" s="448">
        <f t="shared" si="108"/>
        <v>256268</v>
      </c>
      <c r="N221" s="448">
        <f t="shared" si="108"/>
        <v>0</v>
      </c>
      <c r="O221" s="448">
        <f t="shared" si="108"/>
        <v>256268</v>
      </c>
    </row>
    <row r="222" spans="1:16" ht="17.25" thickTop="1" thickBot="1" x14ac:dyDescent="0.3">
      <c r="A222" s="450"/>
      <c r="B222" s="449" t="s">
        <v>414</v>
      </c>
      <c r="C222" s="448">
        <f>+C212+C219</f>
        <v>5009</v>
      </c>
      <c r="D222" s="448">
        <f t="shared" ref="D222:O222" si="109">+D212+D219</f>
        <v>1654</v>
      </c>
      <c r="E222" s="448">
        <f t="shared" si="109"/>
        <v>335</v>
      </c>
      <c r="F222" s="448">
        <f t="shared" si="109"/>
        <v>0</v>
      </c>
      <c r="G222" s="448">
        <f t="shared" si="109"/>
        <v>0</v>
      </c>
      <c r="H222" s="448">
        <f t="shared" si="109"/>
        <v>6998</v>
      </c>
      <c r="I222" s="448">
        <f t="shared" si="109"/>
        <v>0</v>
      </c>
      <c r="J222" s="448">
        <f t="shared" si="109"/>
        <v>0</v>
      </c>
      <c r="K222" s="448">
        <f t="shared" si="109"/>
        <v>0</v>
      </c>
      <c r="L222" s="448">
        <f t="shared" si="109"/>
        <v>0</v>
      </c>
      <c r="M222" s="448">
        <f t="shared" si="109"/>
        <v>6998</v>
      </c>
      <c r="N222" s="448">
        <f t="shared" si="109"/>
        <v>0</v>
      </c>
      <c r="O222" s="448">
        <f t="shared" si="109"/>
        <v>6998</v>
      </c>
    </row>
    <row r="223" spans="1:16" ht="16.5" thickTop="1" x14ac:dyDescent="0.25">
      <c r="A223" s="469" t="s">
        <v>6</v>
      </c>
      <c r="B223" s="425" t="s">
        <v>816</v>
      </c>
      <c r="C223" s="471"/>
      <c r="D223" s="466"/>
      <c r="E223" s="466"/>
      <c r="F223" s="472"/>
      <c r="G223" s="466"/>
      <c r="H223" s="463"/>
      <c r="I223" s="465"/>
      <c r="J223" s="464"/>
      <c r="K223" s="464"/>
      <c r="L223" s="463"/>
      <c r="M223" s="463"/>
      <c r="N223" s="463"/>
      <c r="O223" s="463"/>
    </row>
    <row r="224" spans="1:16" x14ac:dyDescent="0.25">
      <c r="A224" s="475"/>
      <c r="B224" s="425" t="s">
        <v>387</v>
      </c>
      <c r="C224" s="471">
        <v>134818</v>
      </c>
      <c r="D224" s="466">
        <v>28979</v>
      </c>
      <c r="E224" s="466">
        <v>68083</v>
      </c>
      <c r="F224" s="464"/>
      <c r="G224" s="466"/>
      <c r="H224" s="463">
        <f>SUM(C224:G224)</f>
        <v>231880</v>
      </c>
      <c r="I224" s="465">
        <v>917</v>
      </c>
      <c r="J224" s="464"/>
      <c r="K224" s="464"/>
      <c r="L224" s="463">
        <f>SUM(I224:K224)</f>
        <v>917</v>
      </c>
      <c r="M224" s="462">
        <f>SUM(H224+L224)</f>
        <v>232797</v>
      </c>
      <c r="N224" s="462"/>
      <c r="O224" s="462">
        <f>SUM(M224+N224)</f>
        <v>232797</v>
      </c>
    </row>
    <row r="225" spans="1:16" s="476" customFormat="1" x14ac:dyDescent="0.25">
      <c r="A225" s="503"/>
      <c r="B225" s="470" t="s">
        <v>418</v>
      </c>
      <c r="C225" s="502">
        <v>131371</v>
      </c>
      <c r="D225" s="483">
        <v>27863</v>
      </c>
      <c r="E225" s="483">
        <v>67878</v>
      </c>
      <c r="F225" s="479"/>
      <c r="G225" s="483"/>
      <c r="H225" s="478">
        <f>SUM(C225:G225)</f>
        <v>227112</v>
      </c>
      <c r="I225" s="480">
        <v>917</v>
      </c>
      <c r="J225" s="479"/>
      <c r="K225" s="479"/>
      <c r="L225" s="478">
        <f>SUM(I225:K225)</f>
        <v>917</v>
      </c>
      <c r="M225" s="477">
        <f>SUM(H225+L225)</f>
        <v>228029</v>
      </c>
      <c r="N225" s="477"/>
      <c r="O225" s="477">
        <f>SUM(M225+N225)</f>
        <v>228029</v>
      </c>
    </row>
    <row r="226" spans="1:16" s="476" customFormat="1" x14ac:dyDescent="0.25">
      <c r="A226" s="503"/>
      <c r="B226" s="470" t="s">
        <v>417</v>
      </c>
      <c r="C226" s="502">
        <v>3447</v>
      </c>
      <c r="D226" s="483">
        <v>1116</v>
      </c>
      <c r="E226" s="483">
        <v>205</v>
      </c>
      <c r="F226" s="479"/>
      <c r="G226" s="483"/>
      <c r="H226" s="478">
        <f>SUM(C226:G226)</f>
        <v>4768</v>
      </c>
      <c r="I226" s="480"/>
      <c r="J226" s="479"/>
      <c r="K226" s="479"/>
      <c r="L226" s="478">
        <f>SUM(I226:K226)</f>
        <v>0</v>
      </c>
      <c r="M226" s="477">
        <f>SUM(H226+L226)</f>
        <v>4768</v>
      </c>
      <c r="N226" s="477"/>
      <c r="O226" s="477">
        <f>SUM(M226+N226)</f>
        <v>4768</v>
      </c>
    </row>
    <row r="227" spans="1:16" s="476" customFormat="1" x14ac:dyDescent="0.25">
      <c r="A227" s="503"/>
      <c r="B227" s="470" t="s">
        <v>139</v>
      </c>
      <c r="C227" s="502"/>
      <c r="D227" s="483"/>
      <c r="E227" s="483"/>
      <c r="F227" s="479"/>
      <c r="G227" s="483"/>
      <c r="H227" s="478"/>
      <c r="I227" s="480"/>
      <c r="J227" s="479"/>
      <c r="K227" s="479"/>
      <c r="L227" s="478"/>
      <c r="M227" s="477"/>
      <c r="N227" s="477"/>
      <c r="O227" s="477"/>
    </row>
    <row r="228" spans="1:16" s="476" customFormat="1" x14ac:dyDescent="0.25">
      <c r="A228" s="503"/>
      <c r="B228" s="417" t="s">
        <v>1034</v>
      </c>
      <c r="C228" s="522">
        <v>14</v>
      </c>
      <c r="D228" s="520">
        <v>2</v>
      </c>
      <c r="E228" s="520"/>
      <c r="F228" s="521"/>
      <c r="G228" s="483"/>
      <c r="H228" s="517">
        <f t="shared" ref="H228:H234" si="110">SUM(C228:G228)</f>
        <v>16</v>
      </c>
      <c r="I228" s="480"/>
      <c r="J228" s="479"/>
      <c r="K228" s="479"/>
      <c r="L228" s="517">
        <f t="shared" ref="L228:L234" si="111">SUM(I228:K228)</f>
        <v>0</v>
      </c>
      <c r="M228" s="516">
        <f t="shared" ref="M228:M234" si="112">SUM(H228+L228)</f>
        <v>16</v>
      </c>
      <c r="N228" s="477"/>
      <c r="O228" s="516">
        <f t="shared" ref="O228:O234" si="113">SUM(M228+N228)</f>
        <v>16</v>
      </c>
    </row>
    <row r="229" spans="1:16" s="476" customFormat="1" ht="47.25" x14ac:dyDescent="0.25">
      <c r="A229" s="503"/>
      <c r="B229" s="417" t="s">
        <v>1064</v>
      </c>
      <c r="C229" s="522">
        <v>983</v>
      </c>
      <c r="D229" s="520">
        <v>191</v>
      </c>
      <c r="E229" s="520"/>
      <c r="F229" s="521"/>
      <c r="G229" s="483"/>
      <c r="H229" s="517">
        <f t="shared" si="110"/>
        <v>1174</v>
      </c>
      <c r="I229" s="480"/>
      <c r="J229" s="479"/>
      <c r="K229" s="479"/>
      <c r="L229" s="517">
        <f t="shared" si="111"/>
        <v>0</v>
      </c>
      <c r="M229" s="516">
        <f t="shared" si="112"/>
        <v>1174</v>
      </c>
      <c r="N229" s="477"/>
      <c r="O229" s="516">
        <f t="shared" si="113"/>
        <v>1174</v>
      </c>
    </row>
    <row r="230" spans="1:16" s="476" customFormat="1" ht="47.25" x14ac:dyDescent="0.25">
      <c r="A230" s="503"/>
      <c r="B230" s="417" t="s">
        <v>812</v>
      </c>
      <c r="C230" s="522"/>
      <c r="D230" s="520"/>
      <c r="E230" s="520">
        <v>127</v>
      </c>
      <c r="F230" s="521"/>
      <c r="G230" s="483"/>
      <c r="H230" s="517">
        <f t="shared" si="110"/>
        <v>127</v>
      </c>
      <c r="I230" s="480"/>
      <c r="J230" s="479"/>
      <c r="K230" s="479"/>
      <c r="L230" s="517">
        <f t="shared" si="111"/>
        <v>0</v>
      </c>
      <c r="M230" s="516">
        <f t="shared" si="112"/>
        <v>127</v>
      </c>
      <c r="N230" s="477"/>
      <c r="O230" s="516">
        <f t="shared" si="113"/>
        <v>127</v>
      </c>
    </row>
    <row r="231" spans="1:16" s="476" customFormat="1" ht="31.5" x14ac:dyDescent="0.25">
      <c r="A231" s="503"/>
      <c r="B231" s="417" t="s">
        <v>766</v>
      </c>
      <c r="C231" s="522"/>
      <c r="D231" s="520"/>
      <c r="E231" s="520">
        <f>1620+881</f>
        <v>2501</v>
      </c>
      <c r="F231" s="521"/>
      <c r="G231" s="483"/>
      <c r="H231" s="517">
        <f t="shared" si="110"/>
        <v>2501</v>
      </c>
      <c r="I231" s="550">
        <v>217</v>
      </c>
      <c r="J231" s="479"/>
      <c r="K231" s="479"/>
      <c r="L231" s="517">
        <f t="shared" si="111"/>
        <v>217</v>
      </c>
      <c r="M231" s="516">
        <f t="shared" si="112"/>
        <v>2718</v>
      </c>
      <c r="N231" s="477"/>
      <c r="O231" s="516">
        <f t="shared" si="113"/>
        <v>2718</v>
      </c>
    </row>
    <row r="232" spans="1:16" s="476" customFormat="1" ht="31.5" x14ac:dyDescent="0.25">
      <c r="A232" s="503"/>
      <c r="B232" s="417" t="s">
        <v>767</v>
      </c>
      <c r="C232" s="522"/>
      <c r="D232" s="520"/>
      <c r="E232" s="520">
        <v>-99</v>
      </c>
      <c r="F232" s="521"/>
      <c r="G232" s="520">
        <v>99</v>
      </c>
      <c r="H232" s="517">
        <f t="shared" si="110"/>
        <v>0</v>
      </c>
      <c r="I232" s="550"/>
      <c r="J232" s="479"/>
      <c r="K232" s="479"/>
      <c r="L232" s="517">
        <f t="shared" si="111"/>
        <v>0</v>
      </c>
      <c r="M232" s="516">
        <f t="shared" si="112"/>
        <v>0</v>
      </c>
      <c r="N232" s="477"/>
      <c r="O232" s="516">
        <f t="shared" si="113"/>
        <v>0</v>
      </c>
    </row>
    <row r="233" spans="1:16" s="476" customFormat="1" x14ac:dyDescent="0.25">
      <c r="A233" s="503"/>
      <c r="B233" s="470" t="s">
        <v>140</v>
      </c>
      <c r="C233" s="522"/>
      <c r="D233" s="520"/>
      <c r="E233" s="520"/>
      <c r="F233" s="521"/>
      <c r="G233" s="483"/>
      <c r="H233" s="517"/>
      <c r="I233" s="480"/>
      <c r="J233" s="479"/>
      <c r="K233" s="479"/>
      <c r="L233" s="517"/>
      <c r="M233" s="516"/>
      <c r="N233" s="477"/>
      <c r="O233" s="516"/>
    </row>
    <row r="234" spans="1:16" s="476" customFormat="1" ht="16.5" thickBot="1" x14ac:dyDescent="0.3">
      <c r="A234" s="503"/>
      <c r="B234" s="417" t="s">
        <v>1065</v>
      </c>
      <c r="C234" s="522">
        <v>609</v>
      </c>
      <c r="D234" s="520">
        <v>208</v>
      </c>
      <c r="E234" s="520"/>
      <c r="F234" s="521"/>
      <c r="G234" s="483"/>
      <c r="H234" s="517">
        <f t="shared" si="110"/>
        <v>817</v>
      </c>
      <c r="I234" s="480"/>
      <c r="J234" s="479"/>
      <c r="K234" s="479"/>
      <c r="L234" s="517">
        <f t="shared" si="111"/>
        <v>0</v>
      </c>
      <c r="M234" s="516">
        <f t="shared" si="112"/>
        <v>817</v>
      </c>
      <c r="N234" s="477"/>
      <c r="O234" s="516">
        <f t="shared" si="113"/>
        <v>817</v>
      </c>
    </row>
    <row r="235" spans="1:16" ht="17.25" thickTop="1" thickBot="1" x14ac:dyDescent="0.3">
      <c r="A235" s="450"/>
      <c r="B235" s="449" t="s">
        <v>416</v>
      </c>
      <c r="C235" s="448">
        <f>+C224+C228+C229+C234+C230+C231+C232</f>
        <v>136424</v>
      </c>
      <c r="D235" s="448">
        <f t="shared" ref="D235:O235" si="114">+D224+D228+D229+D234+D230+D231+D232</f>
        <v>29380</v>
      </c>
      <c r="E235" s="448">
        <f t="shared" si="114"/>
        <v>70612</v>
      </c>
      <c r="F235" s="448">
        <f t="shared" si="114"/>
        <v>0</v>
      </c>
      <c r="G235" s="448">
        <f t="shared" si="114"/>
        <v>99</v>
      </c>
      <c r="H235" s="448">
        <f t="shared" si="114"/>
        <v>236515</v>
      </c>
      <c r="I235" s="448">
        <f t="shared" si="114"/>
        <v>1134</v>
      </c>
      <c r="J235" s="448">
        <f t="shared" si="114"/>
        <v>0</v>
      </c>
      <c r="K235" s="448">
        <f t="shared" si="114"/>
        <v>0</v>
      </c>
      <c r="L235" s="448">
        <f t="shared" si="114"/>
        <v>1134</v>
      </c>
      <c r="M235" s="448">
        <f t="shared" si="114"/>
        <v>237649</v>
      </c>
      <c r="N235" s="448">
        <f t="shared" si="114"/>
        <v>0</v>
      </c>
      <c r="O235" s="448">
        <f t="shared" si="114"/>
        <v>237649</v>
      </c>
      <c r="P235" s="405">
        <f>O236+O237</f>
        <v>237649</v>
      </c>
    </row>
    <row r="236" spans="1:16" ht="17.25" thickTop="1" thickBot="1" x14ac:dyDescent="0.3">
      <c r="A236" s="450"/>
      <c r="B236" s="449" t="s">
        <v>415</v>
      </c>
      <c r="C236" s="448">
        <f t="shared" ref="C236:O236" si="115">+C225+C228+C229+C230+C231+C232</f>
        <v>132368</v>
      </c>
      <c r="D236" s="448">
        <f t="shared" si="115"/>
        <v>28056</v>
      </c>
      <c r="E236" s="448">
        <f t="shared" si="115"/>
        <v>70407</v>
      </c>
      <c r="F236" s="448">
        <f t="shared" si="115"/>
        <v>0</v>
      </c>
      <c r="G236" s="448">
        <f t="shared" si="115"/>
        <v>99</v>
      </c>
      <c r="H236" s="448">
        <f t="shared" si="115"/>
        <v>230930</v>
      </c>
      <c r="I236" s="448">
        <f t="shared" si="115"/>
        <v>1134</v>
      </c>
      <c r="J236" s="448">
        <f t="shared" si="115"/>
        <v>0</v>
      </c>
      <c r="K236" s="448">
        <f t="shared" si="115"/>
        <v>0</v>
      </c>
      <c r="L236" s="448">
        <f t="shared" si="115"/>
        <v>1134</v>
      </c>
      <c r="M236" s="448">
        <f t="shared" si="115"/>
        <v>232064</v>
      </c>
      <c r="N236" s="448">
        <f t="shared" si="115"/>
        <v>0</v>
      </c>
      <c r="O236" s="448">
        <f t="shared" si="115"/>
        <v>232064</v>
      </c>
    </row>
    <row r="237" spans="1:16" ht="17.25" thickTop="1" thickBot="1" x14ac:dyDescent="0.3">
      <c r="A237" s="450"/>
      <c r="B237" s="449" t="s">
        <v>414</v>
      </c>
      <c r="C237" s="448">
        <f>+C226+C234</f>
        <v>4056</v>
      </c>
      <c r="D237" s="448">
        <f t="shared" ref="D237:O237" si="116">+D226+D234</f>
        <v>1324</v>
      </c>
      <c r="E237" s="448">
        <f t="shared" si="116"/>
        <v>205</v>
      </c>
      <c r="F237" s="448">
        <f t="shared" si="116"/>
        <v>0</v>
      </c>
      <c r="G237" s="448">
        <f t="shared" si="116"/>
        <v>0</v>
      </c>
      <c r="H237" s="448">
        <f t="shared" si="116"/>
        <v>5585</v>
      </c>
      <c r="I237" s="448">
        <f t="shared" si="116"/>
        <v>0</v>
      </c>
      <c r="J237" s="448">
        <f t="shared" si="116"/>
        <v>0</v>
      </c>
      <c r="K237" s="448">
        <f t="shared" si="116"/>
        <v>0</v>
      </c>
      <c r="L237" s="448">
        <f t="shared" si="116"/>
        <v>0</v>
      </c>
      <c r="M237" s="448">
        <f t="shared" si="116"/>
        <v>5585</v>
      </c>
      <c r="N237" s="448">
        <f t="shared" si="116"/>
        <v>0</v>
      </c>
      <c r="O237" s="448">
        <f t="shared" si="116"/>
        <v>5585</v>
      </c>
    </row>
    <row r="238" spans="1:16" ht="16.5" thickTop="1" x14ac:dyDescent="0.25">
      <c r="A238" s="469" t="s">
        <v>7</v>
      </c>
      <c r="B238" s="425" t="s">
        <v>437</v>
      </c>
      <c r="C238" s="471"/>
      <c r="D238" s="466"/>
      <c r="E238" s="466"/>
      <c r="F238" s="472"/>
      <c r="G238" s="466"/>
      <c r="H238" s="463"/>
      <c r="I238" s="465"/>
      <c r="J238" s="464"/>
      <c r="K238" s="464"/>
      <c r="L238" s="463"/>
      <c r="M238" s="463"/>
      <c r="N238" s="463"/>
      <c r="O238" s="463"/>
    </row>
    <row r="239" spans="1:16" x14ac:dyDescent="0.25">
      <c r="A239" s="469"/>
      <c r="B239" s="417" t="s">
        <v>387</v>
      </c>
      <c r="C239" s="471">
        <v>55864</v>
      </c>
      <c r="D239" s="466">
        <v>11039</v>
      </c>
      <c r="E239" s="466">
        <v>21223</v>
      </c>
      <c r="F239" s="472"/>
      <c r="G239" s="466"/>
      <c r="H239" s="463">
        <f>SUM(C239:G239)</f>
        <v>88126</v>
      </c>
      <c r="I239" s="465">
        <v>1283</v>
      </c>
      <c r="J239" s="464"/>
      <c r="K239" s="464"/>
      <c r="L239" s="463">
        <f>SUM(I239:K239)</f>
        <v>1283</v>
      </c>
      <c r="M239" s="462">
        <f>SUM(H239+L239)</f>
        <v>89409</v>
      </c>
      <c r="N239" s="462"/>
      <c r="O239" s="462">
        <f>SUM(M239+N239)</f>
        <v>89409</v>
      </c>
    </row>
    <row r="240" spans="1:16" s="476" customFormat="1" x14ac:dyDescent="0.25">
      <c r="A240" s="485"/>
      <c r="B240" s="470" t="s">
        <v>418</v>
      </c>
      <c r="C240" s="502">
        <v>54400</v>
      </c>
      <c r="D240" s="483">
        <v>10561</v>
      </c>
      <c r="E240" s="483">
        <v>20753</v>
      </c>
      <c r="F240" s="494"/>
      <c r="G240" s="483"/>
      <c r="H240" s="478">
        <f>SUM(C240:G240)</f>
        <v>85714</v>
      </c>
      <c r="I240" s="480">
        <v>1283</v>
      </c>
      <c r="J240" s="479"/>
      <c r="K240" s="479"/>
      <c r="L240" s="478">
        <f>SUM(I240:K240)</f>
        <v>1283</v>
      </c>
      <c r="M240" s="477">
        <f>SUM(H240+L240)</f>
        <v>86997</v>
      </c>
      <c r="N240" s="477"/>
      <c r="O240" s="477">
        <f>SUM(M240+N240)</f>
        <v>86997</v>
      </c>
    </row>
    <row r="241" spans="1:16" s="476" customFormat="1" x14ac:dyDescent="0.25">
      <c r="A241" s="485"/>
      <c r="B241" s="470" t="s">
        <v>417</v>
      </c>
      <c r="C241" s="502">
        <v>1464</v>
      </c>
      <c r="D241" s="483">
        <v>478</v>
      </c>
      <c r="E241" s="483">
        <v>470</v>
      </c>
      <c r="F241" s="494"/>
      <c r="G241" s="483"/>
      <c r="H241" s="478">
        <f>SUM(C241:G241)</f>
        <v>2412</v>
      </c>
      <c r="I241" s="480"/>
      <c r="J241" s="479"/>
      <c r="K241" s="479"/>
      <c r="L241" s="478">
        <f>SUM(I241:K241)</f>
        <v>0</v>
      </c>
      <c r="M241" s="477">
        <f>SUM(H241+L241)</f>
        <v>2412</v>
      </c>
      <c r="N241" s="477"/>
      <c r="O241" s="477">
        <f>SUM(M241+N241)</f>
        <v>2412</v>
      </c>
    </row>
    <row r="242" spans="1:16" s="476" customFormat="1" x14ac:dyDescent="0.25">
      <c r="A242" s="485"/>
      <c r="B242" s="470" t="s">
        <v>139</v>
      </c>
      <c r="C242" s="502"/>
      <c r="D242" s="483"/>
      <c r="E242" s="483"/>
      <c r="F242" s="494"/>
      <c r="G242" s="483"/>
      <c r="H242" s="478"/>
      <c r="I242" s="480"/>
      <c r="J242" s="479"/>
      <c r="K242" s="479"/>
      <c r="L242" s="478"/>
      <c r="M242" s="477"/>
      <c r="N242" s="477"/>
      <c r="O242" s="477"/>
    </row>
    <row r="243" spans="1:16" s="476" customFormat="1" ht="31.5" x14ac:dyDescent="0.25">
      <c r="A243" s="485"/>
      <c r="B243" s="417" t="s">
        <v>767</v>
      </c>
      <c r="C243" s="522"/>
      <c r="D243" s="520"/>
      <c r="E243" s="520">
        <v>-1228</v>
      </c>
      <c r="F243" s="518"/>
      <c r="G243" s="520"/>
      <c r="H243" s="517">
        <f t="shared" ref="H243:H248" si="117">SUM(C243:G243)</f>
        <v>-1228</v>
      </c>
      <c r="I243" s="550">
        <v>1228</v>
      </c>
      <c r="J243" s="521"/>
      <c r="K243" s="521"/>
      <c r="L243" s="517">
        <f t="shared" ref="L243:L248" si="118">SUM(I243:K243)</f>
        <v>1228</v>
      </c>
      <c r="M243" s="516">
        <f t="shared" ref="M243:M248" si="119">SUM(H243+L243)</f>
        <v>0</v>
      </c>
      <c r="N243" s="516"/>
      <c r="O243" s="516">
        <f t="shared" ref="O243:O248" si="120">SUM(M243+N243)</f>
        <v>0</v>
      </c>
    </row>
    <row r="244" spans="1:16" s="476" customFormat="1" ht="47.25" x14ac:dyDescent="0.25">
      <c r="A244" s="485"/>
      <c r="B244" s="417" t="s">
        <v>812</v>
      </c>
      <c r="C244" s="522"/>
      <c r="D244" s="520"/>
      <c r="E244" s="520">
        <v>127</v>
      </c>
      <c r="F244" s="518"/>
      <c r="G244" s="520"/>
      <c r="H244" s="517">
        <f t="shared" si="117"/>
        <v>127</v>
      </c>
      <c r="I244" s="550"/>
      <c r="J244" s="521"/>
      <c r="K244" s="521"/>
      <c r="L244" s="517">
        <f t="shared" si="118"/>
        <v>0</v>
      </c>
      <c r="M244" s="516">
        <f t="shared" si="119"/>
        <v>127</v>
      </c>
      <c r="N244" s="516"/>
      <c r="O244" s="516">
        <f t="shared" si="120"/>
        <v>127</v>
      </c>
    </row>
    <row r="245" spans="1:16" s="476" customFormat="1" ht="31.5" x14ac:dyDescent="0.25">
      <c r="A245" s="485"/>
      <c r="B245" s="417" t="s">
        <v>766</v>
      </c>
      <c r="C245" s="522"/>
      <c r="D245" s="520"/>
      <c r="E245" s="520">
        <v>1082</v>
      </c>
      <c r="F245" s="518"/>
      <c r="G245" s="520"/>
      <c r="H245" s="517">
        <f t="shared" si="117"/>
        <v>1082</v>
      </c>
      <c r="I245" s="550"/>
      <c r="J245" s="521"/>
      <c r="K245" s="521"/>
      <c r="L245" s="517">
        <f t="shared" si="118"/>
        <v>0</v>
      </c>
      <c r="M245" s="516">
        <f t="shared" si="119"/>
        <v>1082</v>
      </c>
      <c r="N245" s="516"/>
      <c r="O245" s="516">
        <f t="shared" si="120"/>
        <v>1082</v>
      </c>
    </row>
    <row r="246" spans="1:16" s="476" customFormat="1" x14ac:dyDescent="0.25">
      <c r="A246" s="485"/>
      <c r="B246" s="470" t="s">
        <v>140</v>
      </c>
      <c r="C246" s="522"/>
      <c r="D246" s="520"/>
      <c r="E246" s="520"/>
      <c r="F246" s="518"/>
      <c r="G246" s="520"/>
      <c r="H246" s="517"/>
      <c r="I246" s="550"/>
      <c r="J246" s="521"/>
      <c r="K246" s="521"/>
      <c r="L246" s="517"/>
      <c r="M246" s="516"/>
      <c r="N246" s="516"/>
      <c r="O246" s="516"/>
    </row>
    <row r="247" spans="1:16" s="476" customFormat="1" x14ac:dyDescent="0.25">
      <c r="A247" s="485"/>
      <c r="B247" s="417" t="s">
        <v>1065</v>
      </c>
      <c r="C247" s="522">
        <v>270</v>
      </c>
      <c r="D247" s="520">
        <v>93</v>
      </c>
      <c r="E247" s="520"/>
      <c r="F247" s="518"/>
      <c r="G247" s="520"/>
      <c r="H247" s="517">
        <f t="shared" si="117"/>
        <v>363</v>
      </c>
      <c r="I247" s="550"/>
      <c r="J247" s="521"/>
      <c r="K247" s="521"/>
      <c r="L247" s="517">
        <f t="shared" si="118"/>
        <v>0</v>
      </c>
      <c r="M247" s="516">
        <f t="shared" si="119"/>
        <v>363</v>
      </c>
      <c r="N247" s="516"/>
      <c r="O247" s="516">
        <f t="shared" si="120"/>
        <v>363</v>
      </c>
    </row>
    <row r="248" spans="1:16" s="476" customFormat="1" ht="63.75" thickBot="1" x14ac:dyDescent="0.3">
      <c r="A248" s="485"/>
      <c r="B248" s="417" t="s">
        <v>1070</v>
      </c>
      <c r="C248" s="522"/>
      <c r="D248" s="520"/>
      <c r="E248" s="520">
        <v>150</v>
      </c>
      <c r="F248" s="518"/>
      <c r="G248" s="520"/>
      <c r="H248" s="517">
        <f t="shared" si="117"/>
        <v>150</v>
      </c>
      <c r="I248" s="550"/>
      <c r="J248" s="521"/>
      <c r="K248" s="521"/>
      <c r="L248" s="517">
        <f t="shared" si="118"/>
        <v>0</v>
      </c>
      <c r="M248" s="516">
        <f t="shared" si="119"/>
        <v>150</v>
      </c>
      <c r="N248" s="516"/>
      <c r="O248" s="516">
        <f t="shared" si="120"/>
        <v>150</v>
      </c>
    </row>
    <row r="249" spans="1:16" ht="17.25" thickTop="1" thickBot="1" x14ac:dyDescent="0.3">
      <c r="A249" s="450"/>
      <c r="B249" s="449" t="s">
        <v>416</v>
      </c>
      <c r="C249" s="448">
        <f>+C239+C243+C247+C244+C248+C245</f>
        <v>56134</v>
      </c>
      <c r="D249" s="448">
        <f t="shared" ref="D249:O249" si="121">+D239+D243+D247+D244+D248+D245</f>
        <v>11132</v>
      </c>
      <c r="E249" s="448">
        <f t="shared" si="121"/>
        <v>21354</v>
      </c>
      <c r="F249" s="448">
        <f t="shared" si="121"/>
        <v>0</v>
      </c>
      <c r="G249" s="448">
        <f t="shared" si="121"/>
        <v>0</v>
      </c>
      <c r="H249" s="448">
        <f t="shared" si="121"/>
        <v>88620</v>
      </c>
      <c r="I249" s="448">
        <f t="shared" si="121"/>
        <v>2511</v>
      </c>
      <c r="J249" s="448">
        <f t="shared" si="121"/>
        <v>0</v>
      </c>
      <c r="K249" s="448">
        <f t="shared" si="121"/>
        <v>0</v>
      </c>
      <c r="L249" s="448">
        <f t="shared" si="121"/>
        <v>2511</v>
      </c>
      <c r="M249" s="448">
        <f t="shared" si="121"/>
        <v>91131</v>
      </c>
      <c r="N249" s="448">
        <f t="shared" si="121"/>
        <v>0</v>
      </c>
      <c r="O249" s="448">
        <f t="shared" si="121"/>
        <v>91131</v>
      </c>
      <c r="P249" s="405">
        <f>O250+O251</f>
        <v>91131</v>
      </c>
    </row>
    <row r="250" spans="1:16" ht="17.25" thickTop="1" thickBot="1" x14ac:dyDescent="0.3">
      <c r="A250" s="450"/>
      <c r="B250" s="449" t="s">
        <v>415</v>
      </c>
      <c r="C250" s="448">
        <f t="shared" ref="C250:O250" si="122">+C240+C243+C244+C245</f>
        <v>54400</v>
      </c>
      <c r="D250" s="448">
        <f t="shared" si="122"/>
        <v>10561</v>
      </c>
      <c r="E250" s="448">
        <f t="shared" si="122"/>
        <v>20734</v>
      </c>
      <c r="F250" s="448">
        <f t="shared" si="122"/>
        <v>0</v>
      </c>
      <c r="G250" s="448">
        <f t="shared" si="122"/>
        <v>0</v>
      </c>
      <c r="H250" s="448">
        <f t="shared" si="122"/>
        <v>85695</v>
      </c>
      <c r="I250" s="448">
        <f t="shared" si="122"/>
        <v>2511</v>
      </c>
      <c r="J250" s="448">
        <f t="shared" si="122"/>
        <v>0</v>
      </c>
      <c r="K250" s="448">
        <f t="shared" si="122"/>
        <v>0</v>
      </c>
      <c r="L250" s="448">
        <f t="shared" si="122"/>
        <v>2511</v>
      </c>
      <c r="M250" s="448">
        <f t="shared" si="122"/>
        <v>88206</v>
      </c>
      <c r="N250" s="448">
        <f t="shared" si="122"/>
        <v>0</v>
      </c>
      <c r="O250" s="448">
        <f t="shared" si="122"/>
        <v>88206</v>
      </c>
    </row>
    <row r="251" spans="1:16" ht="17.25" thickTop="1" thickBot="1" x14ac:dyDescent="0.3">
      <c r="A251" s="450"/>
      <c r="B251" s="449" t="s">
        <v>414</v>
      </c>
      <c r="C251" s="448">
        <f>+C241+C247+C248</f>
        <v>1734</v>
      </c>
      <c r="D251" s="448">
        <f t="shared" ref="D251:O251" si="123">+D241+D247+D248</f>
        <v>571</v>
      </c>
      <c r="E251" s="448">
        <f t="shared" si="123"/>
        <v>620</v>
      </c>
      <c r="F251" s="448">
        <f t="shared" si="123"/>
        <v>0</v>
      </c>
      <c r="G251" s="448">
        <f t="shared" si="123"/>
        <v>0</v>
      </c>
      <c r="H251" s="448">
        <f t="shared" si="123"/>
        <v>2925</v>
      </c>
      <c r="I251" s="448">
        <f t="shared" si="123"/>
        <v>0</v>
      </c>
      <c r="J251" s="448">
        <f t="shared" si="123"/>
        <v>0</v>
      </c>
      <c r="K251" s="448">
        <f t="shared" si="123"/>
        <v>0</v>
      </c>
      <c r="L251" s="448">
        <f t="shared" si="123"/>
        <v>0</v>
      </c>
      <c r="M251" s="448">
        <f t="shared" si="123"/>
        <v>2925</v>
      </c>
      <c r="N251" s="448">
        <f t="shared" si="123"/>
        <v>0</v>
      </c>
      <c r="O251" s="448">
        <f t="shared" si="123"/>
        <v>2925</v>
      </c>
    </row>
    <row r="252" spans="1:16" ht="16.5" thickTop="1" x14ac:dyDescent="0.25">
      <c r="A252" s="469" t="s">
        <v>8</v>
      </c>
      <c r="B252" s="425" t="s">
        <v>436</v>
      </c>
      <c r="C252" s="471"/>
      <c r="D252" s="466"/>
      <c r="E252" s="466"/>
      <c r="F252" s="472"/>
      <c r="G252" s="466"/>
      <c r="H252" s="463"/>
      <c r="I252" s="465"/>
      <c r="J252" s="464"/>
      <c r="K252" s="464"/>
      <c r="L252" s="463"/>
      <c r="M252" s="463"/>
      <c r="N252" s="463"/>
      <c r="O252" s="463"/>
    </row>
    <row r="253" spans="1:16" x14ac:dyDescent="0.25">
      <c r="A253" s="475"/>
      <c r="B253" s="425" t="s">
        <v>387</v>
      </c>
      <c r="C253" s="471">
        <v>199260</v>
      </c>
      <c r="D253" s="466">
        <v>42696</v>
      </c>
      <c r="E253" s="466">
        <v>78064</v>
      </c>
      <c r="F253" s="464"/>
      <c r="G253" s="466"/>
      <c r="H253" s="463">
        <f>SUM(C253:G253)</f>
        <v>320020</v>
      </c>
      <c r="I253" s="465">
        <v>1649</v>
      </c>
      <c r="J253" s="464"/>
      <c r="K253" s="464"/>
      <c r="L253" s="463">
        <f>SUM(I253:K253)</f>
        <v>1649</v>
      </c>
      <c r="M253" s="462">
        <f>SUM(H253+L253)</f>
        <v>321669</v>
      </c>
      <c r="N253" s="462"/>
      <c r="O253" s="462">
        <f>SUM(M253+N253)</f>
        <v>321669</v>
      </c>
    </row>
    <row r="254" spans="1:16" s="476" customFormat="1" x14ac:dyDescent="0.25">
      <c r="A254" s="503"/>
      <c r="B254" s="470" t="s">
        <v>418</v>
      </c>
      <c r="C254" s="502">
        <v>193836</v>
      </c>
      <c r="D254" s="483">
        <v>40923</v>
      </c>
      <c r="E254" s="483">
        <v>77964</v>
      </c>
      <c r="F254" s="479"/>
      <c r="G254" s="483"/>
      <c r="H254" s="478">
        <f>SUM(C254:G254)</f>
        <v>312723</v>
      </c>
      <c r="I254" s="480">
        <v>1649</v>
      </c>
      <c r="J254" s="479"/>
      <c r="K254" s="479"/>
      <c r="L254" s="478">
        <f>SUM(I254:K254)</f>
        <v>1649</v>
      </c>
      <c r="M254" s="477">
        <f>SUM(H254+L254)</f>
        <v>314372</v>
      </c>
      <c r="N254" s="477"/>
      <c r="O254" s="477">
        <f>SUM(M254+N254)</f>
        <v>314372</v>
      </c>
    </row>
    <row r="255" spans="1:16" s="476" customFormat="1" x14ac:dyDescent="0.25">
      <c r="A255" s="503"/>
      <c r="B255" s="470" t="s">
        <v>417</v>
      </c>
      <c r="C255" s="502">
        <v>5424</v>
      </c>
      <c r="D255" s="483">
        <v>1773</v>
      </c>
      <c r="E255" s="483">
        <v>100</v>
      </c>
      <c r="F255" s="479"/>
      <c r="G255" s="483"/>
      <c r="H255" s="478">
        <f>SUM(C255:G255)</f>
        <v>7297</v>
      </c>
      <c r="I255" s="480"/>
      <c r="J255" s="479"/>
      <c r="K255" s="479"/>
      <c r="L255" s="478">
        <f>SUM(I255:K255)</f>
        <v>0</v>
      </c>
      <c r="M255" s="477">
        <f>SUM(H255+L255)</f>
        <v>7297</v>
      </c>
      <c r="N255" s="477"/>
      <c r="O255" s="477">
        <f>SUM(M255+N255)</f>
        <v>7297</v>
      </c>
    </row>
    <row r="256" spans="1:16" s="476" customFormat="1" x14ac:dyDescent="0.25">
      <c r="A256" s="503"/>
      <c r="B256" s="470" t="s">
        <v>139</v>
      </c>
      <c r="C256" s="502"/>
      <c r="D256" s="483"/>
      <c r="E256" s="483"/>
      <c r="F256" s="479"/>
      <c r="G256" s="483"/>
      <c r="H256" s="478"/>
      <c r="I256" s="480"/>
      <c r="J256" s="479"/>
      <c r="K256" s="479"/>
      <c r="L256" s="478"/>
      <c r="M256" s="477"/>
      <c r="N256" s="477"/>
      <c r="O256" s="477"/>
    </row>
    <row r="257" spans="1:16" s="476" customFormat="1" ht="47.25" x14ac:dyDescent="0.25">
      <c r="A257" s="503"/>
      <c r="B257" s="417" t="s">
        <v>1064</v>
      </c>
      <c r="C257" s="522">
        <v>278</v>
      </c>
      <c r="D257" s="520">
        <v>54</v>
      </c>
      <c r="E257" s="520"/>
      <c r="F257" s="521"/>
      <c r="G257" s="520"/>
      <c r="H257" s="517">
        <f t="shared" ref="H257:H261" si="124">SUM(C257:G257)</f>
        <v>332</v>
      </c>
      <c r="I257" s="550"/>
      <c r="J257" s="521"/>
      <c r="K257" s="521"/>
      <c r="L257" s="517">
        <f t="shared" ref="L257:L261" si="125">SUM(I257:K257)</f>
        <v>0</v>
      </c>
      <c r="M257" s="516">
        <f t="shared" ref="M257:M261" si="126">SUM(H257+L257)</f>
        <v>332</v>
      </c>
      <c r="N257" s="477"/>
      <c r="O257" s="516">
        <f t="shared" ref="O257:O261" si="127">SUM(M257+N257)</f>
        <v>332</v>
      </c>
    </row>
    <row r="258" spans="1:16" s="476" customFormat="1" ht="47.25" x14ac:dyDescent="0.25">
      <c r="A258" s="503"/>
      <c r="B258" s="417" t="s">
        <v>812</v>
      </c>
      <c r="C258" s="522"/>
      <c r="D258" s="520"/>
      <c r="E258" s="520">
        <v>127</v>
      </c>
      <c r="F258" s="521"/>
      <c r="G258" s="520"/>
      <c r="H258" s="517">
        <f t="shared" si="124"/>
        <v>127</v>
      </c>
      <c r="I258" s="550"/>
      <c r="J258" s="521"/>
      <c r="K258" s="521"/>
      <c r="L258" s="517">
        <f t="shared" si="125"/>
        <v>0</v>
      </c>
      <c r="M258" s="516">
        <f t="shared" si="126"/>
        <v>127</v>
      </c>
      <c r="N258" s="477"/>
      <c r="O258" s="516">
        <f t="shared" si="127"/>
        <v>127</v>
      </c>
    </row>
    <row r="259" spans="1:16" s="476" customFormat="1" ht="31.5" x14ac:dyDescent="0.25">
      <c r="A259" s="503"/>
      <c r="B259" s="417" t="s">
        <v>766</v>
      </c>
      <c r="C259" s="522"/>
      <c r="D259" s="520"/>
      <c r="E259" s="520">
        <f>7245+1118</f>
        <v>8363</v>
      </c>
      <c r="F259" s="521"/>
      <c r="G259" s="520"/>
      <c r="H259" s="517">
        <f t="shared" si="124"/>
        <v>8363</v>
      </c>
      <c r="I259" s="550">
        <v>241</v>
      </c>
      <c r="J259" s="521"/>
      <c r="K259" s="521"/>
      <c r="L259" s="517">
        <f t="shared" si="125"/>
        <v>241</v>
      </c>
      <c r="M259" s="516">
        <f t="shared" si="126"/>
        <v>8604</v>
      </c>
      <c r="N259" s="477"/>
      <c r="O259" s="516">
        <f t="shared" si="127"/>
        <v>8604</v>
      </c>
    </row>
    <row r="260" spans="1:16" s="476" customFormat="1" x14ac:dyDescent="0.25">
      <c r="A260" s="503"/>
      <c r="B260" s="470" t="s">
        <v>140</v>
      </c>
      <c r="C260" s="522"/>
      <c r="D260" s="520"/>
      <c r="E260" s="520"/>
      <c r="F260" s="521"/>
      <c r="G260" s="520"/>
      <c r="H260" s="517"/>
      <c r="I260" s="550"/>
      <c r="J260" s="521"/>
      <c r="K260" s="521"/>
      <c r="L260" s="517"/>
      <c r="M260" s="516"/>
      <c r="N260" s="477"/>
      <c r="O260" s="516"/>
    </row>
    <row r="261" spans="1:16" s="476" customFormat="1" ht="16.5" thickBot="1" x14ac:dyDescent="0.3">
      <c r="A261" s="503"/>
      <c r="B261" s="417" t="s">
        <v>1065</v>
      </c>
      <c r="C261" s="522">
        <v>997</v>
      </c>
      <c r="D261" s="520">
        <v>341</v>
      </c>
      <c r="E261" s="520"/>
      <c r="F261" s="521"/>
      <c r="G261" s="520"/>
      <c r="H261" s="517">
        <f t="shared" si="124"/>
        <v>1338</v>
      </c>
      <c r="I261" s="550"/>
      <c r="J261" s="521"/>
      <c r="K261" s="521"/>
      <c r="L261" s="517">
        <f t="shared" si="125"/>
        <v>0</v>
      </c>
      <c r="M261" s="516">
        <f t="shared" si="126"/>
        <v>1338</v>
      </c>
      <c r="N261" s="477"/>
      <c r="O261" s="516">
        <f t="shared" si="127"/>
        <v>1338</v>
      </c>
    </row>
    <row r="262" spans="1:16" ht="17.25" thickTop="1" thickBot="1" x14ac:dyDescent="0.3">
      <c r="A262" s="450"/>
      <c r="B262" s="449" t="s">
        <v>416</v>
      </c>
      <c r="C262" s="448">
        <f>+C253+C257+C261+C258+C259</f>
        <v>200535</v>
      </c>
      <c r="D262" s="448">
        <f t="shared" ref="D262:O262" si="128">+D253+D257+D261+D258+D259</f>
        <v>43091</v>
      </c>
      <c r="E262" s="448">
        <f t="shared" si="128"/>
        <v>86554</v>
      </c>
      <c r="F262" s="448">
        <f t="shared" si="128"/>
        <v>0</v>
      </c>
      <c r="G262" s="448">
        <f t="shared" si="128"/>
        <v>0</v>
      </c>
      <c r="H262" s="448">
        <f t="shared" si="128"/>
        <v>330180</v>
      </c>
      <c r="I262" s="448">
        <f t="shared" si="128"/>
        <v>1890</v>
      </c>
      <c r="J262" s="448">
        <f t="shared" si="128"/>
        <v>0</v>
      </c>
      <c r="K262" s="448">
        <f t="shared" si="128"/>
        <v>0</v>
      </c>
      <c r="L262" s="448">
        <f t="shared" si="128"/>
        <v>1890</v>
      </c>
      <c r="M262" s="448">
        <f t="shared" si="128"/>
        <v>332070</v>
      </c>
      <c r="N262" s="448">
        <f t="shared" si="128"/>
        <v>0</v>
      </c>
      <c r="O262" s="448">
        <f t="shared" si="128"/>
        <v>332070</v>
      </c>
      <c r="P262" s="405">
        <f>O263+O264</f>
        <v>332070</v>
      </c>
    </row>
    <row r="263" spans="1:16" ht="17.25" thickTop="1" thickBot="1" x14ac:dyDescent="0.3">
      <c r="A263" s="450"/>
      <c r="B263" s="449" t="s">
        <v>415</v>
      </c>
      <c r="C263" s="448">
        <f t="shared" ref="C263:O263" si="129">+C254+C257+C258+C259</f>
        <v>194114</v>
      </c>
      <c r="D263" s="448">
        <f t="shared" si="129"/>
        <v>40977</v>
      </c>
      <c r="E263" s="448">
        <f t="shared" si="129"/>
        <v>86454</v>
      </c>
      <c r="F263" s="448">
        <f t="shared" si="129"/>
        <v>0</v>
      </c>
      <c r="G263" s="448">
        <f t="shared" si="129"/>
        <v>0</v>
      </c>
      <c r="H263" s="448">
        <f t="shared" si="129"/>
        <v>321545</v>
      </c>
      <c r="I263" s="448">
        <f t="shared" si="129"/>
        <v>1890</v>
      </c>
      <c r="J263" s="448">
        <f t="shared" si="129"/>
        <v>0</v>
      </c>
      <c r="K263" s="448">
        <f t="shared" si="129"/>
        <v>0</v>
      </c>
      <c r="L263" s="448">
        <f t="shared" si="129"/>
        <v>1890</v>
      </c>
      <c r="M263" s="448">
        <f t="shared" si="129"/>
        <v>323435</v>
      </c>
      <c r="N263" s="448">
        <f t="shared" si="129"/>
        <v>0</v>
      </c>
      <c r="O263" s="448">
        <f t="shared" si="129"/>
        <v>323435</v>
      </c>
    </row>
    <row r="264" spans="1:16" ht="17.25" thickTop="1" thickBot="1" x14ac:dyDescent="0.3">
      <c r="A264" s="450"/>
      <c r="B264" s="449" t="s">
        <v>414</v>
      </c>
      <c r="C264" s="448">
        <f>+C255+C261</f>
        <v>6421</v>
      </c>
      <c r="D264" s="448">
        <f t="shared" ref="D264:O264" si="130">+D255+D261</f>
        <v>2114</v>
      </c>
      <c r="E264" s="448">
        <f t="shared" si="130"/>
        <v>100</v>
      </c>
      <c r="F264" s="448">
        <f t="shared" si="130"/>
        <v>0</v>
      </c>
      <c r="G264" s="448">
        <f t="shared" si="130"/>
        <v>0</v>
      </c>
      <c r="H264" s="448">
        <f t="shared" si="130"/>
        <v>8635</v>
      </c>
      <c r="I264" s="448">
        <f t="shared" si="130"/>
        <v>0</v>
      </c>
      <c r="J264" s="448">
        <f t="shared" si="130"/>
        <v>0</v>
      </c>
      <c r="K264" s="448">
        <f t="shared" si="130"/>
        <v>0</v>
      </c>
      <c r="L264" s="448">
        <f t="shared" si="130"/>
        <v>0</v>
      </c>
      <c r="M264" s="448">
        <f t="shared" si="130"/>
        <v>8635</v>
      </c>
      <c r="N264" s="448">
        <f t="shared" si="130"/>
        <v>0</v>
      </c>
      <c r="O264" s="448">
        <f t="shared" si="130"/>
        <v>8635</v>
      </c>
    </row>
    <row r="265" spans="1:16" ht="16.5" thickTop="1" x14ac:dyDescent="0.25">
      <c r="A265" s="469" t="s">
        <v>9</v>
      </c>
      <c r="B265" s="425" t="s">
        <v>435</v>
      </c>
      <c r="C265" s="471"/>
      <c r="D265" s="466"/>
      <c r="E265" s="466"/>
      <c r="F265" s="472"/>
      <c r="G265" s="466"/>
      <c r="H265" s="463"/>
      <c r="I265" s="465"/>
      <c r="J265" s="464"/>
      <c r="K265" s="464"/>
      <c r="L265" s="463"/>
      <c r="M265" s="463"/>
      <c r="N265" s="463"/>
      <c r="O265" s="463"/>
    </row>
    <row r="266" spans="1:16" x14ac:dyDescent="0.25">
      <c r="A266" s="469"/>
      <c r="B266" s="417" t="s">
        <v>387</v>
      </c>
      <c r="C266" s="471">
        <v>126606</v>
      </c>
      <c r="D266" s="466">
        <v>27389</v>
      </c>
      <c r="E266" s="466">
        <v>67475</v>
      </c>
      <c r="F266" s="472"/>
      <c r="G266" s="466"/>
      <c r="H266" s="463">
        <f>SUM(C266:G266)</f>
        <v>221470</v>
      </c>
      <c r="I266" s="465">
        <v>1071</v>
      </c>
      <c r="J266" s="464"/>
      <c r="K266" s="464"/>
      <c r="L266" s="463">
        <f>SUM(I266:K266)</f>
        <v>1071</v>
      </c>
      <c r="M266" s="462">
        <f>SUM(H266+L266)</f>
        <v>222541</v>
      </c>
      <c r="N266" s="462"/>
      <c r="O266" s="462">
        <f>SUM(M266+N266)</f>
        <v>222541</v>
      </c>
    </row>
    <row r="267" spans="1:16" s="476" customFormat="1" x14ac:dyDescent="0.25">
      <c r="A267" s="485"/>
      <c r="B267" s="470" t="s">
        <v>418</v>
      </c>
      <c r="C267" s="502">
        <v>123141</v>
      </c>
      <c r="D267" s="483">
        <v>26249</v>
      </c>
      <c r="E267" s="483">
        <v>67340</v>
      </c>
      <c r="F267" s="494"/>
      <c r="G267" s="483"/>
      <c r="H267" s="478">
        <f>SUM(C267:G267)</f>
        <v>216730</v>
      </c>
      <c r="I267" s="480">
        <v>1071</v>
      </c>
      <c r="J267" s="479"/>
      <c r="K267" s="479"/>
      <c r="L267" s="478">
        <f>SUM(I267:K267)</f>
        <v>1071</v>
      </c>
      <c r="M267" s="477">
        <f>SUM(H267+L267)</f>
        <v>217801</v>
      </c>
      <c r="N267" s="477"/>
      <c r="O267" s="477">
        <f>SUM(M267+N267)</f>
        <v>217801</v>
      </c>
    </row>
    <row r="268" spans="1:16" s="476" customFormat="1" x14ac:dyDescent="0.25">
      <c r="A268" s="485"/>
      <c r="B268" s="470" t="s">
        <v>417</v>
      </c>
      <c r="C268" s="502">
        <v>3465</v>
      </c>
      <c r="D268" s="483">
        <v>1140</v>
      </c>
      <c r="E268" s="483">
        <v>135</v>
      </c>
      <c r="F268" s="494"/>
      <c r="G268" s="483"/>
      <c r="H268" s="478">
        <f>SUM(C268:G268)</f>
        <v>4740</v>
      </c>
      <c r="I268" s="480"/>
      <c r="J268" s="479"/>
      <c r="K268" s="479"/>
      <c r="L268" s="478">
        <f>SUM(I268:K268)</f>
        <v>0</v>
      </c>
      <c r="M268" s="477">
        <f>SUM(H268+L268)</f>
        <v>4740</v>
      </c>
      <c r="N268" s="477"/>
      <c r="O268" s="477">
        <f>SUM(M268+N268)</f>
        <v>4740</v>
      </c>
    </row>
    <row r="269" spans="1:16" s="476" customFormat="1" x14ac:dyDescent="0.25">
      <c r="A269" s="485"/>
      <c r="B269" s="470" t="s">
        <v>139</v>
      </c>
      <c r="C269" s="502"/>
      <c r="D269" s="483"/>
      <c r="E269" s="483"/>
      <c r="F269" s="494"/>
      <c r="G269" s="483"/>
      <c r="H269" s="478"/>
      <c r="I269" s="480"/>
      <c r="J269" s="479"/>
      <c r="K269" s="479"/>
      <c r="L269" s="478"/>
      <c r="M269" s="477"/>
      <c r="N269" s="477"/>
      <c r="O269" s="477"/>
    </row>
    <row r="270" spans="1:16" s="476" customFormat="1" x14ac:dyDescent="0.25">
      <c r="A270" s="485"/>
      <c r="B270" s="417" t="s">
        <v>1034</v>
      </c>
      <c r="C270" s="522">
        <v>12</v>
      </c>
      <c r="D270" s="520">
        <v>2</v>
      </c>
      <c r="E270" s="520"/>
      <c r="F270" s="518"/>
      <c r="G270" s="483"/>
      <c r="H270" s="517">
        <f t="shared" ref="H270:H274" si="131">SUM(C270:G270)</f>
        <v>14</v>
      </c>
      <c r="I270" s="480"/>
      <c r="J270" s="479"/>
      <c r="K270" s="479"/>
      <c r="L270" s="517">
        <f t="shared" ref="L270:L274" si="132">SUM(I270:K270)</f>
        <v>0</v>
      </c>
      <c r="M270" s="516">
        <f t="shared" ref="M270:M274" si="133">SUM(H270+L270)</f>
        <v>14</v>
      </c>
      <c r="N270" s="477"/>
      <c r="O270" s="516">
        <f t="shared" ref="O270:O274" si="134">SUM(M270+N270)</f>
        <v>14</v>
      </c>
    </row>
    <row r="271" spans="1:16" s="476" customFormat="1" ht="47.25" x14ac:dyDescent="0.25">
      <c r="A271" s="485"/>
      <c r="B271" s="417" t="s">
        <v>812</v>
      </c>
      <c r="C271" s="522"/>
      <c r="D271" s="520"/>
      <c r="E271" s="520">
        <v>127</v>
      </c>
      <c r="F271" s="518"/>
      <c r="G271" s="483"/>
      <c r="H271" s="517">
        <f t="shared" si="131"/>
        <v>127</v>
      </c>
      <c r="I271" s="480"/>
      <c r="J271" s="479"/>
      <c r="K271" s="479"/>
      <c r="L271" s="517">
        <f t="shared" si="132"/>
        <v>0</v>
      </c>
      <c r="M271" s="516">
        <f t="shared" si="133"/>
        <v>127</v>
      </c>
      <c r="N271" s="477"/>
      <c r="O271" s="516">
        <f t="shared" si="134"/>
        <v>127</v>
      </c>
    </row>
    <row r="272" spans="1:16" s="476" customFormat="1" ht="31.5" x14ac:dyDescent="0.25">
      <c r="A272" s="485"/>
      <c r="B272" s="417" t="s">
        <v>766</v>
      </c>
      <c r="C272" s="522"/>
      <c r="D272" s="520"/>
      <c r="E272" s="520">
        <v>1863</v>
      </c>
      <c r="F272" s="518"/>
      <c r="G272" s="483"/>
      <c r="H272" s="517">
        <f t="shared" si="131"/>
        <v>1863</v>
      </c>
      <c r="I272" s="550"/>
      <c r="J272" s="479"/>
      <c r="K272" s="479"/>
      <c r="L272" s="517">
        <f t="shared" si="132"/>
        <v>0</v>
      </c>
      <c r="M272" s="516">
        <f t="shared" si="133"/>
        <v>1863</v>
      </c>
      <c r="N272" s="477"/>
      <c r="O272" s="516">
        <f t="shared" si="134"/>
        <v>1863</v>
      </c>
    </row>
    <row r="273" spans="1:16" s="476" customFormat="1" x14ac:dyDescent="0.25">
      <c r="A273" s="485"/>
      <c r="B273" s="470" t="s">
        <v>140</v>
      </c>
      <c r="C273" s="522"/>
      <c r="D273" s="520"/>
      <c r="E273" s="520"/>
      <c r="F273" s="518"/>
      <c r="G273" s="483"/>
      <c r="H273" s="517"/>
      <c r="I273" s="480"/>
      <c r="J273" s="479"/>
      <c r="K273" s="479"/>
      <c r="L273" s="517"/>
      <c r="M273" s="516"/>
      <c r="N273" s="477"/>
      <c r="O273" s="516"/>
    </row>
    <row r="274" spans="1:16" s="476" customFormat="1" ht="16.5" thickBot="1" x14ac:dyDescent="0.3">
      <c r="A274" s="485"/>
      <c r="B274" s="417" t="s">
        <v>1065</v>
      </c>
      <c r="C274" s="522">
        <v>624</v>
      </c>
      <c r="D274" s="520">
        <v>214</v>
      </c>
      <c r="E274" s="520"/>
      <c r="F274" s="518"/>
      <c r="G274" s="483"/>
      <c r="H274" s="517">
        <f t="shared" si="131"/>
        <v>838</v>
      </c>
      <c r="I274" s="480"/>
      <c r="J274" s="479"/>
      <c r="K274" s="479"/>
      <c r="L274" s="517">
        <f t="shared" si="132"/>
        <v>0</v>
      </c>
      <c r="M274" s="516">
        <f t="shared" si="133"/>
        <v>838</v>
      </c>
      <c r="N274" s="477"/>
      <c r="O274" s="516">
        <f t="shared" si="134"/>
        <v>838</v>
      </c>
    </row>
    <row r="275" spans="1:16" ht="17.25" thickTop="1" thickBot="1" x14ac:dyDescent="0.3">
      <c r="A275" s="450"/>
      <c r="B275" s="449" t="s">
        <v>416</v>
      </c>
      <c r="C275" s="448">
        <f>+C266+C270+C271+C274+C272</f>
        <v>127242</v>
      </c>
      <c r="D275" s="448">
        <f t="shared" ref="D275:O275" si="135">+D266+D270+D271+D274+D272</f>
        <v>27605</v>
      </c>
      <c r="E275" s="448">
        <f t="shared" si="135"/>
        <v>69465</v>
      </c>
      <c r="F275" s="448">
        <f t="shared" si="135"/>
        <v>0</v>
      </c>
      <c r="G275" s="448">
        <f t="shared" si="135"/>
        <v>0</v>
      </c>
      <c r="H275" s="448">
        <f t="shared" si="135"/>
        <v>224312</v>
      </c>
      <c r="I275" s="448">
        <f t="shared" si="135"/>
        <v>1071</v>
      </c>
      <c r="J275" s="448">
        <f t="shared" si="135"/>
        <v>0</v>
      </c>
      <c r="K275" s="448">
        <f t="shared" si="135"/>
        <v>0</v>
      </c>
      <c r="L275" s="448">
        <f t="shared" si="135"/>
        <v>1071</v>
      </c>
      <c r="M275" s="448">
        <f t="shared" si="135"/>
        <v>225383</v>
      </c>
      <c r="N275" s="448">
        <f t="shared" si="135"/>
        <v>0</v>
      </c>
      <c r="O275" s="448">
        <f t="shared" si="135"/>
        <v>225383</v>
      </c>
      <c r="P275" s="405">
        <f>O276+O277</f>
        <v>225383</v>
      </c>
    </row>
    <row r="276" spans="1:16" ht="17.25" thickTop="1" thickBot="1" x14ac:dyDescent="0.3">
      <c r="A276" s="450"/>
      <c r="B276" s="449" t="s">
        <v>415</v>
      </c>
      <c r="C276" s="448">
        <f t="shared" ref="C276:O276" si="136">+C267+C270+C271+C272</f>
        <v>123153</v>
      </c>
      <c r="D276" s="448">
        <f t="shared" si="136"/>
        <v>26251</v>
      </c>
      <c r="E276" s="448">
        <f t="shared" si="136"/>
        <v>69330</v>
      </c>
      <c r="F276" s="448">
        <f t="shared" si="136"/>
        <v>0</v>
      </c>
      <c r="G276" s="448">
        <f t="shared" si="136"/>
        <v>0</v>
      </c>
      <c r="H276" s="448">
        <f t="shared" si="136"/>
        <v>218734</v>
      </c>
      <c r="I276" s="448">
        <f t="shared" si="136"/>
        <v>1071</v>
      </c>
      <c r="J276" s="448">
        <f t="shared" si="136"/>
        <v>0</v>
      </c>
      <c r="K276" s="448">
        <f t="shared" si="136"/>
        <v>0</v>
      </c>
      <c r="L276" s="448">
        <f t="shared" si="136"/>
        <v>1071</v>
      </c>
      <c r="M276" s="448">
        <f t="shared" si="136"/>
        <v>219805</v>
      </c>
      <c r="N276" s="448">
        <f t="shared" si="136"/>
        <v>0</v>
      </c>
      <c r="O276" s="448">
        <f t="shared" si="136"/>
        <v>219805</v>
      </c>
    </row>
    <row r="277" spans="1:16" ht="17.25" thickTop="1" thickBot="1" x14ac:dyDescent="0.3">
      <c r="A277" s="450"/>
      <c r="B277" s="449" t="s">
        <v>414</v>
      </c>
      <c r="C277" s="448">
        <f>+C268+C274</f>
        <v>4089</v>
      </c>
      <c r="D277" s="448">
        <f t="shared" ref="D277:O277" si="137">+D268+D274</f>
        <v>1354</v>
      </c>
      <c r="E277" s="448">
        <f t="shared" si="137"/>
        <v>135</v>
      </c>
      <c r="F277" s="448">
        <f t="shared" si="137"/>
        <v>0</v>
      </c>
      <c r="G277" s="448">
        <f t="shared" si="137"/>
        <v>0</v>
      </c>
      <c r="H277" s="448">
        <f t="shared" si="137"/>
        <v>5578</v>
      </c>
      <c r="I277" s="448">
        <f t="shared" si="137"/>
        <v>0</v>
      </c>
      <c r="J277" s="448">
        <f t="shared" si="137"/>
        <v>0</v>
      </c>
      <c r="K277" s="448">
        <f t="shared" si="137"/>
        <v>0</v>
      </c>
      <c r="L277" s="448">
        <f t="shared" si="137"/>
        <v>0</v>
      </c>
      <c r="M277" s="448">
        <f t="shared" si="137"/>
        <v>5578</v>
      </c>
      <c r="N277" s="448">
        <f t="shared" si="137"/>
        <v>0</v>
      </c>
      <c r="O277" s="448">
        <f t="shared" si="137"/>
        <v>5578</v>
      </c>
    </row>
    <row r="278" spans="1:16" ht="16.5" thickTop="1" x14ac:dyDescent="0.25">
      <c r="A278" s="459" t="s">
        <v>10</v>
      </c>
      <c r="B278" s="514" t="s">
        <v>434</v>
      </c>
      <c r="C278" s="457"/>
      <c r="D278" s="456"/>
      <c r="E278" s="456"/>
      <c r="F278" s="454"/>
      <c r="G278" s="456"/>
      <c r="H278" s="453"/>
      <c r="I278" s="455"/>
      <c r="J278" s="454"/>
      <c r="K278" s="454"/>
      <c r="L278" s="453"/>
      <c r="M278" s="453"/>
      <c r="N278" s="453"/>
      <c r="O278" s="453"/>
    </row>
    <row r="279" spans="1:16" x14ac:dyDescent="0.25">
      <c r="A279" s="475"/>
      <c r="B279" s="425" t="s">
        <v>387</v>
      </c>
      <c r="C279" s="471">
        <v>164468</v>
      </c>
      <c r="D279" s="466">
        <v>35163</v>
      </c>
      <c r="E279" s="466">
        <v>60175</v>
      </c>
      <c r="F279" s="464"/>
      <c r="G279" s="466"/>
      <c r="H279" s="463">
        <f>SUM(C279:G279)</f>
        <v>259806</v>
      </c>
      <c r="I279" s="465">
        <v>604</v>
      </c>
      <c r="J279" s="464"/>
      <c r="K279" s="464"/>
      <c r="L279" s="463">
        <f>SUM(I279:K279)</f>
        <v>604</v>
      </c>
      <c r="M279" s="462">
        <f>SUM(H279+L279)</f>
        <v>260410</v>
      </c>
      <c r="N279" s="462"/>
      <c r="O279" s="462">
        <f>SUM(M279+N279)</f>
        <v>260410</v>
      </c>
    </row>
    <row r="280" spans="1:16" s="476" customFormat="1" x14ac:dyDescent="0.25">
      <c r="A280" s="485"/>
      <c r="B280" s="470" t="s">
        <v>418</v>
      </c>
      <c r="C280" s="502">
        <v>160079</v>
      </c>
      <c r="D280" s="483">
        <v>33721</v>
      </c>
      <c r="E280" s="483">
        <v>59840</v>
      </c>
      <c r="F280" s="479"/>
      <c r="G280" s="483"/>
      <c r="H280" s="478">
        <f>SUM(C280:G280)</f>
        <v>253640</v>
      </c>
      <c r="I280" s="480">
        <v>604</v>
      </c>
      <c r="J280" s="479"/>
      <c r="K280" s="479"/>
      <c r="L280" s="478">
        <f>SUM(I280:K280)</f>
        <v>604</v>
      </c>
      <c r="M280" s="477">
        <f>SUM(H280+L280)</f>
        <v>254244</v>
      </c>
      <c r="N280" s="477"/>
      <c r="O280" s="477">
        <f>SUM(M280+N280)</f>
        <v>254244</v>
      </c>
    </row>
    <row r="281" spans="1:16" s="476" customFormat="1" x14ac:dyDescent="0.25">
      <c r="A281" s="485"/>
      <c r="B281" s="470" t="s">
        <v>417</v>
      </c>
      <c r="C281" s="502">
        <v>4389</v>
      </c>
      <c r="D281" s="483">
        <v>1442</v>
      </c>
      <c r="E281" s="483">
        <v>335</v>
      </c>
      <c r="F281" s="479"/>
      <c r="G281" s="483"/>
      <c r="H281" s="478">
        <f>SUM(C281:G281)</f>
        <v>6166</v>
      </c>
      <c r="I281" s="480"/>
      <c r="J281" s="479"/>
      <c r="K281" s="479"/>
      <c r="L281" s="478">
        <f>SUM(I281:K281)</f>
        <v>0</v>
      </c>
      <c r="M281" s="477">
        <f>SUM(H281+L281)</f>
        <v>6166</v>
      </c>
      <c r="N281" s="477"/>
      <c r="O281" s="477">
        <f>SUM(M281+N281)</f>
        <v>6166</v>
      </c>
    </row>
    <row r="282" spans="1:16" s="476" customFormat="1" x14ac:dyDescent="0.25">
      <c r="A282" s="503"/>
      <c r="B282" s="474" t="s">
        <v>139</v>
      </c>
      <c r="C282" s="502"/>
      <c r="D282" s="483"/>
      <c r="E282" s="483"/>
      <c r="F282" s="479"/>
      <c r="G282" s="483"/>
      <c r="H282" s="478"/>
      <c r="I282" s="480"/>
      <c r="J282" s="479"/>
      <c r="K282" s="479"/>
      <c r="L282" s="478"/>
      <c r="M282" s="478"/>
      <c r="N282" s="478"/>
      <c r="O282" s="478"/>
    </row>
    <row r="283" spans="1:16" s="476" customFormat="1" x14ac:dyDescent="0.25">
      <c r="A283" s="503"/>
      <c r="B283" s="425" t="s">
        <v>1034</v>
      </c>
      <c r="C283" s="522">
        <v>17</v>
      </c>
      <c r="D283" s="520">
        <v>3</v>
      </c>
      <c r="E283" s="520"/>
      <c r="F283" s="521"/>
      <c r="G283" s="483"/>
      <c r="H283" s="517">
        <f t="shared" ref="H283:H288" si="138">SUM(C283:G283)</f>
        <v>20</v>
      </c>
      <c r="I283" s="480"/>
      <c r="J283" s="479"/>
      <c r="K283" s="479"/>
      <c r="L283" s="517">
        <f t="shared" ref="L283:L288" si="139">SUM(I283:K283)</f>
        <v>0</v>
      </c>
      <c r="M283" s="517">
        <f t="shared" ref="M283:M288" si="140">SUM(H283+L283)</f>
        <v>20</v>
      </c>
      <c r="N283" s="478"/>
      <c r="O283" s="517">
        <f t="shared" ref="O283:O288" si="141">SUM(M283+N283)</f>
        <v>20</v>
      </c>
    </row>
    <row r="284" spans="1:16" s="476" customFormat="1" ht="47.25" x14ac:dyDescent="0.25">
      <c r="A284" s="485"/>
      <c r="B284" s="417" t="s">
        <v>1064</v>
      </c>
      <c r="C284" s="522">
        <v>196</v>
      </c>
      <c r="D284" s="520">
        <v>38</v>
      </c>
      <c r="E284" s="520"/>
      <c r="F284" s="521"/>
      <c r="G284" s="483"/>
      <c r="H284" s="517">
        <f t="shared" si="138"/>
        <v>234</v>
      </c>
      <c r="I284" s="480"/>
      <c r="J284" s="479"/>
      <c r="K284" s="479"/>
      <c r="L284" s="517">
        <f t="shared" si="139"/>
        <v>0</v>
      </c>
      <c r="M284" s="516">
        <f t="shared" si="140"/>
        <v>234</v>
      </c>
      <c r="N284" s="477"/>
      <c r="O284" s="516">
        <f t="shared" si="141"/>
        <v>234</v>
      </c>
    </row>
    <row r="285" spans="1:16" s="476" customFormat="1" ht="47.25" x14ac:dyDescent="0.25">
      <c r="A285" s="485"/>
      <c r="B285" s="417" t="s">
        <v>812</v>
      </c>
      <c r="C285" s="522"/>
      <c r="D285" s="520"/>
      <c r="E285" s="520">
        <v>127</v>
      </c>
      <c r="F285" s="521"/>
      <c r="G285" s="483"/>
      <c r="H285" s="517">
        <f t="shared" si="138"/>
        <v>127</v>
      </c>
      <c r="I285" s="550"/>
      <c r="J285" s="479"/>
      <c r="K285" s="479"/>
      <c r="L285" s="517">
        <f t="shared" si="139"/>
        <v>0</v>
      </c>
      <c r="M285" s="516">
        <f t="shared" si="140"/>
        <v>127</v>
      </c>
      <c r="N285" s="477"/>
      <c r="O285" s="516">
        <f t="shared" si="141"/>
        <v>127</v>
      </c>
    </row>
    <row r="286" spans="1:16" s="476" customFormat="1" ht="31.5" x14ac:dyDescent="0.25">
      <c r="A286" s="485"/>
      <c r="B286" s="417" t="s">
        <v>766</v>
      </c>
      <c r="C286" s="522"/>
      <c r="D286" s="520"/>
      <c r="E286" s="520">
        <v>3160</v>
      </c>
      <c r="F286" s="521"/>
      <c r="G286" s="483"/>
      <c r="H286" s="517">
        <f t="shared" si="138"/>
        <v>3160</v>
      </c>
      <c r="I286" s="550">
        <v>567</v>
      </c>
      <c r="J286" s="479"/>
      <c r="K286" s="479"/>
      <c r="L286" s="517">
        <f t="shared" si="139"/>
        <v>567</v>
      </c>
      <c r="M286" s="516">
        <f t="shared" si="140"/>
        <v>3727</v>
      </c>
      <c r="N286" s="477"/>
      <c r="O286" s="516">
        <f t="shared" si="141"/>
        <v>3727</v>
      </c>
    </row>
    <row r="287" spans="1:16" s="476" customFormat="1" x14ac:dyDescent="0.25">
      <c r="A287" s="485"/>
      <c r="B287" s="470" t="s">
        <v>140</v>
      </c>
      <c r="C287" s="522"/>
      <c r="D287" s="520"/>
      <c r="E287" s="520"/>
      <c r="F287" s="521"/>
      <c r="G287" s="483"/>
      <c r="H287" s="517"/>
      <c r="I287" s="480"/>
      <c r="J287" s="479"/>
      <c r="K287" s="479"/>
      <c r="L287" s="517"/>
      <c r="M287" s="516"/>
      <c r="N287" s="477"/>
      <c r="O287" s="516"/>
    </row>
    <row r="288" spans="1:16" s="476" customFormat="1" ht="16.5" thickBot="1" x14ac:dyDescent="0.3">
      <c r="A288" s="485"/>
      <c r="B288" s="417" t="s">
        <v>1065</v>
      </c>
      <c r="C288" s="522">
        <v>779</v>
      </c>
      <c r="D288" s="520">
        <v>267</v>
      </c>
      <c r="E288" s="520"/>
      <c r="F288" s="521"/>
      <c r="G288" s="483"/>
      <c r="H288" s="517">
        <f t="shared" si="138"/>
        <v>1046</v>
      </c>
      <c r="I288" s="480"/>
      <c r="J288" s="479"/>
      <c r="K288" s="479"/>
      <c r="L288" s="517">
        <f t="shared" si="139"/>
        <v>0</v>
      </c>
      <c r="M288" s="516">
        <f t="shared" si="140"/>
        <v>1046</v>
      </c>
      <c r="N288" s="477"/>
      <c r="O288" s="516">
        <f t="shared" si="141"/>
        <v>1046</v>
      </c>
    </row>
    <row r="289" spans="1:16" ht="17.25" thickTop="1" thickBot="1" x14ac:dyDescent="0.3">
      <c r="A289" s="450"/>
      <c r="B289" s="449" t="s">
        <v>416</v>
      </c>
      <c r="C289" s="448">
        <f>+C279+C283+C284+C288+C285+C286</f>
        <v>165460</v>
      </c>
      <c r="D289" s="448">
        <f t="shared" ref="D289:O289" si="142">+D279+D283+D284+D288+D285+D286</f>
        <v>35471</v>
      </c>
      <c r="E289" s="448">
        <f t="shared" si="142"/>
        <v>63462</v>
      </c>
      <c r="F289" s="448">
        <f t="shared" si="142"/>
        <v>0</v>
      </c>
      <c r="G289" s="448">
        <f t="shared" si="142"/>
        <v>0</v>
      </c>
      <c r="H289" s="448">
        <f t="shared" si="142"/>
        <v>264393</v>
      </c>
      <c r="I289" s="448">
        <f t="shared" si="142"/>
        <v>1171</v>
      </c>
      <c r="J289" s="448">
        <f t="shared" si="142"/>
        <v>0</v>
      </c>
      <c r="K289" s="448">
        <f t="shared" si="142"/>
        <v>0</v>
      </c>
      <c r="L289" s="448">
        <f t="shared" si="142"/>
        <v>1171</v>
      </c>
      <c r="M289" s="448">
        <f t="shared" si="142"/>
        <v>265564</v>
      </c>
      <c r="N289" s="448">
        <f t="shared" si="142"/>
        <v>0</v>
      </c>
      <c r="O289" s="448">
        <f t="shared" si="142"/>
        <v>265564</v>
      </c>
      <c r="P289" s="405">
        <f>O290+O291</f>
        <v>265564</v>
      </c>
    </row>
    <row r="290" spans="1:16" ht="17.25" thickTop="1" thickBot="1" x14ac:dyDescent="0.3">
      <c r="A290" s="450"/>
      <c r="B290" s="449" t="s">
        <v>415</v>
      </c>
      <c r="C290" s="448">
        <f t="shared" ref="C290:O290" si="143">+C280+C283+C284+C285+C286</f>
        <v>160292</v>
      </c>
      <c r="D290" s="448">
        <f t="shared" si="143"/>
        <v>33762</v>
      </c>
      <c r="E290" s="448">
        <f t="shared" si="143"/>
        <v>63127</v>
      </c>
      <c r="F290" s="448">
        <f t="shared" si="143"/>
        <v>0</v>
      </c>
      <c r="G290" s="448">
        <f t="shared" si="143"/>
        <v>0</v>
      </c>
      <c r="H290" s="448">
        <f t="shared" si="143"/>
        <v>257181</v>
      </c>
      <c r="I290" s="448">
        <f t="shared" si="143"/>
        <v>1171</v>
      </c>
      <c r="J290" s="448">
        <f t="shared" si="143"/>
        <v>0</v>
      </c>
      <c r="K290" s="448">
        <f t="shared" si="143"/>
        <v>0</v>
      </c>
      <c r="L290" s="448">
        <f t="shared" si="143"/>
        <v>1171</v>
      </c>
      <c r="M290" s="448">
        <f t="shared" si="143"/>
        <v>258352</v>
      </c>
      <c r="N290" s="448">
        <f t="shared" si="143"/>
        <v>0</v>
      </c>
      <c r="O290" s="448">
        <f t="shared" si="143"/>
        <v>258352</v>
      </c>
    </row>
    <row r="291" spans="1:16" ht="17.25" thickTop="1" thickBot="1" x14ac:dyDescent="0.3">
      <c r="A291" s="450"/>
      <c r="B291" s="449" t="s">
        <v>414</v>
      </c>
      <c r="C291" s="448">
        <f>+C281+C288</f>
        <v>5168</v>
      </c>
      <c r="D291" s="448">
        <f t="shared" ref="D291:O291" si="144">+D281+D288</f>
        <v>1709</v>
      </c>
      <c r="E291" s="448">
        <f t="shared" si="144"/>
        <v>335</v>
      </c>
      <c r="F291" s="448">
        <f t="shared" si="144"/>
        <v>0</v>
      </c>
      <c r="G291" s="448">
        <f t="shared" si="144"/>
        <v>0</v>
      </c>
      <c r="H291" s="448">
        <f t="shared" si="144"/>
        <v>7212</v>
      </c>
      <c r="I291" s="448">
        <f t="shared" si="144"/>
        <v>0</v>
      </c>
      <c r="J291" s="448">
        <f t="shared" si="144"/>
        <v>0</v>
      </c>
      <c r="K291" s="448">
        <f t="shared" si="144"/>
        <v>0</v>
      </c>
      <c r="L291" s="448">
        <f t="shared" si="144"/>
        <v>0</v>
      </c>
      <c r="M291" s="448">
        <f t="shared" si="144"/>
        <v>7212</v>
      </c>
      <c r="N291" s="448">
        <f t="shared" si="144"/>
        <v>0</v>
      </c>
      <c r="O291" s="448">
        <f t="shared" si="144"/>
        <v>7212</v>
      </c>
    </row>
    <row r="292" spans="1:16" ht="17.25" thickTop="1" thickBot="1" x14ac:dyDescent="0.3">
      <c r="A292" s="450"/>
      <c r="B292" s="449" t="s">
        <v>433</v>
      </c>
      <c r="C292" s="448">
        <f t="shared" ref="C292:O292" si="145">SUM(C135+C148+C163+C178+C192+C206+C220+C235+C249+C262+C275+C289)</f>
        <v>1803064</v>
      </c>
      <c r="D292" s="448">
        <f t="shared" si="145"/>
        <v>388414</v>
      </c>
      <c r="E292" s="448">
        <f t="shared" si="145"/>
        <v>850161</v>
      </c>
      <c r="F292" s="448">
        <f t="shared" si="145"/>
        <v>0</v>
      </c>
      <c r="G292" s="448">
        <f t="shared" si="145"/>
        <v>99</v>
      </c>
      <c r="H292" s="448">
        <f t="shared" si="145"/>
        <v>3041738</v>
      </c>
      <c r="I292" s="448">
        <f t="shared" si="145"/>
        <v>15236</v>
      </c>
      <c r="J292" s="448">
        <f t="shared" si="145"/>
        <v>0</v>
      </c>
      <c r="K292" s="448">
        <f t="shared" si="145"/>
        <v>0</v>
      </c>
      <c r="L292" s="448">
        <f t="shared" si="145"/>
        <v>15236</v>
      </c>
      <c r="M292" s="448">
        <f t="shared" si="145"/>
        <v>3056974</v>
      </c>
      <c r="N292" s="448">
        <f t="shared" si="145"/>
        <v>0</v>
      </c>
      <c r="O292" s="448">
        <f t="shared" si="145"/>
        <v>3056974</v>
      </c>
    </row>
    <row r="293" spans="1:16" ht="17.25" thickTop="1" thickBot="1" x14ac:dyDescent="0.3">
      <c r="A293" s="450"/>
      <c r="B293" s="449" t="s">
        <v>432</v>
      </c>
      <c r="C293" s="448">
        <f t="shared" ref="C293:O293" si="146">SUM(C38+C121+C292)</f>
        <v>2947046</v>
      </c>
      <c r="D293" s="448">
        <f t="shared" si="146"/>
        <v>630112</v>
      </c>
      <c r="E293" s="448">
        <f t="shared" si="146"/>
        <v>1197690</v>
      </c>
      <c r="F293" s="448">
        <f t="shared" si="146"/>
        <v>0</v>
      </c>
      <c r="G293" s="448">
        <f t="shared" si="146"/>
        <v>99</v>
      </c>
      <c r="H293" s="448">
        <f t="shared" si="146"/>
        <v>4774947</v>
      </c>
      <c r="I293" s="448">
        <f t="shared" si="146"/>
        <v>70447</v>
      </c>
      <c r="J293" s="448">
        <f t="shared" si="146"/>
        <v>8848</v>
      </c>
      <c r="K293" s="448">
        <f t="shared" si="146"/>
        <v>0</v>
      </c>
      <c r="L293" s="448">
        <f t="shared" si="146"/>
        <v>79295</v>
      </c>
      <c r="M293" s="448">
        <f t="shared" si="146"/>
        <v>4854242</v>
      </c>
      <c r="N293" s="448">
        <f t="shared" si="146"/>
        <v>0</v>
      </c>
      <c r="O293" s="448">
        <f t="shared" si="146"/>
        <v>4854242</v>
      </c>
    </row>
    <row r="294" spans="1:16" ht="16.5" thickTop="1" x14ac:dyDescent="0.25">
      <c r="A294" s="469" t="s">
        <v>11</v>
      </c>
      <c r="B294" s="425" t="s">
        <v>409</v>
      </c>
      <c r="C294" s="471"/>
      <c r="D294" s="466"/>
      <c r="E294" s="466"/>
      <c r="F294" s="472"/>
      <c r="G294" s="466"/>
      <c r="H294" s="463"/>
      <c r="I294" s="465"/>
      <c r="J294" s="464"/>
      <c r="K294" s="464"/>
      <c r="L294" s="463"/>
      <c r="M294" s="463"/>
      <c r="N294" s="463"/>
      <c r="O294" s="463"/>
    </row>
    <row r="295" spans="1:16" x14ac:dyDescent="0.25">
      <c r="A295" s="469"/>
      <c r="B295" s="417" t="s">
        <v>387</v>
      </c>
      <c r="C295" s="471">
        <v>710860</v>
      </c>
      <c r="D295" s="466">
        <v>150512</v>
      </c>
      <c r="E295" s="466">
        <v>441615</v>
      </c>
      <c r="F295" s="472"/>
      <c r="G295" s="466"/>
      <c r="H295" s="463">
        <f>SUM(C295:G295)</f>
        <v>1302987</v>
      </c>
      <c r="I295" s="465">
        <v>8615</v>
      </c>
      <c r="J295" s="464"/>
      <c r="K295" s="464"/>
      <c r="L295" s="463">
        <f>SUM(I295:K295)</f>
        <v>8615</v>
      </c>
      <c r="M295" s="462">
        <f>SUM(H295+L295)</f>
        <v>1311602</v>
      </c>
      <c r="N295" s="462"/>
      <c r="O295" s="462">
        <f>SUM(M295+N295)</f>
        <v>1311602</v>
      </c>
    </row>
    <row r="296" spans="1:16" s="476" customFormat="1" x14ac:dyDescent="0.25">
      <c r="A296" s="485"/>
      <c r="B296" s="470" t="s">
        <v>418</v>
      </c>
      <c r="C296" s="502">
        <v>689363</v>
      </c>
      <c r="D296" s="483">
        <v>143383</v>
      </c>
      <c r="E296" s="483">
        <v>441505</v>
      </c>
      <c r="F296" s="494"/>
      <c r="G296" s="483"/>
      <c r="H296" s="478">
        <f>SUM(C296:G296)</f>
        <v>1274251</v>
      </c>
      <c r="I296" s="480">
        <v>8615</v>
      </c>
      <c r="J296" s="479"/>
      <c r="K296" s="479"/>
      <c r="L296" s="478">
        <f>SUM(I296:K296)</f>
        <v>8615</v>
      </c>
      <c r="M296" s="477">
        <f>SUM(H296+L296)</f>
        <v>1282866</v>
      </c>
      <c r="N296" s="477"/>
      <c r="O296" s="477">
        <f>SUM(M296+N296)</f>
        <v>1282866</v>
      </c>
    </row>
    <row r="297" spans="1:16" s="476" customFormat="1" x14ac:dyDescent="0.25">
      <c r="A297" s="485"/>
      <c r="B297" s="470" t="s">
        <v>417</v>
      </c>
      <c r="C297" s="502">
        <v>21497</v>
      </c>
      <c r="D297" s="483">
        <v>7129</v>
      </c>
      <c r="E297" s="483">
        <v>110</v>
      </c>
      <c r="F297" s="494"/>
      <c r="G297" s="483"/>
      <c r="H297" s="478">
        <f>SUM(C297:G297)</f>
        <v>28736</v>
      </c>
      <c r="I297" s="480"/>
      <c r="J297" s="479"/>
      <c r="K297" s="479"/>
      <c r="L297" s="478">
        <f>SUM(I297:K297)</f>
        <v>0</v>
      </c>
      <c r="M297" s="477">
        <f>SUM(H297+L297)</f>
        <v>28736</v>
      </c>
      <c r="N297" s="477"/>
      <c r="O297" s="477">
        <f>SUM(M297+N297)</f>
        <v>28736</v>
      </c>
    </row>
    <row r="298" spans="1:16" s="476" customFormat="1" x14ac:dyDescent="0.25">
      <c r="A298" s="485"/>
      <c r="B298" s="470" t="s">
        <v>139</v>
      </c>
      <c r="C298" s="502"/>
      <c r="D298" s="483"/>
      <c r="E298" s="483"/>
      <c r="F298" s="494"/>
      <c r="G298" s="483"/>
      <c r="H298" s="478"/>
      <c r="I298" s="480"/>
      <c r="J298" s="479"/>
      <c r="K298" s="479"/>
      <c r="L298" s="478"/>
      <c r="M298" s="477"/>
      <c r="N298" s="477"/>
      <c r="O298" s="477"/>
    </row>
    <row r="299" spans="1:16" s="476" customFormat="1" x14ac:dyDescent="0.25">
      <c r="A299" s="485"/>
      <c r="B299" s="417" t="s">
        <v>1034</v>
      </c>
      <c r="C299" s="522">
        <v>188</v>
      </c>
      <c r="D299" s="520">
        <v>36</v>
      </c>
      <c r="E299" s="520"/>
      <c r="F299" s="518"/>
      <c r="G299" s="483"/>
      <c r="H299" s="517">
        <f t="shared" ref="H299:H307" si="147">SUM(C299:G299)</f>
        <v>224</v>
      </c>
      <c r="I299" s="480"/>
      <c r="J299" s="479"/>
      <c r="K299" s="479"/>
      <c r="L299" s="517">
        <f t="shared" ref="L299:L307" si="148">SUM(I299:K299)</f>
        <v>0</v>
      </c>
      <c r="M299" s="516">
        <f t="shared" ref="M299:M307" si="149">SUM(H299+L299)</f>
        <v>224</v>
      </c>
      <c r="N299" s="477"/>
      <c r="O299" s="516">
        <f t="shared" ref="O299:O306" si="150">SUM(M299+N299)</f>
        <v>224</v>
      </c>
    </row>
    <row r="300" spans="1:16" s="476" customFormat="1" x14ac:dyDescent="0.25">
      <c r="A300" s="485"/>
      <c r="B300" s="417" t="s">
        <v>1066</v>
      </c>
      <c r="C300" s="522">
        <v>4846</v>
      </c>
      <c r="D300" s="520">
        <v>945</v>
      </c>
      <c r="E300" s="520"/>
      <c r="F300" s="518"/>
      <c r="G300" s="483"/>
      <c r="H300" s="517">
        <f t="shared" si="147"/>
        <v>5791</v>
      </c>
      <c r="I300" s="480"/>
      <c r="J300" s="479"/>
      <c r="K300" s="479"/>
      <c r="L300" s="517">
        <f t="shared" si="148"/>
        <v>0</v>
      </c>
      <c r="M300" s="516">
        <f t="shared" si="149"/>
        <v>5791</v>
      </c>
      <c r="N300" s="477"/>
      <c r="O300" s="516">
        <f t="shared" si="150"/>
        <v>5791</v>
      </c>
    </row>
    <row r="301" spans="1:16" s="476" customFormat="1" ht="31.5" x14ac:dyDescent="0.25">
      <c r="A301" s="485"/>
      <c r="B301" s="417" t="s">
        <v>1071</v>
      </c>
      <c r="C301" s="522">
        <v>521</v>
      </c>
      <c r="D301" s="520">
        <v>102</v>
      </c>
      <c r="E301" s="520"/>
      <c r="F301" s="518"/>
      <c r="G301" s="483"/>
      <c r="H301" s="517">
        <f t="shared" si="147"/>
        <v>623</v>
      </c>
      <c r="I301" s="480"/>
      <c r="J301" s="479"/>
      <c r="K301" s="479"/>
      <c r="L301" s="517">
        <f t="shared" si="148"/>
        <v>0</v>
      </c>
      <c r="M301" s="516">
        <f t="shared" si="149"/>
        <v>623</v>
      </c>
      <c r="N301" s="477"/>
      <c r="O301" s="516">
        <f t="shared" si="150"/>
        <v>623</v>
      </c>
    </row>
    <row r="302" spans="1:16" s="476" customFormat="1" ht="47.25" x14ac:dyDescent="0.25">
      <c r="A302" s="485"/>
      <c r="B302" s="417" t="s">
        <v>1064</v>
      </c>
      <c r="C302" s="522">
        <v>2490</v>
      </c>
      <c r="D302" s="520">
        <v>486</v>
      </c>
      <c r="E302" s="520"/>
      <c r="F302" s="518"/>
      <c r="G302" s="483"/>
      <c r="H302" s="517">
        <f t="shared" si="147"/>
        <v>2976</v>
      </c>
      <c r="I302" s="550"/>
      <c r="J302" s="479"/>
      <c r="K302" s="479"/>
      <c r="L302" s="517">
        <f t="shared" si="148"/>
        <v>0</v>
      </c>
      <c r="M302" s="516">
        <f t="shared" si="149"/>
        <v>2976</v>
      </c>
      <c r="N302" s="477"/>
      <c r="O302" s="516">
        <f t="shared" si="150"/>
        <v>2976</v>
      </c>
    </row>
    <row r="303" spans="1:16" s="476" customFormat="1" ht="31.5" x14ac:dyDescent="0.25">
      <c r="A303" s="485"/>
      <c r="B303" s="417" t="s">
        <v>767</v>
      </c>
      <c r="C303" s="522">
        <v>-3822</v>
      </c>
      <c r="D303" s="520">
        <v>3822</v>
      </c>
      <c r="E303" s="520">
        <v>-13633</v>
      </c>
      <c r="F303" s="518">
        <v>6</v>
      </c>
      <c r="G303" s="483"/>
      <c r="H303" s="517">
        <f t="shared" si="147"/>
        <v>-13627</v>
      </c>
      <c r="I303" s="550">
        <v>13627</v>
      </c>
      <c r="J303" s="479"/>
      <c r="K303" s="479"/>
      <c r="L303" s="517">
        <f t="shared" si="148"/>
        <v>13627</v>
      </c>
      <c r="M303" s="516">
        <f t="shared" si="149"/>
        <v>0</v>
      </c>
      <c r="N303" s="477"/>
      <c r="O303" s="516">
        <f t="shared" si="150"/>
        <v>0</v>
      </c>
    </row>
    <row r="304" spans="1:16" s="476" customFormat="1" ht="31.5" x14ac:dyDescent="0.25">
      <c r="A304" s="485"/>
      <c r="B304" s="417" t="s">
        <v>766</v>
      </c>
      <c r="C304" s="522"/>
      <c r="D304" s="520"/>
      <c r="E304" s="520">
        <f>37768+1127</f>
        <v>38895</v>
      </c>
      <c r="F304" s="518"/>
      <c r="G304" s="483"/>
      <c r="H304" s="517">
        <f t="shared" si="147"/>
        <v>38895</v>
      </c>
      <c r="I304" s="550"/>
      <c r="J304" s="479"/>
      <c r="K304" s="479"/>
      <c r="L304" s="517">
        <f t="shared" si="148"/>
        <v>0</v>
      </c>
      <c r="M304" s="516">
        <f t="shared" si="149"/>
        <v>38895</v>
      </c>
      <c r="N304" s="477"/>
      <c r="O304" s="516">
        <f t="shared" si="150"/>
        <v>38895</v>
      </c>
    </row>
    <row r="305" spans="1:16" s="476" customFormat="1" x14ac:dyDescent="0.25">
      <c r="A305" s="485"/>
      <c r="B305" s="470" t="s">
        <v>140</v>
      </c>
      <c r="C305" s="522"/>
      <c r="D305" s="520"/>
      <c r="E305" s="520"/>
      <c r="F305" s="518"/>
      <c r="G305" s="483"/>
      <c r="H305" s="517"/>
      <c r="I305" s="480"/>
      <c r="J305" s="479"/>
      <c r="K305" s="479"/>
      <c r="L305" s="517"/>
      <c r="M305" s="516"/>
      <c r="N305" s="477"/>
      <c r="O305" s="516"/>
    </row>
    <row r="306" spans="1:16" s="476" customFormat="1" x14ac:dyDescent="0.25">
      <c r="A306" s="485"/>
      <c r="B306" s="417" t="s">
        <v>1065</v>
      </c>
      <c r="C306" s="522">
        <v>3855</v>
      </c>
      <c r="D306" s="520">
        <v>1319</v>
      </c>
      <c r="E306" s="520"/>
      <c r="F306" s="518"/>
      <c r="G306" s="483"/>
      <c r="H306" s="517">
        <f t="shared" si="147"/>
        <v>5174</v>
      </c>
      <c r="I306" s="480"/>
      <c r="J306" s="479"/>
      <c r="K306" s="479"/>
      <c r="L306" s="517">
        <f t="shared" si="148"/>
        <v>0</v>
      </c>
      <c r="M306" s="516">
        <f t="shared" si="149"/>
        <v>5174</v>
      </c>
      <c r="N306" s="477"/>
      <c r="O306" s="516">
        <f t="shared" si="150"/>
        <v>5174</v>
      </c>
    </row>
    <row r="307" spans="1:16" s="476" customFormat="1" ht="111" thickBot="1" x14ac:dyDescent="0.3">
      <c r="A307" s="962"/>
      <c r="B307" s="948" t="s">
        <v>1044</v>
      </c>
      <c r="C307" s="955"/>
      <c r="D307" s="956"/>
      <c r="E307" s="956">
        <v>708</v>
      </c>
      <c r="F307" s="957"/>
      <c r="G307" s="958"/>
      <c r="H307" s="952">
        <f t="shared" si="147"/>
        <v>708</v>
      </c>
      <c r="I307" s="959"/>
      <c r="J307" s="960"/>
      <c r="K307" s="960"/>
      <c r="L307" s="952">
        <f t="shared" si="148"/>
        <v>0</v>
      </c>
      <c r="M307" s="952">
        <f t="shared" si="149"/>
        <v>708</v>
      </c>
      <c r="N307" s="961"/>
      <c r="O307" s="952">
        <f>SUM(M307+N307)</f>
        <v>708</v>
      </c>
    </row>
    <row r="308" spans="1:16" ht="17.25" thickTop="1" thickBot="1" x14ac:dyDescent="0.3">
      <c r="A308" s="450"/>
      <c r="B308" s="449" t="s">
        <v>416</v>
      </c>
      <c r="C308" s="448">
        <f>+C295+C299+C300+C306+C301+C302+C307+C303+C304</f>
        <v>718938</v>
      </c>
      <c r="D308" s="448">
        <f t="shared" ref="D308:O308" si="151">+D295+D299+D300+D306+D301+D302+D307+D303+D304</f>
        <v>157222</v>
      </c>
      <c r="E308" s="448">
        <f t="shared" si="151"/>
        <v>467585</v>
      </c>
      <c r="F308" s="448">
        <f t="shared" si="151"/>
        <v>6</v>
      </c>
      <c r="G308" s="448">
        <f t="shared" si="151"/>
        <v>0</v>
      </c>
      <c r="H308" s="448">
        <f t="shared" si="151"/>
        <v>1343751</v>
      </c>
      <c r="I308" s="448">
        <f t="shared" si="151"/>
        <v>22242</v>
      </c>
      <c r="J308" s="448">
        <f t="shared" si="151"/>
        <v>0</v>
      </c>
      <c r="K308" s="448">
        <f t="shared" si="151"/>
        <v>0</v>
      </c>
      <c r="L308" s="448">
        <f t="shared" si="151"/>
        <v>22242</v>
      </c>
      <c r="M308" s="448">
        <f t="shared" si="151"/>
        <v>1365993</v>
      </c>
      <c r="N308" s="448">
        <f t="shared" si="151"/>
        <v>0</v>
      </c>
      <c r="O308" s="448">
        <f t="shared" si="151"/>
        <v>1365993</v>
      </c>
      <c r="P308" s="405">
        <f>O309+O310</f>
        <v>1365993</v>
      </c>
    </row>
    <row r="309" spans="1:16" ht="17.25" thickTop="1" thickBot="1" x14ac:dyDescent="0.3">
      <c r="A309" s="450"/>
      <c r="B309" s="449" t="s">
        <v>415</v>
      </c>
      <c r="C309" s="448">
        <f>+C296+C299+C300+C301+C302+C303+C304</f>
        <v>693586</v>
      </c>
      <c r="D309" s="448">
        <f t="shared" ref="D309:O309" si="152">+D296+D299+D300+D301+D302+D303+D304</f>
        <v>148774</v>
      </c>
      <c r="E309" s="448">
        <f t="shared" si="152"/>
        <v>466767</v>
      </c>
      <c r="F309" s="448">
        <f t="shared" si="152"/>
        <v>6</v>
      </c>
      <c r="G309" s="448">
        <f t="shared" si="152"/>
        <v>0</v>
      </c>
      <c r="H309" s="448">
        <f t="shared" si="152"/>
        <v>1309133</v>
      </c>
      <c r="I309" s="448">
        <f t="shared" si="152"/>
        <v>22242</v>
      </c>
      <c r="J309" s="448">
        <f t="shared" si="152"/>
        <v>0</v>
      </c>
      <c r="K309" s="448">
        <f t="shared" si="152"/>
        <v>0</v>
      </c>
      <c r="L309" s="448">
        <f t="shared" si="152"/>
        <v>22242</v>
      </c>
      <c r="M309" s="448">
        <f t="shared" si="152"/>
        <v>1331375</v>
      </c>
      <c r="N309" s="448">
        <f t="shared" si="152"/>
        <v>0</v>
      </c>
      <c r="O309" s="448">
        <f t="shared" si="152"/>
        <v>1331375</v>
      </c>
    </row>
    <row r="310" spans="1:16" ht="17.25" thickTop="1" thickBot="1" x14ac:dyDescent="0.3">
      <c r="A310" s="450"/>
      <c r="B310" s="449" t="s">
        <v>414</v>
      </c>
      <c r="C310" s="448">
        <f>+C297+C306+C307</f>
        <v>25352</v>
      </c>
      <c r="D310" s="448">
        <f t="shared" ref="D310:O310" si="153">+D297+D306+D307</f>
        <v>8448</v>
      </c>
      <c r="E310" s="448">
        <f t="shared" si="153"/>
        <v>818</v>
      </c>
      <c r="F310" s="448">
        <f t="shared" si="153"/>
        <v>0</v>
      </c>
      <c r="G310" s="448">
        <f t="shared" si="153"/>
        <v>0</v>
      </c>
      <c r="H310" s="448">
        <f t="shared" si="153"/>
        <v>34618</v>
      </c>
      <c r="I310" s="448">
        <f t="shared" si="153"/>
        <v>0</v>
      </c>
      <c r="J310" s="448">
        <f t="shared" si="153"/>
        <v>0</v>
      </c>
      <c r="K310" s="448">
        <f t="shared" si="153"/>
        <v>0</v>
      </c>
      <c r="L310" s="448">
        <f t="shared" si="153"/>
        <v>0</v>
      </c>
      <c r="M310" s="448">
        <f t="shared" si="153"/>
        <v>34618</v>
      </c>
      <c r="N310" s="448">
        <f t="shared" si="153"/>
        <v>0</v>
      </c>
      <c r="O310" s="448">
        <f t="shared" si="153"/>
        <v>34618</v>
      </c>
    </row>
    <row r="311" spans="1:16" ht="32.25" thickTop="1" x14ac:dyDescent="0.25">
      <c r="A311" s="469" t="s">
        <v>12</v>
      </c>
      <c r="B311" s="425" t="s">
        <v>485</v>
      </c>
      <c r="C311" s="471"/>
      <c r="D311" s="466"/>
      <c r="E311" s="466"/>
      <c r="F311" s="472"/>
      <c r="G311" s="466"/>
      <c r="H311" s="463"/>
      <c r="I311" s="465"/>
      <c r="J311" s="464"/>
      <c r="K311" s="464"/>
      <c r="L311" s="463"/>
      <c r="M311" s="463"/>
      <c r="N311" s="463"/>
      <c r="O311" s="463"/>
    </row>
    <row r="312" spans="1:16" x14ac:dyDescent="0.25">
      <c r="A312" s="469"/>
      <c r="B312" s="417" t="s">
        <v>387</v>
      </c>
      <c r="C312" s="471">
        <v>205662</v>
      </c>
      <c r="D312" s="466">
        <v>43544</v>
      </c>
      <c r="E312" s="466">
        <v>223210</v>
      </c>
      <c r="F312" s="472"/>
      <c r="G312" s="466"/>
      <c r="H312" s="463">
        <f>SUM(C312:G312)</f>
        <v>472416</v>
      </c>
      <c r="I312" s="465">
        <v>138</v>
      </c>
      <c r="J312" s="464"/>
      <c r="K312" s="464"/>
      <c r="L312" s="463">
        <f>SUM(I312:K312)</f>
        <v>138</v>
      </c>
      <c r="M312" s="462">
        <f>SUM(H312+L312)</f>
        <v>472554</v>
      </c>
      <c r="N312" s="462"/>
      <c r="O312" s="462">
        <f>SUM(M312+N312)</f>
        <v>472554</v>
      </c>
    </row>
    <row r="313" spans="1:16" s="476" customFormat="1" x14ac:dyDescent="0.25">
      <c r="A313" s="485"/>
      <c r="B313" s="470" t="s">
        <v>418</v>
      </c>
      <c r="C313" s="502">
        <v>200137</v>
      </c>
      <c r="D313" s="483">
        <v>41708</v>
      </c>
      <c r="E313" s="483">
        <v>223155</v>
      </c>
      <c r="F313" s="494"/>
      <c r="G313" s="483"/>
      <c r="H313" s="478">
        <f>SUM(C313:G313)</f>
        <v>465000</v>
      </c>
      <c r="I313" s="480">
        <v>138</v>
      </c>
      <c r="J313" s="479"/>
      <c r="K313" s="479"/>
      <c r="L313" s="478">
        <f>SUM(I313:K313)</f>
        <v>138</v>
      </c>
      <c r="M313" s="477">
        <f>SUM(H313+L313)</f>
        <v>465138</v>
      </c>
      <c r="N313" s="477"/>
      <c r="O313" s="477">
        <f>SUM(M313+N313)</f>
        <v>465138</v>
      </c>
    </row>
    <row r="314" spans="1:16" s="476" customFormat="1" x14ac:dyDescent="0.25">
      <c r="A314" s="485"/>
      <c r="B314" s="470" t="s">
        <v>417</v>
      </c>
      <c r="C314" s="502">
        <v>5525</v>
      </c>
      <c r="D314" s="483">
        <v>1836</v>
      </c>
      <c r="E314" s="483">
        <v>55</v>
      </c>
      <c r="F314" s="494"/>
      <c r="G314" s="483"/>
      <c r="H314" s="478">
        <f>SUM(C314:G314)</f>
        <v>7416</v>
      </c>
      <c r="I314" s="480"/>
      <c r="J314" s="479"/>
      <c r="K314" s="479"/>
      <c r="L314" s="478">
        <f>SUM(I314:K314)</f>
        <v>0</v>
      </c>
      <c r="M314" s="477">
        <f>SUM(H314+L314)</f>
        <v>7416</v>
      </c>
      <c r="N314" s="477"/>
      <c r="O314" s="477">
        <f>SUM(M314+N314)</f>
        <v>7416</v>
      </c>
    </row>
    <row r="315" spans="1:16" s="476" customFormat="1" x14ac:dyDescent="0.25">
      <c r="A315" s="485"/>
      <c r="B315" s="470" t="s">
        <v>139</v>
      </c>
      <c r="C315" s="502"/>
      <c r="D315" s="483"/>
      <c r="E315" s="483"/>
      <c r="F315" s="494"/>
      <c r="G315" s="483"/>
      <c r="H315" s="478"/>
      <c r="I315" s="480"/>
      <c r="J315" s="479"/>
      <c r="K315" s="479"/>
      <c r="L315" s="478"/>
      <c r="M315" s="477"/>
      <c r="N315" s="477"/>
      <c r="O315" s="477"/>
    </row>
    <row r="316" spans="1:16" s="476" customFormat="1" x14ac:dyDescent="0.25">
      <c r="A316" s="485"/>
      <c r="B316" s="417" t="s">
        <v>1034</v>
      </c>
      <c r="C316" s="522">
        <v>114</v>
      </c>
      <c r="D316" s="520">
        <v>22</v>
      </c>
      <c r="E316" s="520"/>
      <c r="F316" s="518"/>
      <c r="G316" s="483"/>
      <c r="H316" s="517">
        <f t="shared" ref="H316:H322" si="154">SUM(C316:G316)</f>
        <v>136</v>
      </c>
      <c r="I316" s="480"/>
      <c r="J316" s="479"/>
      <c r="K316" s="479"/>
      <c r="L316" s="517">
        <f t="shared" ref="L316:L322" si="155">SUM(I316:K316)</f>
        <v>0</v>
      </c>
      <c r="M316" s="516">
        <f t="shared" ref="M316:M322" si="156">SUM(H316+L316)</f>
        <v>136</v>
      </c>
      <c r="N316" s="477"/>
      <c r="O316" s="516">
        <f t="shared" ref="O316:O322" si="157">SUM(M316+N316)</f>
        <v>136</v>
      </c>
    </row>
    <row r="317" spans="1:16" s="476" customFormat="1" x14ac:dyDescent="0.25">
      <c r="A317" s="485"/>
      <c r="B317" s="417" t="s">
        <v>1066</v>
      </c>
      <c r="C317" s="522">
        <v>3794</v>
      </c>
      <c r="D317" s="520">
        <v>740</v>
      </c>
      <c r="E317" s="520"/>
      <c r="F317" s="518"/>
      <c r="G317" s="483"/>
      <c r="H317" s="517">
        <f t="shared" si="154"/>
        <v>4534</v>
      </c>
      <c r="I317" s="480"/>
      <c r="J317" s="479"/>
      <c r="K317" s="479"/>
      <c r="L317" s="517">
        <f t="shared" si="155"/>
        <v>0</v>
      </c>
      <c r="M317" s="516">
        <f t="shared" si="156"/>
        <v>4534</v>
      </c>
      <c r="N317" s="477"/>
      <c r="O317" s="516">
        <f t="shared" si="157"/>
        <v>4534</v>
      </c>
    </row>
    <row r="318" spans="1:16" s="476" customFormat="1" ht="31.5" x14ac:dyDescent="0.25">
      <c r="A318" s="485"/>
      <c r="B318" s="417" t="s">
        <v>767</v>
      </c>
      <c r="C318" s="522">
        <v>-278</v>
      </c>
      <c r="D318" s="520">
        <v>278</v>
      </c>
      <c r="E318" s="520">
        <v>-3820</v>
      </c>
      <c r="F318" s="518"/>
      <c r="G318" s="483"/>
      <c r="H318" s="517">
        <f t="shared" si="154"/>
        <v>-3820</v>
      </c>
      <c r="I318" s="550">
        <v>3820</v>
      </c>
      <c r="J318" s="479"/>
      <c r="K318" s="479"/>
      <c r="L318" s="517">
        <f t="shared" si="155"/>
        <v>3820</v>
      </c>
      <c r="M318" s="516">
        <f t="shared" si="156"/>
        <v>0</v>
      </c>
      <c r="N318" s="477"/>
      <c r="O318" s="516">
        <f t="shared" si="157"/>
        <v>0</v>
      </c>
    </row>
    <row r="319" spans="1:16" s="476" customFormat="1" ht="47.25" x14ac:dyDescent="0.25">
      <c r="A319" s="485"/>
      <c r="B319" s="417" t="s">
        <v>812</v>
      </c>
      <c r="C319" s="522"/>
      <c r="D319" s="520"/>
      <c r="E319" s="520">
        <v>381</v>
      </c>
      <c r="F319" s="518"/>
      <c r="G319" s="483"/>
      <c r="H319" s="517">
        <f t="shared" si="154"/>
        <v>381</v>
      </c>
      <c r="I319" s="550"/>
      <c r="J319" s="479"/>
      <c r="K319" s="479"/>
      <c r="L319" s="517">
        <f t="shared" si="155"/>
        <v>0</v>
      </c>
      <c r="M319" s="516">
        <f t="shared" si="156"/>
        <v>381</v>
      </c>
      <c r="N319" s="477"/>
      <c r="O319" s="516">
        <f t="shared" si="157"/>
        <v>381</v>
      </c>
    </row>
    <row r="320" spans="1:16" s="476" customFormat="1" ht="31.5" x14ac:dyDescent="0.25">
      <c r="A320" s="485"/>
      <c r="B320" s="417" t="s">
        <v>766</v>
      </c>
      <c r="C320" s="522"/>
      <c r="D320" s="520"/>
      <c r="E320" s="520">
        <v>67</v>
      </c>
      <c r="F320" s="518"/>
      <c r="G320" s="483"/>
      <c r="H320" s="517">
        <f t="shared" si="154"/>
        <v>67</v>
      </c>
      <c r="I320" s="550"/>
      <c r="J320" s="479"/>
      <c r="K320" s="479"/>
      <c r="L320" s="517">
        <f t="shared" si="155"/>
        <v>0</v>
      </c>
      <c r="M320" s="516">
        <f t="shared" si="156"/>
        <v>67</v>
      </c>
      <c r="N320" s="477"/>
      <c r="O320" s="516">
        <f t="shared" si="157"/>
        <v>67</v>
      </c>
    </row>
    <row r="321" spans="1:16" s="476" customFormat="1" x14ac:dyDescent="0.25">
      <c r="A321" s="485"/>
      <c r="B321" s="470" t="s">
        <v>140</v>
      </c>
      <c r="C321" s="522"/>
      <c r="D321" s="520"/>
      <c r="E321" s="520"/>
      <c r="F321" s="518"/>
      <c r="G321" s="483"/>
      <c r="H321" s="517"/>
      <c r="I321" s="480"/>
      <c r="J321" s="479"/>
      <c r="K321" s="479"/>
      <c r="L321" s="517"/>
      <c r="M321" s="516"/>
      <c r="N321" s="477"/>
      <c r="O321" s="516"/>
    </row>
    <row r="322" spans="1:16" s="476" customFormat="1" ht="16.5" thickBot="1" x14ac:dyDescent="0.3">
      <c r="A322" s="485"/>
      <c r="B322" s="417" t="s">
        <v>1065</v>
      </c>
      <c r="C322" s="522">
        <v>1138</v>
      </c>
      <c r="D322" s="520">
        <v>389</v>
      </c>
      <c r="E322" s="520"/>
      <c r="F322" s="518"/>
      <c r="G322" s="483"/>
      <c r="H322" s="517">
        <f t="shared" si="154"/>
        <v>1527</v>
      </c>
      <c r="I322" s="480"/>
      <c r="J322" s="479"/>
      <c r="K322" s="479"/>
      <c r="L322" s="517">
        <f t="shared" si="155"/>
        <v>0</v>
      </c>
      <c r="M322" s="516">
        <f t="shared" si="156"/>
        <v>1527</v>
      </c>
      <c r="N322" s="477"/>
      <c r="O322" s="516">
        <f t="shared" si="157"/>
        <v>1527</v>
      </c>
    </row>
    <row r="323" spans="1:16" ht="17.25" thickTop="1" thickBot="1" x14ac:dyDescent="0.3">
      <c r="A323" s="450"/>
      <c r="B323" s="449" t="s">
        <v>416</v>
      </c>
      <c r="C323" s="448">
        <f>+C312+C316+C317+C322+C318+C319+C320</f>
        <v>210430</v>
      </c>
      <c r="D323" s="448">
        <f t="shared" ref="D323:O323" si="158">+D312+D316+D317+D322+D318+D319+D320</f>
        <v>44973</v>
      </c>
      <c r="E323" s="448">
        <f t="shared" si="158"/>
        <v>219838</v>
      </c>
      <c r="F323" s="448">
        <f t="shared" si="158"/>
        <v>0</v>
      </c>
      <c r="G323" s="448">
        <f t="shared" si="158"/>
        <v>0</v>
      </c>
      <c r="H323" s="448">
        <f t="shared" si="158"/>
        <v>475241</v>
      </c>
      <c r="I323" s="448">
        <f t="shared" si="158"/>
        <v>3958</v>
      </c>
      <c r="J323" s="448">
        <f t="shared" si="158"/>
        <v>0</v>
      </c>
      <c r="K323" s="448">
        <f t="shared" si="158"/>
        <v>0</v>
      </c>
      <c r="L323" s="448">
        <f t="shared" si="158"/>
        <v>3958</v>
      </c>
      <c r="M323" s="448">
        <f t="shared" si="158"/>
        <v>479199</v>
      </c>
      <c r="N323" s="448">
        <f t="shared" si="158"/>
        <v>0</v>
      </c>
      <c r="O323" s="448">
        <f t="shared" si="158"/>
        <v>479199</v>
      </c>
      <c r="P323" s="405">
        <f>O324+O325</f>
        <v>479199</v>
      </c>
    </row>
    <row r="324" spans="1:16" ht="17.25" thickTop="1" thickBot="1" x14ac:dyDescent="0.3">
      <c r="A324" s="450"/>
      <c r="B324" s="449" t="s">
        <v>415</v>
      </c>
      <c r="C324" s="448">
        <f t="shared" ref="C324:O324" si="159">+C313+C316+C317+C318+C319+C320</f>
        <v>203767</v>
      </c>
      <c r="D324" s="448">
        <f t="shared" si="159"/>
        <v>42748</v>
      </c>
      <c r="E324" s="448">
        <f t="shared" si="159"/>
        <v>219783</v>
      </c>
      <c r="F324" s="448">
        <f t="shared" si="159"/>
        <v>0</v>
      </c>
      <c r="G324" s="448">
        <f t="shared" si="159"/>
        <v>0</v>
      </c>
      <c r="H324" s="448">
        <f t="shared" si="159"/>
        <v>466298</v>
      </c>
      <c r="I324" s="448">
        <f t="shared" si="159"/>
        <v>3958</v>
      </c>
      <c r="J324" s="448">
        <f t="shared" si="159"/>
        <v>0</v>
      </c>
      <c r="K324" s="448">
        <f t="shared" si="159"/>
        <v>0</v>
      </c>
      <c r="L324" s="448">
        <f t="shared" si="159"/>
        <v>3958</v>
      </c>
      <c r="M324" s="448">
        <f t="shared" si="159"/>
        <v>470256</v>
      </c>
      <c r="N324" s="448">
        <f t="shared" si="159"/>
        <v>0</v>
      </c>
      <c r="O324" s="448">
        <f t="shared" si="159"/>
        <v>470256</v>
      </c>
    </row>
    <row r="325" spans="1:16" ht="17.25" thickTop="1" thickBot="1" x14ac:dyDescent="0.3">
      <c r="A325" s="450"/>
      <c r="B325" s="449" t="s">
        <v>414</v>
      </c>
      <c r="C325" s="448">
        <f>+C314+C322</f>
        <v>6663</v>
      </c>
      <c r="D325" s="448">
        <f t="shared" ref="D325:O325" si="160">+D314+D322</f>
        <v>2225</v>
      </c>
      <c r="E325" s="448">
        <f t="shared" si="160"/>
        <v>55</v>
      </c>
      <c r="F325" s="448">
        <f t="shared" si="160"/>
        <v>0</v>
      </c>
      <c r="G325" s="448">
        <f t="shared" si="160"/>
        <v>0</v>
      </c>
      <c r="H325" s="448">
        <f t="shared" si="160"/>
        <v>8943</v>
      </c>
      <c r="I325" s="448">
        <f t="shared" si="160"/>
        <v>0</v>
      </c>
      <c r="J325" s="448">
        <f t="shared" si="160"/>
        <v>0</v>
      </c>
      <c r="K325" s="448">
        <f t="shared" si="160"/>
        <v>0</v>
      </c>
      <c r="L325" s="448">
        <f t="shared" si="160"/>
        <v>0</v>
      </c>
      <c r="M325" s="448">
        <f t="shared" si="160"/>
        <v>8943</v>
      </c>
      <c r="N325" s="448">
        <f t="shared" si="160"/>
        <v>0</v>
      </c>
      <c r="O325" s="448">
        <f t="shared" si="160"/>
        <v>8943</v>
      </c>
    </row>
    <row r="326" spans="1:16" ht="16.5" thickTop="1" x14ac:dyDescent="0.25">
      <c r="A326" s="469" t="s">
        <v>13</v>
      </c>
      <c r="B326" s="425" t="s">
        <v>413</v>
      </c>
      <c r="C326" s="471"/>
      <c r="D326" s="466"/>
      <c r="E326" s="466"/>
      <c r="F326" s="472"/>
      <c r="G326" s="466"/>
      <c r="H326" s="463"/>
      <c r="I326" s="465"/>
      <c r="J326" s="464"/>
      <c r="K326" s="464"/>
      <c r="L326" s="463"/>
      <c r="M326" s="463"/>
      <c r="N326" s="463"/>
      <c r="O326" s="463"/>
    </row>
    <row r="327" spans="1:16" x14ac:dyDescent="0.25">
      <c r="A327" s="469"/>
      <c r="B327" s="417" t="s">
        <v>387</v>
      </c>
      <c r="C327" s="471">
        <v>242153</v>
      </c>
      <c r="D327" s="466">
        <v>50057</v>
      </c>
      <c r="E327" s="466">
        <v>171741</v>
      </c>
      <c r="F327" s="472">
        <v>63244</v>
      </c>
      <c r="G327" s="466"/>
      <c r="H327" s="463">
        <f>SUM(C327:G327)</f>
        <v>527195</v>
      </c>
      <c r="I327" s="465">
        <v>15127</v>
      </c>
      <c r="J327" s="464"/>
      <c r="K327" s="464"/>
      <c r="L327" s="463">
        <f>SUM(I327:K327)</f>
        <v>15127</v>
      </c>
      <c r="M327" s="462">
        <f>SUM(H327+L327)</f>
        <v>542322</v>
      </c>
      <c r="N327" s="462"/>
      <c r="O327" s="462">
        <f>SUM(M327+N327)</f>
        <v>542322</v>
      </c>
    </row>
    <row r="328" spans="1:16" s="476" customFormat="1" x14ac:dyDescent="0.25">
      <c r="A328" s="485"/>
      <c r="B328" s="470" t="s">
        <v>418</v>
      </c>
      <c r="C328" s="502">
        <v>237667</v>
      </c>
      <c r="D328" s="483">
        <v>48546</v>
      </c>
      <c r="E328" s="483">
        <v>171611</v>
      </c>
      <c r="F328" s="494">
        <v>63244</v>
      </c>
      <c r="G328" s="483"/>
      <c r="H328" s="478">
        <f>SUM(C328:G328)</f>
        <v>521068</v>
      </c>
      <c r="I328" s="480">
        <v>15127</v>
      </c>
      <c r="J328" s="479"/>
      <c r="K328" s="479"/>
      <c r="L328" s="478">
        <f>SUM(I328:K328)</f>
        <v>15127</v>
      </c>
      <c r="M328" s="477">
        <f>SUM(H328+L328)</f>
        <v>536195</v>
      </c>
      <c r="N328" s="477"/>
      <c r="O328" s="477">
        <f>SUM(M328+N328)</f>
        <v>536195</v>
      </c>
    </row>
    <row r="329" spans="1:16" s="476" customFormat="1" x14ac:dyDescent="0.25">
      <c r="A329" s="485"/>
      <c r="B329" s="470" t="s">
        <v>417</v>
      </c>
      <c r="C329" s="502">
        <v>4486</v>
      </c>
      <c r="D329" s="483">
        <v>1511</v>
      </c>
      <c r="E329" s="483">
        <v>130</v>
      </c>
      <c r="F329" s="494"/>
      <c r="G329" s="483"/>
      <c r="H329" s="478">
        <f>SUM(C329:G329)</f>
        <v>6127</v>
      </c>
      <c r="I329" s="480"/>
      <c r="J329" s="479"/>
      <c r="K329" s="479"/>
      <c r="L329" s="478">
        <f>SUM(I329:K329)</f>
        <v>0</v>
      </c>
      <c r="M329" s="477">
        <f>SUM(H329+L329)</f>
        <v>6127</v>
      </c>
      <c r="N329" s="477"/>
      <c r="O329" s="477">
        <f>SUM(M329+N329)</f>
        <v>6127</v>
      </c>
    </row>
    <row r="330" spans="1:16" s="476" customFormat="1" x14ac:dyDescent="0.25">
      <c r="A330" s="485"/>
      <c r="B330" s="470" t="s">
        <v>139</v>
      </c>
      <c r="C330" s="502"/>
      <c r="D330" s="483"/>
      <c r="E330" s="483"/>
      <c r="F330" s="494"/>
      <c r="G330" s="483"/>
      <c r="H330" s="478"/>
      <c r="I330" s="480"/>
      <c r="J330" s="479"/>
      <c r="K330" s="479"/>
      <c r="L330" s="478"/>
      <c r="M330" s="477"/>
      <c r="N330" s="477"/>
      <c r="O330" s="477"/>
    </row>
    <row r="331" spans="1:16" s="476" customFormat="1" x14ac:dyDescent="0.25">
      <c r="A331" s="485"/>
      <c r="B331" s="417" t="s">
        <v>1034</v>
      </c>
      <c r="C331" s="522">
        <v>82</v>
      </c>
      <c r="D331" s="520">
        <v>16</v>
      </c>
      <c r="E331" s="520"/>
      <c r="F331" s="518"/>
      <c r="G331" s="483"/>
      <c r="H331" s="517">
        <f t="shared" ref="H331:H337" si="161">SUM(C331:G331)</f>
        <v>98</v>
      </c>
      <c r="I331" s="480"/>
      <c r="J331" s="479"/>
      <c r="K331" s="479"/>
      <c r="L331" s="517">
        <f t="shared" ref="L331:L337" si="162">SUM(I331:K331)</f>
        <v>0</v>
      </c>
      <c r="M331" s="516">
        <f t="shared" ref="M331:M337" si="163">SUM(H331+L331)</f>
        <v>98</v>
      </c>
      <c r="N331" s="477"/>
      <c r="O331" s="516">
        <f t="shared" ref="O331:O337" si="164">SUM(M331+N331)</f>
        <v>98</v>
      </c>
    </row>
    <row r="332" spans="1:16" s="476" customFormat="1" x14ac:dyDescent="0.25">
      <c r="A332" s="485"/>
      <c r="B332" s="417" t="s">
        <v>1066</v>
      </c>
      <c r="C332" s="522">
        <v>2289</v>
      </c>
      <c r="D332" s="520">
        <v>447</v>
      </c>
      <c r="E332" s="520"/>
      <c r="F332" s="518"/>
      <c r="G332" s="483"/>
      <c r="H332" s="517">
        <f t="shared" si="161"/>
        <v>2736</v>
      </c>
      <c r="I332" s="480"/>
      <c r="J332" s="479"/>
      <c r="K332" s="479"/>
      <c r="L332" s="517">
        <f t="shared" si="162"/>
        <v>0</v>
      </c>
      <c r="M332" s="516">
        <f t="shared" si="163"/>
        <v>2736</v>
      </c>
      <c r="N332" s="477"/>
      <c r="O332" s="516">
        <f t="shared" si="164"/>
        <v>2736</v>
      </c>
    </row>
    <row r="333" spans="1:16" s="476" customFormat="1" ht="31.5" x14ac:dyDescent="0.25">
      <c r="A333" s="485"/>
      <c r="B333" s="417" t="s">
        <v>766</v>
      </c>
      <c r="C333" s="522">
        <v>2796</v>
      </c>
      <c r="D333" s="520">
        <v>331</v>
      </c>
      <c r="E333" s="520">
        <v>5339</v>
      </c>
      <c r="F333" s="518">
        <v>1120</v>
      </c>
      <c r="G333" s="483"/>
      <c r="H333" s="517">
        <f t="shared" si="161"/>
        <v>9586</v>
      </c>
      <c r="I333" s="550">
        <v>6764</v>
      </c>
      <c r="J333" s="479"/>
      <c r="K333" s="521"/>
      <c r="L333" s="517">
        <f t="shared" si="162"/>
        <v>6764</v>
      </c>
      <c r="M333" s="516">
        <f t="shared" si="163"/>
        <v>16350</v>
      </c>
      <c r="N333" s="477"/>
      <c r="O333" s="516">
        <f t="shared" si="164"/>
        <v>16350</v>
      </c>
    </row>
    <row r="334" spans="1:16" s="476" customFormat="1" ht="31.5" x14ac:dyDescent="0.25">
      <c r="A334" s="485"/>
      <c r="B334" s="417" t="s">
        <v>767</v>
      </c>
      <c r="C334" s="522"/>
      <c r="D334" s="520"/>
      <c r="E334" s="520">
        <v>-19408</v>
      </c>
      <c r="F334" s="518"/>
      <c r="G334" s="520">
        <v>19408</v>
      </c>
      <c r="H334" s="517">
        <f t="shared" si="161"/>
        <v>0</v>
      </c>
      <c r="I334" s="550"/>
      <c r="J334" s="479"/>
      <c r="K334" s="521"/>
      <c r="L334" s="517">
        <f t="shared" si="162"/>
        <v>0</v>
      </c>
      <c r="M334" s="516">
        <f t="shared" si="163"/>
        <v>0</v>
      </c>
      <c r="N334" s="477"/>
      <c r="O334" s="516">
        <f t="shared" si="164"/>
        <v>0</v>
      </c>
    </row>
    <row r="335" spans="1:16" s="476" customFormat="1" x14ac:dyDescent="0.25">
      <c r="A335" s="485"/>
      <c r="B335" s="470" t="s">
        <v>140</v>
      </c>
      <c r="C335" s="522"/>
      <c r="D335" s="520"/>
      <c r="E335" s="520"/>
      <c r="F335" s="518"/>
      <c r="G335" s="483"/>
      <c r="H335" s="517"/>
      <c r="I335" s="480"/>
      <c r="J335" s="479"/>
      <c r="K335" s="479"/>
      <c r="L335" s="517"/>
      <c r="M335" s="516"/>
      <c r="N335" s="477"/>
      <c r="O335" s="516"/>
    </row>
    <row r="336" spans="1:16" s="476" customFormat="1" x14ac:dyDescent="0.25">
      <c r="A336" s="503"/>
      <c r="B336" s="425" t="s">
        <v>1065</v>
      </c>
      <c r="C336" s="522">
        <v>906</v>
      </c>
      <c r="D336" s="520">
        <v>310</v>
      </c>
      <c r="E336" s="520"/>
      <c r="F336" s="521"/>
      <c r="G336" s="483"/>
      <c r="H336" s="517">
        <f t="shared" si="161"/>
        <v>1216</v>
      </c>
      <c r="I336" s="480"/>
      <c r="J336" s="479"/>
      <c r="K336" s="479"/>
      <c r="L336" s="517">
        <f t="shared" si="162"/>
        <v>0</v>
      </c>
      <c r="M336" s="517">
        <f t="shared" si="163"/>
        <v>1216</v>
      </c>
      <c r="N336" s="478"/>
      <c r="O336" s="517">
        <f t="shared" si="164"/>
        <v>1216</v>
      </c>
    </row>
    <row r="337" spans="1:16" s="476" customFormat="1" ht="95.25" thickBot="1" x14ac:dyDescent="0.3">
      <c r="A337" s="962"/>
      <c r="B337" s="948" t="s">
        <v>1072</v>
      </c>
      <c r="C337" s="955"/>
      <c r="D337" s="956"/>
      <c r="E337" s="956">
        <v>100</v>
      </c>
      <c r="F337" s="957"/>
      <c r="G337" s="958"/>
      <c r="H337" s="952">
        <f t="shared" si="161"/>
        <v>100</v>
      </c>
      <c r="I337" s="959"/>
      <c r="J337" s="960"/>
      <c r="K337" s="960"/>
      <c r="L337" s="952">
        <f t="shared" si="162"/>
        <v>0</v>
      </c>
      <c r="M337" s="952">
        <f t="shared" si="163"/>
        <v>100</v>
      </c>
      <c r="N337" s="961"/>
      <c r="O337" s="952">
        <f t="shared" si="164"/>
        <v>100</v>
      </c>
    </row>
    <row r="338" spans="1:16" ht="17.25" thickTop="1" thickBot="1" x14ac:dyDescent="0.3">
      <c r="A338" s="450"/>
      <c r="B338" s="449" t="s">
        <v>416</v>
      </c>
      <c r="C338" s="448">
        <f>+C327+C331+C332+C336+C337+C333+C334</f>
        <v>248226</v>
      </c>
      <c r="D338" s="448">
        <f t="shared" ref="D338:O338" si="165">+D327+D331+D332+D336+D337+D333+D334</f>
        <v>51161</v>
      </c>
      <c r="E338" s="448">
        <f t="shared" si="165"/>
        <v>157772</v>
      </c>
      <c r="F338" s="448">
        <f t="shared" si="165"/>
        <v>64364</v>
      </c>
      <c r="G338" s="448">
        <f t="shared" si="165"/>
        <v>19408</v>
      </c>
      <c r="H338" s="448">
        <f t="shared" si="165"/>
        <v>540931</v>
      </c>
      <c r="I338" s="448">
        <f t="shared" si="165"/>
        <v>21891</v>
      </c>
      <c r="J338" s="448">
        <f t="shared" si="165"/>
        <v>0</v>
      </c>
      <c r="K338" s="448">
        <f t="shared" si="165"/>
        <v>0</v>
      </c>
      <c r="L338" s="448">
        <f t="shared" si="165"/>
        <v>21891</v>
      </c>
      <c r="M338" s="448">
        <f t="shared" si="165"/>
        <v>562822</v>
      </c>
      <c r="N338" s="448">
        <f t="shared" si="165"/>
        <v>0</v>
      </c>
      <c r="O338" s="448">
        <f t="shared" si="165"/>
        <v>562822</v>
      </c>
      <c r="P338" s="405">
        <f>O339+O340</f>
        <v>562822</v>
      </c>
    </row>
    <row r="339" spans="1:16" ht="17.25" thickTop="1" thickBot="1" x14ac:dyDescent="0.3">
      <c r="A339" s="450"/>
      <c r="B339" s="449" t="s">
        <v>415</v>
      </c>
      <c r="C339" s="448">
        <f>+C328+C331+C332+C333+C334</f>
        <v>242834</v>
      </c>
      <c r="D339" s="448">
        <f t="shared" ref="D339:O339" si="166">+D328+D331+D332+D333+D334</f>
        <v>49340</v>
      </c>
      <c r="E339" s="448">
        <f t="shared" si="166"/>
        <v>157542</v>
      </c>
      <c r="F339" s="448">
        <f t="shared" si="166"/>
        <v>64364</v>
      </c>
      <c r="G339" s="448">
        <f t="shared" si="166"/>
        <v>19408</v>
      </c>
      <c r="H339" s="448">
        <f t="shared" si="166"/>
        <v>533488</v>
      </c>
      <c r="I339" s="448">
        <f t="shared" si="166"/>
        <v>21891</v>
      </c>
      <c r="J339" s="448">
        <f t="shared" si="166"/>
        <v>0</v>
      </c>
      <c r="K339" s="448">
        <f t="shared" si="166"/>
        <v>0</v>
      </c>
      <c r="L339" s="448">
        <f t="shared" si="166"/>
        <v>21891</v>
      </c>
      <c r="M339" s="448">
        <f t="shared" si="166"/>
        <v>555379</v>
      </c>
      <c r="N339" s="448">
        <f t="shared" si="166"/>
        <v>0</v>
      </c>
      <c r="O339" s="448">
        <f t="shared" si="166"/>
        <v>555379</v>
      </c>
    </row>
    <row r="340" spans="1:16" ht="17.25" thickTop="1" thickBot="1" x14ac:dyDescent="0.3">
      <c r="A340" s="450"/>
      <c r="B340" s="449" t="s">
        <v>414</v>
      </c>
      <c r="C340" s="448">
        <f>+C329+C336+C337</f>
        <v>5392</v>
      </c>
      <c r="D340" s="448">
        <f t="shared" ref="D340:O340" si="167">+D329+D336+D337</f>
        <v>1821</v>
      </c>
      <c r="E340" s="448">
        <f t="shared" si="167"/>
        <v>230</v>
      </c>
      <c r="F340" s="448">
        <f t="shared" si="167"/>
        <v>0</v>
      </c>
      <c r="G340" s="448">
        <f t="shared" si="167"/>
        <v>0</v>
      </c>
      <c r="H340" s="448">
        <f t="shared" si="167"/>
        <v>7443</v>
      </c>
      <c r="I340" s="448">
        <f t="shared" si="167"/>
        <v>0</v>
      </c>
      <c r="J340" s="448">
        <f t="shared" si="167"/>
        <v>0</v>
      </c>
      <c r="K340" s="448">
        <f t="shared" si="167"/>
        <v>0</v>
      </c>
      <c r="L340" s="448">
        <f t="shared" si="167"/>
        <v>0</v>
      </c>
      <c r="M340" s="448">
        <f t="shared" si="167"/>
        <v>7443</v>
      </c>
      <c r="N340" s="448">
        <f t="shared" si="167"/>
        <v>0</v>
      </c>
      <c r="O340" s="448">
        <f t="shared" si="167"/>
        <v>7443</v>
      </c>
    </row>
    <row r="341" spans="1:16" ht="17.25" thickTop="1" thickBot="1" x14ac:dyDescent="0.3">
      <c r="A341" s="450"/>
      <c r="B341" s="449" t="s">
        <v>431</v>
      </c>
      <c r="C341" s="448">
        <f t="shared" ref="C341:O341" si="168">SUM(C308+C323+C338)</f>
        <v>1177594</v>
      </c>
      <c r="D341" s="448">
        <f t="shared" si="168"/>
        <v>253356</v>
      </c>
      <c r="E341" s="448">
        <f t="shared" si="168"/>
        <v>845195</v>
      </c>
      <c r="F341" s="448">
        <f t="shared" si="168"/>
        <v>64370</v>
      </c>
      <c r="G341" s="448">
        <f t="shared" si="168"/>
        <v>19408</v>
      </c>
      <c r="H341" s="448">
        <f t="shared" si="168"/>
        <v>2359923</v>
      </c>
      <c r="I341" s="448">
        <f t="shared" si="168"/>
        <v>48091</v>
      </c>
      <c r="J341" s="448">
        <f t="shared" si="168"/>
        <v>0</v>
      </c>
      <c r="K341" s="448">
        <f t="shared" si="168"/>
        <v>0</v>
      </c>
      <c r="L341" s="448">
        <f t="shared" si="168"/>
        <v>48091</v>
      </c>
      <c r="M341" s="448">
        <f t="shared" si="168"/>
        <v>2408014</v>
      </c>
      <c r="N341" s="448">
        <f t="shared" si="168"/>
        <v>0</v>
      </c>
      <c r="O341" s="448">
        <f t="shared" si="168"/>
        <v>2408014</v>
      </c>
    </row>
    <row r="342" spans="1:16" ht="16.5" thickTop="1" x14ac:dyDescent="0.25">
      <c r="A342" s="459" t="s">
        <v>14</v>
      </c>
      <c r="B342" s="513" t="s">
        <v>430</v>
      </c>
      <c r="C342" s="512"/>
      <c r="D342" s="510"/>
      <c r="E342" s="510"/>
      <c r="F342" s="509"/>
      <c r="G342" s="510"/>
      <c r="H342" s="508"/>
      <c r="I342" s="511"/>
      <c r="J342" s="510"/>
      <c r="K342" s="509"/>
      <c r="L342" s="508"/>
      <c r="M342" s="508"/>
      <c r="N342" s="508"/>
      <c r="O342" s="508"/>
    </row>
    <row r="343" spans="1:16" x14ac:dyDescent="0.25">
      <c r="A343" s="469"/>
      <c r="B343" s="507" t="s">
        <v>387</v>
      </c>
      <c r="C343" s="468">
        <v>223831</v>
      </c>
      <c r="D343" s="486">
        <v>46833</v>
      </c>
      <c r="E343" s="486">
        <v>1137029</v>
      </c>
      <c r="F343" s="486"/>
      <c r="G343" s="486"/>
      <c r="H343" s="463">
        <f>SUM(C343:G343)</f>
        <v>1407693</v>
      </c>
      <c r="I343" s="465">
        <v>5165</v>
      </c>
      <c r="J343" s="464">
        <v>1675</v>
      </c>
      <c r="K343" s="464"/>
      <c r="L343" s="463">
        <f>SUM(I343:K343)</f>
        <v>6840</v>
      </c>
      <c r="M343" s="462">
        <f>SUM(H343+L343)</f>
        <v>1414533</v>
      </c>
      <c r="N343" s="462"/>
      <c r="O343" s="462">
        <f>SUM(M343+N343)</f>
        <v>1414533</v>
      </c>
    </row>
    <row r="344" spans="1:16" s="476" customFormat="1" x14ac:dyDescent="0.25">
      <c r="A344" s="485"/>
      <c r="B344" s="470" t="s">
        <v>418</v>
      </c>
      <c r="C344" s="484">
        <v>218278</v>
      </c>
      <c r="D344" s="481">
        <v>44983</v>
      </c>
      <c r="E344" s="481">
        <v>1136919</v>
      </c>
      <c r="F344" s="481"/>
      <c r="G344" s="481"/>
      <c r="H344" s="478">
        <f>SUM(C344:G344)</f>
        <v>1400180</v>
      </c>
      <c r="I344" s="480">
        <v>5165</v>
      </c>
      <c r="J344" s="479">
        <v>1675</v>
      </c>
      <c r="K344" s="479"/>
      <c r="L344" s="478">
        <f>SUM(I344:K344)</f>
        <v>6840</v>
      </c>
      <c r="M344" s="477">
        <f>SUM(H344+L344)</f>
        <v>1407020</v>
      </c>
      <c r="N344" s="477"/>
      <c r="O344" s="477">
        <f>SUM(M344+N344)</f>
        <v>1407020</v>
      </c>
    </row>
    <row r="345" spans="1:16" s="476" customFormat="1" x14ac:dyDescent="0.25">
      <c r="A345" s="485"/>
      <c r="B345" s="470" t="s">
        <v>417</v>
      </c>
      <c r="C345" s="484">
        <v>5553</v>
      </c>
      <c r="D345" s="481">
        <v>1850</v>
      </c>
      <c r="E345" s="481">
        <v>110</v>
      </c>
      <c r="F345" s="497"/>
      <c r="G345" s="481"/>
      <c r="H345" s="478">
        <f>SUM(C345:G345)</f>
        <v>7513</v>
      </c>
      <c r="I345" s="480"/>
      <c r="J345" s="479"/>
      <c r="K345" s="479"/>
      <c r="L345" s="478">
        <f>SUM(I345:K345)</f>
        <v>0</v>
      </c>
      <c r="M345" s="477">
        <f>SUM(H345+L345)</f>
        <v>7513</v>
      </c>
      <c r="N345" s="477"/>
      <c r="O345" s="477">
        <f>SUM(M345+N345)</f>
        <v>7513</v>
      </c>
    </row>
    <row r="346" spans="1:16" x14ac:dyDescent="0.25">
      <c r="A346" s="469"/>
      <c r="B346" s="470" t="s">
        <v>139</v>
      </c>
      <c r="C346" s="471"/>
      <c r="D346" s="466"/>
      <c r="E346" s="466"/>
      <c r="F346" s="464"/>
      <c r="G346" s="466"/>
      <c r="H346" s="463"/>
      <c r="I346" s="465"/>
      <c r="J346" s="464"/>
      <c r="K346" s="464"/>
      <c r="L346" s="463"/>
      <c r="M346" s="462"/>
      <c r="N346" s="462"/>
      <c r="O346" s="462"/>
    </row>
    <row r="347" spans="1:16" x14ac:dyDescent="0.25">
      <c r="A347" s="469"/>
      <c r="B347" s="417" t="s">
        <v>1034</v>
      </c>
      <c r="C347" s="473">
        <v>80</v>
      </c>
      <c r="D347" s="467">
        <v>15</v>
      </c>
      <c r="E347" s="466"/>
      <c r="F347" s="472"/>
      <c r="G347" s="467"/>
      <c r="H347" s="463">
        <f t="shared" ref="H347:H351" si="169">SUM(C347:G347)</f>
        <v>95</v>
      </c>
      <c r="I347" s="465"/>
      <c r="J347" s="464"/>
      <c r="K347" s="464"/>
      <c r="L347" s="463">
        <f t="shared" ref="L347:L351" si="170">SUM(I347:K347)</f>
        <v>0</v>
      </c>
      <c r="M347" s="462">
        <f t="shared" ref="M347:M351" si="171">SUM(H347+L347)</f>
        <v>95</v>
      </c>
      <c r="N347" s="462"/>
      <c r="O347" s="462">
        <f t="shared" ref="O347:O351" si="172">SUM(M347+N347)</f>
        <v>95</v>
      </c>
    </row>
    <row r="348" spans="1:16" ht="31.5" x14ac:dyDescent="0.25">
      <c r="A348" s="469"/>
      <c r="B348" s="414" t="s">
        <v>767</v>
      </c>
      <c r="C348" s="473"/>
      <c r="D348" s="467"/>
      <c r="E348" s="466">
        <v>-590</v>
      </c>
      <c r="F348" s="472"/>
      <c r="G348" s="467"/>
      <c r="H348" s="463">
        <f t="shared" si="169"/>
        <v>-590</v>
      </c>
      <c r="I348" s="465">
        <v>589</v>
      </c>
      <c r="J348" s="464">
        <v>1</v>
      </c>
      <c r="K348" s="464"/>
      <c r="L348" s="463">
        <f t="shared" si="170"/>
        <v>590</v>
      </c>
      <c r="M348" s="462">
        <f t="shared" si="171"/>
        <v>0</v>
      </c>
      <c r="N348" s="462"/>
      <c r="O348" s="462">
        <f t="shared" si="172"/>
        <v>0</v>
      </c>
    </row>
    <row r="349" spans="1:16" ht="31.5" x14ac:dyDescent="0.25">
      <c r="A349" s="469"/>
      <c r="B349" s="417" t="s">
        <v>766</v>
      </c>
      <c r="C349" s="473"/>
      <c r="D349" s="467"/>
      <c r="E349" s="466">
        <v>23949</v>
      </c>
      <c r="F349" s="472"/>
      <c r="G349" s="467"/>
      <c r="H349" s="463">
        <f t="shared" si="169"/>
        <v>23949</v>
      </c>
      <c r="I349" s="465"/>
      <c r="J349" s="464"/>
      <c r="K349" s="464"/>
      <c r="L349" s="463">
        <f t="shared" si="170"/>
        <v>0</v>
      </c>
      <c r="M349" s="462">
        <f t="shared" si="171"/>
        <v>23949</v>
      </c>
      <c r="N349" s="462"/>
      <c r="O349" s="462">
        <f t="shared" si="172"/>
        <v>23949</v>
      </c>
    </row>
    <row r="350" spans="1:16" x14ac:dyDescent="0.25">
      <c r="A350" s="469"/>
      <c r="B350" s="415" t="s">
        <v>140</v>
      </c>
      <c r="C350" s="473"/>
      <c r="D350" s="467"/>
      <c r="E350" s="466"/>
      <c r="F350" s="472"/>
      <c r="G350" s="467"/>
      <c r="H350" s="463"/>
      <c r="I350" s="465"/>
      <c r="J350" s="464"/>
      <c r="K350" s="464"/>
      <c r="L350" s="463"/>
      <c r="M350" s="462"/>
      <c r="N350" s="462"/>
      <c r="O350" s="462"/>
    </row>
    <row r="351" spans="1:16" ht="16.5" thickBot="1" x14ac:dyDescent="0.3">
      <c r="A351" s="469"/>
      <c r="B351" s="417" t="s">
        <v>1065</v>
      </c>
      <c r="C351" s="473">
        <v>1106</v>
      </c>
      <c r="D351" s="467">
        <v>379</v>
      </c>
      <c r="E351" s="466"/>
      <c r="F351" s="472"/>
      <c r="G351" s="467"/>
      <c r="H351" s="463">
        <f t="shared" si="169"/>
        <v>1485</v>
      </c>
      <c r="I351" s="465"/>
      <c r="J351" s="464"/>
      <c r="K351" s="464"/>
      <c r="L351" s="463">
        <f t="shared" si="170"/>
        <v>0</v>
      </c>
      <c r="M351" s="462">
        <f t="shared" si="171"/>
        <v>1485</v>
      </c>
      <c r="N351" s="462"/>
      <c r="O351" s="462">
        <f t="shared" si="172"/>
        <v>1485</v>
      </c>
    </row>
    <row r="352" spans="1:16" ht="17.25" thickTop="1" thickBot="1" x14ac:dyDescent="0.3">
      <c r="A352" s="450"/>
      <c r="B352" s="449" t="s">
        <v>416</v>
      </c>
      <c r="C352" s="448">
        <f>+C343+C347+C348+C349+C351</f>
        <v>225017</v>
      </c>
      <c r="D352" s="448">
        <f t="shared" ref="D352:O352" si="173">+D343+D347+D348+D349+D351</f>
        <v>47227</v>
      </c>
      <c r="E352" s="448">
        <f t="shared" si="173"/>
        <v>1160388</v>
      </c>
      <c r="F352" s="448">
        <f t="shared" si="173"/>
        <v>0</v>
      </c>
      <c r="G352" s="448">
        <f t="shared" si="173"/>
        <v>0</v>
      </c>
      <c r="H352" s="448">
        <f t="shared" si="173"/>
        <v>1432632</v>
      </c>
      <c r="I352" s="448">
        <f t="shared" si="173"/>
        <v>5754</v>
      </c>
      <c r="J352" s="448">
        <f t="shared" si="173"/>
        <v>1676</v>
      </c>
      <c r="K352" s="448">
        <f t="shared" si="173"/>
        <v>0</v>
      </c>
      <c r="L352" s="448">
        <f t="shared" si="173"/>
        <v>7430</v>
      </c>
      <c r="M352" s="448">
        <f t="shared" si="173"/>
        <v>1440062</v>
      </c>
      <c r="N352" s="448">
        <f t="shared" si="173"/>
        <v>0</v>
      </c>
      <c r="O352" s="448">
        <f t="shared" si="173"/>
        <v>1440062</v>
      </c>
      <c r="P352" s="405">
        <f>O353+O354</f>
        <v>1440062</v>
      </c>
    </row>
    <row r="353" spans="1:15" ht="17.25" thickTop="1" thickBot="1" x14ac:dyDescent="0.3">
      <c r="A353" s="450"/>
      <c r="B353" s="449" t="s">
        <v>415</v>
      </c>
      <c r="C353" s="448">
        <f>++C344+C347+C348+C349</f>
        <v>218358</v>
      </c>
      <c r="D353" s="448">
        <f t="shared" ref="D353:O353" si="174">++D344+D347+D348+D349</f>
        <v>44998</v>
      </c>
      <c r="E353" s="448">
        <f t="shared" si="174"/>
        <v>1160278</v>
      </c>
      <c r="F353" s="448">
        <f t="shared" si="174"/>
        <v>0</v>
      </c>
      <c r="G353" s="448">
        <f t="shared" si="174"/>
        <v>0</v>
      </c>
      <c r="H353" s="448">
        <f t="shared" si="174"/>
        <v>1423634</v>
      </c>
      <c r="I353" s="448">
        <f t="shared" si="174"/>
        <v>5754</v>
      </c>
      <c r="J353" s="448">
        <f t="shared" si="174"/>
        <v>1676</v>
      </c>
      <c r="K353" s="448">
        <f t="shared" si="174"/>
        <v>0</v>
      </c>
      <c r="L353" s="448">
        <f t="shared" si="174"/>
        <v>7430</v>
      </c>
      <c r="M353" s="448">
        <f t="shared" si="174"/>
        <v>1431064</v>
      </c>
      <c r="N353" s="448">
        <f t="shared" si="174"/>
        <v>0</v>
      </c>
      <c r="O353" s="448">
        <f t="shared" si="174"/>
        <v>1431064</v>
      </c>
    </row>
    <row r="354" spans="1:15" ht="17.25" thickTop="1" thickBot="1" x14ac:dyDescent="0.3">
      <c r="A354" s="450"/>
      <c r="B354" s="449" t="s">
        <v>414</v>
      </c>
      <c r="C354" s="448">
        <f>+C345+C351</f>
        <v>6659</v>
      </c>
      <c r="D354" s="448">
        <f t="shared" ref="D354:O354" si="175">+D345+D351</f>
        <v>2229</v>
      </c>
      <c r="E354" s="448">
        <f t="shared" si="175"/>
        <v>110</v>
      </c>
      <c r="F354" s="448">
        <f t="shared" si="175"/>
        <v>0</v>
      </c>
      <c r="G354" s="448">
        <f t="shared" si="175"/>
        <v>0</v>
      </c>
      <c r="H354" s="448">
        <f t="shared" si="175"/>
        <v>8998</v>
      </c>
      <c r="I354" s="448">
        <f t="shared" si="175"/>
        <v>0</v>
      </c>
      <c r="J354" s="448">
        <f t="shared" si="175"/>
        <v>0</v>
      </c>
      <c r="K354" s="448">
        <f t="shared" si="175"/>
        <v>0</v>
      </c>
      <c r="L354" s="448">
        <f t="shared" si="175"/>
        <v>0</v>
      </c>
      <c r="M354" s="448">
        <f t="shared" si="175"/>
        <v>8998</v>
      </c>
      <c r="N354" s="448">
        <f t="shared" si="175"/>
        <v>0</v>
      </c>
      <c r="O354" s="448">
        <f t="shared" si="175"/>
        <v>8998</v>
      </c>
    </row>
    <row r="355" spans="1:15" ht="16.5" thickTop="1" x14ac:dyDescent="0.25">
      <c r="A355" s="459" t="s">
        <v>15</v>
      </c>
      <c r="B355" s="514" t="s">
        <v>429</v>
      </c>
      <c r="C355" s="457"/>
      <c r="D355" s="456"/>
      <c r="E355" s="456"/>
      <c r="F355" s="454"/>
      <c r="G355" s="456"/>
      <c r="H355" s="453"/>
      <c r="I355" s="455"/>
      <c r="J355" s="454"/>
      <c r="K355" s="454"/>
      <c r="L355" s="453"/>
      <c r="M355" s="453"/>
      <c r="N355" s="453"/>
      <c r="O355" s="453"/>
    </row>
    <row r="356" spans="1:15" x14ac:dyDescent="0.25">
      <c r="A356" s="469"/>
      <c r="B356" s="417" t="s">
        <v>387</v>
      </c>
      <c r="C356" s="468">
        <v>44253</v>
      </c>
      <c r="D356" s="486">
        <v>8775</v>
      </c>
      <c r="E356" s="466">
        <v>37617</v>
      </c>
      <c r="F356" s="487"/>
      <c r="G356" s="486"/>
      <c r="H356" s="463">
        <f>SUM(C356:G356)</f>
        <v>90645</v>
      </c>
      <c r="I356" s="465">
        <v>524</v>
      </c>
      <c r="J356" s="464">
        <v>4791</v>
      </c>
      <c r="K356" s="464"/>
      <c r="L356" s="463">
        <f>SUM(I356:K356)</f>
        <v>5315</v>
      </c>
      <c r="M356" s="462">
        <f>SUM(H356+L356)</f>
        <v>95960</v>
      </c>
      <c r="N356" s="462"/>
      <c r="O356" s="462">
        <f>SUM(M356+N356)</f>
        <v>95960</v>
      </c>
    </row>
    <row r="357" spans="1:15" s="476" customFormat="1" x14ac:dyDescent="0.25">
      <c r="A357" s="485"/>
      <c r="B357" s="470" t="s">
        <v>424</v>
      </c>
      <c r="C357" s="484">
        <v>44253</v>
      </c>
      <c r="D357" s="481">
        <v>8775</v>
      </c>
      <c r="E357" s="483">
        <v>37617</v>
      </c>
      <c r="F357" s="482"/>
      <c r="G357" s="481"/>
      <c r="H357" s="478">
        <f>SUM(C357:G357)</f>
        <v>90645</v>
      </c>
      <c r="I357" s="480">
        <v>524</v>
      </c>
      <c r="J357" s="479">
        <v>4791</v>
      </c>
      <c r="K357" s="479"/>
      <c r="L357" s="478">
        <f>SUM(I357:K357)</f>
        <v>5315</v>
      </c>
      <c r="M357" s="477">
        <f>SUM(H357+L357)</f>
        <v>95960</v>
      </c>
      <c r="N357" s="477"/>
      <c r="O357" s="477">
        <f>SUM(M357+N357)</f>
        <v>95960</v>
      </c>
    </row>
    <row r="358" spans="1:15" s="476" customFormat="1" x14ac:dyDescent="0.25">
      <c r="A358" s="485"/>
      <c r="B358" s="470" t="s">
        <v>140</v>
      </c>
      <c r="C358" s="484"/>
      <c r="D358" s="481"/>
      <c r="E358" s="483"/>
      <c r="F358" s="482"/>
      <c r="G358" s="481"/>
      <c r="H358" s="478"/>
      <c r="I358" s="480"/>
      <c r="J358" s="479"/>
      <c r="K358" s="479"/>
      <c r="L358" s="478"/>
      <c r="M358" s="477"/>
      <c r="N358" s="477"/>
      <c r="O358" s="477"/>
    </row>
    <row r="359" spans="1:15" s="476" customFormat="1" x14ac:dyDescent="0.25">
      <c r="A359" s="485"/>
      <c r="B359" s="417" t="s">
        <v>1034</v>
      </c>
      <c r="C359" s="595">
        <v>2</v>
      </c>
      <c r="D359" s="596">
        <v>1</v>
      </c>
      <c r="E359" s="520"/>
      <c r="F359" s="597"/>
      <c r="G359" s="596"/>
      <c r="H359" s="517">
        <f t="shared" ref="H359:H363" si="176">SUM(C359:G359)</f>
        <v>3</v>
      </c>
      <c r="I359" s="550"/>
      <c r="J359" s="521"/>
      <c r="K359" s="521"/>
      <c r="L359" s="517">
        <f t="shared" ref="L359:L362" si="177">SUM(I359:K359)</f>
        <v>0</v>
      </c>
      <c r="M359" s="516">
        <f t="shared" ref="M359:M362" si="178">SUM(H359+L359)</f>
        <v>3</v>
      </c>
      <c r="N359" s="516"/>
      <c r="O359" s="516">
        <f t="shared" ref="O359:O363" si="179">SUM(M359+N359)</f>
        <v>3</v>
      </c>
    </row>
    <row r="360" spans="1:15" s="476" customFormat="1" x14ac:dyDescent="0.25">
      <c r="A360" s="485"/>
      <c r="B360" s="426" t="s">
        <v>1073</v>
      </c>
      <c r="C360" s="595">
        <v>269</v>
      </c>
      <c r="D360" s="596">
        <v>52</v>
      </c>
      <c r="E360" s="520"/>
      <c r="F360" s="597"/>
      <c r="G360" s="596"/>
      <c r="H360" s="517">
        <f t="shared" si="176"/>
        <v>321</v>
      </c>
      <c r="I360" s="550"/>
      <c r="J360" s="521"/>
      <c r="K360" s="521"/>
      <c r="L360" s="517">
        <f t="shared" si="177"/>
        <v>0</v>
      </c>
      <c r="M360" s="516">
        <f t="shared" si="178"/>
        <v>321</v>
      </c>
      <c r="N360" s="516"/>
      <c r="O360" s="516">
        <f t="shared" si="179"/>
        <v>321</v>
      </c>
    </row>
    <row r="361" spans="1:15" s="476" customFormat="1" x14ac:dyDescent="0.25">
      <c r="A361" s="485"/>
      <c r="B361" s="417" t="s">
        <v>1065</v>
      </c>
      <c r="C361" s="595">
        <v>201</v>
      </c>
      <c r="D361" s="596">
        <v>69</v>
      </c>
      <c r="E361" s="520"/>
      <c r="F361" s="597"/>
      <c r="G361" s="596"/>
      <c r="H361" s="517">
        <f t="shared" si="176"/>
        <v>270</v>
      </c>
      <c r="I361" s="550"/>
      <c r="J361" s="521"/>
      <c r="K361" s="521"/>
      <c r="L361" s="517">
        <f t="shared" si="177"/>
        <v>0</v>
      </c>
      <c r="M361" s="516">
        <f t="shared" si="178"/>
        <v>270</v>
      </c>
      <c r="N361" s="516"/>
      <c r="O361" s="516">
        <f t="shared" si="179"/>
        <v>270</v>
      </c>
    </row>
    <row r="362" spans="1:15" s="476" customFormat="1" ht="31.5" x14ac:dyDescent="0.25">
      <c r="A362" s="485"/>
      <c r="B362" s="414" t="s">
        <v>767</v>
      </c>
      <c r="C362" s="595">
        <f>1445+100</f>
        <v>1545</v>
      </c>
      <c r="D362" s="596">
        <v>288</v>
      </c>
      <c r="E362" s="520">
        <f>-2615-100</f>
        <v>-2715</v>
      </c>
      <c r="F362" s="597"/>
      <c r="G362" s="596"/>
      <c r="H362" s="517">
        <f t="shared" si="176"/>
        <v>-882</v>
      </c>
      <c r="I362" s="550">
        <v>882</v>
      </c>
      <c r="J362" s="521"/>
      <c r="K362" s="521"/>
      <c r="L362" s="517">
        <f t="shared" si="177"/>
        <v>882</v>
      </c>
      <c r="M362" s="516">
        <f t="shared" si="178"/>
        <v>0</v>
      </c>
      <c r="N362" s="516"/>
      <c r="O362" s="516">
        <f t="shared" si="179"/>
        <v>0</v>
      </c>
    </row>
    <row r="363" spans="1:15" s="476" customFormat="1" ht="32.25" thickBot="1" x14ac:dyDescent="0.3">
      <c r="A363" s="485"/>
      <c r="B363" s="417" t="s">
        <v>766</v>
      </c>
      <c r="C363" s="595"/>
      <c r="D363" s="596"/>
      <c r="E363" s="520">
        <v>104</v>
      </c>
      <c r="F363" s="597"/>
      <c r="G363" s="596"/>
      <c r="H363" s="517">
        <f t="shared" si="176"/>
        <v>104</v>
      </c>
      <c r="I363" s="550"/>
      <c r="J363" s="521"/>
      <c r="K363" s="521"/>
      <c r="L363" s="517">
        <f>SUM(I363:K363)</f>
        <v>0</v>
      </c>
      <c r="M363" s="516">
        <f>SUM(H363+L363)</f>
        <v>104</v>
      </c>
      <c r="N363" s="516"/>
      <c r="O363" s="516">
        <f t="shared" si="179"/>
        <v>104</v>
      </c>
    </row>
    <row r="364" spans="1:15" ht="17.25" thickTop="1" thickBot="1" x14ac:dyDescent="0.3">
      <c r="A364" s="450"/>
      <c r="B364" s="506" t="s">
        <v>416</v>
      </c>
      <c r="C364" s="451">
        <f>+C356+C359+C360+C361+C362+C363</f>
        <v>46270</v>
      </c>
      <c r="D364" s="451">
        <f t="shared" ref="D364:O364" si="180">+D356+D359+D360+D361+D362+D363</f>
        <v>9185</v>
      </c>
      <c r="E364" s="451">
        <f t="shared" si="180"/>
        <v>35006</v>
      </c>
      <c r="F364" s="451">
        <f t="shared" si="180"/>
        <v>0</v>
      </c>
      <c r="G364" s="451">
        <f t="shared" si="180"/>
        <v>0</v>
      </c>
      <c r="H364" s="451">
        <f t="shared" si="180"/>
        <v>90461</v>
      </c>
      <c r="I364" s="451">
        <f t="shared" si="180"/>
        <v>1406</v>
      </c>
      <c r="J364" s="451">
        <f t="shared" si="180"/>
        <v>4791</v>
      </c>
      <c r="K364" s="451">
        <f t="shared" si="180"/>
        <v>0</v>
      </c>
      <c r="L364" s="451">
        <f t="shared" si="180"/>
        <v>6197</v>
      </c>
      <c r="M364" s="451">
        <f t="shared" si="180"/>
        <v>96658</v>
      </c>
      <c r="N364" s="451">
        <f t="shared" si="180"/>
        <v>0</v>
      </c>
      <c r="O364" s="451">
        <f t="shared" si="180"/>
        <v>96658</v>
      </c>
    </row>
    <row r="365" spans="1:15" ht="17.25" thickTop="1" thickBot="1" x14ac:dyDescent="0.3">
      <c r="A365" s="450"/>
      <c r="B365" s="449" t="s">
        <v>423</v>
      </c>
      <c r="C365" s="448">
        <f>+C357+C359+C360+C361+C362+C363</f>
        <v>46270</v>
      </c>
      <c r="D365" s="448">
        <f t="shared" ref="D365:O365" si="181">+D357+D359+D360+D361+D362+D363</f>
        <v>9185</v>
      </c>
      <c r="E365" s="448">
        <f t="shared" si="181"/>
        <v>35006</v>
      </c>
      <c r="F365" s="448">
        <f t="shared" si="181"/>
        <v>0</v>
      </c>
      <c r="G365" s="448">
        <f t="shared" si="181"/>
        <v>0</v>
      </c>
      <c r="H365" s="448">
        <f t="shared" si="181"/>
        <v>90461</v>
      </c>
      <c r="I365" s="448">
        <f t="shared" si="181"/>
        <v>1406</v>
      </c>
      <c r="J365" s="448">
        <f t="shared" si="181"/>
        <v>4791</v>
      </c>
      <c r="K365" s="448">
        <f t="shared" si="181"/>
        <v>0</v>
      </c>
      <c r="L365" s="448">
        <f t="shared" si="181"/>
        <v>6197</v>
      </c>
      <c r="M365" s="448">
        <f t="shared" si="181"/>
        <v>96658</v>
      </c>
      <c r="N365" s="448">
        <f t="shared" si="181"/>
        <v>0</v>
      </c>
      <c r="O365" s="448">
        <f t="shared" si="181"/>
        <v>96658</v>
      </c>
    </row>
    <row r="366" spans="1:15" ht="15.75" customHeight="1" thickTop="1" x14ac:dyDescent="0.25">
      <c r="A366" s="469" t="s">
        <v>16</v>
      </c>
      <c r="B366" s="491" t="s">
        <v>428</v>
      </c>
      <c r="C366" s="468"/>
      <c r="D366" s="486"/>
      <c r="E366" s="466"/>
      <c r="F366" s="487"/>
      <c r="G366" s="486"/>
      <c r="H366" s="463"/>
      <c r="I366" s="489"/>
      <c r="J366" s="487"/>
      <c r="K366" s="487"/>
      <c r="L366" s="463"/>
      <c r="M366" s="488"/>
      <c r="N366" s="488"/>
      <c r="O366" s="488"/>
    </row>
    <row r="367" spans="1:15" x14ac:dyDescent="0.25">
      <c r="A367" s="475"/>
      <c r="B367" s="425" t="s">
        <v>387</v>
      </c>
      <c r="C367" s="471">
        <v>263123</v>
      </c>
      <c r="D367" s="466">
        <v>56152</v>
      </c>
      <c r="E367" s="466">
        <v>175260</v>
      </c>
      <c r="F367" s="464"/>
      <c r="G367" s="466">
        <v>114</v>
      </c>
      <c r="H367" s="463">
        <f>SUM(C367:G367)</f>
        <v>494649</v>
      </c>
      <c r="I367" s="465">
        <v>14384</v>
      </c>
      <c r="J367" s="464"/>
      <c r="K367" s="499"/>
      <c r="L367" s="463">
        <f>SUM(I367:K367)</f>
        <v>14384</v>
      </c>
      <c r="M367" s="463">
        <f>SUM(H367+L367)</f>
        <v>509033</v>
      </c>
      <c r="N367" s="463"/>
      <c r="O367" s="463">
        <f>SUM(M367+N367)</f>
        <v>509033</v>
      </c>
    </row>
    <row r="368" spans="1:15" s="476" customFormat="1" x14ac:dyDescent="0.25">
      <c r="A368" s="503"/>
      <c r="B368" s="474" t="s">
        <v>418</v>
      </c>
      <c r="C368" s="502">
        <v>255891</v>
      </c>
      <c r="D368" s="483">
        <v>53746</v>
      </c>
      <c r="E368" s="483">
        <v>134162</v>
      </c>
      <c r="F368" s="479"/>
      <c r="G368" s="501">
        <v>114</v>
      </c>
      <c r="H368" s="504">
        <f>SUM(C368:G368)</f>
        <v>443913</v>
      </c>
      <c r="I368" s="480">
        <v>14384</v>
      </c>
      <c r="J368" s="479"/>
      <c r="K368" s="501"/>
      <c r="L368" s="478">
        <f>SUM(I368:K368)</f>
        <v>14384</v>
      </c>
      <c r="M368" s="478">
        <f>SUM(H368+L368)</f>
        <v>458297</v>
      </c>
      <c r="N368" s="478"/>
      <c r="O368" s="478">
        <f>SUM(M368+N368)</f>
        <v>458297</v>
      </c>
    </row>
    <row r="369" spans="1:16" s="476" customFormat="1" x14ac:dyDescent="0.25">
      <c r="A369" s="485"/>
      <c r="B369" s="470" t="s">
        <v>417</v>
      </c>
      <c r="C369" s="484">
        <v>7232</v>
      </c>
      <c r="D369" s="481">
        <v>2406</v>
      </c>
      <c r="E369" s="483">
        <v>41098</v>
      </c>
      <c r="F369" s="482"/>
      <c r="G369" s="505"/>
      <c r="H369" s="504">
        <f>SUM(C369:G369)</f>
        <v>50736</v>
      </c>
      <c r="I369" s="480"/>
      <c r="J369" s="479"/>
      <c r="K369" s="501"/>
      <c r="L369" s="478">
        <f>SUM(I369:K369)</f>
        <v>0</v>
      </c>
      <c r="M369" s="477">
        <f>SUM(H369+L369)</f>
        <v>50736</v>
      </c>
      <c r="N369" s="477"/>
      <c r="O369" s="477">
        <f>SUM(M369+N369)</f>
        <v>50736</v>
      </c>
    </row>
    <row r="370" spans="1:16" s="476" customFormat="1" x14ac:dyDescent="0.25">
      <c r="A370" s="485"/>
      <c r="B370" s="470" t="s">
        <v>139</v>
      </c>
      <c r="C370" s="484"/>
      <c r="D370" s="481"/>
      <c r="E370" s="483"/>
      <c r="F370" s="482"/>
      <c r="G370" s="505"/>
      <c r="H370" s="504"/>
      <c r="I370" s="480"/>
      <c r="J370" s="479"/>
      <c r="K370" s="501"/>
      <c r="L370" s="478"/>
      <c r="M370" s="477"/>
      <c r="N370" s="477"/>
      <c r="O370" s="477"/>
    </row>
    <row r="371" spans="1:16" s="476" customFormat="1" x14ac:dyDescent="0.25">
      <c r="A371" s="485"/>
      <c r="B371" s="417" t="s">
        <v>1034</v>
      </c>
      <c r="C371" s="595">
        <v>47</v>
      </c>
      <c r="D371" s="596">
        <v>9</v>
      </c>
      <c r="E371" s="520"/>
      <c r="F371" s="597"/>
      <c r="G371" s="598"/>
      <c r="H371" s="599">
        <f t="shared" ref="H371:H378" si="182">SUM(C371:G371)</f>
        <v>56</v>
      </c>
      <c r="I371" s="550"/>
      <c r="J371" s="521"/>
      <c r="K371" s="600"/>
      <c r="L371" s="517">
        <f t="shared" ref="L371:L378" si="183">SUM(I371:K371)</f>
        <v>0</v>
      </c>
      <c r="M371" s="516">
        <f t="shared" ref="M371:M378" si="184">SUM(H371+L371)</f>
        <v>56</v>
      </c>
      <c r="N371" s="516"/>
      <c r="O371" s="516">
        <f t="shared" ref="O371:O378" si="185">SUM(M371+N371)</f>
        <v>56</v>
      </c>
    </row>
    <row r="372" spans="1:16" s="476" customFormat="1" x14ac:dyDescent="0.25">
      <c r="A372" s="485"/>
      <c r="B372" s="417" t="s">
        <v>1073</v>
      </c>
      <c r="C372" s="595">
        <v>1659</v>
      </c>
      <c r="D372" s="596">
        <v>324</v>
      </c>
      <c r="E372" s="520"/>
      <c r="F372" s="597"/>
      <c r="G372" s="598"/>
      <c r="H372" s="599">
        <f t="shared" si="182"/>
        <v>1983</v>
      </c>
      <c r="I372" s="550"/>
      <c r="J372" s="521"/>
      <c r="K372" s="600"/>
      <c r="L372" s="517">
        <f t="shared" si="183"/>
        <v>0</v>
      </c>
      <c r="M372" s="516">
        <f t="shared" si="184"/>
        <v>1983</v>
      </c>
      <c r="N372" s="516"/>
      <c r="O372" s="516">
        <f t="shared" si="185"/>
        <v>1983</v>
      </c>
    </row>
    <row r="373" spans="1:16" s="515" customFormat="1" ht="31.5" x14ac:dyDescent="0.25">
      <c r="A373" s="523"/>
      <c r="B373" s="414" t="s">
        <v>767</v>
      </c>
      <c r="C373" s="595"/>
      <c r="D373" s="596"/>
      <c r="E373" s="520">
        <v>-8422</v>
      </c>
      <c r="F373" s="597"/>
      <c r="G373" s="598"/>
      <c r="H373" s="599">
        <f t="shared" si="182"/>
        <v>-8422</v>
      </c>
      <c r="I373" s="550">
        <v>8422</v>
      </c>
      <c r="J373" s="521"/>
      <c r="K373" s="600"/>
      <c r="L373" s="517">
        <f t="shared" si="183"/>
        <v>8422</v>
      </c>
      <c r="M373" s="516">
        <f t="shared" si="184"/>
        <v>0</v>
      </c>
      <c r="N373" s="516"/>
      <c r="O373" s="516">
        <f t="shared" si="185"/>
        <v>0</v>
      </c>
    </row>
    <row r="374" spans="1:16" s="515" customFormat="1" ht="31.5" x14ac:dyDescent="0.25">
      <c r="A374" s="523"/>
      <c r="B374" s="417" t="s">
        <v>766</v>
      </c>
      <c r="C374" s="595"/>
      <c r="D374" s="596"/>
      <c r="E374" s="520">
        <f>9434+65</f>
        <v>9499</v>
      </c>
      <c r="F374" s="597"/>
      <c r="G374" s="598"/>
      <c r="H374" s="599">
        <f t="shared" si="182"/>
        <v>9499</v>
      </c>
      <c r="I374" s="550"/>
      <c r="J374" s="521"/>
      <c r="K374" s="600"/>
      <c r="L374" s="517">
        <f t="shared" si="183"/>
        <v>0</v>
      </c>
      <c r="M374" s="516">
        <f>SUM(H374+L374)</f>
        <v>9499</v>
      </c>
      <c r="N374" s="516"/>
      <c r="O374" s="516">
        <f>SUM(M374+N374)</f>
        <v>9499</v>
      </c>
    </row>
    <row r="375" spans="1:16" s="476" customFormat="1" x14ac:dyDescent="0.25">
      <c r="A375" s="485"/>
      <c r="B375" s="470" t="s">
        <v>140</v>
      </c>
      <c r="C375" s="595"/>
      <c r="D375" s="596"/>
      <c r="E375" s="520"/>
      <c r="F375" s="597"/>
      <c r="G375" s="598"/>
      <c r="H375" s="599"/>
      <c r="I375" s="550"/>
      <c r="J375" s="521"/>
      <c r="K375" s="600"/>
      <c r="L375" s="517"/>
      <c r="M375" s="516"/>
      <c r="N375" s="516"/>
      <c r="O375" s="516"/>
    </row>
    <row r="376" spans="1:16" s="476" customFormat="1" x14ac:dyDescent="0.25">
      <c r="A376" s="485"/>
      <c r="B376" s="417" t="s">
        <v>1065</v>
      </c>
      <c r="C376" s="595">
        <v>1528</v>
      </c>
      <c r="D376" s="596">
        <v>523</v>
      </c>
      <c r="E376" s="520"/>
      <c r="F376" s="597"/>
      <c r="G376" s="598"/>
      <c r="H376" s="599">
        <f t="shared" si="182"/>
        <v>2051</v>
      </c>
      <c r="I376" s="550"/>
      <c r="J376" s="521"/>
      <c r="K376" s="600"/>
      <c r="L376" s="517">
        <f t="shared" si="183"/>
        <v>0</v>
      </c>
      <c r="M376" s="516">
        <f t="shared" si="184"/>
        <v>2051</v>
      </c>
      <c r="N376" s="516"/>
      <c r="O376" s="516">
        <f t="shared" si="185"/>
        <v>2051</v>
      </c>
    </row>
    <row r="377" spans="1:16" s="476" customFormat="1" ht="78.75" x14ac:dyDescent="0.25">
      <c r="A377" s="485"/>
      <c r="B377" s="417" t="s">
        <v>1074</v>
      </c>
      <c r="C377" s="595"/>
      <c r="D377" s="596"/>
      <c r="E377" s="520">
        <v>80</v>
      </c>
      <c r="F377" s="597"/>
      <c r="G377" s="598"/>
      <c r="H377" s="599">
        <f t="shared" si="182"/>
        <v>80</v>
      </c>
      <c r="I377" s="550"/>
      <c r="J377" s="521"/>
      <c r="K377" s="600"/>
      <c r="L377" s="517">
        <f t="shared" si="183"/>
        <v>0</v>
      </c>
      <c r="M377" s="516">
        <f t="shared" si="184"/>
        <v>80</v>
      </c>
      <c r="N377" s="516"/>
      <c r="O377" s="516">
        <f t="shared" si="185"/>
        <v>80</v>
      </c>
    </row>
    <row r="378" spans="1:16" s="476" customFormat="1" ht="32.25" thickBot="1" x14ac:dyDescent="0.3">
      <c r="A378" s="485"/>
      <c r="B378" s="414" t="s">
        <v>767</v>
      </c>
      <c r="C378" s="595">
        <v>5468</v>
      </c>
      <c r="D378" s="596">
        <v>1067</v>
      </c>
      <c r="E378" s="520">
        <v>-6535</v>
      </c>
      <c r="F378" s="597"/>
      <c r="G378" s="598"/>
      <c r="H378" s="599">
        <f t="shared" si="182"/>
        <v>0</v>
      </c>
      <c r="I378" s="550"/>
      <c r="J378" s="521"/>
      <c r="K378" s="600"/>
      <c r="L378" s="517">
        <f t="shared" si="183"/>
        <v>0</v>
      </c>
      <c r="M378" s="516">
        <f t="shared" si="184"/>
        <v>0</v>
      </c>
      <c r="N378" s="516"/>
      <c r="O378" s="516">
        <f t="shared" si="185"/>
        <v>0</v>
      </c>
    </row>
    <row r="379" spans="1:16" ht="17.25" thickTop="1" thickBot="1" x14ac:dyDescent="0.3">
      <c r="A379" s="450"/>
      <c r="B379" s="449" t="s">
        <v>416</v>
      </c>
      <c r="C379" s="448">
        <f>+C367+C371+C372+C373+C376+C377+C378+C374</f>
        <v>271825</v>
      </c>
      <c r="D379" s="448">
        <f t="shared" ref="D379:O379" si="186">+D367+D371+D372+D373+D376+D377+D378+D374</f>
        <v>58075</v>
      </c>
      <c r="E379" s="448">
        <f t="shared" si="186"/>
        <v>169882</v>
      </c>
      <c r="F379" s="448">
        <f t="shared" si="186"/>
        <v>0</v>
      </c>
      <c r="G379" s="448">
        <f t="shared" si="186"/>
        <v>114</v>
      </c>
      <c r="H379" s="448">
        <f t="shared" si="186"/>
        <v>499896</v>
      </c>
      <c r="I379" s="448">
        <f t="shared" si="186"/>
        <v>22806</v>
      </c>
      <c r="J379" s="448">
        <f t="shared" si="186"/>
        <v>0</v>
      </c>
      <c r="K379" s="448">
        <f t="shared" si="186"/>
        <v>0</v>
      </c>
      <c r="L379" s="448">
        <f t="shared" si="186"/>
        <v>22806</v>
      </c>
      <c r="M379" s="448">
        <f t="shared" si="186"/>
        <v>522702</v>
      </c>
      <c r="N379" s="448">
        <f t="shared" si="186"/>
        <v>0</v>
      </c>
      <c r="O379" s="448">
        <f t="shared" si="186"/>
        <v>522702</v>
      </c>
      <c r="P379" s="405">
        <f>O380+O381</f>
        <v>522702</v>
      </c>
    </row>
    <row r="380" spans="1:16" ht="17.25" thickTop="1" thickBot="1" x14ac:dyDescent="0.3">
      <c r="A380" s="450"/>
      <c r="B380" s="449" t="s">
        <v>415</v>
      </c>
      <c r="C380" s="448">
        <f>+C368+C371+C372+C373+C374</f>
        <v>257597</v>
      </c>
      <c r="D380" s="448">
        <f t="shared" ref="D380:O380" si="187">+D368+D371+D372+D373+D374</f>
        <v>54079</v>
      </c>
      <c r="E380" s="448">
        <f t="shared" si="187"/>
        <v>135239</v>
      </c>
      <c r="F380" s="448">
        <f t="shared" si="187"/>
        <v>0</v>
      </c>
      <c r="G380" s="448">
        <f t="shared" si="187"/>
        <v>114</v>
      </c>
      <c r="H380" s="448">
        <f t="shared" si="187"/>
        <v>447029</v>
      </c>
      <c r="I380" s="448">
        <f t="shared" si="187"/>
        <v>22806</v>
      </c>
      <c r="J380" s="448">
        <f t="shared" si="187"/>
        <v>0</v>
      </c>
      <c r="K380" s="448">
        <f t="shared" si="187"/>
        <v>0</v>
      </c>
      <c r="L380" s="448">
        <f t="shared" si="187"/>
        <v>22806</v>
      </c>
      <c r="M380" s="448">
        <f t="shared" si="187"/>
        <v>469835</v>
      </c>
      <c r="N380" s="448">
        <f t="shared" si="187"/>
        <v>0</v>
      </c>
      <c r="O380" s="448">
        <f t="shared" si="187"/>
        <v>469835</v>
      </c>
    </row>
    <row r="381" spans="1:16" ht="17.25" thickTop="1" thickBot="1" x14ac:dyDescent="0.3">
      <c r="A381" s="450"/>
      <c r="B381" s="449" t="s">
        <v>414</v>
      </c>
      <c r="C381" s="448">
        <f t="shared" ref="C381:O381" si="188">+C369+C376+C377+C378</f>
        <v>14228</v>
      </c>
      <c r="D381" s="448">
        <f t="shared" si="188"/>
        <v>3996</v>
      </c>
      <c r="E381" s="448">
        <f t="shared" si="188"/>
        <v>34643</v>
      </c>
      <c r="F381" s="448">
        <f t="shared" si="188"/>
        <v>0</v>
      </c>
      <c r="G381" s="448">
        <f t="shared" si="188"/>
        <v>0</v>
      </c>
      <c r="H381" s="448">
        <f t="shared" si="188"/>
        <v>52867</v>
      </c>
      <c r="I381" s="448">
        <f t="shared" si="188"/>
        <v>0</v>
      </c>
      <c r="J381" s="448">
        <f t="shared" si="188"/>
        <v>0</v>
      </c>
      <c r="K381" s="448">
        <f t="shared" si="188"/>
        <v>0</v>
      </c>
      <c r="L381" s="448">
        <f t="shared" si="188"/>
        <v>0</v>
      </c>
      <c r="M381" s="448">
        <f t="shared" si="188"/>
        <v>52867</v>
      </c>
      <c r="N381" s="448">
        <f t="shared" si="188"/>
        <v>0</v>
      </c>
      <c r="O381" s="448">
        <f t="shared" si="188"/>
        <v>52867</v>
      </c>
    </row>
    <row r="382" spans="1:16" ht="16.5" thickTop="1" x14ac:dyDescent="0.25">
      <c r="A382" s="469" t="s">
        <v>17</v>
      </c>
      <c r="B382" s="491" t="s">
        <v>427</v>
      </c>
      <c r="C382" s="468"/>
      <c r="D382" s="486"/>
      <c r="E382" s="466"/>
      <c r="F382" s="487"/>
      <c r="G382" s="486"/>
      <c r="H382" s="463"/>
      <c r="I382" s="489"/>
      <c r="J382" s="487"/>
      <c r="K382" s="487"/>
      <c r="L382" s="463"/>
      <c r="M382" s="488"/>
      <c r="N382" s="488"/>
      <c r="O382" s="488"/>
    </row>
    <row r="383" spans="1:16" x14ac:dyDescent="0.25">
      <c r="A383" s="469"/>
      <c r="B383" s="417" t="s">
        <v>387</v>
      </c>
      <c r="C383" s="468">
        <v>388765</v>
      </c>
      <c r="D383" s="486">
        <v>81599</v>
      </c>
      <c r="E383" s="466">
        <v>601517</v>
      </c>
      <c r="F383" s="487"/>
      <c r="G383" s="486">
        <v>20</v>
      </c>
      <c r="H383" s="463">
        <f>SUM(C383:G383)</f>
        <v>1071901</v>
      </c>
      <c r="I383" s="465">
        <v>21624</v>
      </c>
      <c r="J383" s="464"/>
      <c r="K383" s="464"/>
      <c r="L383" s="463">
        <f>SUM(I383:K383)</f>
        <v>21624</v>
      </c>
      <c r="M383" s="462">
        <f>SUM(H383+L383)</f>
        <v>1093525</v>
      </c>
      <c r="N383" s="462"/>
      <c r="O383" s="462">
        <f>SUM(M383+N383)</f>
        <v>1093525</v>
      </c>
      <c r="P383" s="405"/>
    </row>
    <row r="384" spans="1:16" s="476" customFormat="1" x14ac:dyDescent="0.25">
      <c r="A384" s="485"/>
      <c r="B384" s="470" t="s">
        <v>418</v>
      </c>
      <c r="C384" s="484">
        <v>376579</v>
      </c>
      <c r="D384" s="481">
        <v>77975</v>
      </c>
      <c r="E384" s="483">
        <v>574845</v>
      </c>
      <c r="F384" s="482"/>
      <c r="G384" s="481">
        <v>20</v>
      </c>
      <c r="H384" s="478">
        <f>SUM(C384:G384)</f>
        <v>1029419</v>
      </c>
      <c r="I384" s="480">
        <v>21624</v>
      </c>
      <c r="J384" s="479"/>
      <c r="K384" s="479"/>
      <c r="L384" s="478">
        <f>SUM(I384:K384)</f>
        <v>21624</v>
      </c>
      <c r="M384" s="477">
        <f>SUM(H384+L384)</f>
        <v>1051043</v>
      </c>
      <c r="N384" s="477"/>
      <c r="O384" s="477">
        <f>SUM(M384+N384)</f>
        <v>1051043</v>
      </c>
    </row>
    <row r="385" spans="1:16" s="476" customFormat="1" x14ac:dyDescent="0.25">
      <c r="A385" s="495"/>
      <c r="B385" s="470" t="s">
        <v>417</v>
      </c>
      <c r="C385" s="498">
        <v>12186</v>
      </c>
      <c r="D385" s="496">
        <v>3624</v>
      </c>
      <c r="E385" s="493">
        <v>26672</v>
      </c>
      <c r="F385" s="497"/>
      <c r="G385" s="496"/>
      <c r="H385" s="462">
        <f>SUM(C385:G385)</f>
        <v>42482</v>
      </c>
      <c r="I385" s="500"/>
      <c r="J385" s="472"/>
      <c r="K385" s="472"/>
      <c r="L385" s="462">
        <f>SUM(I385:K385)</f>
        <v>0</v>
      </c>
      <c r="M385" s="462">
        <f>SUM(H385+L385)</f>
        <v>42482</v>
      </c>
      <c r="N385" s="462"/>
      <c r="O385" s="462">
        <f>SUM(M385+N385)</f>
        <v>42482</v>
      </c>
    </row>
    <row r="386" spans="1:16" s="476" customFormat="1" x14ac:dyDescent="0.25">
      <c r="A386" s="503"/>
      <c r="B386" s="474" t="s">
        <v>139</v>
      </c>
      <c r="C386" s="480"/>
      <c r="D386" s="483"/>
      <c r="E386" s="483"/>
      <c r="F386" s="483"/>
      <c r="G386" s="480"/>
      <c r="H386" s="462">
        <f t="shared" ref="H386:H394" si="189">SUM(C386:G386)</f>
        <v>0</v>
      </c>
      <c r="I386" s="465"/>
      <c r="J386" s="466"/>
      <c r="K386" s="465"/>
      <c r="L386" s="462">
        <f t="shared" ref="L386:L394" si="190">SUM(I386:K386)</f>
        <v>0</v>
      </c>
      <c r="M386" s="462">
        <f t="shared" ref="M386:M394" si="191">SUM(H386+L386)</f>
        <v>0</v>
      </c>
      <c r="N386" s="462"/>
      <c r="O386" s="462">
        <f t="shared" ref="O386:O394" si="192">SUM(M386+N386)</f>
        <v>0</v>
      </c>
    </row>
    <row r="387" spans="1:16" s="515" customFormat="1" x14ac:dyDescent="0.25">
      <c r="A387" s="549"/>
      <c r="B387" s="417" t="s">
        <v>1034</v>
      </c>
      <c r="C387" s="550">
        <v>72</v>
      </c>
      <c r="D387" s="520">
        <v>14</v>
      </c>
      <c r="E387" s="520"/>
      <c r="F387" s="520"/>
      <c r="G387" s="550"/>
      <c r="H387" s="516">
        <f t="shared" si="189"/>
        <v>86</v>
      </c>
      <c r="I387" s="550"/>
      <c r="J387" s="520"/>
      <c r="K387" s="550"/>
      <c r="L387" s="516">
        <f t="shared" si="190"/>
        <v>0</v>
      </c>
      <c r="M387" s="516">
        <f t="shared" si="191"/>
        <v>86</v>
      </c>
      <c r="N387" s="516"/>
      <c r="O387" s="516">
        <f t="shared" si="192"/>
        <v>86</v>
      </c>
    </row>
    <row r="388" spans="1:16" s="515" customFormat="1" x14ac:dyDescent="0.25">
      <c r="A388" s="549"/>
      <c r="B388" s="417" t="s">
        <v>1073</v>
      </c>
      <c r="C388" s="550">
        <v>1688</v>
      </c>
      <c r="D388" s="520">
        <v>329</v>
      </c>
      <c r="E388" s="520"/>
      <c r="F388" s="520"/>
      <c r="G388" s="550"/>
      <c r="H388" s="516">
        <f t="shared" si="189"/>
        <v>2017</v>
      </c>
      <c r="I388" s="550"/>
      <c r="J388" s="520"/>
      <c r="K388" s="550"/>
      <c r="L388" s="516">
        <f t="shared" si="190"/>
        <v>0</v>
      </c>
      <c r="M388" s="516">
        <f t="shared" si="191"/>
        <v>2017</v>
      </c>
      <c r="N388" s="516"/>
      <c r="O388" s="516">
        <f t="shared" si="192"/>
        <v>2017</v>
      </c>
    </row>
    <row r="389" spans="1:16" s="515" customFormat="1" ht="31.5" x14ac:dyDescent="0.25">
      <c r="A389" s="549"/>
      <c r="B389" s="414" t="s">
        <v>767</v>
      </c>
      <c r="C389" s="550">
        <v>-1519</v>
      </c>
      <c r="D389" s="520">
        <v>1519</v>
      </c>
      <c r="E389" s="520">
        <v>-7295</v>
      </c>
      <c r="F389" s="520"/>
      <c r="G389" s="550"/>
      <c r="H389" s="516">
        <f t="shared" si="189"/>
        <v>-7295</v>
      </c>
      <c r="I389" s="550">
        <v>7295</v>
      </c>
      <c r="J389" s="520"/>
      <c r="K389" s="550"/>
      <c r="L389" s="516">
        <f t="shared" si="190"/>
        <v>7295</v>
      </c>
      <c r="M389" s="516">
        <f t="shared" si="191"/>
        <v>0</v>
      </c>
      <c r="N389" s="516"/>
      <c r="O389" s="516">
        <f t="shared" si="192"/>
        <v>0</v>
      </c>
    </row>
    <row r="390" spans="1:16" s="515" customFormat="1" ht="31.5" x14ac:dyDescent="0.25">
      <c r="A390" s="549"/>
      <c r="B390" s="417" t="s">
        <v>766</v>
      </c>
      <c r="C390" s="550"/>
      <c r="D390" s="520"/>
      <c r="E390" s="520">
        <v>75438</v>
      </c>
      <c r="F390" s="520"/>
      <c r="G390" s="550"/>
      <c r="H390" s="516">
        <f t="shared" si="189"/>
        <v>75438</v>
      </c>
      <c r="I390" s="550"/>
      <c r="J390" s="520"/>
      <c r="K390" s="550"/>
      <c r="L390" s="516">
        <f t="shared" si="190"/>
        <v>0</v>
      </c>
      <c r="M390" s="516">
        <f t="shared" si="191"/>
        <v>75438</v>
      </c>
      <c r="N390" s="516"/>
      <c r="O390" s="516">
        <f t="shared" si="192"/>
        <v>75438</v>
      </c>
    </row>
    <row r="391" spans="1:16" s="476" customFormat="1" x14ac:dyDescent="0.25">
      <c r="A391" s="503"/>
      <c r="B391" s="474" t="s">
        <v>140</v>
      </c>
      <c r="C391" s="480"/>
      <c r="D391" s="483"/>
      <c r="E391" s="483"/>
      <c r="F391" s="483"/>
      <c r="G391" s="480"/>
      <c r="H391" s="462">
        <f t="shared" si="189"/>
        <v>0</v>
      </c>
      <c r="I391" s="465"/>
      <c r="J391" s="466"/>
      <c r="K391" s="465"/>
      <c r="L391" s="462">
        <f t="shared" si="190"/>
        <v>0</v>
      </c>
      <c r="M391" s="462">
        <f t="shared" si="191"/>
        <v>0</v>
      </c>
      <c r="N391" s="462"/>
      <c r="O391" s="462">
        <f t="shared" si="192"/>
        <v>0</v>
      </c>
    </row>
    <row r="392" spans="1:16" s="515" customFormat="1" x14ac:dyDescent="0.25">
      <c r="A392" s="549"/>
      <c r="B392" s="417" t="s">
        <v>1065</v>
      </c>
      <c r="C392" s="550">
        <v>1975</v>
      </c>
      <c r="D392" s="520">
        <v>676</v>
      </c>
      <c r="E392" s="520"/>
      <c r="F392" s="520"/>
      <c r="G392" s="550"/>
      <c r="H392" s="516">
        <f t="shared" si="189"/>
        <v>2651</v>
      </c>
      <c r="I392" s="550"/>
      <c r="J392" s="520"/>
      <c r="K392" s="550"/>
      <c r="L392" s="516">
        <f t="shared" si="190"/>
        <v>0</v>
      </c>
      <c r="M392" s="516">
        <f t="shared" si="191"/>
        <v>2651</v>
      </c>
      <c r="N392" s="516"/>
      <c r="O392" s="516">
        <f t="shared" si="192"/>
        <v>2651</v>
      </c>
    </row>
    <row r="393" spans="1:16" s="515" customFormat="1" ht="65.25" customHeight="1" x14ac:dyDescent="0.25">
      <c r="A393" s="549"/>
      <c r="B393" s="417" t="s">
        <v>1075</v>
      </c>
      <c r="C393" s="550"/>
      <c r="D393" s="520"/>
      <c r="E393" s="520">
        <v>3491</v>
      </c>
      <c r="F393" s="520"/>
      <c r="G393" s="550"/>
      <c r="H393" s="516">
        <f t="shared" si="189"/>
        <v>3491</v>
      </c>
      <c r="I393" s="550"/>
      <c r="J393" s="520"/>
      <c r="K393" s="550"/>
      <c r="L393" s="516">
        <f t="shared" si="190"/>
        <v>0</v>
      </c>
      <c r="M393" s="516">
        <f t="shared" si="191"/>
        <v>3491</v>
      </c>
      <c r="N393" s="516"/>
      <c r="O393" s="516">
        <f t="shared" si="192"/>
        <v>3491</v>
      </c>
    </row>
    <row r="394" spans="1:16" s="515" customFormat="1" ht="32.25" thickBot="1" x14ac:dyDescent="0.3">
      <c r="A394" s="549"/>
      <c r="B394" s="417" t="s">
        <v>766</v>
      </c>
      <c r="C394" s="550"/>
      <c r="D394" s="520"/>
      <c r="E394" s="520">
        <v>30290</v>
      </c>
      <c r="F394" s="520"/>
      <c r="G394" s="550"/>
      <c r="H394" s="516">
        <f t="shared" si="189"/>
        <v>30290</v>
      </c>
      <c r="I394" s="550"/>
      <c r="J394" s="520"/>
      <c r="K394" s="550"/>
      <c r="L394" s="516">
        <f t="shared" si="190"/>
        <v>0</v>
      </c>
      <c r="M394" s="516">
        <f t="shared" si="191"/>
        <v>30290</v>
      </c>
      <c r="N394" s="516"/>
      <c r="O394" s="516">
        <f t="shared" si="192"/>
        <v>30290</v>
      </c>
    </row>
    <row r="395" spans="1:16" ht="17.25" thickTop="1" thickBot="1" x14ac:dyDescent="0.3">
      <c r="A395" s="450"/>
      <c r="B395" s="449" t="s">
        <v>416</v>
      </c>
      <c r="C395" s="448">
        <f>+C383+C387+C388+C389+C392+C393+C390+C394</f>
        <v>390981</v>
      </c>
      <c r="D395" s="448">
        <f t="shared" ref="D395:O395" si="193">+D383+D387+D388+D389+D392+D393+D390+D394</f>
        <v>84137</v>
      </c>
      <c r="E395" s="448">
        <f t="shared" si="193"/>
        <v>703441</v>
      </c>
      <c r="F395" s="448">
        <f t="shared" si="193"/>
        <v>0</v>
      </c>
      <c r="G395" s="448">
        <f t="shared" si="193"/>
        <v>20</v>
      </c>
      <c r="H395" s="448">
        <f t="shared" si="193"/>
        <v>1178579</v>
      </c>
      <c r="I395" s="448">
        <f t="shared" si="193"/>
        <v>28919</v>
      </c>
      <c r="J395" s="448">
        <f t="shared" si="193"/>
        <v>0</v>
      </c>
      <c r="K395" s="448">
        <f t="shared" si="193"/>
        <v>0</v>
      </c>
      <c r="L395" s="448">
        <f t="shared" si="193"/>
        <v>28919</v>
      </c>
      <c r="M395" s="448">
        <f t="shared" si="193"/>
        <v>1207498</v>
      </c>
      <c r="N395" s="448">
        <f t="shared" si="193"/>
        <v>0</v>
      </c>
      <c r="O395" s="448">
        <f t="shared" si="193"/>
        <v>1207498</v>
      </c>
      <c r="P395" s="405">
        <f>O396+O397</f>
        <v>1207498</v>
      </c>
    </row>
    <row r="396" spans="1:16" ht="17.25" thickTop="1" thickBot="1" x14ac:dyDescent="0.3">
      <c r="A396" s="450"/>
      <c r="B396" s="449" t="s">
        <v>415</v>
      </c>
      <c r="C396" s="448">
        <f>+C384+C387+C388+C389+C390</f>
        <v>376820</v>
      </c>
      <c r="D396" s="448">
        <f t="shared" ref="D396:O396" si="194">+D384+D387+D388+D389+D390</f>
        <v>79837</v>
      </c>
      <c r="E396" s="448">
        <f t="shared" si="194"/>
        <v>642988</v>
      </c>
      <c r="F396" s="448">
        <f t="shared" si="194"/>
        <v>0</v>
      </c>
      <c r="G396" s="448">
        <f t="shared" si="194"/>
        <v>20</v>
      </c>
      <c r="H396" s="448">
        <f t="shared" si="194"/>
        <v>1099665</v>
      </c>
      <c r="I396" s="448">
        <f t="shared" si="194"/>
        <v>28919</v>
      </c>
      <c r="J396" s="448">
        <f t="shared" si="194"/>
        <v>0</v>
      </c>
      <c r="K396" s="448">
        <f t="shared" si="194"/>
        <v>0</v>
      </c>
      <c r="L396" s="448">
        <f t="shared" si="194"/>
        <v>28919</v>
      </c>
      <c r="M396" s="448">
        <f t="shared" si="194"/>
        <v>1128584</v>
      </c>
      <c r="N396" s="448">
        <f t="shared" si="194"/>
        <v>0</v>
      </c>
      <c r="O396" s="448">
        <f t="shared" si="194"/>
        <v>1128584</v>
      </c>
    </row>
    <row r="397" spans="1:16" ht="17.25" thickTop="1" thickBot="1" x14ac:dyDescent="0.3">
      <c r="A397" s="450"/>
      <c r="B397" s="449" t="s">
        <v>414</v>
      </c>
      <c r="C397" s="448">
        <f t="shared" ref="C397:O397" si="195">+C385+C392+C393+C394</f>
        <v>14161</v>
      </c>
      <c r="D397" s="448">
        <f t="shared" si="195"/>
        <v>4300</v>
      </c>
      <c r="E397" s="448">
        <f t="shared" si="195"/>
        <v>60453</v>
      </c>
      <c r="F397" s="448">
        <f t="shared" si="195"/>
        <v>0</v>
      </c>
      <c r="G397" s="448">
        <f t="shared" si="195"/>
        <v>0</v>
      </c>
      <c r="H397" s="448">
        <f t="shared" si="195"/>
        <v>78914</v>
      </c>
      <c r="I397" s="448">
        <f t="shared" si="195"/>
        <v>0</v>
      </c>
      <c r="J397" s="448">
        <f t="shared" si="195"/>
        <v>0</v>
      </c>
      <c r="K397" s="448">
        <f t="shared" si="195"/>
        <v>0</v>
      </c>
      <c r="L397" s="448">
        <f t="shared" si="195"/>
        <v>0</v>
      </c>
      <c r="M397" s="448">
        <f t="shared" si="195"/>
        <v>78914</v>
      </c>
      <c r="N397" s="448">
        <f t="shared" si="195"/>
        <v>0</v>
      </c>
      <c r="O397" s="448">
        <f t="shared" si="195"/>
        <v>78914</v>
      </c>
    </row>
    <row r="398" spans="1:16" ht="16.5" thickTop="1" x14ac:dyDescent="0.25">
      <c r="A398" s="469" t="s">
        <v>18</v>
      </c>
      <c r="B398" s="491" t="s">
        <v>813</v>
      </c>
      <c r="C398" s="468"/>
      <c r="D398" s="486"/>
      <c r="E398" s="466"/>
      <c r="F398" s="487"/>
      <c r="G398" s="486"/>
      <c r="H398" s="463"/>
      <c r="I398" s="489"/>
      <c r="J398" s="487"/>
      <c r="K398" s="487"/>
      <c r="L398" s="463"/>
      <c r="M398" s="488"/>
      <c r="N398" s="488"/>
      <c r="O398" s="488"/>
    </row>
    <row r="399" spans="1:16" x14ac:dyDescent="0.25">
      <c r="A399" s="475"/>
      <c r="B399" s="425" t="s">
        <v>387</v>
      </c>
      <c r="C399" s="471">
        <v>4238</v>
      </c>
      <c r="D399" s="466">
        <v>803</v>
      </c>
      <c r="E399" s="466">
        <v>4801</v>
      </c>
      <c r="F399" s="464"/>
      <c r="G399" s="466"/>
      <c r="H399" s="463">
        <f>SUM(C399:G399)</f>
        <v>9842</v>
      </c>
      <c r="I399" s="465"/>
      <c r="J399" s="464"/>
      <c r="K399" s="464"/>
      <c r="L399" s="463">
        <f>SUM(I399:K399)</f>
        <v>0</v>
      </c>
      <c r="M399" s="462">
        <f>SUM(H399+L399)</f>
        <v>9842</v>
      </c>
      <c r="N399" s="462"/>
      <c r="O399" s="462">
        <f>SUM(M399+N399)</f>
        <v>9842</v>
      </c>
    </row>
    <row r="400" spans="1:16" s="476" customFormat="1" x14ac:dyDescent="0.25">
      <c r="A400" s="503"/>
      <c r="B400" s="470" t="s">
        <v>424</v>
      </c>
      <c r="C400" s="502">
        <v>4238</v>
      </c>
      <c r="D400" s="483">
        <v>803</v>
      </c>
      <c r="E400" s="483">
        <v>4801</v>
      </c>
      <c r="F400" s="479"/>
      <c r="G400" s="501"/>
      <c r="H400" s="478">
        <f>SUM(C400:G400)</f>
        <v>9842</v>
      </c>
      <c r="I400" s="480"/>
      <c r="J400" s="479"/>
      <c r="K400" s="501"/>
      <c r="L400" s="478">
        <f>SUM(I400:K400)</f>
        <v>0</v>
      </c>
      <c r="M400" s="477">
        <f>SUM(H400+L400)</f>
        <v>9842</v>
      </c>
      <c r="N400" s="477"/>
      <c r="O400" s="477">
        <f>SUM(M400+N400)</f>
        <v>9842</v>
      </c>
    </row>
    <row r="401" spans="1:15" s="476" customFormat="1" x14ac:dyDescent="0.25">
      <c r="A401" s="503"/>
      <c r="B401" s="470" t="s">
        <v>140</v>
      </c>
      <c r="C401" s="502"/>
      <c r="D401" s="483"/>
      <c r="E401" s="483"/>
      <c r="F401" s="479"/>
      <c r="G401" s="501"/>
      <c r="H401" s="478"/>
      <c r="I401" s="480"/>
      <c r="J401" s="479"/>
      <c r="K401" s="501"/>
      <c r="L401" s="478"/>
      <c r="M401" s="477"/>
      <c r="N401" s="477"/>
      <c r="O401" s="477"/>
    </row>
    <row r="402" spans="1:15" s="476" customFormat="1" x14ac:dyDescent="0.25">
      <c r="A402" s="503"/>
      <c r="B402" s="417" t="s">
        <v>1065</v>
      </c>
      <c r="C402" s="522">
        <v>33</v>
      </c>
      <c r="D402" s="520">
        <v>11</v>
      </c>
      <c r="E402" s="520"/>
      <c r="F402" s="521"/>
      <c r="G402" s="600"/>
      <c r="H402" s="517">
        <f t="shared" ref="H402:H403" si="196">SUM(C402:G402)</f>
        <v>44</v>
      </c>
      <c r="I402" s="550"/>
      <c r="J402" s="521"/>
      <c r="K402" s="600"/>
      <c r="L402" s="478">
        <f t="shared" ref="L402:L403" si="197">SUM(I402:K402)</f>
        <v>0</v>
      </c>
      <c r="M402" s="516">
        <f t="shared" ref="M402:M403" si="198">SUM(H402+L402)</f>
        <v>44</v>
      </c>
      <c r="N402" s="516"/>
      <c r="O402" s="516">
        <f t="shared" ref="O402:O403" si="199">SUM(M402+N402)</f>
        <v>44</v>
      </c>
    </row>
    <row r="403" spans="1:15" s="476" customFormat="1" ht="32.25" thickBot="1" x14ac:dyDescent="0.3">
      <c r="A403" s="503"/>
      <c r="B403" s="417" t="s">
        <v>767</v>
      </c>
      <c r="C403" s="522"/>
      <c r="D403" s="520"/>
      <c r="E403" s="520">
        <v>-1976</v>
      </c>
      <c r="F403" s="521"/>
      <c r="G403" s="600"/>
      <c r="H403" s="517">
        <f t="shared" si="196"/>
        <v>-1976</v>
      </c>
      <c r="I403" s="550">
        <v>1976</v>
      </c>
      <c r="J403" s="521"/>
      <c r="K403" s="600"/>
      <c r="L403" s="517">
        <f t="shared" si="197"/>
        <v>1976</v>
      </c>
      <c r="M403" s="516">
        <f t="shared" si="198"/>
        <v>0</v>
      </c>
      <c r="N403" s="516"/>
      <c r="O403" s="516">
        <f t="shared" si="199"/>
        <v>0</v>
      </c>
    </row>
    <row r="404" spans="1:15" ht="17.25" thickTop="1" thickBot="1" x14ac:dyDescent="0.3">
      <c r="A404" s="450"/>
      <c r="B404" s="449" t="s">
        <v>416</v>
      </c>
      <c r="C404" s="448">
        <f>+C399+C402+C403</f>
        <v>4271</v>
      </c>
      <c r="D404" s="448">
        <f t="shared" ref="D404:O404" si="200">+D399+D402+D403</f>
        <v>814</v>
      </c>
      <c r="E404" s="448">
        <f t="shared" si="200"/>
        <v>2825</v>
      </c>
      <c r="F404" s="448">
        <f t="shared" si="200"/>
        <v>0</v>
      </c>
      <c r="G404" s="448">
        <f t="shared" si="200"/>
        <v>0</v>
      </c>
      <c r="H404" s="448">
        <f t="shared" si="200"/>
        <v>7910</v>
      </c>
      <c r="I404" s="448">
        <f t="shared" si="200"/>
        <v>1976</v>
      </c>
      <c r="J404" s="448">
        <f t="shared" si="200"/>
        <v>0</v>
      </c>
      <c r="K404" s="448">
        <f t="shared" si="200"/>
        <v>0</v>
      </c>
      <c r="L404" s="448">
        <f t="shared" si="200"/>
        <v>1976</v>
      </c>
      <c r="M404" s="448">
        <f t="shared" si="200"/>
        <v>9886</v>
      </c>
      <c r="N404" s="448">
        <f t="shared" si="200"/>
        <v>0</v>
      </c>
      <c r="O404" s="448">
        <f t="shared" si="200"/>
        <v>9886</v>
      </c>
    </row>
    <row r="405" spans="1:15" ht="17.25" thickTop="1" thickBot="1" x14ac:dyDescent="0.3">
      <c r="A405" s="450"/>
      <c r="B405" s="449" t="s">
        <v>423</v>
      </c>
      <c r="C405" s="448">
        <f>+C400+C402+C403</f>
        <v>4271</v>
      </c>
      <c r="D405" s="448">
        <f t="shared" ref="D405:O405" si="201">+D400+D402+D403</f>
        <v>814</v>
      </c>
      <c r="E405" s="448">
        <f t="shared" si="201"/>
        <v>2825</v>
      </c>
      <c r="F405" s="448">
        <f t="shared" si="201"/>
        <v>0</v>
      </c>
      <c r="G405" s="448">
        <f t="shared" si="201"/>
        <v>0</v>
      </c>
      <c r="H405" s="448">
        <f t="shared" si="201"/>
        <v>7910</v>
      </c>
      <c r="I405" s="448">
        <f t="shared" si="201"/>
        <v>1976</v>
      </c>
      <c r="J405" s="448">
        <f t="shared" si="201"/>
        <v>0</v>
      </c>
      <c r="K405" s="448">
        <f t="shared" si="201"/>
        <v>0</v>
      </c>
      <c r="L405" s="448">
        <f t="shared" si="201"/>
        <v>1976</v>
      </c>
      <c r="M405" s="448">
        <f t="shared" si="201"/>
        <v>9886</v>
      </c>
      <c r="N405" s="448">
        <f t="shared" si="201"/>
        <v>0</v>
      </c>
      <c r="O405" s="448">
        <f t="shared" si="201"/>
        <v>9886</v>
      </c>
    </row>
    <row r="406" spans="1:15" ht="16.5" thickTop="1" x14ac:dyDescent="0.25">
      <c r="A406" s="469" t="s">
        <v>19</v>
      </c>
      <c r="B406" s="491" t="s">
        <v>426</v>
      </c>
      <c r="C406" s="468"/>
      <c r="D406" s="486"/>
      <c r="E406" s="466"/>
      <c r="F406" s="487"/>
      <c r="G406" s="486"/>
      <c r="H406" s="463"/>
      <c r="I406" s="489"/>
      <c r="J406" s="487"/>
      <c r="K406" s="487"/>
      <c r="L406" s="463"/>
      <c r="M406" s="488"/>
      <c r="N406" s="488"/>
      <c r="O406" s="488"/>
    </row>
    <row r="407" spans="1:15" x14ac:dyDescent="0.25">
      <c r="A407" s="475"/>
      <c r="B407" s="425" t="s">
        <v>387</v>
      </c>
      <c r="C407" s="471">
        <v>135827</v>
      </c>
      <c r="D407" s="466">
        <v>28487</v>
      </c>
      <c r="E407" s="466">
        <v>158351</v>
      </c>
      <c r="F407" s="464"/>
      <c r="G407" s="466"/>
      <c r="H407" s="463">
        <f>SUM(C407:G407)</f>
        <v>322665</v>
      </c>
      <c r="I407" s="465">
        <v>15928</v>
      </c>
      <c r="J407" s="464"/>
      <c r="K407" s="464"/>
      <c r="L407" s="463">
        <f>SUM(I407:K407)</f>
        <v>15928</v>
      </c>
      <c r="M407" s="462">
        <f>SUM(H407+L407)</f>
        <v>338593</v>
      </c>
      <c r="N407" s="462"/>
      <c r="O407" s="462">
        <f>SUM(M407+N407)</f>
        <v>338593</v>
      </c>
    </row>
    <row r="408" spans="1:15" s="476" customFormat="1" x14ac:dyDescent="0.25">
      <c r="A408" s="503"/>
      <c r="B408" s="470" t="s">
        <v>424</v>
      </c>
      <c r="C408" s="502">
        <v>135827</v>
      </c>
      <c r="D408" s="483">
        <v>28487</v>
      </c>
      <c r="E408" s="483">
        <v>158351</v>
      </c>
      <c r="F408" s="479"/>
      <c r="G408" s="501"/>
      <c r="H408" s="478">
        <f>SUM(C408:G408)</f>
        <v>322665</v>
      </c>
      <c r="I408" s="480">
        <v>15928</v>
      </c>
      <c r="J408" s="479"/>
      <c r="K408" s="501"/>
      <c r="L408" s="478">
        <f>SUM(I408:K408)</f>
        <v>15928</v>
      </c>
      <c r="M408" s="477">
        <f>SUM(H408+L408)</f>
        <v>338593</v>
      </c>
      <c r="N408" s="477"/>
      <c r="O408" s="477">
        <f>SUM(M408+N408)</f>
        <v>338593</v>
      </c>
    </row>
    <row r="409" spans="1:15" s="476" customFormat="1" x14ac:dyDescent="0.25">
      <c r="A409" s="503"/>
      <c r="B409" s="470" t="s">
        <v>140</v>
      </c>
      <c r="C409" s="502"/>
      <c r="D409" s="483"/>
      <c r="E409" s="483"/>
      <c r="F409" s="479"/>
      <c r="G409" s="501"/>
      <c r="H409" s="478"/>
      <c r="I409" s="480"/>
      <c r="J409" s="479"/>
      <c r="K409" s="501"/>
      <c r="L409" s="478"/>
      <c r="M409" s="477"/>
      <c r="N409" s="477"/>
      <c r="O409" s="477"/>
    </row>
    <row r="410" spans="1:15" s="476" customFormat="1" x14ac:dyDescent="0.25">
      <c r="A410" s="503"/>
      <c r="B410" s="417" t="s">
        <v>1073</v>
      </c>
      <c r="C410" s="522">
        <v>480</v>
      </c>
      <c r="D410" s="520">
        <v>94</v>
      </c>
      <c r="E410" s="520"/>
      <c r="F410" s="521"/>
      <c r="G410" s="600"/>
      <c r="H410" s="517">
        <f t="shared" ref="H410:H413" si="202">SUM(C410:G410)</f>
        <v>574</v>
      </c>
      <c r="I410" s="550"/>
      <c r="J410" s="521"/>
      <c r="K410" s="600"/>
      <c r="L410" s="517">
        <f t="shared" ref="L410:L413" si="203">SUM(I410:K410)</f>
        <v>0</v>
      </c>
      <c r="M410" s="516">
        <f t="shared" ref="M410:M413" si="204">SUM(H410+L410)</f>
        <v>574</v>
      </c>
      <c r="N410" s="516"/>
      <c r="O410" s="516">
        <f t="shared" ref="O410:O413" si="205">SUM(M410+N410)</f>
        <v>574</v>
      </c>
    </row>
    <row r="411" spans="1:15" s="476" customFormat="1" x14ac:dyDescent="0.25">
      <c r="A411" s="503"/>
      <c r="B411" s="417" t="s">
        <v>1065</v>
      </c>
      <c r="C411" s="522">
        <v>484</v>
      </c>
      <c r="D411" s="520">
        <v>166</v>
      </c>
      <c r="E411" s="520"/>
      <c r="F411" s="521"/>
      <c r="G411" s="600"/>
      <c r="H411" s="517">
        <f t="shared" si="202"/>
        <v>650</v>
      </c>
      <c r="I411" s="550"/>
      <c r="J411" s="521"/>
      <c r="K411" s="600"/>
      <c r="L411" s="517">
        <f t="shared" si="203"/>
        <v>0</v>
      </c>
      <c r="M411" s="516">
        <f t="shared" si="204"/>
        <v>650</v>
      </c>
      <c r="N411" s="516"/>
      <c r="O411" s="516">
        <f t="shared" si="205"/>
        <v>650</v>
      </c>
    </row>
    <row r="412" spans="1:15" s="476" customFormat="1" ht="31.5" x14ac:dyDescent="0.25">
      <c r="A412" s="503"/>
      <c r="B412" s="417" t="s">
        <v>767</v>
      </c>
      <c r="C412" s="522"/>
      <c r="D412" s="520"/>
      <c r="E412" s="520">
        <f>-3310-11768</f>
        <v>-15078</v>
      </c>
      <c r="F412" s="521"/>
      <c r="G412" s="600"/>
      <c r="H412" s="517">
        <f t="shared" si="202"/>
        <v>-15078</v>
      </c>
      <c r="I412" s="550">
        <f>3310+11768</f>
        <v>15078</v>
      </c>
      <c r="J412" s="521"/>
      <c r="K412" s="600"/>
      <c r="L412" s="517">
        <f t="shared" si="203"/>
        <v>15078</v>
      </c>
      <c r="M412" s="516">
        <f t="shared" si="204"/>
        <v>0</v>
      </c>
      <c r="N412" s="516"/>
      <c r="O412" s="516">
        <f t="shared" si="205"/>
        <v>0</v>
      </c>
    </row>
    <row r="413" spans="1:15" s="476" customFormat="1" ht="32.25" thickBot="1" x14ac:dyDescent="0.3">
      <c r="A413" s="503"/>
      <c r="B413" s="417" t="s">
        <v>766</v>
      </c>
      <c r="C413" s="522"/>
      <c r="D413" s="520"/>
      <c r="E413" s="520">
        <f>1181+15235+1</f>
        <v>16417</v>
      </c>
      <c r="F413" s="521"/>
      <c r="G413" s="600"/>
      <c r="H413" s="517">
        <f t="shared" si="202"/>
        <v>16417</v>
      </c>
      <c r="I413" s="550"/>
      <c r="J413" s="521"/>
      <c r="K413" s="600"/>
      <c r="L413" s="517">
        <f t="shared" si="203"/>
        <v>0</v>
      </c>
      <c r="M413" s="516">
        <f t="shared" si="204"/>
        <v>16417</v>
      </c>
      <c r="N413" s="516"/>
      <c r="O413" s="516">
        <f t="shared" si="205"/>
        <v>16417</v>
      </c>
    </row>
    <row r="414" spans="1:15" ht="17.25" thickTop="1" thickBot="1" x14ac:dyDescent="0.3">
      <c r="A414" s="450"/>
      <c r="B414" s="449" t="s">
        <v>416</v>
      </c>
      <c r="C414" s="448">
        <f>+C407+C410+C411+C412+C413</f>
        <v>136791</v>
      </c>
      <c r="D414" s="448">
        <f t="shared" ref="D414:O414" si="206">+D407+D410+D411+D412+D413</f>
        <v>28747</v>
      </c>
      <c r="E414" s="448">
        <f t="shared" si="206"/>
        <v>159690</v>
      </c>
      <c r="F414" s="448">
        <f t="shared" si="206"/>
        <v>0</v>
      </c>
      <c r="G414" s="448">
        <f t="shared" si="206"/>
        <v>0</v>
      </c>
      <c r="H414" s="448">
        <f t="shared" si="206"/>
        <v>325228</v>
      </c>
      <c r="I414" s="448">
        <f t="shared" si="206"/>
        <v>31006</v>
      </c>
      <c r="J414" s="448">
        <f t="shared" si="206"/>
        <v>0</v>
      </c>
      <c r="K414" s="448">
        <f t="shared" si="206"/>
        <v>0</v>
      </c>
      <c r="L414" s="448">
        <f t="shared" si="206"/>
        <v>31006</v>
      </c>
      <c r="M414" s="448">
        <f t="shared" si="206"/>
        <v>356234</v>
      </c>
      <c r="N414" s="448">
        <f t="shared" si="206"/>
        <v>0</v>
      </c>
      <c r="O414" s="448">
        <f t="shared" si="206"/>
        <v>356234</v>
      </c>
    </row>
    <row r="415" spans="1:15" ht="17.25" thickTop="1" thickBot="1" x14ac:dyDescent="0.3">
      <c r="A415" s="450"/>
      <c r="B415" s="449" t="s">
        <v>423</v>
      </c>
      <c r="C415" s="448">
        <f>+C408+C410+C411+C412+C413</f>
        <v>136791</v>
      </c>
      <c r="D415" s="448">
        <f t="shared" ref="D415:O415" si="207">+D408+D410+D411+D412+D413</f>
        <v>28747</v>
      </c>
      <c r="E415" s="448">
        <f t="shared" si="207"/>
        <v>159690</v>
      </c>
      <c r="F415" s="448">
        <f t="shared" si="207"/>
        <v>0</v>
      </c>
      <c r="G415" s="448">
        <f t="shared" si="207"/>
        <v>0</v>
      </c>
      <c r="H415" s="448">
        <f t="shared" si="207"/>
        <v>325228</v>
      </c>
      <c r="I415" s="448">
        <f t="shared" si="207"/>
        <v>31006</v>
      </c>
      <c r="J415" s="448">
        <f t="shared" si="207"/>
        <v>0</v>
      </c>
      <c r="K415" s="448">
        <f t="shared" si="207"/>
        <v>0</v>
      </c>
      <c r="L415" s="448">
        <f t="shared" si="207"/>
        <v>31006</v>
      </c>
      <c r="M415" s="448">
        <f t="shared" si="207"/>
        <v>356234</v>
      </c>
      <c r="N415" s="448">
        <f t="shared" si="207"/>
        <v>0</v>
      </c>
      <c r="O415" s="448">
        <f t="shared" si="207"/>
        <v>356234</v>
      </c>
    </row>
    <row r="416" spans="1:15" ht="16.5" thickTop="1" x14ac:dyDescent="0.25">
      <c r="A416" s="469" t="s">
        <v>20</v>
      </c>
      <c r="B416" s="491" t="s">
        <v>425</v>
      </c>
      <c r="C416" s="468"/>
      <c r="D416" s="486"/>
      <c r="E416" s="466"/>
      <c r="F416" s="487"/>
      <c r="G416" s="486"/>
      <c r="H416" s="463"/>
      <c r="I416" s="489"/>
      <c r="J416" s="487"/>
      <c r="K416" s="487"/>
      <c r="L416" s="463"/>
      <c r="M416" s="488"/>
      <c r="N416" s="488"/>
      <c r="O416" s="488"/>
    </row>
    <row r="417" spans="1:15" x14ac:dyDescent="0.25">
      <c r="A417" s="469"/>
      <c r="B417" s="417" t="s">
        <v>387</v>
      </c>
      <c r="C417" s="468">
        <v>474880</v>
      </c>
      <c r="D417" s="486">
        <v>97762</v>
      </c>
      <c r="E417" s="466">
        <v>568556</v>
      </c>
      <c r="F417" s="487"/>
      <c r="G417" s="486"/>
      <c r="H417" s="463">
        <f>SUM(C417:G417)</f>
        <v>1141198</v>
      </c>
      <c r="I417" s="465">
        <v>12000</v>
      </c>
      <c r="J417" s="464">
        <v>1139</v>
      </c>
      <c r="K417" s="464"/>
      <c r="L417" s="463">
        <f>SUM(I417:K417)</f>
        <v>13139</v>
      </c>
      <c r="M417" s="462">
        <f>SUM(H417+L417)</f>
        <v>1154337</v>
      </c>
      <c r="N417" s="462"/>
      <c r="O417" s="462">
        <f>SUM(M417+N417)</f>
        <v>1154337</v>
      </c>
    </row>
    <row r="418" spans="1:15" s="476" customFormat="1" x14ac:dyDescent="0.25">
      <c r="A418" s="495"/>
      <c r="B418" s="470" t="s">
        <v>424</v>
      </c>
      <c r="C418" s="498">
        <v>474880</v>
      </c>
      <c r="D418" s="496">
        <v>97762</v>
      </c>
      <c r="E418" s="493">
        <v>568556</v>
      </c>
      <c r="F418" s="497"/>
      <c r="G418" s="496"/>
      <c r="H418" s="478">
        <f>SUM(C418:G418)</f>
        <v>1141198</v>
      </c>
      <c r="I418" s="480">
        <v>12000</v>
      </c>
      <c r="J418" s="479">
        <v>1139</v>
      </c>
      <c r="K418" s="479"/>
      <c r="L418" s="478">
        <f>SUM(I418:K418)</f>
        <v>13139</v>
      </c>
      <c r="M418" s="477">
        <f>SUM(H418+L418)</f>
        <v>1154337</v>
      </c>
      <c r="N418" s="477"/>
      <c r="O418" s="477">
        <f>SUM(M418+N418)</f>
        <v>1154337</v>
      </c>
    </row>
    <row r="419" spans="1:15" s="476" customFormat="1" x14ac:dyDescent="0.25">
      <c r="A419" s="503"/>
      <c r="B419" s="470" t="s">
        <v>140</v>
      </c>
      <c r="C419" s="502"/>
      <c r="D419" s="483"/>
      <c r="E419" s="483"/>
      <c r="F419" s="479"/>
      <c r="G419" s="501"/>
      <c r="H419" s="478"/>
      <c r="I419" s="480"/>
      <c r="J419" s="479"/>
      <c r="K419" s="501"/>
      <c r="L419" s="478"/>
      <c r="M419" s="477"/>
      <c r="N419" s="477"/>
      <c r="O419" s="477"/>
    </row>
    <row r="420" spans="1:15" s="476" customFormat="1" x14ac:dyDescent="0.25">
      <c r="A420" s="503"/>
      <c r="B420" s="417" t="s">
        <v>1034</v>
      </c>
      <c r="C420" s="522">
        <v>172</v>
      </c>
      <c r="D420" s="520">
        <v>34</v>
      </c>
      <c r="E420" s="520"/>
      <c r="F420" s="521"/>
      <c r="G420" s="600"/>
      <c r="H420" s="517">
        <f t="shared" ref="H420:H425" si="208">SUM(C420:G420)</f>
        <v>206</v>
      </c>
      <c r="I420" s="550"/>
      <c r="J420" s="521"/>
      <c r="K420" s="600"/>
      <c r="L420" s="517">
        <f t="shared" ref="L420:L425" si="209">SUM(I420:K420)</f>
        <v>0</v>
      </c>
      <c r="M420" s="516">
        <f t="shared" ref="M420:M425" si="210">SUM(H420+L420)</f>
        <v>206</v>
      </c>
      <c r="N420" s="516"/>
      <c r="O420" s="516">
        <f t="shared" ref="O420:O425" si="211">SUM(M420+N420)</f>
        <v>206</v>
      </c>
    </row>
    <row r="421" spans="1:15" s="476" customFormat="1" x14ac:dyDescent="0.25">
      <c r="A421" s="503"/>
      <c r="B421" s="417" t="s">
        <v>1073</v>
      </c>
      <c r="C421" s="522">
        <v>1734</v>
      </c>
      <c r="D421" s="520">
        <v>338</v>
      </c>
      <c r="E421" s="520"/>
      <c r="F421" s="521"/>
      <c r="G421" s="600"/>
      <c r="H421" s="517">
        <f t="shared" si="208"/>
        <v>2072</v>
      </c>
      <c r="I421" s="550"/>
      <c r="J421" s="521"/>
      <c r="K421" s="600"/>
      <c r="L421" s="517">
        <f t="shared" si="209"/>
        <v>0</v>
      </c>
      <c r="M421" s="516">
        <f t="shared" si="210"/>
        <v>2072</v>
      </c>
      <c r="N421" s="516"/>
      <c r="O421" s="516">
        <f t="shared" si="211"/>
        <v>2072</v>
      </c>
    </row>
    <row r="422" spans="1:15" s="476" customFormat="1" x14ac:dyDescent="0.25">
      <c r="A422" s="503"/>
      <c r="B422" s="417" t="s">
        <v>1065</v>
      </c>
      <c r="C422" s="522">
        <v>1950</v>
      </c>
      <c r="D422" s="520">
        <v>667</v>
      </c>
      <c r="E422" s="520"/>
      <c r="F422" s="521"/>
      <c r="G422" s="600"/>
      <c r="H422" s="517">
        <f t="shared" si="208"/>
        <v>2617</v>
      </c>
      <c r="I422" s="550"/>
      <c r="J422" s="521"/>
      <c r="K422" s="600"/>
      <c r="L422" s="517">
        <f t="shared" si="209"/>
        <v>0</v>
      </c>
      <c r="M422" s="516">
        <f t="shared" si="210"/>
        <v>2617</v>
      </c>
      <c r="N422" s="516"/>
      <c r="O422" s="516">
        <f t="shared" si="211"/>
        <v>2617</v>
      </c>
    </row>
    <row r="423" spans="1:15" s="476" customFormat="1" ht="110.25" x14ac:dyDescent="0.25">
      <c r="A423" s="503"/>
      <c r="B423" s="417" t="s">
        <v>1076</v>
      </c>
      <c r="C423" s="522"/>
      <c r="D423" s="520"/>
      <c r="E423" s="520">
        <v>252</v>
      </c>
      <c r="F423" s="521"/>
      <c r="G423" s="600"/>
      <c r="H423" s="517">
        <f t="shared" si="208"/>
        <v>252</v>
      </c>
      <c r="I423" s="550"/>
      <c r="J423" s="521"/>
      <c r="K423" s="600"/>
      <c r="L423" s="517">
        <f t="shared" si="209"/>
        <v>0</v>
      </c>
      <c r="M423" s="516">
        <f t="shared" si="210"/>
        <v>252</v>
      </c>
      <c r="N423" s="516"/>
      <c r="O423" s="516">
        <f t="shared" si="211"/>
        <v>252</v>
      </c>
    </row>
    <row r="424" spans="1:15" s="476" customFormat="1" ht="31.5" x14ac:dyDescent="0.25">
      <c r="A424" s="503"/>
      <c r="B424" s="417" t="s">
        <v>767</v>
      </c>
      <c r="C424" s="522"/>
      <c r="D424" s="520"/>
      <c r="E424" s="520">
        <v>-10055</v>
      </c>
      <c r="F424" s="521"/>
      <c r="G424" s="600"/>
      <c r="H424" s="517">
        <f t="shared" si="208"/>
        <v>-10055</v>
      </c>
      <c r="I424" s="550">
        <v>8722</v>
      </c>
      <c r="J424" s="521">
        <v>1333</v>
      </c>
      <c r="K424" s="600"/>
      <c r="L424" s="517">
        <f t="shared" si="209"/>
        <v>10055</v>
      </c>
      <c r="M424" s="516">
        <f t="shared" si="210"/>
        <v>0</v>
      </c>
      <c r="N424" s="516"/>
      <c r="O424" s="516">
        <f t="shared" si="211"/>
        <v>0</v>
      </c>
    </row>
    <row r="425" spans="1:15" s="476" customFormat="1" ht="32.25" thickBot="1" x14ac:dyDescent="0.3">
      <c r="A425" s="962"/>
      <c r="B425" s="948" t="s">
        <v>766</v>
      </c>
      <c r="C425" s="955">
        <f>16925+760</f>
        <v>17685</v>
      </c>
      <c r="D425" s="956">
        <f>3300+1446</f>
        <v>4746</v>
      </c>
      <c r="E425" s="956">
        <v>27333</v>
      </c>
      <c r="F425" s="957"/>
      <c r="G425" s="963"/>
      <c r="H425" s="952">
        <f t="shared" si="208"/>
        <v>49764</v>
      </c>
      <c r="I425" s="964"/>
      <c r="J425" s="957"/>
      <c r="K425" s="963"/>
      <c r="L425" s="952">
        <f t="shared" si="209"/>
        <v>0</v>
      </c>
      <c r="M425" s="952">
        <f t="shared" si="210"/>
        <v>49764</v>
      </c>
      <c r="N425" s="952"/>
      <c r="O425" s="952">
        <f t="shared" si="211"/>
        <v>49764</v>
      </c>
    </row>
    <row r="426" spans="1:15" ht="17.25" thickTop="1" thickBot="1" x14ac:dyDescent="0.3">
      <c r="A426" s="450"/>
      <c r="B426" s="449" t="s">
        <v>416</v>
      </c>
      <c r="C426" s="448">
        <f>+C417+C420+C421+C422+C423+C424+C425</f>
        <v>496421</v>
      </c>
      <c r="D426" s="448">
        <f t="shared" ref="D426:O426" si="212">+D417+D420+D421+D422+D423+D424+D425</f>
        <v>103547</v>
      </c>
      <c r="E426" s="448">
        <f t="shared" si="212"/>
        <v>586086</v>
      </c>
      <c r="F426" s="448">
        <f t="shared" si="212"/>
        <v>0</v>
      </c>
      <c r="G426" s="448">
        <f t="shared" si="212"/>
        <v>0</v>
      </c>
      <c r="H426" s="448">
        <f t="shared" si="212"/>
        <v>1186054</v>
      </c>
      <c r="I426" s="448">
        <f t="shared" si="212"/>
        <v>20722</v>
      </c>
      <c r="J426" s="448">
        <f t="shared" si="212"/>
        <v>2472</v>
      </c>
      <c r="K426" s="448">
        <f t="shared" si="212"/>
        <v>0</v>
      </c>
      <c r="L426" s="448">
        <f t="shared" si="212"/>
        <v>23194</v>
      </c>
      <c r="M426" s="448">
        <f t="shared" si="212"/>
        <v>1209248</v>
      </c>
      <c r="N426" s="448">
        <f t="shared" si="212"/>
        <v>0</v>
      </c>
      <c r="O426" s="448">
        <f t="shared" si="212"/>
        <v>1209248</v>
      </c>
    </row>
    <row r="427" spans="1:15" ht="17.25" thickTop="1" thickBot="1" x14ac:dyDescent="0.3">
      <c r="A427" s="450"/>
      <c r="B427" s="449" t="s">
        <v>423</v>
      </c>
      <c r="C427" s="448">
        <f>+C418+C420+C421+C422+C423+C424+C425</f>
        <v>496421</v>
      </c>
      <c r="D427" s="448">
        <f t="shared" ref="D427:O427" si="213">+D418+D420+D421+D422+D423+D424+D425</f>
        <v>103547</v>
      </c>
      <c r="E427" s="448">
        <f t="shared" si="213"/>
        <v>586086</v>
      </c>
      <c r="F427" s="448">
        <f t="shared" si="213"/>
        <v>0</v>
      </c>
      <c r="G427" s="448">
        <f t="shared" si="213"/>
        <v>0</v>
      </c>
      <c r="H427" s="448">
        <f t="shared" si="213"/>
        <v>1186054</v>
      </c>
      <c r="I427" s="448">
        <f t="shared" si="213"/>
        <v>20722</v>
      </c>
      <c r="J427" s="448">
        <f t="shared" si="213"/>
        <v>2472</v>
      </c>
      <c r="K427" s="448">
        <f t="shared" si="213"/>
        <v>0</v>
      </c>
      <c r="L427" s="448">
        <f t="shared" si="213"/>
        <v>23194</v>
      </c>
      <c r="M427" s="448">
        <f t="shared" si="213"/>
        <v>1209248</v>
      </c>
      <c r="N427" s="448">
        <f t="shared" si="213"/>
        <v>0</v>
      </c>
      <c r="O427" s="448">
        <f t="shared" si="213"/>
        <v>1209248</v>
      </c>
    </row>
    <row r="428" spans="1:15" ht="16.5" thickTop="1" x14ac:dyDescent="0.25">
      <c r="A428" s="469" t="s">
        <v>21</v>
      </c>
      <c r="B428" s="491" t="s">
        <v>764</v>
      </c>
      <c r="C428" s="468"/>
      <c r="D428" s="486"/>
      <c r="E428" s="466"/>
      <c r="F428" s="487"/>
      <c r="G428" s="486"/>
      <c r="H428" s="463"/>
      <c r="I428" s="489"/>
      <c r="J428" s="487"/>
      <c r="K428" s="487"/>
      <c r="L428" s="463"/>
      <c r="M428" s="488"/>
      <c r="N428" s="488"/>
      <c r="O428" s="488"/>
    </row>
    <row r="429" spans="1:15" s="476" customFormat="1" x14ac:dyDescent="0.25">
      <c r="A429" s="503"/>
      <c r="B429" s="426" t="s">
        <v>387</v>
      </c>
      <c r="C429" s="522">
        <v>34880</v>
      </c>
      <c r="D429" s="520">
        <v>6773</v>
      </c>
      <c r="E429" s="520">
        <v>33873</v>
      </c>
      <c r="F429" s="521"/>
      <c r="G429" s="600"/>
      <c r="H429" s="517">
        <f t="shared" ref="H429:H434" si="214">SUM(C429:G429)</f>
        <v>75526</v>
      </c>
      <c r="I429" s="550">
        <v>3871</v>
      </c>
      <c r="J429" s="521"/>
      <c r="K429" s="600"/>
      <c r="L429" s="517">
        <f t="shared" ref="L429:L434" si="215">SUM(I429:K429)</f>
        <v>3871</v>
      </c>
      <c r="M429" s="516">
        <f t="shared" ref="M429:M434" si="216">SUM(H429+L429)</f>
        <v>79397</v>
      </c>
      <c r="N429" s="516"/>
      <c r="O429" s="516">
        <f t="shared" ref="O429:O434" si="217">SUM(M429+N429)</f>
        <v>79397</v>
      </c>
    </row>
    <row r="430" spans="1:15" s="476" customFormat="1" x14ac:dyDescent="0.25">
      <c r="A430" s="495"/>
      <c r="B430" s="470" t="s">
        <v>814</v>
      </c>
      <c r="C430" s="498">
        <v>34880</v>
      </c>
      <c r="D430" s="496">
        <v>6773</v>
      </c>
      <c r="E430" s="493">
        <v>33873</v>
      </c>
      <c r="F430" s="497"/>
      <c r="G430" s="496"/>
      <c r="H430" s="478">
        <f t="shared" si="214"/>
        <v>75526</v>
      </c>
      <c r="I430" s="480">
        <v>3871</v>
      </c>
      <c r="J430" s="479"/>
      <c r="K430" s="479"/>
      <c r="L430" s="478">
        <f t="shared" si="215"/>
        <v>3871</v>
      </c>
      <c r="M430" s="477">
        <f t="shared" si="216"/>
        <v>79397</v>
      </c>
      <c r="N430" s="477"/>
      <c r="O430" s="477">
        <f t="shared" si="217"/>
        <v>79397</v>
      </c>
    </row>
    <row r="431" spans="1:15" s="476" customFormat="1" x14ac:dyDescent="0.25">
      <c r="A431" s="503"/>
      <c r="B431" s="470" t="s">
        <v>140</v>
      </c>
      <c r="C431" s="502"/>
      <c r="D431" s="483"/>
      <c r="E431" s="483"/>
      <c r="F431" s="479"/>
      <c r="G431" s="501"/>
      <c r="H431" s="478"/>
      <c r="I431" s="480"/>
      <c r="J431" s="479"/>
      <c r="K431" s="501"/>
      <c r="L431" s="478"/>
      <c r="M431" s="477"/>
      <c r="N431" s="477"/>
      <c r="O431" s="477"/>
    </row>
    <row r="432" spans="1:15" s="476" customFormat="1" x14ac:dyDescent="0.25">
      <c r="A432" s="503"/>
      <c r="B432" s="417" t="s">
        <v>1073</v>
      </c>
      <c r="C432" s="522">
        <v>273</v>
      </c>
      <c r="D432" s="520">
        <v>53</v>
      </c>
      <c r="E432" s="520"/>
      <c r="F432" s="521"/>
      <c r="G432" s="600"/>
      <c r="H432" s="517">
        <f t="shared" si="214"/>
        <v>326</v>
      </c>
      <c r="I432" s="550"/>
      <c r="J432" s="521"/>
      <c r="K432" s="600"/>
      <c r="L432" s="478">
        <f t="shared" si="215"/>
        <v>0</v>
      </c>
      <c r="M432" s="516">
        <f t="shared" si="216"/>
        <v>326</v>
      </c>
      <c r="N432" s="516"/>
      <c r="O432" s="516">
        <f t="shared" si="217"/>
        <v>326</v>
      </c>
    </row>
    <row r="433" spans="1:15" s="476" customFormat="1" x14ac:dyDescent="0.25">
      <c r="A433" s="503"/>
      <c r="B433" s="417" t="s">
        <v>1065</v>
      </c>
      <c r="C433" s="522">
        <v>336</v>
      </c>
      <c r="D433" s="520">
        <v>115</v>
      </c>
      <c r="E433" s="520"/>
      <c r="F433" s="521"/>
      <c r="G433" s="600"/>
      <c r="H433" s="517">
        <f t="shared" si="214"/>
        <v>451</v>
      </c>
      <c r="I433" s="550"/>
      <c r="J433" s="521"/>
      <c r="K433" s="600"/>
      <c r="L433" s="478">
        <f t="shared" si="215"/>
        <v>0</v>
      </c>
      <c r="M433" s="516">
        <f t="shared" si="216"/>
        <v>451</v>
      </c>
      <c r="N433" s="516"/>
      <c r="O433" s="516">
        <f t="shared" si="217"/>
        <v>451</v>
      </c>
    </row>
    <row r="434" spans="1:15" s="476" customFormat="1" ht="32.25" thickBot="1" x14ac:dyDescent="0.3">
      <c r="A434" s="503"/>
      <c r="B434" s="417" t="s">
        <v>767</v>
      </c>
      <c r="C434" s="522"/>
      <c r="D434" s="520"/>
      <c r="E434" s="520">
        <v>-132</v>
      </c>
      <c r="F434" s="521"/>
      <c r="G434" s="600"/>
      <c r="H434" s="517">
        <f t="shared" si="214"/>
        <v>-132</v>
      </c>
      <c r="I434" s="550">
        <v>132</v>
      </c>
      <c r="J434" s="521"/>
      <c r="K434" s="600"/>
      <c r="L434" s="517">
        <f t="shared" si="215"/>
        <v>132</v>
      </c>
      <c r="M434" s="516">
        <f t="shared" si="216"/>
        <v>0</v>
      </c>
      <c r="N434" s="516"/>
      <c r="O434" s="516">
        <f t="shared" si="217"/>
        <v>0</v>
      </c>
    </row>
    <row r="435" spans="1:15" ht="17.25" thickTop="1" thickBot="1" x14ac:dyDescent="0.3">
      <c r="A435" s="450"/>
      <c r="B435" s="449" t="s">
        <v>416</v>
      </c>
      <c r="C435" s="448">
        <f>+C429+C432+C433+C434</f>
        <v>35489</v>
      </c>
      <c r="D435" s="448">
        <f t="shared" ref="D435:O435" si="218">+D429+D432+D433+D434</f>
        <v>6941</v>
      </c>
      <c r="E435" s="448">
        <f t="shared" si="218"/>
        <v>33741</v>
      </c>
      <c r="F435" s="448">
        <f t="shared" si="218"/>
        <v>0</v>
      </c>
      <c r="G435" s="448">
        <f t="shared" si="218"/>
        <v>0</v>
      </c>
      <c r="H435" s="448">
        <f t="shared" si="218"/>
        <v>76171</v>
      </c>
      <c r="I435" s="448">
        <f t="shared" si="218"/>
        <v>4003</v>
      </c>
      <c r="J435" s="448">
        <f t="shared" si="218"/>
        <v>0</v>
      </c>
      <c r="K435" s="448">
        <f t="shared" si="218"/>
        <v>0</v>
      </c>
      <c r="L435" s="448">
        <f t="shared" si="218"/>
        <v>4003</v>
      </c>
      <c r="M435" s="448">
        <f t="shared" si="218"/>
        <v>80174</v>
      </c>
      <c r="N435" s="448">
        <f t="shared" si="218"/>
        <v>0</v>
      </c>
      <c r="O435" s="448">
        <f t="shared" si="218"/>
        <v>80174</v>
      </c>
    </row>
    <row r="436" spans="1:15" ht="17.25" thickTop="1" thickBot="1" x14ac:dyDescent="0.3">
      <c r="A436" s="450"/>
      <c r="B436" s="449" t="s">
        <v>423</v>
      </c>
      <c r="C436" s="448">
        <f>+C430+C432+C433+C434</f>
        <v>35489</v>
      </c>
      <c r="D436" s="448">
        <f t="shared" ref="D436:O436" si="219">+D430+D432+D433+D434</f>
        <v>6941</v>
      </c>
      <c r="E436" s="448">
        <f t="shared" si="219"/>
        <v>33741</v>
      </c>
      <c r="F436" s="448">
        <f t="shared" si="219"/>
        <v>0</v>
      </c>
      <c r="G436" s="448">
        <f t="shared" si="219"/>
        <v>0</v>
      </c>
      <c r="H436" s="448">
        <f t="shared" si="219"/>
        <v>76171</v>
      </c>
      <c r="I436" s="448">
        <f t="shared" si="219"/>
        <v>4003</v>
      </c>
      <c r="J436" s="448">
        <f t="shared" si="219"/>
        <v>0</v>
      </c>
      <c r="K436" s="448">
        <f t="shared" si="219"/>
        <v>0</v>
      </c>
      <c r="L436" s="448">
        <f t="shared" si="219"/>
        <v>4003</v>
      </c>
      <c r="M436" s="448">
        <f t="shared" si="219"/>
        <v>80174</v>
      </c>
      <c r="N436" s="448">
        <f t="shared" si="219"/>
        <v>0</v>
      </c>
      <c r="O436" s="448">
        <f t="shared" si="219"/>
        <v>80174</v>
      </c>
    </row>
    <row r="437" spans="1:15" ht="16.5" thickTop="1" x14ac:dyDescent="0.25">
      <c r="A437" s="469" t="s">
        <v>744</v>
      </c>
      <c r="B437" s="491" t="s">
        <v>422</v>
      </c>
      <c r="C437" s="490"/>
      <c r="D437" s="466"/>
      <c r="E437" s="466"/>
      <c r="F437" s="464"/>
      <c r="G437" s="486"/>
      <c r="H437" s="463"/>
      <c r="I437" s="489"/>
      <c r="J437" s="487"/>
      <c r="K437" s="487"/>
      <c r="L437" s="463"/>
      <c r="M437" s="488"/>
      <c r="N437" s="488"/>
      <c r="O437" s="488"/>
    </row>
    <row r="438" spans="1:15" x14ac:dyDescent="0.25">
      <c r="A438" s="469"/>
      <c r="B438" s="417" t="s">
        <v>387</v>
      </c>
      <c r="C438" s="490">
        <v>94123</v>
      </c>
      <c r="D438" s="466">
        <v>19087</v>
      </c>
      <c r="E438" s="466">
        <v>100801</v>
      </c>
      <c r="F438" s="464"/>
      <c r="G438" s="486"/>
      <c r="H438" s="463">
        <f>SUM(C438:G438)</f>
        <v>214011</v>
      </c>
      <c r="I438" s="465">
        <v>12157</v>
      </c>
      <c r="J438" s="464">
        <v>1784</v>
      </c>
      <c r="K438" s="464"/>
      <c r="L438" s="463">
        <f>SUM(I438:K438)</f>
        <v>13941</v>
      </c>
      <c r="M438" s="462">
        <f>SUM(H438+L438)</f>
        <v>227952</v>
      </c>
      <c r="N438" s="462"/>
      <c r="O438" s="462">
        <f>SUM(M438+N438)</f>
        <v>227952</v>
      </c>
    </row>
    <row r="439" spans="1:15" s="476" customFormat="1" x14ac:dyDescent="0.25">
      <c r="A439" s="485"/>
      <c r="B439" s="470" t="s">
        <v>418</v>
      </c>
      <c r="C439" s="492">
        <v>86245</v>
      </c>
      <c r="D439" s="483">
        <v>17085</v>
      </c>
      <c r="E439" s="483">
        <v>78913</v>
      </c>
      <c r="F439" s="479"/>
      <c r="G439" s="481"/>
      <c r="H439" s="478">
        <f>SUM(C439:G439)</f>
        <v>182243</v>
      </c>
      <c r="I439" s="480">
        <v>11607</v>
      </c>
      <c r="J439" s="479">
        <v>1784</v>
      </c>
      <c r="K439" s="479"/>
      <c r="L439" s="478">
        <f>SUM(I439:K439)</f>
        <v>13391</v>
      </c>
      <c r="M439" s="477">
        <f>SUM(H439+L439)</f>
        <v>195634</v>
      </c>
      <c r="N439" s="477"/>
      <c r="O439" s="477">
        <f>SUM(M439+N439)</f>
        <v>195634</v>
      </c>
    </row>
    <row r="440" spans="1:15" s="476" customFormat="1" x14ac:dyDescent="0.25">
      <c r="A440" s="485"/>
      <c r="B440" s="470" t="s">
        <v>417</v>
      </c>
      <c r="C440" s="492">
        <v>7878</v>
      </c>
      <c r="D440" s="483">
        <v>2002</v>
      </c>
      <c r="E440" s="483">
        <v>21888</v>
      </c>
      <c r="F440" s="479"/>
      <c r="G440" s="481"/>
      <c r="H440" s="478">
        <f>SUM(C440:G440)</f>
        <v>31768</v>
      </c>
      <c r="I440" s="480">
        <v>550</v>
      </c>
      <c r="J440" s="479"/>
      <c r="K440" s="479"/>
      <c r="L440" s="478">
        <f>SUM(I440:K440)</f>
        <v>550</v>
      </c>
      <c r="M440" s="477">
        <f>SUM(H440+L440)</f>
        <v>32318</v>
      </c>
      <c r="N440" s="477"/>
      <c r="O440" s="477">
        <f>SUM(M440+N440)</f>
        <v>32318</v>
      </c>
    </row>
    <row r="441" spans="1:15" s="476" customFormat="1" x14ac:dyDescent="0.25">
      <c r="A441" s="485"/>
      <c r="B441" s="470" t="s">
        <v>139</v>
      </c>
      <c r="C441" s="492"/>
      <c r="D441" s="483"/>
      <c r="E441" s="483"/>
      <c r="F441" s="479"/>
      <c r="G441" s="481"/>
      <c r="H441" s="478"/>
      <c r="I441" s="480"/>
      <c r="J441" s="479"/>
      <c r="K441" s="479"/>
      <c r="L441" s="478"/>
      <c r="M441" s="477"/>
      <c r="N441" s="477"/>
      <c r="O441" s="477"/>
    </row>
    <row r="442" spans="1:15" s="476" customFormat="1" x14ac:dyDescent="0.25">
      <c r="A442" s="485"/>
      <c r="B442" s="417" t="s">
        <v>1073</v>
      </c>
      <c r="C442" s="601">
        <v>446</v>
      </c>
      <c r="D442" s="520">
        <v>87</v>
      </c>
      <c r="E442" s="520"/>
      <c r="F442" s="521"/>
      <c r="G442" s="596"/>
      <c r="H442" s="517">
        <f t="shared" ref="H442:H456" si="220">SUM(C442:G442)</f>
        <v>533</v>
      </c>
      <c r="I442" s="550"/>
      <c r="J442" s="521"/>
      <c r="K442" s="521"/>
      <c r="L442" s="517">
        <f t="shared" ref="L442:L456" si="221">SUM(I442:K442)</f>
        <v>0</v>
      </c>
      <c r="M442" s="516">
        <f t="shared" ref="M442:M456" si="222">SUM(H442+L442)</f>
        <v>533</v>
      </c>
      <c r="N442" s="516"/>
      <c r="O442" s="516">
        <f t="shared" ref="O442:O456" si="223">SUM(M442+N442)</f>
        <v>533</v>
      </c>
    </row>
    <row r="443" spans="1:15" s="476" customFormat="1" ht="31.5" x14ac:dyDescent="0.25">
      <c r="A443" s="485"/>
      <c r="B443" s="417" t="s">
        <v>766</v>
      </c>
      <c r="C443" s="601"/>
      <c r="D443" s="520"/>
      <c r="E443" s="520">
        <v>2</v>
      </c>
      <c r="F443" s="521"/>
      <c r="G443" s="596"/>
      <c r="H443" s="517">
        <f t="shared" si="220"/>
        <v>2</v>
      </c>
      <c r="I443" s="550"/>
      <c r="J443" s="521"/>
      <c r="K443" s="521"/>
      <c r="L443" s="517">
        <f t="shared" si="221"/>
        <v>0</v>
      </c>
      <c r="M443" s="516">
        <f t="shared" si="222"/>
        <v>2</v>
      </c>
      <c r="N443" s="516"/>
      <c r="O443" s="516">
        <f t="shared" si="223"/>
        <v>2</v>
      </c>
    </row>
    <row r="444" spans="1:15" s="476" customFormat="1" x14ac:dyDescent="0.25">
      <c r="A444" s="485"/>
      <c r="B444" s="470" t="s">
        <v>140</v>
      </c>
      <c r="C444" s="601"/>
      <c r="D444" s="520"/>
      <c r="E444" s="520"/>
      <c r="F444" s="521"/>
      <c r="G444" s="596"/>
      <c r="H444" s="517"/>
      <c r="I444" s="550"/>
      <c r="J444" s="521"/>
      <c r="K444" s="521"/>
      <c r="L444" s="517"/>
      <c r="M444" s="516"/>
      <c r="N444" s="516"/>
      <c r="O444" s="516"/>
    </row>
    <row r="445" spans="1:15" s="476" customFormat="1" x14ac:dyDescent="0.25">
      <c r="A445" s="485"/>
      <c r="B445" s="417" t="s">
        <v>1065</v>
      </c>
      <c r="C445" s="601">
        <v>573</v>
      </c>
      <c r="D445" s="520">
        <v>196</v>
      </c>
      <c r="E445" s="520"/>
      <c r="F445" s="521"/>
      <c r="G445" s="596"/>
      <c r="H445" s="517">
        <f t="shared" si="220"/>
        <v>769</v>
      </c>
      <c r="I445" s="550"/>
      <c r="J445" s="521"/>
      <c r="K445" s="521"/>
      <c r="L445" s="517">
        <f t="shared" si="221"/>
        <v>0</v>
      </c>
      <c r="M445" s="516">
        <f t="shared" si="222"/>
        <v>769</v>
      </c>
      <c r="N445" s="516"/>
      <c r="O445" s="516">
        <f t="shared" si="223"/>
        <v>769</v>
      </c>
    </row>
    <row r="446" spans="1:15" s="476" customFormat="1" ht="63" x14ac:dyDescent="0.25">
      <c r="A446" s="485"/>
      <c r="B446" s="417" t="s">
        <v>1049</v>
      </c>
      <c r="C446" s="601"/>
      <c r="D446" s="520"/>
      <c r="E446" s="520">
        <v>100</v>
      </c>
      <c r="F446" s="521"/>
      <c r="G446" s="596"/>
      <c r="H446" s="517">
        <f t="shared" si="220"/>
        <v>100</v>
      </c>
      <c r="I446" s="550"/>
      <c r="J446" s="521"/>
      <c r="K446" s="521"/>
      <c r="L446" s="517">
        <f t="shared" si="221"/>
        <v>0</v>
      </c>
      <c r="M446" s="516">
        <f t="shared" si="222"/>
        <v>100</v>
      </c>
      <c r="N446" s="516"/>
      <c r="O446" s="516">
        <f t="shared" si="223"/>
        <v>100</v>
      </c>
    </row>
    <row r="447" spans="1:15" s="476" customFormat="1" ht="94.5" x14ac:dyDescent="0.25">
      <c r="A447" s="485"/>
      <c r="B447" s="417" t="s">
        <v>1077</v>
      </c>
      <c r="C447" s="601"/>
      <c r="D447" s="520"/>
      <c r="E447" s="520">
        <v>120</v>
      </c>
      <c r="F447" s="521"/>
      <c r="G447" s="596"/>
      <c r="H447" s="517">
        <f t="shared" si="220"/>
        <v>120</v>
      </c>
      <c r="I447" s="550"/>
      <c r="J447" s="521"/>
      <c r="K447" s="521"/>
      <c r="L447" s="517">
        <f t="shared" si="221"/>
        <v>0</v>
      </c>
      <c r="M447" s="516">
        <f t="shared" si="222"/>
        <v>120</v>
      </c>
      <c r="N447" s="516"/>
      <c r="O447" s="516">
        <f t="shared" si="223"/>
        <v>120</v>
      </c>
    </row>
    <row r="448" spans="1:15" s="476" customFormat="1" ht="78.75" x14ac:dyDescent="0.25">
      <c r="A448" s="485"/>
      <c r="B448" s="417" t="s">
        <v>1078</v>
      </c>
      <c r="C448" s="601"/>
      <c r="D448" s="520"/>
      <c r="E448" s="520">
        <v>20</v>
      </c>
      <c r="F448" s="521"/>
      <c r="G448" s="596"/>
      <c r="H448" s="517">
        <f t="shared" si="220"/>
        <v>20</v>
      </c>
      <c r="I448" s="550"/>
      <c r="J448" s="521"/>
      <c r="K448" s="521"/>
      <c r="L448" s="517">
        <f t="shared" si="221"/>
        <v>0</v>
      </c>
      <c r="M448" s="516">
        <f t="shared" si="222"/>
        <v>20</v>
      </c>
      <c r="N448" s="516"/>
      <c r="O448" s="516">
        <f t="shared" si="223"/>
        <v>20</v>
      </c>
    </row>
    <row r="449" spans="1:16" s="476" customFormat="1" ht="63" x14ac:dyDescent="0.25">
      <c r="A449" s="503"/>
      <c r="B449" s="425" t="s">
        <v>1079</v>
      </c>
      <c r="C449" s="965"/>
      <c r="D449" s="520"/>
      <c r="E449" s="520">
        <v>100</v>
      </c>
      <c r="F449" s="521"/>
      <c r="G449" s="520"/>
      <c r="H449" s="517">
        <f t="shared" si="220"/>
        <v>100</v>
      </c>
      <c r="I449" s="550"/>
      <c r="J449" s="521"/>
      <c r="K449" s="521"/>
      <c r="L449" s="517">
        <f t="shared" si="221"/>
        <v>0</v>
      </c>
      <c r="M449" s="517">
        <f t="shared" si="222"/>
        <v>100</v>
      </c>
      <c r="N449" s="517"/>
      <c r="O449" s="517">
        <f t="shared" si="223"/>
        <v>100</v>
      </c>
    </row>
    <row r="450" spans="1:16" s="476" customFormat="1" ht="47.25" x14ac:dyDescent="0.25">
      <c r="A450" s="503"/>
      <c r="B450" s="425" t="s">
        <v>1080</v>
      </c>
      <c r="C450" s="965"/>
      <c r="D450" s="520"/>
      <c r="E450" s="520">
        <v>150</v>
      </c>
      <c r="F450" s="521"/>
      <c r="G450" s="520"/>
      <c r="H450" s="517">
        <f t="shared" si="220"/>
        <v>150</v>
      </c>
      <c r="I450" s="550"/>
      <c r="J450" s="521"/>
      <c r="K450" s="521"/>
      <c r="L450" s="517">
        <f t="shared" si="221"/>
        <v>0</v>
      </c>
      <c r="M450" s="517">
        <f t="shared" si="222"/>
        <v>150</v>
      </c>
      <c r="N450" s="517"/>
      <c r="O450" s="517">
        <f t="shared" si="223"/>
        <v>150</v>
      </c>
    </row>
    <row r="451" spans="1:16" s="476" customFormat="1" ht="78.75" x14ac:dyDescent="0.25">
      <c r="A451" s="485"/>
      <c r="B451" s="417" t="s">
        <v>1081</v>
      </c>
      <c r="C451" s="601"/>
      <c r="D451" s="520"/>
      <c r="E451" s="520">
        <v>100</v>
      </c>
      <c r="F451" s="521"/>
      <c r="G451" s="596"/>
      <c r="H451" s="517">
        <f t="shared" si="220"/>
        <v>100</v>
      </c>
      <c r="I451" s="550"/>
      <c r="J451" s="521"/>
      <c r="K451" s="521"/>
      <c r="L451" s="517">
        <f t="shared" si="221"/>
        <v>0</v>
      </c>
      <c r="M451" s="516">
        <f t="shared" si="222"/>
        <v>100</v>
      </c>
      <c r="N451" s="516"/>
      <c r="O451" s="516">
        <f t="shared" si="223"/>
        <v>100</v>
      </c>
    </row>
    <row r="452" spans="1:16" s="476" customFormat="1" ht="78.75" x14ac:dyDescent="0.25">
      <c r="A452" s="485"/>
      <c r="B452" s="417" t="s">
        <v>1055</v>
      </c>
      <c r="C452" s="601"/>
      <c r="D452" s="520"/>
      <c r="E452" s="520">
        <v>50</v>
      </c>
      <c r="F452" s="521"/>
      <c r="G452" s="596"/>
      <c r="H452" s="517">
        <f t="shared" si="220"/>
        <v>50</v>
      </c>
      <c r="I452" s="550"/>
      <c r="J452" s="521"/>
      <c r="K452" s="521"/>
      <c r="L452" s="517">
        <f t="shared" si="221"/>
        <v>0</v>
      </c>
      <c r="M452" s="516">
        <f t="shared" si="222"/>
        <v>50</v>
      </c>
      <c r="N452" s="516"/>
      <c r="O452" s="516">
        <f t="shared" si="223"/>
        <v>50</v>
      </c>
    </row>
    <row r="453" spans="1:16" s="476" customFormat="1" ht="94.5" x14ac:dyDescent="0.25">
      <c r="A453" s="485"/>
      <c r="B453" s="417" t="s">
        <v>1056</v>
      </c>
      <c r="C453" s="601"/>
      <c r="D453" s="520"/>
      <c r="E453" s="520">
        <v>100</v>
      </c>
      <c r="F453" s="521"/>
      <c r="G453" s="596"/>
      <c r="H453" s="517">
        <f t="shared" si="220"/>
        <v>100</v>
      </c>
      <c r="I453" s="550"/>
      <c r="J453" s="521"/>
      <c r="K453" s="521"/>
      <c r="L453" s="517">
        <f t="shared" si="221"/>
        <v>0</v>
      </c>
      <c r="M453" s="516">
        <f t="shared" si="222"/>
        <v>100</v>
      </c>
      <c r="N453" s="516"/>
      <c r="O453" s="516">
        <f t="shared" si="223"/>
        <v>100</v>
      </c>
    </row>
    <row r="454" spans="1:16" s="476" customFormat="1" ht="78.75" x14ac:dyDescent="0.25">
      <c r="A454" s="485"/>
      <c r="B454" s="417" t="s">
        <v>1057</v>
      </c>
      <c r="C454" s="601"/>
      <c r="D454" s="520"/>
      <c r="E454" s="520">
        <v>100</v>
      </c>
      <c r="F454" s="521"/>
      <c r="G454" s="596"/>
      <c r="H454" s="517">
        <f t="shared" si="220"/>
        <v>100</v>
      </c>
      <c r="I454" s="550"/>
      <c r="J454" s="521"/>
      <c r="K454" s="521"/>
      <c r="L454" s="517">
        <f t="shared" si="221"/>
        <v>0</v>
      </c>
      <c r="M454" s="516">
        <f t="shared" si="222"/>
        <v>100</v>
      </c>
      <c r="N454" s="516"/>
      <c r="O454" s="516">
        <f t="shared" si="223"/>
        <v>100</v>
      </c>
    </row>
    <row r="455" spans="1:16" s="476" customFormat="1" ht="31.5" x14ac:dyDescent="0.25">
      <c r="A455" s="485"/>
      <c r="B455" s="417" t="s">
        <v>767</v>
      </c>
      <c r="C455" s="601"/>
      <c r="D455" s="520">
        <v>327</v>
      </c>
      <c r="E455" s="520">
        <v>-327</v>
      </c>
      <c r="F455" s="521"/>
      <c r="G455" s="596"/>
      <c r="H455" s="517">
        <f t="shared" si="220"/>
        <v>0</v>
      </c>
      <c r="I455" s="550"/>
      <c r="J455" s="521"/>
      <c r="K455" s="521"/>
      <c r="L455" s="517">
        <f t="shared" si="221"/>
        <v>0</v>
      </c>
      <c r="M455" s="516">
        <f t="shared" si="222"/>
        <v>0</v>
      </c>
      <c r="N455" s="516"/>
      <c r="O455" s="516">
        <f t="shared" si="223"/>
        <v>0</v>
      </c>
    </row>
    <row r="456" spans="1:16" s="476" customFormat="1" ht="32.25" thickBot="1" x14ac:dyDescent="0.3">
      <c r="A456" s="485"/>
      <c r="B456" s="417" t="s">
        <v>766</v>
      </c>
      <c r="C456" s="601"/>
      <c r="D456" s="520"/>
      <c r="E456" s="520">
        <v>8948</v>
      </c>
      <c r="F456" s="521"/>
      <c r="G456" s="596"/>
      <c r="H456" s="517">
        <f t="shared" si="220"/>
        <v>8948</v>
      </c>
      <c r="I456" s="550"/>
      <c r="J456" s="521"/>
      <c r="K456" s="521"/>
      <c r="L456" s="517">
        <f t="shared" si="221"/>
        <v>0</v>
      </c>
      <c r="M456" s="516">
        <f t="shared" si="222"/>
        <v>8948</v>
      </c>
      <c r="N456" s="516"/>
      <c r="O456" s="516">
        <f t="shared" si="223"/>
        <v>8948</v>
      </c>
    </row>
    <row r="457" spans="1:16" ht="17.25" thickTop="1" thickBot="1" x14ac:dyDescent="0.3">
      <c r="A457" s="450"/>
      <c r="B457" s="449" t="s">
        <v>416</v>
      </c>
      <c r="C457" s="448">
        <f>+C438+C442+C443+C445+C453+C452+C451+C450+C449+C448+C447+C446+C454+C455+C456</f>
        <v>95142</v>
      </c>
      <c r="D457" s="448">
        <f t="shared" ref="D457:O457" si="224">+D438+D442+D443+D445+D453+D452+D451+D450+D449+D448+D447+D446+D454+D455+D456</f>
        <v>19697</v>
      </c>
      <c r="E457" s="448">
        <f t="shared" si="224"/>
        <v>110264</v>
      </c>
      <c r="F457" s="448">
        <f t="shared" si="224"/>
        <v>0</v>
      </c>
      <c r="G457" s="448">
        <f t="shared" si="224"/>
        <v>0</v>
      </c>
      <c r="H457" s="448">
        <f t="shared" si="224"/>
        <v>225103</v>
      </c>
      <c r="I457" s="448">
        <f t="shared" si="224"/>
        <v>12157</v>
      </c>
      <c r="J457" s="448">
        <f t="shared" si="224"/>
        <v>1784</v>
      </c>
      <c r="K457" s="448">
        <f t="shared" si="224"/>
        <v>0</v>
      </c>
      <c r="L457" s="448">
        <f t="shared" si="224"/>
        <v>13941</v>
      </c>
      <c r="M457" s="448">
        <f t="shared" si="224"/>
        <v>239044</v>
      </c>
      <c r="N457" s="448">
        <f t="shared" si="224"/>
        <v>0</v>
      </c>
      <c r="O457" s="448">
        <f t="shared" si="224"/>
        <v>239044</v>
      </c>
      <c r="P457" s="405">
        <f>O458+O459</f>
        <v>239044</v>
      </c>
    </row>
    <row r="458" spans="1:16" ht="17.25" thickTop="1" thickBot="1" x14ac:dyDescent="0.3">
      <c r="A458" s="450"/>
      <c r="B458" s="449" t="s">
        <v>415</v>
      </c>
      <c r="C458" s="448">
        <f>+C439+C442+C443</f>
        <v>86691</v>
      </c>
      <c r="D458" s="448">
        <f t="shared" ref="D458:O458" si="225">+D439+D442+D443</f>
        <v>17172</v>
      </c>
      <c r="E458" s="448">
        <f t="shared" si="225"/>
        <v>78915</v>
      </c>
      <c r="F458" s="448">
        <f t="shared" si="225"/>
        <v>0</v>
      </c>
      <c r="G458" s="448">
        <f t="shared" si="225"/>
        <v>0</v>
      </c>
      <c r="H458" s="448">
        <f t="shared" si="225"/>
        <v>182778</v>
      </c>
      <c r="I458" s="448">
        <f t="shared" si="225"/>
        <v>11607</v>
      </c>
      <c r="J458" s="448">
        <f t="shared" si="225"/>
        <v>1784</v>
      </c>
      <c r="K458" s="448">
        <f t="shared" si="225"/>
        <v>0</v>
      </c>
      <c r="L458" s="448">
        <f t="shared" si="225"/>
        <v>13391</v>
      </c>
      <c r="M458" s="448">
        <f t="shared" si="225"/>
        <v>196169</v>
      </c>
      <c r="N458" s="448">
        <f t="shared" si="225"/>
        <v>0</v>
      </c>
      <c r="O458" s="448">
        <f t="shared" si="225"/>
        <v>196169</v>
      </c>
    </row>
    <row r="459" spans="1:16" ht="17.25" thickTop="1" thickBot="1" x14ac:dyDescent="0.3">
      <c r="A459" s="450"/>
      <c r="B459" s="449" t="s">
        <v>414</v>
      </c>
      <c r="C459" s="448">
        <f>+C440+C445+C446+C447+C448+C449+C450+C451+C452+C453+C454+C455+C456</f>
        <v>8451</v>
      </c>
      <c r="D459" s="448">
        <f t="shared" ref="D459:O459" si="226">+D440+D445+D446+D447+D448+D449+D450+D451+D452+D453+D454+D455+D456</f>
        <v>2525</v>
      </c>
      <c r="E459" s="448">
        <f t="shared" si="226"/>
        <v>31349</v>
      </c>
      <c r="F459" s="448">
        <f t="shared" si="226"/>
        <v>0</v>
      </c>
      <c r="G459" s="448">
        <f t="shared" si="226"/>
        <v>0</v>
      </c>
      <c r="H459" s="448">
        <f t="shared" si="226"/>
        <v>42325</v>
      </c>
      <c r="I459" s="448">
        <f t="shared" si="226"/>
        <v>550</v>
      </c>
      <c r="J459" s="448">
        <f t="shared" si="226"/>
        <v>0</v>
      </c>
      <c r="K459" s="448">
        <f t="shared" si="226"/>
        <v>0</v>
      </c>
      <c r="L459" s="448">
        <f t="shared" si="226"/>
        <v>550</v>
      </c>
      <c r="M459" s="448">
        <f t="shared" si="226"/>
        <v>42875</v>
      </c>
      <c r="N459" s="448">
        <f t="shared" si="226"/>
        <v>0</v>
      </c>
      <c r="O459" s="448">
        <f t="shared" si="226"/>
        <v>42875</v>
      </c>
    </row>
    <row r="460" spans="1:16" ht="17.25" thickTop="1" thickBot="1" x14ac:dyDescent="0.3">
      <c r="A460" s="450"/>
      <c r="B460" s="449" t="s">
        <v>421</v>
      </c>
      <c r="C460" s="451">
        <f t="shared" ref="C460:O460" si="227">SUM(C364+C379+C395+C414+C426+C435+C457+C404)</f>
        <v>1477190</v>
      </c>
      <c r="D460" s="451">
        <f t="shared" si="227"/>
        <v>311143</v>
      </c>
      <c r="E460" s="451">
        <f t="shared" si="227"/>
        <v>1800935</v>
      </c>
      <c r="F460" s="451">
        <f t="shared" si="227"/>
        <v>0</v>
      </c>
      <c r="G460" s="451">
        <f t="shared" si="227"/>
        <v>134</v>
      </c>
      <c r="H460" s="451">
        <f t="shared" si="227"/>
        <v>3589402</v>
      </c>
      <c r="I460" s="451">
        <f t="shared" si="227"/>
        <v>122995</v>
      </c>
      <c r="J460" s="451">
        <f t="shared" si="227"/>
        <v>9047</v>
      </c>
      <c r="K460" s="451">
        <f t="shared" si="227"/>
        <v>0</v>
      </c>
      <c r="L460" s="451">
        <f t="shared" si="227"/>
        <v>132042</v>
      </c>
      <c r="M460" s="451">
        <f t="shared" si="227"/>
        <v>3721444</v>
      </c>
      <c r="N460" s="451">
        <f t="shared" si="227"/>
        <v>0</v>
      </c>
      <c r="O460" s="451">
        <f t="shared" si="227"/>
        <v>3721444</v>
      </c>
    </row>
    <row r="461" spans="1:16" ht="17.25" thickTop="1" thickBot="1" x14ac:dyDescent="0.3">
      <c r="A461" s="450"/>
      <c r="B461" s="449" t="s">
        <v>420</v>
      </c>
      <c r="C461" s="451">
        <f t="shared" ref="C461:O461" si="228">SUM(C293+C341+C352+C460)</f>
        <v>5826847</v>
      </c>
      <c r="D461" s="451">
        <f t="shared" si="228"/>
        <v>1241838</v>
      </c>
      <c r="E461" s="451">
        <f t="shared" si="228"/>
        <v>5004208</v>
      </c>
      <c r="F461" s="451">
        <f t="shared" si="228"/>
        <v>64370</v>
      </c>
      <c r="G461" s="451">
        <f t="shared" si="228"/>
        <v>19641</v>
      </c>
      <c r="H461" s="451">
        <f t="shared" si="228"/>
        <v>12156904</v>
      </c>
      <c r="I461" s="451">
        <f t="shared" si="228"/>
        <v>247287</v>
      </c>
      <c r="J461" s="451">
        <f t="shared" si="228"/>
        <v>19571</v>
      </c>
      <c r="K461" s="451">
        <f t="shared" si="228"/>
        <v>0</v>
      </c>
      <c r="L461" s="451">
        <f t="shared" si="228"/>
        <v>266858</v>
      </c>
      <c r="M461" s="451">
        <f t="shared" si="228"/>
        <v>12423762</v>
      </c>
      <c r="N461" s="451">
        <f t="shared" si="228"/>
        <v>0</v>
      </c>
      <c r="O461" s="451">
        <f t="shared" si="228"/>
        <v>12423762</v>
      </c>
    </row>
    <row r="462" spans="1:16" ht="16.5" thickTop="1" x14ac:dyDescent="0.25">
      <c r="A462" s="469" t="s">
        <v>745</v>
      </c>
      <c r="B462" s="491" t="s">
        <v>419</v>
      </c>
      <c r="C462" s="490"/>
      <c r="D462" s="466"/>
      <c r="E462" s="466"/>
      <c r="F462" s="464"/>
      <c r="G462" s="486"/>
      <c r="H462" s="463"/>
      <c r="I462" s="489"/>
      <c r="J462" s="487"/>
      <c r="K462" s="487"/>
      <c r="L462" s="463"/>
      <c r="M462" s="488"/>
      <c r="N462" s="488"/>
      <c r="O462" s="488"/>
    </row>
    <row r="463" spans="1:16" x14ac:dyDescent="0.25">
      <c r="A463" s="469"/>
      <c r="B463" s="417" t="s">
        <v>387</v>
      </c>
      <c r="C463" s="468">
        <v>2022640</v>
      </c>
      <c r="D463" s="486">
        <v>418825</v>
      </c>
      <c r="E463" s="466">
        <v>423127</v>
      </c>
      <c r="F463" s="487">
        <v>10000</v>
      </c>
      <c r="G463" s="486"/>
      <c r="H463" s="463">
        <f>SUM(C463:G463)</f>
        <v>2874592</v>
      </c>
      <c r="I463" s="465">
        <v>156008</v>
      </c>
      <c r="J463" s="464">
        <v>22443</v>
      </c>
      <c r="K463" s="464"/>
      <c r="L463" s="463">
        <f>SUM(I463:K463)</f>
        <v>178451</v>
      </c>
      <c r="M463" s="462">
        <f>SUM(H463+L463)</f>
        <v>3053043</v>
      </c>
      <c r="N463" s="462"/>
      <c r="O463" s="462">
        <f>SUM(M463+N463)</f>
        <v>3053043</v>
      </c>
    </row>
    <row r="464" spans="1:16" s="476" customFormat="1" x14ac:dyDescent="0.25">
      <c r="A464" s="485"/>
      <c r="B464" s="470" t="s">
        <v>418</v>
      </c>
      <c r="C464" s="484">
        <v>939104</v>
      </c>
      <c r="D464" s="481">
        <v>196851</v>
      </c>
      <c r="E464" s="483">
        <v>223907</v>
      </c>
      <c r="F464" s="482">
        <v>10000</v>
      </c>
      <c r="G464" s="481"/>
      <c r="H464" s="478">
        <f>SUM(C464:G464)</f>
        <v>1369862</v>
      </c>
      <c r="I464" s="480">
        <v>83352</v>
      </c>
      <c r="J464" s="479">
        <v>13062</v>
      </c>
      <c r="K464" s="479"/>
      <c r="L464" s="478">
        <f>SUM(I464:K464)</f>
        <v>96414</v>
      </c>
      <c r="M464" s="477">
        <f>SUM(H464+L464)</f>
        <v>1466276</v>
      </c>
      <c r="N464" s="477"/>
      <c r="O464" s="477">
        <f>SUM(M464+N464)</f>
        <v>1466276</v>
      </c>
    </row>
    <row r="465" spans="1:16" s="476" customFormat="1" x14ac:dyDescent="0.25">
      <c r="A465" s="485"/>
      <c r="B465" s="470" t="s">
        <v>417</v>
      </c>
      <c r="C465" s="484">
        <v>464962</v>
      </c>
      <c r="D465" s="481">
        <v>94785</v>
      </c>
      <c r="E465" s="483">
        <v>27949</v>
      </c>
      <c r="F465" s="482"/>
      <c r="G465" s="481"/>
      <c r="H465" s="478">
        <f>SUM(C465:G465)</f>
        <v>587696</v>
      </c>
      <c r="I465" s="480"/>
      <c r="J465" s="479"/>
      <c r="K465" s="479"/>
      <c r="L465" s="478">
        <f>SUM(I465:K465)</f>
        <v>0</v>
      </c>
      <c r="M465" s="477">
        <f>SUM(H465+L465)</f>
        <v>587696</v>
      </c>
      <c r="N465" s="477"/>
      <c r="O465" s="477">
        <f>SUM(M465+N465)</f>
        <v>587696</v>
      </c>
    </row>
    <row r="466" spans="1:16" s="476" customFormat="1" x14ac:dyDescent="0.25">
      <c r="A466" s="485"/>
      <c r="B466" s="470" t="s">
        <v>487</v>
      </c>
      <c r="C466" s="484">
        <v>618574</v>
      </c>
      <c r="D466" s="481">
        <v>127189</v>
      </c>
      <c r="E466" s="483">
        <v>171271</v>
      </c>
      <c r="F466" s="482"/>
      <c r="G466" s="481"/>
      <c r="H466" s="478">
        <f>SUM(C466:G466)</f>
        <v>917034</v>
      </c>
      <c r="I466" s="480">
        <v>72656</v>
      </c>
      <c r="J466" s="479">
        <v>9381</v>
      </c>
      <c r="K466" s="479"/>
      <c r="L466" s="478">
        <f>SUM(I466:K466)</f>
        <v>82037</v>
      </c>
      <c r="M466" s="477">
        <f>SUM(H466+L466)</f>
        <v>999071</v>
      </c>
      <c r="N466" s="477"/>
      <c r="O466" s="477">
        <f>SUM(M466+N466)</f>
        <v>999071</v>
      </c>
    </row>
    <row r="467" spans="1:16" s="476" customFormat="1" x14ac:dyDescent="0.25">
      <c r="A467" s="485"/>
      <c r="B467" s="470" t="s">
        <v>139</v>
      </c>
      <c r="C467" s="484"/>
      <c r="D467" s="481"/>
      <c r="E467" s="483"/>
      <c r="F467" s="482"/>
      <c r="G467" s="481"/>
      <c r="H467" s="478"/>
      <c r="I467" s="480"/>
      <c r="J467" s="479"/>
      <c r="K467" s="479"/>
      <c r="L467" s="478"/>
      <c r="M467" s="477"/>
      <c r="N467" s="477"/>
      <c r="O467" s="477"/>
    </row>
    <row r="468" spans="1:16" s="476" customFormat="1" x14ac:dyDescent="0.25">
      <c r="A468" s="503"/>
      <c r="B468" s="425" t="s">
        <v>1034</v>
      </c>
      <c r="C468" s="522">
        <v>164</v>
      </c>
      <c r="D468" s="520">
        <v>32</v>
      </c>
      <c r="E468" s="520"/>
      <c r="F468" s="521"/>
      <c r="G468" s="520"/>
      <c r="H468" s="517">
        <f t="shared" ref="H468:H469" si="229">SUM(C468:G468)</f>
        <v>196</v>
      </c>
      <c r="I468" s="550"/>
      <c r="J468" s="521"/>
      <c r="K468" s="521"/>
      <c r="L468" s="517">
        <f t="shared" ref="L468:L469" si="230">SUM(I468:K468)</f>
        <v>0</v>
      </c>
      <c r="M468" s="517">
        <f t="shared" ref="M468:M469" si="231">SUM(H468+L468)</f>
        <v>196</v>
      </c>
      <c r="N468" s="517"/>
      <c r="O468" s="517">
        <f t="shared" ref="O468:O470" si="232">SUM(M468+N468)</f>
        <v>196</v>
      </c>
    </row>
    <row r="469" spans="1:16" s="476" customFormat="1" ht="31.5" x14ac:dyDescent="0.25">
      <c r="A469" s="503"/>
      <c r="B469" s="425" t="s">
        <v>766</v>
      </c>
      <c r="C469" s="522"/>
      <c r="D469" s="520"/>
      <c r="E469" s="520">
        <v>275</v>
      </c>
      <c r="F469" s="521"/>
      <c r="G469" s="520"/>
      <c r="H469" s="517">
        <f t="shared" si="229"/>
        <v>275</v>
      </c>
      <c r="I469" s="550"/>
      <c r="J469" s="521"/>
      <c r="K469" s="521"/>
      <c r="L469" s="517">
        <f t="shared" si="230"/>
        <v>0</v>
      </c>
      <c r="M469" s="517">
        <f t="shared" si="231"/>
        <v>275</v>
      </c>
      <c r="N469" s="517"/>
      <c r="O469" s="517">
        <f t="shared" si="232"/>
        <v>275</v>
      </c>
    </row>
    <row r="470" spans="1:16" s="476" customFormat="1" ht="31.5" x14ac:dyDescent="0.25">
      <c r="A470" s="485"/>
      <c r="B470" s="417" t="s">
        <v>767</v>
      </c>
      <c r="C470" s="595">
        <f>924-2-260-16-2663</f>
        <v>-2017</v>
      </c>
      <c r="D470" s="596">
        <f>17+2663</f>
        <v>2680</v>
      </c>
      <c r="E470" s="520">
        <f>-914-398+141-146-58+2+260+16</f>
        <v>-1097</v>
      </c>
      <c r="F470" s="597"/>
      <c r="G470" s="596"/>
      <c r="H470" s="517">
        <f t="shared" ref="H470:H472" si="233">SUM(C470:G470)</f>
        <v>-434</v>
      </c>
      <c r="I470" s="550">
        <f>-27+398-141+146+58</f>
        <v>434</v>
      </c>
      <c r="J470" s="521"/>
      <c r="K470" s="521"/>
      <c r="L470" s="517">
        <f t="shared" ref="L470" si="234">SUM(I470:K470)</f>
        <v>434</v>
      </c>
      <c r="M470" s="516">
        <f t="shared" ref="M470" si="235">SUM(H470+L470)</f>
        <v>0</v>
      </c>
      <c r="N470" s="516"/>
      <c r="O470" s="516">
        <f t="shared" si="232"/>
        <v>0</v>
      </c>
    </row>
    <row r="471" spans="1:16" s="476" customFormat="1" x14ac:dyDescent="0.25">
      <c r="A471" s="485"/>
      <c r="B471" s="470" t="s">
        <v>140</v>
      </c>
      <c r="C471" s="595"/>
      <c r="D471" s="596"/>
      <c r="E471" s="520"/>
      <c r="F471" s="597"/>
      <c r="G471" s="596"/>
      <c r="H471" s="517"/>
      <c r="I471" s="550"/>
      <c r="J471" s="521"/>
      <c r="K471" s="521"/>
      <c r="L471" s="517"/>
      <c r="M471" s="516"/>
      <c r="N471" s="516"/>
      <c r="O471" s="516"/>
    </row>
    <row r="472" spans="1:16" s="476" customFormat="1" ht="31.5" x14ac:dyDescent="0.25">
      <c r="A472" s="485"/>
      <c r="B472" s="417" t="s">
        <v>767</v>
      </c>
      <c r="C472" s="595">
        <v>1066</v>
      </c>
      <c r="D472" s="596">
        <v>321</v>
      </c>
      <c r="E472" s="520">
        <v>-1387</v>
      </c>
      <c r="F472" s="597"/>
      <c r="G472" s="596"/>
      <c r="H472" s="517">
        <f t="shared" si="233"/>
        <v>0</v>
      </c>
      <c r="I472" s="550"/>
      <c r="J472" s="521"/>
      <c r="K472" s="521"/>
      <c r="L472" s="517">
        <f t="shared" ref="L472" si="236">SUM(I472:K472)</f>
        <v>0</v>
      </c>
      <c r="M472" s="516">
        <f t="shared" ref="M472" si="237">SUM(H472+L472)</f>
        <v>0</v>
      </c>
      <c r="N472" s="516"/>
      <c r="O472" s="516">
        <f t="shared" ref="O472" si="238">SUM(M472+N472)</f>
        <v>0</v>
      </c>
    </row>
    <row r="473" spans="1:16" s="476" customFormat="1" x14ac:dyDescent="0.25">
      <c r="A473" s="485"/>
      <c r="B473" s="470" t="s">
        <v>367</v>
      </c>
      <c r="C473" s="595"/>
      <c r="D473" s="596"/>
      <c r="E473" s="520"/>
      <c r="F473" s="597"/>
      <c r="G473" s="596"/>
      <c r="H473" s="517"/>
      <c r="I473" s="550"/>
      <c r="J473" s="521"/>
      <c r="K473" s="521"/>
      <c r="L473" s="517"/>
      <c r="M473" s="516"/>
      <c r="N473" s="516"/>
      <c r="O473" s="516"/>
    </row>
    <row r="474" spans="1:16" s="476" customFormat="1" ht="32.25" thickBot="1" x14ac:dyDescent="0.3">
      <c r="A474" s="485"/>
      <c r="B474" s="417" t="s">
        <v>767</v>
      </c>
      <c r="C474" s="595">
        <f>664-1-186-1912</f>
        <v>-1435</v>
      </c>
      <c r="D474" s="596">
        <f>12+1912</f>
        <v>1924</v>
      </c>
      <c r="E474" s="520">
        <f>-656-285+102-105-42+1+186</f>
        <v>-799</v>
      </c>
      <c r="F474" s="597"/>
      <c r="G474" s="596"/>
      <c r="H474" s="517">
        <f t="shared" ref="H474" si="239">SUM(C474:G474)</f>
        <v>-310</v>
      </c>
      <c r="I474" s="550">
        <f>-20+285-102+105+42</f>
        <v>310</v>
      </c>
      <c r="J474" s="521"/>
      <c r="K474" s="521"/>
      <c r="L474" s="517">
        <f t="shared" ref="L474" si="240">SUM(I474:K474)</f>
        <v>310</v>
      </c>
      <c r="M474" s="516">
        <f t="shared" ref="M474" si="241">SUM(H474+L474)</f>
        <v>0</v>
      </c>
      <c r="N474" s="516"/>
      <c r="O474" s="516">
        <f t="shared" ref="O474" si="242">SUM(M474+N474)</f>
        <v>0</v>
      </c>
    </row>
    <row r="475" spans="1:16" s="460" customFormat="1" ht="17.25" thickTop="1" thickBot="1" x14ac:dyDescent="0.3">
      <c r="A475" s="450"/>
      <c r="B475" s="449" t="s">
        <v>416</v>
      </c>
      <c r="C475" s="448">
        <f>+C463+C468+C469+C470+C472+C474</f>
        <v>2020418</v>
      </c>
      <c r="D475" s="448">
        <f t="shared" ref="D475:O475" si="243">+D463+D468+D469+D470+D472+D474</f>
        <v>423782</v>
      </c>
      <c r="E475" s="448">
        <f t="shared" si="243"/>
        <v>420119</v>
      </c>
      <c r="F475" s="448">
        <f t="shared" si="243"/>
        <v>10000</v>
      </c>
      <c r="G475" s="448">
        <f t="shared" si="243"/>
        <v>0</v>
      </c>
      <c r="H475" s="448">
        <f t="shared" si="243"/>
        <v>2874319</v>
      </c>
      <c r="I475" s="448">
        <f t="shared" si="243"/>
        <v>156752</v>
      </c>
      <c r="J475" s="448">
        <f t="shared" si="243"/>
        <v>22443</v>
      </c>
      <c r="K475" s="448">
        <f t="shared" si="243"/>
        <v>0</v>
      </c>
      <c r="L475" s="448">
        <f t="shared" si="243"/>
        <v>179195</v>
      </c>
      <c r="M475" s="448">
        <f t="shared" si="243"/>
        <v>3053514</v>
      </c>
      <c r="N475" s="448">
        <f t="shared" si="243"/>
        <v>0</v>
      </c>
      <c r="O475" s="448">
        <f t="shared" si="243"/>
        <v>3053514</v>
      </c>
      <c r="P475" s="461">
        <f>+O476+O477+O478</f>
        <v>3053514</v>
      </c>
    </row>
    <row r="476" spans="1:16" ht="17.25" thickTop="1" thickBot="1" x14ac:dyDescent="0.3">
      <c r="A476" s="450"/>
      <c r="B476" s="449" t="s">
        <v>415</v>
      </c>
      <c r="C476" s="448">
        <f>+C464+C468+C469+C470</f>
        <v>937251</v>
      </c>
      <c r="D476" s="448">
        <f t="shared" ref="D476:O476" si="244">+D464+D468+D469+D470</f>
        <v>199563</v>
      </c>
      <c r="E476" s="448">
        <f t="shared" si="244"/>
        <v>223085</v>
      </c>
      <c r="F476" s="448">
        <f t="shared" si="244"/>
        <v>10000</v>
      </c>
      <c r="G476" s="448">
        <f t="shared" si="244"/>
        <v>0</v>
      </c>
      <c r="H476" s="448">
        <f t="shared" si="244"/>
        <v>1369899</v>
      </c>
      <c r="I476" s="448">
        <f t="shared" si="244"/>
        <v>83786</v>
      </c>
      <c r="J476" s="448">
        <f t="shared" si="244"/>
        <v>13062</v>
      </c>
      <c r="K476" s="448">
        <f t="shared" si="244"/>
        <v>0</v>
      </c>
      <c r="L476" s="448">
        <f t="shared" si="244"/>
        <v>96848</v>
      </c>
      <c r="M476" s="448">
        <f t="shared" si="244"/>
        <v>1466747</v>
      </c>
      <c r="N476" s="448">
        <f t="shared" si="244"/>
        <v>0</v>
      </c>
      <c r="O476" s="448">
        <f t="shared" si="244"/>
        <v>1466747</v>
      </c>
    </row>
    <row r="477" spans="1:16" ht="17.25" thickTop="1" thickBot="1" x14ac:dyDescent="0.3">
      <c r="A477" s="450"/>
      <c r="B477" s="449" t="s">
        <v>414</v>
      </c>
      <c r="C477" s="448">
        <f>+C465+C472</f>
        <v>466028</v>
      </c>
      <c r="D477" s="448">
        <f t="shared" ref="D477:O477" si="245">+D465+D472</f>
        <v>95106</v>
      </c>
      <c r="E477" s="448">
        <f t="shared" si="245"/>
        <v>26562</v>
      </c>
      <c r="F477" s="448">
        <f t="shared" si="245"/>
        <v>0</v>
      </c>
      <c r="G477" s="448">
        <f t="shared" si="245"/>
        <v>0</v>
      </c>
      <c r="H477" s="448">
        <f t="shared" si="245"/>
        <v>587696</v>
      </c>
      <c r="I477" s="448">
        <f t="shared" si="245"/>
        <v>0</v>
      </c>
      <c r="J477" s="448">
        <f t="shared" si="245"/>
        <v>0</v>
      </c>
      <c r="K477" s="448">
        <f t="shared" si="245"/>
        <v>0</v>
      </c>
      <c r="L477" s="448">
        <f t="shared" si="245"/>
        <v>0</v>
      </c>
      <c r="M477" s="448">
        <f t="shared" si="245"/>
        <v>587696</v>
      </c>
      <c r="N477" s="448">
        <f t="shared" si="245"/>
        <v>0</v>
      </c>
      <c r="O477" s="448">
        <f t="shared" si="245"/>
        <v>587696</v>
      </c>
    </row>
    <row r="478" spans="1:16" ht="33" thickTop="1" thickBot="1" x14ac:dyDescent="0.3">
      <c r="A478" s="450"/>
      <c r="B478" s="449" t="s">
        <v>486</v>
      </c>
      <c r="C478" s="448">
        <f>+C466+C474</f>
        <v>617139</v>
      </c>
      <c r="D478" s="448">
        <f t="shared" ref="D478:O478" si="246">+D466+D474</f>
        <v>129113</v>
      </c>
      <c r="E478" s="448">
        <f t="shared" si="246"/>
        <v>170472</v>
      </c>
      <c r="F478" s="448">
        <f t="shared" si="246"/>
        <v>0</v>
      </c>
      <c r="G478" s="448">
        <f t="shared" si="246"/>
        <v>0</v>
      </c>
      <c r="H478" s="448">
        <f t="shared" si="246"/>
        <v>916724</v>
      </c>
      <c r="I478" s="448">
        <f t="shared" si="246"/>
        <v>72966</v>
      </c>
      <c r="J478" s="448">
        <f t="shared" si="246"/>
        <v>9381</v>
      </c>
      <c r="K478" s="448">
        <f t="shared" si="246"/>
        <v>0</v>
      </c>
      <c r="L478" s="448">
        <f t="shared" si="246"/>
        <v>82347</v>
      </c>
      <c r="M478" s="448">
        <f t="shared" si="246"/>
        <v>999071</v>
      </c>
      <c r="N478" s="448">
        <f t="shared" si="246"/>
        <v>0</v>
      </c>
      <c r="O478" s="448">
        <f t="shared" si="246"/>
        <v>999071</v>
      </c>
    </row>
    <row r="479" spans="1:16" s="460" customFormat="1" ht="17.25" thickTop="1" thickBot="1" x14ac:dyDescent="0.3">
      <c r="A479" s="450"/>
      <c r="B479" s="449" t="s">
        <v>411</v>
      </c>
      <c r="C479" s="451">
        <f t="shared" ref="C479:O479" si="247">SUM(C461+C475)</f>
        <v>7847265</v>
      </c>
      <c r="D479" s="451">
        <f t="shared" si="247"/>
        <v>1665620</v>
      </c>
      <c r="E479" s="451">
        <f t="shared" si="247"/>
        <v>5424327</v>
      </c>
      <c r="F479" s="451">
        <f t="shared" si="247"/>
        <v>74370</v>
      </c>
      <c r="G479" s="451">
        <f t="shared" si="247"/>
        <v>19641</v>
      </c>
      <c r="H479" s="451">
        <f t="shared" si="247"/>
        <v>15031223</v>
      </c>
      <c r="I479" s="451">
        <f t="shared" si="247"/>
        <v>404039</v>
      </c>
      <c r="J479" s="451">
        <f t="shared" si="247"/>
        <v>42014</v>
      </c>
      <c r="K479" s="451">
        <f t="shared" si="247"/>
        <v>0</v>
      </c>
      <c r="L479" s="451">
        <f t="shared" si="247"/>
        <v>446053</v>
      </c>
      <c r="M479" s="451">
        <f t="shared" si="247"/>
        <v>15477276</v>
      </c>
      <c r="N479" s="451">
        <f t="shared" si="247"/>
        <v>0</v>
      </c>
      <c r="O479" s="451">
        <f t="shared" si="247"/>
        <v>15477276</v>
      </c>
    </row>
    <row r="480" spans="1:16" s="460" customFormat="1" ht="17.25" thickTop="1" thickBot="1" x14ac:dyDescent="0.3">
      <c r="A480" s="450"/>
      <c r="B480" s="449" t="s">
        <v>387</v>
      </c>
      <c r="C480" s="451">
        <f t="shared" ref="C480:O480" si="248">SUM(C8+C23+C40+C53+C68+C82+C95+C108+C123+C139+C152+C167+C182+C196+C210+C224+C239+C253+C266+C279+C295+C312+C327+C343+C356+C367+C383+C407+C417+C429+C438+C463+C399)</f>
        <v>7725124</v>
      </c>
      <c r="D480" s="451">
        <f t="shared" si="248"/>
        <v>1618415</v>
      </c>
      <c r="E480" s="451">
        <f t="shared" si="248"/>
        <v>5221118</v>
      </c>
      <c r="F480" s="451">
        <f t="shared" si="248"/>
        <v>73244</v>
      </c>
      <c r="G480" s="451">
        <f t="shared" si="248"/>
        <v>134</v>
      </c>
      <c r="H480" s="451">
        <f t="shared" si="248"/>
        <v>14638035</v>
      </c>
      <c r="I480" s="451">
        <f t="shared" si="248"/>
        <v>297705</v>
      </c>
      <c r="J480" s="451">
        <f t="shared" si="248"/>
        <v>40505</v>
      </c>
      <c r="K480" s="451">
        <f t="shared" si="248"/>
        <v>0</v>
      </c>
      <c r="L480" s="451">
        <f t="shared" si="248"/>
        <v>338210</v>
      </c>
      <c r="M480" s="451">
        <f t="shared" si="248"/>
        <v>14976245</v>
      </c>
      <c r="N480" s="451">
        <f t="shared" si="248"/>
        <v>0</v>
      </c>
      <c r="O480" s="451">
        <f t="shared" si="248"/>
        <v>14976245</v>
      </c>
    </row>
    <row r="481" spans="1:15" ht="24" customHeight="1" thickTop="1" x14ac:dyDescent="0.25">
      <c r="A481" s="459"/>
      <c r="B481" s="458" t="s">
        <v>139</v>
      </c>
      <c r="C481" s="457"/>
      <c r="D481" s="456"/>
      <c r="E481" s="456"/>
      <c r="F481" s="456"/>
      <c r="G481" s="456"/>
      <c r="H481" s="453"/>
      <c r="I481" s="455"/>
      <c r="J481" s="454"/>
      <c r="K481" s="454"/>
      <c r="L481" s="453"/>
      <c r="M481" s="453"/>
      <c r="N481" s="453"/>
      <c r="O481" s="453"/>
    </row>
    <row r="482" spans="1:15" s="607" customFormat="1" x14ac:dyDescent="0.25">
      <c r="A482" s="602"/>
      <c r="B482" s="603" t="s">
        <v>1034</v>
      </c>
      <c r="C482" s="604">
        <f t="shared" ref="C482:O482" si="249">C12+C27+C44+C57+C72+C86+C99+C112+C127+C143+C156+C171+C186+C200+C214+C228+C270+C283+C299+C316+C331+C347+C371+C387+C468</f>
        <v>1843</v>
      </c>
      <c r="D482" s="604">
        <f t="shared" si="249"/>
        <v>358</v>
      </c>
      <c r="E482" s="604">
        <f t="shared" si="249"/>
        <v>0</v>
      </c>
      <c r="F482" s="604">
        <f t="shared" si="249"/>
        <v>0</v>
      </c>
      <c r="G482" s="604">
        <f t="shared" si="249"/>
        <v>0</v>
      </c>
      <c r="H482" s="606">
        <f t="shared" si="249"/>
        <v>2201</v>
      </c>
      <c r="I482" s="606">
        <f t="shared" si="249"/>
        <v>0</v>
      </c>
      <c r="J482" s="606">
        <f t="shared" si="249"/>
        <v>0</v>
      </c>
      <c r="K482" s="606">
        <f t="shared" si="249"/>
        <v>0</v>
      </c>
      <c r="L482" s="606">
        <f t="shared" si="249"/>
        <v>0</v>
      </c>
      <c r="M482" s="606">
        <f t="shared" si="249"/>
        <v>2201</v>
      </c>
      <c r="N482" s="606">
        <f t="shared" si="249"/>
        <v>0</v>
      </c>
      <c r="O482" s="606">
        <f t="shared" si="249"/>
        <v>2201</v>
      </c>
    </row>
    <row r="483" spans="1:15" s="607" customFormat="1" ht="31.5" x14ac:dyDescent="0.25">
      <c r="A483" s="602"/>
      <c r="B483" s="603" t="s">
        <v>1066</v>
      </c>
      <c r="C483" s="604">
        <f t="shared" ref="C483:O483" si="250">C28+C45+C58+C73+C87+C100+C113+C300+C317+C332</f>
        <v>12689</v>
      </c>
      <c r="D483" s="604">
        <f t="shared" si="250"/>
        <v>2475</v>
      </c>
      <c r="E483" s="604">
        <f t="shared" si="250"/>
        <v>0</v>
      </c>
      <c r="F483" s="604">
        <f t="shared" si="250"/>
        <v>0</v>
      </c>
      <c r="G483" s="604">
        <f t="shared" si="250"/>
        <v>0</v>
      </c>
      <c r="H483" s="606">
        <f t="shared" si="250"/>
        <v>15164</v>
      </c>
      <c r="I483" s="606">
        <f t="shared" si="250"/>
        <v>0</v>
      </c>
      <c r="J483" s="606">
        <f t="shared" si="250"/>
        <v>0</v>
      </c>
      <c r="K483" s="606">
        <f t="shared" si="250"/>
        <v>0</v>
      </c>
      <c r="L483" s="606">
        <f t="shared" si="250"/>
        <v>0</v>
      </c>
      <c r="M483" s="606">
        <f t="shared" si="250"/>
        <v>15164</v>
      </c>
      <c r="N483" s="606">
        <f t="shared" si="250"/>
        <v>0</v>
      </c>
      <c r="O483" s="606">
        <f t="shared" si="250"/>
        <v>15164</v>
      </c>
    </row>
    <row r="484" spans="1:15" s="607" customFormat="1" ht="63" x14ac:dyDescent="0.25">
      <c r="A484" s="602"/>
      <c r="B484" s="603" t="s">
        <v>1082</v>
      </c>
      <c r="C484" s="604">
        <f t="shared" ref="C484:O484" si="251">C301</f>
        <v>521</v>
      </c>
      <c r="D484" s="604">
        <f t="shared" si="251"/>
        <v>102</v>
      </c>
      <c r="E484" s="604">
        <f t="shared" si="251"/>
        <v>0</v>
      </c>
      <c r="F484" s="604">
        <f t="shared" si="251"/>
        <v>0</v>
      </c>
      <c r="G484" s="604">
        <f t="shared" si="251"/>
        <v>0</v>
      </c>
      <c r="H484" s="606">
        <f t="shared" si="251"/>
        <v>623</v>
      </c>
      <c r="I484" s="606">
        <f t="shared" si="251"/>
        <v>0</v>
      </c>
      <c r="J484" s="606">
        <f t="shared" si="251"/>
        <v>0</v>
      </c>
      <c r="K484" s="606">
        <f t="shared" si="251"/>
        <v>0</v>
      </c>
      <c r="L484" s="606">
        <f t="shared" si="251"/>
        <v>0</v>
      </c>
      <c r="M484" s="606">
        <f t="shared" si="251"/>
        <v>623</v>
      </c>
      <c r="N484" s="606">
        <f t="shared" si="251"/>
        <v>0</v>
      </c>
      <c r="O484" s="606">
        <f t="shared" si="251"/>
        <v>623</v>
      </c>
    </row>
    <row r="485" spans="1:15" s="607" customFormat="1" x14ac:dyDescent="0.25">
      <c r="A485" s="602"/>
      <c r="B485" s="603" t="s">
        <v>1073</v>
      </c>
      <c r="C485" s="604">
        <f t="shared" ref="C485:O485" si="252">C372+C388+C442</f>
        <v>3793</v>
      </c>
      <c r="D485" s="604">
        <f t="shared" si="252"/>
        <v>740</v>
      </c>
      <c r="E485" s="604">
        <f t="shared" si="252"/>
        <v>0</v>
      </c>
      <c r="F485" s="604">
        <f t="shared" si="252"/>
        <v>0</v>
      </c>
      <c r="G485" s="604">
        <f t="shared" si="252"/>
        <v>0</v>
      </c>
      <c r="H485" s="606">
        <f t="shared" si="252"/>
        <v>4533</v>
      </c>
      <c r="I485" s="606">
        <f t="shared" si="252"/>
        <v>0</v>
      </c>
      <c r="J485" s="606">
        <f t="shared" si="252"/>
        <v>0</v>
      </c>
      <c r="K485" s="606">
        <f t="shared" si="252"/>
        <v>0</v>
      </c>
      <c r="L485" s="606">
        <f t="shared" si="252"/>
        <v>0</v>
      </c>
      <c r="M485" s="606">
        <f t="shared" si="252"/>
        <v>4533</v>
      </c>
      <c r="N485" s="606">
        <f t="shared" si="252"/>
        <v>0</v>
      </c>
      <c r="O485" s="606">
        <f t="shared" si="252"/>
        <v>4533</v>
      </c>
    </row>
    <row r="486" spans="1:15" s="607" customFormat="1" x14ac:dyDescent="0.25">
      <c r="A486" s="602"/>
      <c r="B486" s="603" t="s">
        <v>1035</v>
      </c>
      <c r="C486" s="604">
        <f t="shared" ref="C486:O486" si="253">C13</f>
        <v>276</v>
      </c>
      <c r="D486" s="604">
        <f t="shared" si="253"/>
        <v>54</v>
      </c>
      <c r="E486" s="604">
        <f t="shared" si="253"/>
        <v>0</v>
      </c>
      <c r="F486" s="604">
        <f t="shared" si="253"/>
        <v>0</v>
      </c>
      <c r="G486" s="604">
        <f t="shared" si="253"/>
        <v>0</v>
      </c>
      <c r="H486" s="606">
        <f t="shared" si="253"/>
        <v>330</v>
      </c>
      <c r="I486" s="606">
        <f t="shared" si="253"/>
        <v>0</v>
      </c>
      <c r="J486" s="606">
        <f t="shared" si="253"/>
        <v>0</v>
      </c>
      <c r="K486" s="606">
        <f t="shared" si="253"/>
        <v>0</v>
      </c>
      <c r="L486" s="606">
        <f t="shared" si="253"/>
        <v>0</v>
      </c>
      <c r="M486" s="606">
        <f t="shared" si="253"/>
        <v>330</v>
      </c>
      <c r="N486" s="606">
        <f t="shared" si="253"/>
        <v>0</v>
      </c>
      <c r="O486" s="606">
        <f t="shared" si="253"/>
        <v>330</v>
      </c>
    </row>
    <row r="487" spans="1:15" s="607" customFormat="1" ht="47.25" x14ac:dyDescent="0.25">
      <c r="A487" s="602"/>
      <c r="B487" s="603" t="s">
        <v>1064</v>
      </c>
      <c r="C487" s="604">
        <f t="shared" ref="C487:O487" si="254">C14+C29+C59+C114+C128+C157+C172+C187+C201+C215+C229+C257+C284+C302</f>
        <v>10051</v>
      </c>
      <c r="D487" s="604">
        <f t="shared" si="254"/>
        <v>1959</v>
      </c>
      <c r="E487" s="604">
        <f t="shared" si="254"/>
        <v>0</v>
      </c>
      <c r="F487" s="604">
        <f t="shared" si="254"/>
        <v>0</v>
      </c>
      <c r="G487" s="604">
        <f t="shared" si="254"/>
        <v>0</v>
      </c>
      <c r="H487" s="606">
        <f t="shared" si="254"/>
        <v>12010</v>
      </c>
      <c r="I487" s="606">
        <f t="shared" si="254"/>
        <v>0</v>
      </c>
      <c r="J487" s="606">
        <f t="shared" si="254"/>
        <v>0</v>
      </c>
      <c r="K487" s="606">
        <f t="shared" si="254"/>
        <v>0</v>
      </c>
      <c r="L487" s="606">
        <f t="shared" si="254"/>
        <v>0</v>
      </c>
      <c r="M487" s="606">
        <f t="shared" si="254"/>
        <v>12010</v>
      </c>
      <c r="N487" s="606">
        <f t="shared" si="254"/>
        <v>0</v>
      </c>
      <c r="O487" s="606">
        <f t="shared" si="254"/>
        <v>12010</v>
      </c>
    </row>
    <row r="488" spans="1:15" s="607" customFormat="1" ht="31.5" x14ac:dyDescent="0.25">
      <c r="A488" s="602"/>
      <c r="B488" s="603" t="s">
        <v>767</v>
      </c>
      <c r="C488" s="604">
        <f>C243+C303+C318+C348+C389+C373+C15+C61+C75+C131+C160+C175+C232+C334+C470</f>
        <v>-8768</v>
      </c>
      <c r="D488" s="604">
        <f t="shared" ref="D488:O488" si="255">D243+D303+D318+D348+D389+D373+D15+D61+D75+D131+D160+D175+D232+D334+D470</f>
        <v>10190</v>
      </c>
      <c r="E488" s="604">
        <f t="shared" si="255"/>
        <v>-77072</v>
      </c>
      <c r="F488" s="604">
        <f t="shared" si="255"/>
        <v>6</v>
      </c>
      <c r="G488" s="604">
        <f t="shared" si="255"/>
        <v>19507</v>
      </c>
      <c r="H488" s="606">
        <f t="shared" si="255"/>
        <v>-56137</v>
      </c>
      <c r="I488" s="606">
        <f t="shared" si="255"/>
        <v>55961</v>
      </c>
      <c r="J488" s="606">
        <f t="shared" si="255"/>
        <v>176</v>
      </c>
      <c r="K488" s="606">
        <f t="shared" si="255"/>
        <v>0</v>
      </c>
      <c r="L488" s="606">
        <f t="shared" si="255"/>
        <v>56137</v>
      </c>
      <c r="M488" s="606">
        <f t="shared" si="255"/>
        <v>0</v>
      </c>
      <c r="N488" s="606">
        <f t="shared" si="255"/>
        <v>0</v>
      </c>
      <c r="O488" s="606">
        <f t="shared" si="255"/>
        <v>0</v>
      </c>
    </row>
    <row r="489" spans="1:15" s="607" customFormat="1" ht="47.25" x14ac:dyDescent="0.25">
      <c r="A489" s="602"/>
      <c r="B489" s="603" t="s">
        <v>812</v>
      </c>
      <c r="C489" s="604">
        <f t="shared" ref="C489:O489" si="256">C30+C129+C144+C158+C173+C188+C202+C216+C230+C244+C258+C271+C285+C319</f>
        <v>0</v>
      </c>
      <c r="D489" s="604">
        <f t="shared" si="256"/>
        <v>0</v>
      </c>
      <c r="E489" s="604">
        <f t="shared" si="256"/>
        <v>2198</v>
      </c>
      <c r="F489" s="604">
        <f t="shared" si="256"/>
        <v>0</v>
      </c>
      <c r="G489" s="604">
        <f t="shared" si="256"/>
        <v>0</v>
      </c>
      <c r="H489" s="606">
        <f t="shared" si="256"/>
        <v>2198</v>
      </c>
      <c r="I489" s="606">
        <f t="shared" si="256"/>
        <v>0</v>
      </c>
      <c r="J489" s="606">
        <f t="shared" si="256"/>
        <v>0</v>
      </c>
      <c r="K489" s="606">
        <f t="shared" si="256"/>
        <v>0</v>
      </c>
      <c r="L489" s="606">
        <f t="shared" si="256"/>
        <v>0</v>
      </c>
      <c r="M489" s="606">
        <f t="shared" si="256"/>
        <v>2198</v>
      </c>
      <c r="N489" s="606">
        <f t="shared" si="256"/>
        <v>0</v>
      </c>
      <c r="O489" s="606">
        <f t="shared" si="256"/>
        <v>2198</v>
      </c>
    </row>
    <row r="490" spans="1:15" s="607" customFormat="1" ht="31.5" x14ac:dyDescent="0.25">
      <c r="A490" s="602"/>
      <c r="B490" s="603" t="s">
        <v>766</v>
      </c>
      <c r="C490" s="604">
        <f t="shared" ref="C490:O490" si="257">C16+C31+C46+C60+C74+C88+C101+C115+C130+C145+C159+C174+C189+C203+C217+C231+C245+C259+C272+C286+C304+C320+C333+C349+C374+C390+C443+C469</f>
        <v>46657</v>
      </c>
      <c r="D490" s="604">
        <f t="shared" si="257"/>
        <v>12562</v>
      </c>
      <c r="E490" s="604">
        <f t="shared" si="257"/>
        <v>228058</v>
      </c>
      <c r="F490" s="604">
        <f t="shared" si="257"/>
        <v>1120</v>
      </c>
      <c r="G490" s="604">
        <f t="shared" si="257"/>
        <v>0</v>
      </c>
      <c r="H490" s="606">
        <f t="shared" si="257"/>
        <v>288397</v>
      </c>
      <c r="I490" s="606">
        <f t="shared" si="257"/>
        <v>23273</v>
      </c>
      <c r="J490" s="606">
        <f t="shared" si="257"/>
        <v>0</v>
      </c>
      <c r="K490" s="606">
        <f t="shared" si="257"/>
        <v>0</v>
      </c>
      <c r="L490" s="606">
        <f t="shared" si="257"/>
        <v>23273</v>
      </c>
      <c r="M490" s="606">
        <f t="shared" si="257"/>
        <v>311670</v>
      </c>
      <c r="N490" s="606">
        <f t="shared" si="257"/>
        <v>0</v>
      </c>
      <c r="O490" s="606">
        <f t="shared" si="257"/>
        <v>311670</v>
      </c>
    </row>
    <row r="491" spans="1:15" s="607" customFormat="1" x14ac:dyDescent="0.25">
      <c r="A491" s="602"/>
      <c r="B491" s="452" t="s">
        <v>140</v>
      </c>
      <c r="C491" s="604"/>
      <c r="D491" s="604"/>
      <c r="E491" s="604"/>
      <c r="F491" s="604"/>
      <c r="G491" s="605"/>
      <c r="H491" s="606"/>
      <c r="I491" s="606"/>
      <c r="J491" s="606"/>
      <c r="K491" s="606"/>
      <c r="L491" s="606"/>
      <c r="M491" s="606"/>
      <c r="N491" s="606"/>
      <c r="O491" s="606"/>
    </row>
    <row r="492" spans="1:15" s="607" customFormat="1" x14ac:dyDescent="0.25">
      <c r="A492" s="602"/>
      <c r="B492" s="603" t="s">
        <v>1034</v>
      </c>
      <c r="C492" s="604">
        <f t="shared" ref="C492:O492" si="258">C359+C420</f>
        <v>174</v>
      </c>
      <c r="D492" s="604">
        <f t="shared" si="258"/>
        <v>35</v>
      </c>
      <c r="E492" s="604">
        <f t="shared" si="258"/>
        <v>0</v>
      </c>
      <c r="F492" s="604">
        <f t="shared" si="258"/>
        <v>0</v>
      </c>
      <c r="G492" s="604">
        <f t="shared" si="258"/>
        <v>0</v>
      </c>
      <c r="H492" s="606">
        <f t="shared" si="258"/>
        <v>209</v>
      </c>
      <c r="I492" s="606">
        <f t="shared" si="258"/>
        <v>0</v>
      </c>
      <c r="J492" s="606">
        <f t="shared" si="258"/>
        <v>0</v>
      </c>
      <c r="K492" s="606">
        <f t="shared" si="258"/>
        <v>0</v>
      </c>
      <c r="L492" s="606">
        <f t="shared" si="258"/>
        <v>0</v>
      </c>
      <c r="M492" s="606">
        <f t="shared" si="258"/>
        <v>209</v>
      </c>
      <c r="N492" s="606">
        <f t="shared" si="258"/>
        <v>0</v>
      </c>
      <c r="O492" s="606">
        <f t="shared" si="258"/>
        <v>209</v>
      </c>
    </row>
    <row r="493" spans="1:15" s="607" customFormat="1" x14ac:dyDescent="0.25">
      <c r="A493" s="602"/>
      <c r="B493" s="966" t="s">
        <v>1073</v>
      </c>
      <c r="C493" s="604">
        <f t="shared" ref="C493:O493" si="259">C360+C410+C421+C432</f>
        <v>2756</v>
      </c>
      <c r="D493" s="604">
        <f t="shared" si="259"/>
        <v>537</v>
      </c>
      <c r="E493" s="604">
        <f t="shared" si="259"/>
        <v>0</v>
      </c>
      <c r="F493" s="604">
        <f t="shared" si="259"/>
        <v>0</v>
      </c>
      <c r="G493" s="604">
        <f t="shared" si="259"/>
        <v>0</v>
      </c>
      <c r="H493" s="606">
        <f t="shared" si="259"/>
        <v>3293</v>
      </c>
      <c r="I493" s="606">
        <f t="shared" si="259"/>
        <v>0</v>
      </c>
      <c r="J493" s="606">
        <f t="shared" si="259"/>
        <v>0</v>
      </c>
      <c r="K493" s="606">
        <f t="shared" si="259"/>
        <v>0</v>
      </c>
      <c r="L493" s="606">
        <f t="shared" si="259"/>
        <v>0</v>
      </c>
      <c r="M493" s="606">
        <f t="shared" si="259"/>
        <v>3293</v>
      </c>
      <c r="N493" s="606">
        <f t="shared" si="259"/>
        <v>0</v>
      </c>
      <c r="O493" s="606">
        <f t="shared" si="259"/>
        <v>3293</v>
      </c>
    </row>
    <row r="494" spans="1:15" s="607" customFormat="1" x14ac:dyDescent="0.25">
      <c r="A494" s="602"/>
      <c r="B494" s="966" t="s">
        <v>1065</v>
      </c>
      <c r="C494" s="604">
        <f t="shared" ref="C494:O494" si="260">C18+C33+C48+C63+C77+C90+C103+C117+C133+C147+C162+C177+C191+C205+C219+C234+C247+C261+C274+C288+C306+C322+C336+C351+C361+C376+C392+C402+C411+C422+C433+C445</f>
        <v>27820</v>
      </c>
      <c r="D494" s="604">
        <f t="shared" si="260"/>
        <v>9520</v>
      </c>
      <c r="E494" s="604">
        <f t="shared" si="260"/>
        <v>0</v>
      </c>
      <c r="F494" s="604">
        <f t="shared" si="260"/>
        <v>0</v>
      </c>
      <c r="G494" s="604">
        <f t="shared" si="260"/>
        <v>0</v>
      </c>
      <c r="H494" s="606">
        <f t="shared" si="260"/>
        <v>37340</v>
      </c>
      <c r="I494" s="606">
        <f t="shared" si="260"/>
        <v>0</v>
      </c>
      <c r="J494" s="606">
        <f t="shared" si="260"/>
        <v>0</v>
      </c>
      <c r="K494" s="606">
        <f t="shared" si="260"/>
        <v>0</v>
      </c>
      <c r="L494" s="606">
        <f t="shared" si="260"/>
        <v>0</v>
      </c>
      <c r="M494" s="606">
        <f t="shared" si="260"/>
        <v>37340</v>
      </c>
      <c r="N494" s="606">
        <f t="shared" si="260"/>
        <v>0</v>
      </c>
      <c r="O494" s="606">
        <f t="shared" si="260"/>
        <v>37340</v>
      </c>
    </row>
    <row r="495" spans="1:15" s="607" customFormat="1" x14ac:dyDescent="0.25">
      <c r="A495" s="602"/>
      <c r="B495" s="603" t="s">
        <v>842</v>
      </c>
      <c r="C495" s="604">
        <f t="shared" ref="C495:O495" si="261">C34+C248+C307+C337+C377+C446+C447+C448+C449+C450+C451+C452+C453</f>
        <v>0</v>
      </c>
      <c r="D495" s="604">
        <f t="shared" si="261"/>
        <v>0</v>
      </c>
      <c r="E495" s="604">
        <f t="shared" si="261"/>
        <v>2028</v>
      </c>
      <c r="F495" s="604">
        <f t="shared" si="261"/>
        <v>0</v>
      </c>
      <c r="G495" s="604">
        <f t="shared" si="261"/>
        <v>0</v>
      </c>
      <c r="H495" s="606">
        <f t="shared" si="261"/>
        <v>2028</v>
      </c>
      <c r="I495" s="606">
        <f t="shared" si="261"/>
        <v>0</v>
      </c>
      <c r="J495" s="606">
        <f t="shared" si="261"/>
        <v>0</v>
      </c>
      <c r="K495" s="606">
        <f t="shared" si="261"/>
        <v>0</v>
      </c>
      <c r="L495" s="606">
        <f t="shared" si="261"/>
        <v>0</v>
      </c>
      <c r="M495" s="606">
        <f t="shared" si="261"/>
        <v>2028</v>
      </c>
      <c r="N495" s="606">
        <f t="shared" si="261"/>
        <v>0</v>
      </c>
      <c r="O495" s="606">
        <f t="shared" si="261"/>
        <v>2028</v>
      </c>
    </row>
    <row r="496" spans="1:15" s="607" customFormat="1" x14ac:dyDescent="0.25">
      <c r="A496" s="602"/>
      <c r="B496" s="603" t="s">
        <v>1058</v>
      </c>
      <c r="C496" s="604">
        <f t="shared" ref="C496:O496" si="262">C134</f>
        <v>0</v>
      </c>
      <c r="D496" s="604">
        <f t="shared" si="262"/>
        <v>0</v>
      </c>
      <c r="E496" s="604">
        <f t="shared" si="262"/>
        <v>66</v>
      </c>
      <c r="F496" s="604">
        <f t="shared" si="262"/>
        <v>0</v>
      </c>
      <c r="G496" s="604">
        <f t="shared" si="262"/>
        <v>0</v>
      </c>
      <c r="H496" s="606">
        <f t="shared" si="262"/>
        <v>66</v>
      </c>
      <c r="I496" s="606">
        <f t="shared" si="262"/>
        <v>0</v>
      </c>
      <c r="J496" s="606">
        <f t="shared" si="262"/>
        <v>0</v>
      </c>
      <c r="K496" s="606">
        <f t="shared" si="262"/>
        <v>0</v>
      </c>
      <c r="L496" s="606">
        <f t="shared" si="262"/>
        <v>0</v>
      </c>
      <c r="M496" s="606">
        <f t="shared" si="262"/>
        <v>66</v>
      </c>
      <c r="N496" s="606">
        <f t="shared" si="262"/>
        <v>0</v>
      </c>
      <c r="O496" s="606">
        <f t="shared" si="262"/>
        <v>66</v>
      </c>
    </row>
    <row r="497" spans="1:16" s="607" customFormat="1" ht="47.25" x14ac:dyDescent="0.25">
      <c r="A497" s="602"/>
      <c r="B497" s="603" t="s">
        <v>1083</v>
      </c>
      <c r="C497" s="604">
        <f t="shared" ref="C497:O497" si="263">C423</f>
        <v>0</v>
      </c>
      <c r="D497" s="604">
        <f t="shared" si="263"/>
        <v>0</v>
      </c>
      <c r="E497" s="604">
        <f t="shared" si="263"/>
        <v>252</v>
      </c>
      <c r="F497" s="604">
        <f t="shared" si="263"/>
        <v>0</v>
      </c>
      <c r="G497" s="604">
        <f t="shared" si="263"/>
        <v>0</v>
      </c>
      <c r="H497" s="606">
        <f t="shared" si="263"/>
        <v>252</v>
      </c>
      <c r="I497" s="606">
        <f t="shared" si="263"/>
        <v>0</v>
      </c>
      <c r="J497" s="606">
        <f t="shared" si="263"/>
        <v>0</v>
      </c>
      <c r="K497" s="606">
        <f t="shared" si="263"/>
        <v>0</v>
      </c>
      <c r="L497" s="606">
        <f t="shared" si="263"/>
        <v>0</v>
      </c>
      <c r="M497" s="606">
        <f t="shared" si="263"/>
        <v>252</v>
      </c>
      <c r="N497" s="606">
        <f t="shared" si="263"/>
        <v>0</v>
      </c>
      <c r="O497" s="606">
        <f t="shared" si="263"/>
        <v>252</v>
      </c>
    </row>
    <row r="498" spans="1:16" s="607" customFormat="1" ht="47.25" x14ac:dyDescent="0.25">
      <c r="A498" s="602"/>
      <c r="B498" s="603" t="s">
        <v>1084</v>
      </c>
      <c r="C498" s="604">
        <f t="shared" ref="C498:O498" si="264">C454</f>
        <v>0</v>
      </c>
      <c r="D498" s="604">
        <f t="shared" si="264"/>
        <v>0</v>
      </c>
      <c r="E498" s="604">
        <f t="shared" si="264"/>
        <v>100</v>
      </c>
      <c r="F498" s="604">
        <f t="shared" si="264"/>
        <v>0</v>
      </c>
      <c r="G498" s="604">
        <f t="shared" si="264"/>
        <v>0</v>
      </c>
      <c r="H498" s="606">
        <f t="shared" si="264"/>
        <v>100</v>
      </c>
      <c r="I498" s="606">
        <f t="shared" si="264"/>
        <v>0</v>
      </c>
      <c r="J498" s="606">
        <f t="shared" si="264"/>
        <v>0</v>
      </c>
      <c r="K498" s="606">
        <f t="shared" si="264"/>
        <v>0</v>
      </c>
      <c r="L498" s="606">
        <f t="shared" si="264"/>
        <v>0</v>
      </c>
      <c r="M498" s="606">
        <f t="shared" si="264"/>
        <v>100</v>
      </c>
      <c r="N498" s="606">
        <f t="shared" si="264"/>
        <v>0</v>
      </c>
      <c r="O498" s="606">
        <f t="shared" si="264"/>
        <v>100</v>
      </c>
    </row>
    <row r="499" spans="1:16" s="607" customFormat="1" ht="31.5" x14ac:dyDescent="0.25">
      <c r="A499" s="602"/>
      <c r="B499" s="603" t="s">
        <v>1085</v>
      </c>
      <c r="C499" s="604">
        <f t="shared" ref="C499:O499" si="265">C393</f>
        <v>0</v>
      </c>
      <c r="D499" s="604">
        <f t="shared" si="265"/>
        <v>0</v>
      </c>
      <c r="E499" s="604">
        <f t="shared" si="265"/>
        <v>3491</v>
      </c>
      <c r="F499" s="604">
        <f t="shared" si="265"/>
        <v>0</v>
      </c>
      <c r="G499" s="604">
        <f t="shared" si="265"/>
        <v>0</v>
      </c>
      <c r="H499" s="606">
        <f t="shared" si="265"/>
        <v>3491</v>
      </c>
      <c r="I499" s="606">
        <f t="shared" si="265"/>
        <v>0</v>
      </c>
      <c r="J499" s="606">
        <f t="shared" si="265"/>
        <v>0</v>
      </c>
      <c r="K499" s="606">
        <f t="shared" si="265"/>
        <v>0</v>
      </c>
      <c r="L499" s="606">
        <f t="shared" si="265"/>
        <v>0</v>
      </c>
      <c r="M499" s="606">
        <f t="shared" si="265"/>
        <v>3491</v>
      </c>
      <c r="N499" s="606">
        <f t="shared" si="265"/>
        <v>0</v>
      </c>
      <c r="O499" s="606">
        <f t="shared" si="265"/>
        <v>3491</v>
      </c>
    </row>
    <row r="500" spans="1:16" s="607" customFormat="1" ht="31.5" x14ac:dyDescent="0.25">
      <c r="A500" s="602"/>
      <c r="B500" s="603" t="s">
        <v>767</v>
      </c>
      <c r="C500" s="604">
        <f>C362+C378+C403+C412+C424+C434+C455+C472</f>
        <v>8079</v>
      </c>
      <c r="D500" s="604">
        <f t="shared" ref="D500:O500" si="266">D362+D378+D403+D412+D424+D434+D455+D472</f>
        <v>2003</v>
      </c>
      <c r="E500" s="604">
        <f t="shared" si="266"/>
        <v>-38205</v>
      </c>
      <c r="F500" s="604">
        <f t="shared" si="266"/>
        <v>0</v>
      </c>
      <c r="G500" s="604">
        <f t="shared" si="266"/>
        <v>0</v>
      </c>
      <c r="H500" s="606">
        <f t="shared" si="266"/>
        <v>-28123</v>
      </c>
      <c r="I500" s="606">
        <f t="shared" si="266"/>
        <v>26790</v>
      </c>
      <c r="J500" s="606">
        <f t="shared" si="266"/>
        <v>1333</v>
      </c>
      <c r="K500" s="606">
        <f t="shared" si="266"/>
        <v>0</v>
      </c>
      <c r="L500" s="606">
        <f t="shared" si="266"/>
        <v>28123</v>
      </c>
      <c r="M500" s="606">
        <f t="shared" si="266"/>
        <v>0</v>
      </c>
      <c r="N500" s="606">
        <f t="shared" si="266"/>
        <v>0</v>
      </c>
      <c r="O500" s="606">
        <f t="shared" si="266"/>
        <v>0</v>
      </c>
    </row>
    <row r="501" spans="1:16" s="607" customFormat="1" ht="31.5" x14ac:dyDescent="0.25">
      <c r="A501" s="602"/>
      <c r="B501" s="603" t="s">
        <v>766</v>
      </c>
      <c r="C501" s="604">
        <f t="shared" ref="C501:O501" si="267">C394+C413+C425+C456+C363</f>
        <v>17685</v>
      </c>
      <c r="D501" s="604">
        <f t="shared" si="267"/>
        <v>4746</v>
      </c>
      <c r="E501" s="604">
        <f t="shared" si="267"/>
        <v>83092</v>
      </c>
      <c r="F501" s="604">
        <f t="shared" si="267"/>
        <v>0</v>
      </c>
      <c r="G501" s="604">
        <f t="shared" si="267"/>
        <v>0</v>
      </c>
      <c r="H501" s="606">
        <f t="shared" si="267"/>
        <v>105523</v>
      </c>
      <c r="I501" s="606">
        <f t="shared" si="267"/>
        <v>0</v>
      </c>
      <c r="J501" s="606">
        <f t="shared" si="267"/>
        <v>0</v>
      </c>
      <c r="K501" s="606">
        <f t="shared" si="267"/>
        <v>0</v>
      </c>
      <c r="L501" s="606">
        <f t="shared" si="267"/>
        <v>0</v>
      </c>
      <c r="M501" s="606">
        <f t="shared" si="267"/>
        <v>105523</v>
      </c>
      <c r="N501" s="606">
        <f t="shared" si="267"/>
        <v>0</v>
      </c>
      <c r="O501" s="606">
        <f t="shared" si="267"/>
        <v>105523</v>
      </c>
    </row>
    <row r="502" spans="1:16" s="607" customFormat="1" x14ac:dyDescent="0.25">
      <c r="A502" s="602"/>
      <c r="B502" s="627" t="s">
        <v>367</v>
      </c>
      <c r="C502" s="604"/>
      <c r="D502" s="604"/>
      <c r="E502" s="604"/>
      <c r="F502" s="604"/>
      <c r="G502" s="604"/>
      <c r="H502" s="606"/>
      <c r="I502" s="606"/>
      <c r="J502" s="606"/>
      <c r="K502" s="606"/>
      <c r="L502" s="606"/>
      <c r="M502" s="606"/>
      <c r="N502" s="606"/>
      <c r="O502" s="606"/>
    </row>
    <row r="503" spans="1:16" s="607" customFormat="1" ht="32.25" thickBot="1" x14ac:dyDescent="0.3">
      <c r="A503" s="602"/>
      <c r="B503" s="603" t="s">
        <v>767</v>
      </c>
      <c r="C503" s="604">
        <f t="shared" ref="C503:O503" si="268">+C474</f>
        <v>-1435</v>
      </c>
      <c r="D503" s="604">
        <f t="shared" si="268"/>
        <v>1924</v>
      </c>
      <c r="E503" s="604">
        <f t="shared" si="268"/>
        <v>-799</v>
      </c>
      <c r="F503" s="604">
        <f t="shared" si="268"/>
        <v>0</v>
      </c>
      <c r="G503" s="604">
        <f t="shared" si="268"/>
        <v>0</v>
      </c>
      <c r="H503" s="606">
        <f t="shared" si="268"/>
        <v>-310</v>
      </c>
      <c r="I503" s="606">
        <f t="shared" si="268"/>
        <v>310</v>
      </c>
      <c r="J503" s="606">
        <f t="shared" si="268"/>
        <v>0</v>
      </c>
      <c r="K503" s="606">
        <f t="shared" si="268"/>
        <v>0</v>
      </c>
      <c r="L503" s="606">
        <f t="shared" si="268"/>
        <v>310</v>
      </c>
      <c r="M503" s="606">
        <f t="shared" si="268"/>
        <v>0</v>
      </c>
      <c r="N503" s="606">
        <f t="shared" si="268"/>
        <v>0</v>
      </c>
      <c r="O503" s="606">
        <f t="shared" si="268"/>
        <v>0</v>
      </c>
    </row>
    <row r="504" spans="1:16" ht="17.25" thickTop="1" thickBot="1" x14ac:dyDescent="0.3">
      <c r="A504" s="450"/>
      <c r="B504" s="449" t="s">
        <v>411</v>
      </c>
      <c r="C504" s="451">
        <f t="shared" ref="C504:O504" si="269">SUM(C480:C503)</f>
        <v>7847265</v>
      </c>
      <c r="D504" s="451">
        <f t="shared" si="269"/>
        <v>1665620</v>
      </c>
      <c r="E504" s="451">
        <f t="shared" si="269"/>
        <v>5424327</v>
      </c>
      <c r="F504" s="451">
        <f t="shared" si="269"/>
        <v>74370</v>
      </c>
      <c r="G504" s="451">
        <f t="shared" si="269"/>
        <v>19641</v>
      </c>
      <c r="H504" s="451">
        <f t="shared" si="269"/>
        <v>15031223</v>
      </c>
      <c r="I504" s="451">
        <f t="shared" si="269"/>
        <v>404039</v>
      </c>
      <c r="J504" s="451">
        <f t="shared" si="269"/>
        <v>42014</v>
      </c>
      <c r="K504" s="451">
        <f t="shared" si="269"/>
        <v>0</v>
      </c>
      <c r="L504" s="451">
        <f t="shared" si="269"/>
        <v>446053</v>
      </c>
      <c r="M504" s="451">
        <f t="shared" si="269"/>
        <v>15477276</v>
      </c>
      <c r="N504" s="451">
        <f t="shared" si="269"/>
        <v>0</v>
      </c>
      <c r="O504" s="451">
        <f t="shared" si="269"/>
        <v>15477276</v>
      </c>
      <c r="P504" s="405">
        <f>+O505+O506+O507</f>
        <v>15477276</v>
      </c>
    </row>
    <row r="505" spans="1:16" ht="17.25" thickTop="1" thickBot="1" x14ac:dyDescent="0.3">
      <c r="A505" s="450"/>
      <c r="B505" s="449" t="s">
        <v>415</v>
      </c>
      <c r="C505" s="448">
        <f t="shared" ref="C505:O505" si="270">SUM(C20+C36+C50+C65+C79+C92+C105+C119+C136+C149+C164+C179+C193+C207+C221+C236+C250+C263+C276+C290+C309+C324+C339+C353+C380+C396+C458+C476)</f>
        <v>5688787</v>
      </c>
      <c r="D505" s="448">
        <f t="shared" si="270"/>
        <v>1199802</v>
      </c>
      <c r="E505" s="448">
        <f t="shared" si="270"/>
        <v>4175678</v>
      </c>
      <c r="F505" s="448">
        <f t="shared" si="270"/>
        <v>74370</v>
      </c>
      <c r="G505" s="448">
        <f t="shared" si="270"/>
        <v>19641</v>
      </c>
      <c r="H505" s="448">
        <f t="shared" si="270"/>
        <v>11158278</v>
      </c>
      <c r="I505" s="448">
        <f t="shared" si="270"/>
        <v>266164</v>
      </c>
      <c r="J505" s="448">
        <f t="shared" si="270"/>
        <v>16697</v>
      </c>
      <c r="K505" s="448">
        <f t="shared" si="270"/>
        <v>0</v>
      </c>
      <c r="L505" s="448">
        <f t="shared" si="270"/>
        <v>282861</v>
      </c>
      <c r="M505" s="448">
        <f t="shared" si="270"/>
        <v>11441139</v>
      </c>
      <c r="N505" s="448">
        <f t="shared" si="270"/>
        <v>0</v>
      </c>
      <c r="O505" s="448">
        <f t="shared" si="270"/>
        <v>11441139</v>
      </c>
    </row>
    <row r="506" spans="1:16" ht="17.25" thickTop="1" thickBot="1" x14ac:dyDescent="0.3">
      <c r="A506" s="450"/>
      <c r="B506" s="449" t="s">
        <v>414</v>
      </c>
      <c r="C506" s="448">
        <f t="shared" ref="C506:O506" si="271">SUM(C21+C37+C51+C66+C80+C93+C106+C120+C137+C150+C165+C180+C194+C208+C222+C237+C251+C264+C277+C291+C310+C325+C340+C354+C365+C381+C397+C415+C427+C459+C436+C477+C405)</f>
        <v>1541339</v>
      </c>
      <c r="D506" s="448">
        <f t="shared" si="271"/>
        <v>336705</v>
      </c>
      <c r="E506" s="448">
        <f t="shared" si="271"/>
        <v>1078177</v>
      </c>
      <c r="F506" s="448">
        <f t="shared" si="271"/>
        <v>0</v>
      </c>
      <c r="G506" s="448">
        <f t="shared" si="271"/>
        <v>0</v>
      </c>
      <c r="H506" s="448">
        <f t="shared" si="271"/>
        <v>2956221</v>
      </c>
      <c r="I506" s="448">
        <f t="shared" si="271"/>
        <v>64909</v>
      </c>
      <c r="J506" s="448">
        <f t="shared" si="271"/>
        <v>15936</v>
      </c>
      <c r="K506" s="448">
        <f t="shared" si="271"/>
        <v>0</v>
      </c>
      <c r="L506" s="448">
        <f t="shared" si="271"/>
        <v>80845</v>
      </c>
      <c r="M506" s="448">
        <f t="shared" si="271"/>
        <v>3037066</v>
      </c>
      <c r="N506" s="448">
        <f t="shared" si="271"/>
        <v>0</v>
      </c>
      <c r="O506" s="448">
        <f t="shared" si="271"/>
        <v>3037066</v>
      </c>
    </row>
    <row r="507" spans="1:16" ht="33" thickTop="1" thickBot="1" x14ac:dyDescent="0.3">
      <c r="A507" s="450"/>
      <c r="B507" s="449" t="s">
        <v>486</v>
      </c>
      <c r="C507" s="448">
        <f t="shared" ref="C507:O507" si="272">SUM(C478)</f>
        <v>617139</v>
      </c>
      <c r="D507" s="448">
        <f t="shared" si="272"/>
        <v>129113</v>
      </c>
      <c r="E507" s="448">
        <f t="shared" si="272"/>
        <v>170472</v>
      </c>
      <c r="F507" s="448">
        <f t="shared" si="272"/>
        <v>0</v>
      </c>
      <c r="G507" s="448">
        <f t="shared" si="272"/>
        <v>0</v>
      </c>
      <c r="H507" s="448">
        <f t="shared" si="272"/>
        <v>916724</v>
      </c>
      <c r="I507" s="448">
        <f t="shared" si="272"/>
        <v>72966</v>
      </c>
      <c r="J507" s="448">
        <f t="shared" si="272"/>
        <v>9381</v>
      </c>
      <c r="K507" s="448">
        <f t="shared" si="272"/>
        <v>0</v>
      </c>
      <c r="L507" s="448">
        <f t="shared" si="272"/>
        <v>82347</v>
      </c>
      <c r="M507" s="448">
        <f t="shared" si="272"/>
        <v>999071</v>
      </c>
      <c r="N507" s="448">
        <f t="shared" si="272"/>
        <v>0</v>
      </c>
      <c r="O507" s="448">
        <f t="shared" si="272"/>
        <v>999071</v>
      </c>
    </row>
    <row r="508" spans="1:16" ht="16.5" thickTop="1" x14ac:dyDescent="0.25"/>
    <row r="509" spans="1:16" hidden="1" x14ac:dyDescent="0.25">
      <c r="C509" s="405">
        <f t="shared" ref="C509:O509" si="273">SUM(C504-C480)</f>
        <v>122141</v>
      </c>
      <c r="D509" s="405">
        <f t="shared" si="273"/>
        <v>47205</v>
      </c>
      <c r="E509" s="405">
        <f t="shared" si="273"/>
        <v>203209</v>
      </c>
      <c r="F509" s="405">
        <f t="shared" si="273"/>
        <v>1126</v>
      </c>
      <c r="G509" s="405">
        <f t="shared" si="273"/>
        <v>19507</v>
      </c>
      <c r="H509" s="405">
        <f t="shared" si="273"/>
        <v>393188</v>
      </c>
      <c r="I509" s="405">
        <f t="shared" si="273"/>
        <v>106334</v>
      </c>
      <c r="J509" s="405">
        <f t="shared" si="273"/>
        <v>1509</v>
      </c>
      <c r="K509" s="405">
        <f t="shared" si="273"/>
        <v>0</v>
      </c>
      <c r="L509" s="405">
        <f t="shared" si="273"/>
        <v>107843</v>
      </c>
      <c r="M509" s="405">
        <f t="shared" si="273"/>
        <v>501031</v>
      </c>
      <c r="N509" s="405">
        <f t="shared" si="273"/>
        <v>0</v>
      </c>
      <c r="O509" s="405">
        <f t="shared" si="273"/>
        <v>501031</v>
      </c>
    </row>
    <row r="510" spans="1:16" hidden="1" x14ac:dyDescent="0.25"/>
    <row r="511" spans="1:16" hidden="1" x14ac:dyDescent="0.25">
      <c r="B511" s="447" t="s">
        <v>1062</v>
      </c>
      <c r="C511" s="405">
        <f>+C504-7725124</f>
        <v>122141</v>
      </c>
      <c r="D511" s="405">
        <f>+D504-1618415</f>
        <v>47205</v>
      </c>
      <c r="E511" s="405">
        <f>+E504-5221118</f>
        <v>203209</v>
      </c>
      <c r="F511" s="405">
        <f>+F504-73244</f>
        <v>1126</v>
      </c>
      <c r="G511" s="405">
        <f>+G504-134</f>
        <v>19507</v>
      </c>
      <c r="H511" s="405">
        <f>+H504-14638035</f>
        <v>393188</v>
      </c>
      <c r="I511" s="405">
        <f>+I504-297705</f>
        <v>106334</v>
      </c>
      <c r="J511" s="405">
        <f>+J504-40505</f>
        <v>1509</v>
      </c>
      <c r="K511" s="405">
        <f t="shared" ref="F511:N514" si="274">+K504</f>
        <v>0</v>
      </c>
      <c r="L511" s="405">
        <f>+L504-338210</f>
        <v>107843</v>
      </c>
      <c r="M511" s="405">
        <f>+M504-14976245</f>
        <v>501031</v>
      </c>
      <c r="N511" s="405">
        <f t="shared" si="274"/>
        <v>0</v>
      </c>
      <c r="O511" s="405">
        <f>+O504-14976245</f>
        <v>501031</v>
      </c>
    </row>
    <row r="512" spans="1:16" hidden="1" x14ac:dyDescent="0.25">
      <c r="B512" s="447" t="s">
        <v>1086</v>
      </c>
      <c r="C512" s="405">
        <f>+C505-5621725</f>
        <v>67062</v>
      </c>
      <c r="D512" s="405">
        <f>+D505-1171362</f>
        <v>28440</v>
      </c>
      <c r="E512" s="405">
        <f>+E505-4022494</f>
        <v>153184</v>
      </c>
      <c r="F512" s="405">
        <f>+F505-73244</f>
        <v>1126</v>
      </c>
      <c r="G512" s="405">
        <f>+G505-134</f>
        <v>19507</v>
      </c>
      <c r="H512" s="405">
        <f>+H505-10888959</f>
        <v>269319</v>
      </c>
      <c r="I512" s="405">
        <f>+I505-186930</f>
        <v>79234</v>
      </c>
      <c r="J512" s="405">
        <f>+J505-16521</f>
        <v>176</v>
      </c>
      <c r="K512" s="405">
        <f t="shared" si="274"/>
        <v>0</v>
      </c>
      <c r="L512" s="405">
        <f>+L505-203451</f>
        <v>79410</v>
      </c>
      <c r="M512" s="405">
        <f>+M505-11092410</f>
        <v>348729</v>
      </c>
      <c r="N512" s="405">
        <f t="shared" si="274"/>
        <v>0</v>
      </c>
      <c r="O512" s="405">
        <f>+O505-11092410</f>
        <v>348729</v>
      </c>
    </row>
    <row r="513" spans="2:15" hidden="1" x14ac:dyDescent="0.25">
      <c r="B513" s="447" t="s">
        <v>414</v>
      </c>
      <c r="C513" s="405">
        <f>+C506-1484825</f>
        <v>56514</v>
      </c>
      <c r="D513" s="405">
        <f>+D506-319864</f>
        <v>16841</v>
      </c>
      <c r="E513" s="405">
        <f>+E506-1027353</f>
        <v>50824</v>
      </c>
      <c r="F513" s="405">
        <f t="shared" si="274"/>
        <v>0</v>
      </c>
      <c r="G513" s="405">
        <f t="shared" si="274"/>
        <v>0</v>
      </c>
      <c r="H513" s="405">
        <f>+H506-2832042</f>
        <v>124179</v>
      </c>
      <c r="I513" s="405">
        <f>+I506-38119</f>
        <v>26790</v>
      </c>
      <c r="J513" s="405">
        <f>+J506-14603</f>
        <v>1333</v>
      </c>
      <c r="K513" s="405">
        <f t="shared" si="274"/>
        <v>0</v>
      </c>
      <c r="L513" s="405">
        <f>+L506-52722</f>
        <v>28123</v>
      </c>
      <c r="M513" s="405">
        <f>+M506-2884764</f>
        <v>152302</v>
      </c>
      <c r="N513" s="405">
        <f t="shared" si="274"/>
        <v>0</v>
      </c>
      <c r="O513" s="405">
        <f>+O506-2884764</f>
        <v>152302</v>
      </c>
    </row>
    <row r="514" spans="2:15" hidden="1" x14ac:dyDescent="0.25">
      <c r="B514" s="447" t="s">
        <v>1087</v>
      </c>
      <c r="C514" s="405">
        <f>+C507-618574</f>
        <v>-1435</v>
      </c>
      <c r="D514" s="405">
        <f>+D507-127189</f>
        <v>1924</v>
      </c>
      <c r="E514" s="405">
        <f>+E507-171271</f>
        <v>-799</v>
      </c>
      <c r="F514" s="405">
        <f t="shared" si="274"/>
        <v>0</v>
      </c>
      <c r="G514" s="405">
        <f t="shared" si="274"/>
        <v>0</v>
      </c>
      <c r="H514" s="405">
        <f>+H507-917034</f>
        <v>-310</v>
      </c>
      <c r="I514" s="405">
        <f>+I507-72656</f>
        <v>310</v>
      </c>
      <c r="J514" s="405">
        <f>+J507-9381</f>
        <v>0</v>
      </c>
      <c r="K514" s="405">
        <f t="shared" si="274"/>
        <v>0</v>
      </c>
      <c r="L514" s="405">
        <f>+L507-82037</f>
        <v>310</v>
      </c>
      <c r="M514" s="405">
        <f>+M507-999071</f>
        <v>0</v>
      </c>
      <c r="N514" s="405">
        <f t="shared" si="274"/>
        <v>0</v>
      </c>
      <c r="O514" s="405">
        <f>+O507-999071</f>
        <v>0</v>
      </c>
    </row>
    <row r="515" spans="2:15" hidden="1" x14ac:dyDescent="0.25">
      <c r="C515" s="405">
        <f>SUM(C512:C514)-C509</f>
        <v>0</v>
      </c>
      <c r="D515" s="405">
        <f t="shared" ref="D515:O515" si="275">SUM(D512:D514)-D509</f>
        <v>0</v>
      </c>
      <c r="E515" s="405">
        <f t="shared" si="275"/>
        <v>0</v>
      </c>
      <c r="F515" s="405">
        <f t="shared" si="275"/>
        <v>0</v>
      </c>
      <c r="G515" s="405">
        <f t="shared" si="275"/>
        <v>0</v>
      </c>
      <c r="H515" s="405">
        <f t="shared" si="275"/>
        <v>0</v>
      </c>
      <c r="I515" s="405">
        <f t="shared" si="275"/>
        <v>0</v>
      </c>
      <c r="J515" s="405">
        <f t="shared" si="275"/>
        <v>0</v>
      </c>
      <c r="K515" s="405">
        <f t="shared" si="275"/>
        <v>0</v>
      </c>
      <c r="L515" s="405">
        <f t="shared" si="275"/>
        <v>0</v>
      </c>
      <c r="M515" s="405">
        <f t="shared" si="275"/>
        <v>0</v>
      </c>
      <c r="N515" s="405">
        <f t="shared" si="275"/>
        <v>0</v>
      </c>
      <c r="O515" s="405">
        <f t="shared" si="275"/>
        <v>0</v>
      </c>
    </row>
    <row r="516" spans="2:15" hidden="1" x14ac:dyDescent="0.25"/>
    <row r="517" spans="2:15" hidden="1" x14ac:dyDescent="0.25">
      <c r="C517" s="405">
        <f t="shared" ref="C517:O517" si="276">SUM(C482:C490)</f>
        <v>67062</v>
      </c>
      <c r="D517" s="405">
        <f t="shared" si="276"/>
        <v>28440</v>
      </c>
      <c r="E517" s="405">
        <f t="shared" si="276"/>
        <v>153184</v>
      </c>
      <c r="F517" s="405">
        <f t="shared" si="276"/>
        <v>1126</v>
      </c>
      <c r="G517" s="405">
        <f t="shared" si="276"/>
        <v>19507</v>
      </c>
      <c r="H517" s="405">
        <f t="shared" si="276"/>
        <v>269319</v>
      </c>
      <c r="I517" s="405">
        <f t="shared" si="276"/>
        <v>79234</v>
      </c>
      <c r="J517" s="405">
        <f t="shared" si="276"/>
        <v>176</v>
      </c>
      <c r="K517" s="405">
        <f t="shared" si="276"/>
        <v>0</v>
      </c>
      <c r="L517" s="405">
        <f t="shared" si="276"/>
        <v>79410</v>
      </c>
      <c r="M517" s="405">
        <f t="shared" si="276"/>
        <v>348729</v>
      </c>
      <c r="N517" s="405">
        <f t="shared" si="276"/>
        <v>0</v>
      </c>
      <c r="O517" s="405">
        <f t="shared" si="276"/>
        <v>348729</v>
      </c>
    </row>
    <row r="518" spans="2:15" hidden="1" x14ac:dyDescent="0.25">
      <c r="C518" s="405">
        <f t="shared" ref="C518:O518" si="277">SUM(C492:C501)</f>
        <v>56514</v>
      </c>
      <c r="D518" s="405">
        <f t="shared" si="277"/>
        <v>16841</v>
      </c>
      <c r="E518" s="405">
        <f t="shared" si="277"/>
        <v>50824</v>
      </c>
      <c r="F518" s="405">
        <f t="shared" si="277"/>
        <v>0</v>
      </c>
      <c r="G518" s="405">
        <f t="shared" si="277"/>
        <v>0</v>
      </c>
      <c r="H518" s="405">
        <f t="shared" si="277"/>
        <v>124179</v>
      </c>
      <c r="I518" s="405">
        <f t="shared" si="277"/>
        <v>26790</v>
      </c>
      <c r="J518" s="405">
        <f t="shared" si="277"/>
        <v>1333</v>
      </c>
      <c r="K518" s="405">
        <f t="shared" si="277"/>
        <v>0</v>
      </c>
      <c r="L518" s="405">
        <f t="shared" si="277"/>
        <v>28123</v>
      </c>
      <c r="M518" s="405">
        <f t="shared" si="277"/>
        <v>152302</v>
      </c>
      <c r="N518" s="405">
        <f t="shared" si="277"/>
        <v>0</v>
      </c>
      <c r="O518" s="405">
        <f t="shared" si="277"/>
        <v>152302</v>
      </c>
    </row>
    <row r="519" spans="2:15" hidden="1" x14ac:dyDescent="0.25">
      <c r="C519" s="405">
        <f t="shared" ref="C519:O519" si="278">SUM(C503)</f>
        <v>-1435</v>
      </c>
      <c r="D519" s="405">
        <f t="shared" si="278"/>
        <v>1924</v>
      </c>
      <c r="E519" s="405">
        <f t="shared" si="278"/>
        <v>-799</v>
      </c>
      <c r="F519" s="405">
        <f t="shared" si="278"/>
        <v>0</v>
      </c>
      <c r="G519" s="405">
        <f t="shared" si="278"/>
        <v>0</v>
      </c>
      <c r="H519" s="405">
        <f t="shared" si="278"/>
        <v>-310</v>
      </c>
      <c r="I519" s="405">
        <f t="shared" si="278"/>
        <v>310</v>
      </c>
      <c r="J519" s="405">
        <f t="shared" si="278"/>
        <v>0</v>
      </c>
      <c r="K519" s="405">
        <f t="shared" si="278"/>
        <v>0</v>
      </c>
      <c r="L519" s="405">
        <f t="shared" si="278"/>
        <v>310</v>
      </c>
      <c r="M519" s="405">
        <f t="shared" si="278"/>
        <v>0</v>
      </c>
      <c r="N519" s="405">
        <f t="shared" si="278"/>
        <v>0</v>
      </c>
      <c r="O519" s="405">
        <f t="shared" si="278"/>
        <v>0</v>
      </c>
    </row>
    <row r="520" spans="2:15" hidden="1" x14ac:dyDescent="0.25"/>
    <row r="521" spans="2:15" hidden="1" x14ac:dyDescent="0.25">
      <c r="C521" s="405">
        <f>+C512-C517</f>
        <v>0</v>
      </c>
      <c r="D521" s="405">
        <f t="shared" ref="D521:O521" si="279">+D512-D517</f>
        <v>0</v>
      </c>
      <c r="E521" s="405">
        <f t="shared" si="279"/>
        <v>0</v>
      </c>
      <c r="F521" s="405">
        <f t="shared" si="279"/>
        <v>0</v>
      </c>
      <c r="G521" s="405">
        <f t="shared" si="279"/>
        <v>0</v>
      </c>
      <c r="H521" s="405">
        <f t="shared" si="279"/>
        <v>0</v>
      </c>
      <c r="I521" s="405">
        <f t="shared" si="279"/>
        <v>0</v>
      </c>
      <c r="J521" s="405">
        <f t="shared" si="279"/>
        <v>0</v>
      </c>
      <c r="K521" s="405">
        <f t="shared" si="279"/>
        <v>0</v>
      </c>
      <c r="L521" s="405">
        <f t="shared" si="279"/>
        <v>0</v>
      </c>
      <c r="M521" s="405">
        <f t="shared" si="279"/>
        <v>0</v>
      </c>
      <c r="N521" s="405">
        <f t="shared" si="279"/>
        <v>0</v>
      </c>
      <c r="O521" s="405">
        <f t="shared" si="279"/>
        <v>0</v>
      </c>
    </row>
    <row r="522" spans="2:15" hidden="1" x14ac:dyDescent="0.25">
      <c r="C522" s="405">
        <f t="shared" ref="C522:O523" si="280">+C513-C518</f>
        <v>0</v>
      </c>
      <c r="D522" s="405">
        <f t="shared" si="280"/>
        <v>0</v>
      </c>
      <c r="E522" s="405">
        <f t="shared" si="280"/>
        <v>0</v>
      </c>
      <c r="F522" s="405">
        <f t="shared" si="280"/>
        <v>0</v>
      </c>
      <c r="G522" s="405">
        <f t="shared" si="280"/>
        <v>0</v>
      </c>
      <c r="H522" s="405">
        <f t="shared" si="280"/>
        <v>0</v>
      </c>
      <c r="I522" s="405">
        <f t="shared" si="280"/>
        <v>0</v>
      </c>
      <c r="J522" s="405">
        <f t="shared" si="280"/>
        <v>0</v>
      </c>
      <c r="K522" s="405">
        <f t="shared" si="280"/>
        <v>0</v>
      </c>
      <c r="L522" s="405">
        <f t="shared" si="280"/>
        <v>0</v>
      </c>
      <c r="M522" s="405">
        <f t="shared" si="280"/>
        <v>0</v>
      </c>
      <c r="N522" s="405">
        <f t="shared" si="280"/>
        <v>0</v>
      </c>
      <c r="O522" s="405">
        <f t="shared" si="280"/>
        <v>0</v>
      </c>
    </row>
    <row r="523" spans="2:15" hidden="1" x14ac:dyDescent="0.25">
      <c r="C523" s="405">
        <f t="shared" si="280"/>
        <v>0</v>
      </c>
      <c r="D523" s="405">
        <f t="shared" si="280"/>
        <v>0</v>
      </c>
      <c r="E523" s="405">
        <f t="shared" si="280"/>
        <v>0</v>
      </c>
      <c r="F523" s="405">
        <f t="shared" si="280"/>
        <v>0</v>
      </c>
      <c r="G523" s="405">
        <f t="shared" si="280"/>
        <v>0</v>
      </c>
      <c r="H523" s="405">
        <f t="shared" si="280"/>
        <v>0</v>
      </c>
      <c r="I523" s="405">
        <f t="shared" si="280"/>
        <v>0</v>
      </c>
      <c r="J523" s="405">
        <f t="shared" si="280"/>
        <v>0</v>
      </c>
      <c r="K523" s="405">
        <f t="shared" si="280"/>
        <v>0</v>
      </c>
      <c r="L523" s="405">
        <f t="shared" si="280"/>
        <v>0</v>
      </c>
      <c r="M523" s="405">
        <f t="shared" si="280"/>
        <v>0</v>
      </c>
      <c r="N523" s="405">
        <f t="shared" si="280"/>
        <v>0</v>
      </c>
      <c r="O523" s="405">
        <f t="shared" si="280"/>
        <v>0</v>
      </c>
    </row>
  </sheetData>
  <mergeCells count="1">
    <mergeCell ref="A1:O1"/>
  </mergeCells>
  <pageMargins left="0" right="0" top="0.55118110236220474" bottom="0.74803149606299213" header="0.31496062992125984" footer="0.31496062992125984"/>
  <pageSetup paperSize="9" scale="65" orientation="landscape" r:id="rId1"/>
  <headerFooter>
    <oddHeader>&amp;R&amp;"Times New Roman CE,Félkövér"  7. melléklet a 6/2019. (II.22.) önkormányzati rendelethez
&amp;"Times New Roman CE,Dőlt"&amp;10  8. melléklet
 a 3/2018.(II.8.) önkormányzati rendelethez</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C307"/>
  <sheetViews>
    <sheetView zoomScaleNormal="100" zoomScaleSheetLayoutView="100" workbookViewId="0">
      <pane xSplit="2" ySplit="11" topLeftCell="C60" activePane="bottomRight" state="frozen"/>
      <selection activeCell="AD41" sqref="AD41"/>
      <selection pane="topRight" activeCell="AD41" sqref="AD41"/>
      <selection pane="bottomLeft" activeCell="AD41" sqref="AD41"/>
      <selection pane="bottomRight" activeCell="B254" sqref="B254"/>
    </sheetView>
  </sheetViews>
  <sheetFormatPr defaultRowHeight="15.75" x14ac:dyDescent="0.25"/>
  <cols>
    <col min="1" max="1" width="5" style="109" customWidth="1"/>
    <col min="2" max="2" width="40.875" style="109" customWidth="1"/>
    <col min="3" max="3" width="10.125" style="109" customWidth="1"/>
    <col min="4" max="4" width="10.75" style="109" customWidth="1"/>
    <col min="5" max="5" width="10.5" style="109" customWidth="1"/>
    <col min="6" max="6" width="9.625" style="109" customWidth="1"/>
    <col min="7" max="7" width="10.75" style="109" customWidth="1"/>
    <col min="8" max="8" width="12.25" style="109" customWidth="1"/>
    <col min="9" max="9" width="11.625" style="109" customWidth="1"/>
    <col min="10" max="10" width="11.75" style="109" customWidth="1"/>
    <col min="11" max="11" width="9.875" style="109" customWidth="1"/>
    <col min="12" max="12" width="12" style="109" customWidth="1"/>
    <col min="13" max="13" width="9.875" style="109" customWidth="1"/>
    <col min="14" max="15" width="10.375" style="109" customWidth="1"/>
    <col min="16" max="16" width="16.25" style="546" customWidth="1"/>
    <col min="17" max="17" width="9.875" style="109" customWidth="1"/>
    <col min="18" max="26" width="9" style="109" hidden="1" customWidth="1"/>
    <col min="27" max="27" width="11.25" style="109" hidden="1" customWidth="1"/>
    <col min="28" max="28" width="9" style="109" hidden="1" customWidth="1"/>
    <col min="29" max="29" width="1.625" style="109" hidden="1" customWidth="1"/>
    <col min="30" max="34" width="9" style="109" hidden="1" customWidth="1"/>
    <col min="35" max="36" width="10.125" style="109" hidden="1" customWidth="1"/>
    <col min="37" max="39" width="9" style="109" hidden="1" customWidth="1"/>
    <col min="40" max="40" width="10.625" style="109" hidden="1" customWidth="1"/>
    <col min="41" max="41" width="9" style="109" hidden="1" customWidth="1"/>
    <col min="42" max="52" width="11.375" style="109" hidden="1" customWidth="1"/>
    <col min="53" max="53" width="9" style="109" hidden="1" customWidth="1"/>
    <col min="54" max="54" width="11.75" style="109" hidden="1" customWidth="1"/>
    <col min="55" max="55" width="9" style="109" hidden="1" customWidth="1"/>
    <col min="56" max="57" width="9" style="109" customWidth="1"/>
    <col min="58" max="256" width="9" style="109"/>
    <col min="257" max="257" width="5" style="109" customWidth="1"/>
    <col min="258" max="258" width="40.875" style="109" customWidth="1"/>
    <col min="259" max="259" width="10.125" style="109" customWidth="1"/>
    <col min="260" max="260" width="10.75" style="109" customWidth="1"/>
    <col min="261" max="261" width="10" style="109" customWidth="1"/>
    <col min="262" max="262" width="9.625" style="109" bestFit="1" customWidth="1"/>
    <col min="263" max="263" width="10.75" style="109" customWidth="1"/>
    <col min="264" max="264" width="12.25" style="109" customWidth="1"/>
    <col min="265" max="265" width="11.625" style="109" customWidth="1"/>
    <col min="266" max="266" width="9.75" style="109" customWidth="1"/>
    <col min="267" max="267" width="9.875" style="109" customWidth="1"/>
    <col min="268" max="268" width="12" style="109" customWidth="1"/>
    <col min="269" max="269" width="9.875" style="109" customWidth="1"/>
    <col min="270" max="271" width="10.375" style="109" customWidth="1"/>
    <col min="272" max="272" width="16.25" style="109" customWidth="1"/>
    <col min="273" max="273" width="9.875" style="109" bestFit="1" customWidth="1"/>
    <col min="274" max="512" width="9" style="109"/>
    <col min="513" max="513" width="5" style="109" customWidth="1"/>
    <col min="514" max="514" width="40.875" style="109" customWidth="1"/>
    <col min="515" max="515" width="10.125" style="109" customWidth="1"/>
    <col min="516" max="516" width="10.75" style="109" customWidth="1"/>
    <col min="517" max="517" width="10" style="109" customWidth="1"/>
    <col min="518" max="518" width="9.625" style="109" bestFit="1" customWidth="1"/>
    <col min="519" max="519" width="10.75" style="109" customWidth="1"/>
    <col min="520" max="520" width="12.25" style="109" customWidth="1"/>
    <col min="521" max="521" width="11.625" style="109" customWidth="1"/>
    <col min="522" max="522" width="9.75" style="109" customWidth="1"/>
    <col min="523" max="523" width="9.875" style="109" customWidth="1"/>
    <col min="524" max="524" width="12" style="109" customWidth="1"/>
    <col min="525" max="525" width="9.875" style="109" customWidth="1"/>
    <col min="526" max="527" width="10.375" style="109" customWidth="1"/>
    <col min="528" max="528" width="16.25" style="109" customWidth="1"/>
    <col min="529" max="529" width="9.875" style="109" bestFit="1" customWidth="1"/>
    <col min="530" max="768" width="9" style="109"/>
    <col min="769" max="769" width="5" style="109" customWidth="1"/>
    <col min="770" max="770" width="40.875" style="109" customWidth="1"/>
    <col min="771" max="771" width="10.125" style="109" customWidth="1"/>
    <col min="772" max="772" width="10.75" style="109" customWidth="1"/>
    <col min="773" max="773" width="10" style="109" customWidth="1"/>
    <col min="774" max="774" width="9.625" style="109" bestFit="1" customWidth="1"/>
    <col min="775" max="775" width="10.75" style="109" customWidth="1"/>
    <col min="776" max="776" width="12.25" style="109" customWidth="1"/>
    <col min="777" max="777" width="11.625" style="109" customWidth="1"/>
    <col min="778" max="778" width="9.75" style="109" customWidth="1"/>
    <col min="779" max="779" width="9.875" style="109" customWidth="1"/>
    <col min="780" max="780" width="12" style="109" customWidth="1"/>
    <col min="781" max="781" width="9.875" style="109" customWidth="1"/>
    <col min="782" max="783" width="10.375" style="109" customWidth="1"/>
    <col min="784" max="784" width="16.25" style="109" customWidth="1"/>
    <col min="785" max="785" width="9.875" style="109" bestFit="1" customWidth="1"/>
    <col min="786" max="1024" width="9" style="109"/>
    <col min="1025" max="1025" width="5" style="109" customWidth="1"/>
    <col min="1026" max="1026" width="40.875" style="109" customWidth="1"/>
    <col min="1027" max="1027" width="10.125" style="109" customWidth="1"/>
    <col min="1028" max="1028" width="10.75" style="109" customWidth="1"/>
    <col min="1029" max="1029" width="10" style="109" customWidth="1"/>
    <col min="1030" max="1030" width="9.625" style="109" bestFit="1" customWidth="1"/>
    <col min="1031" max="1031" width="10.75" style="109" customWidth="1"/>
    <col min="1032" max="1032" width="12.25" style="109" customWidth="1"/>
    <col min="1033" max="1033" width="11.625" style="109" customWidth="1"/>
    <col min="1034" max="1034" width="9.75" style="109" customWidth="1"/>
    <col min="1035" max="1035" width="9.875" style="109" customWidth="1"/>
    <col min="1036" max="1036" width="12" style="109" customWidth="1"/>
    <col min="1037" max="1037" width="9.875" style="109" customWidth="1"/>
    <col min="1038" max="1039" width="10.375" style="109" customWidth="1"/>
    <col min="1040" max="1040" width="16.25" style="109" customWidth="1"/>
    <col min="1041" max="1041" width="9.875" style="109" bestFit="1" customWidth="1"/>
    <col min="1042" max="1280" width="9" style="109"/>
    <col min="1281" max="1281" width="5" style="109" customWidth="1"/>
    <col min="1282" max="1282" width="40.875" style="109" customWidth="1"/>
    <col min="1283" max="1283" width="10.125" style="109" customWidth="1"/>
    <col min="1284" max="1284" width="10.75" style="109" customWidth="1"/>
    <col min="1285" max="1285" width="10" style="109" customWidth="1"/>
    <col min="1286" max="1286" width="9.625" style="109" bestFit="1" customWidth="1"/>
    <col min="1287" max="1287" width="10.75" style="109" customWidth="1"/>
    <col min="1288" max="1288" width="12.25" style="109" customWidth="1"/>
    <col min="1289" max="1289" width="11.625" style="109" customWidth="1"/>
    <col min="1290" max="1290" width="9.75" style="109" customWidth="1"/>
    <col min="1291" max="1291" width="9.875" style="109" customWidth="1"/>
    <col min="1292" max="1292" width="12" style="109" customWidth="1"/>
    <col min="1293" max="1293" width="9.875" style="109" customWidth="1"/>
    <col min="1294" max="1295" width="10.375" style="109" customWidth="1"/>
    <col min="1296" max="1296" width="16.25" style="109" customWidth="1"/>
    <col min="1297" max="1297" width="9.875" style="109" bestFit="1" customWidth="1"/>
    <col min="1298" max="1536" width="9" style="109"/>
    <col min="1537" max="1537" width="5" style="109" customWidth="1"/>
    <col min="1538" max="1538" width="40.875" style="109" customWidth="1"/>
    <col min="1539" max="1539" width="10.125" style="109" customWidth="1"/>
    <col min="1540" max="1540" width="10.75" style="109" customWidth="1"/>
    <col min="1541" max="1541" width="10" style="109" customWidth="1"/>
    <col min="1542" max="1542" width="9.625" style="109" bestFit="1" customWidth="1"/>
    <col min="1543" max="1543" width="10.75" style="109" customWidth="1"/>
    <col min="1544" max="1544" width="12.25" style="109" customWidth="1"/>
    <col min="1545" max="1545" width="11.625" style="109" customWidth="1"/>
    <col min="1546" max="1546" width="9.75" style="109" customWidth="1"/>
    <col min="1547" max="1547" width="9.875" style="109" customWidth="1"/>
    <col min="1548" max="1548" width="12" style="109" customWidth="1"/>
    <col min="1549" max="1549" width="9.875" style="109" customWidth="1"/>
    <col min="1550" max="1551" width="10.375" style="109" customWidth="1"/>
    <col min="1552" max="1552" width="16.25" style="109" customWidth="1"/>
    <col min="1553" max="1553" width="9.875" style="109" bestFit="1" customWidth="1"/>
    <col min="1554" max="1792" width="9" style="109"/>
    <col min="1793" max="1793" width="5" style="109" customWidth="1"/>
    <col min="1794" max="1794" width="40.875" style="109" customWidth="1"/>
    <col min="1795" max="1795" width="10.125" style="109" customWidth="1"/>
    <col min="1796" max="1796" width="10.75" style="109" customWidth="1"/>
    <col min="1797" max="1797" width="10" style="109" customWidth="1"/>
    <col min="1798" max="1798" width="9.625" style="109" bestFit="1" customWidth="1"/>
    <col min="1799" max="1799" width="10.75" style="109" customWidth="1"/>
    <col min="1800" max="1800" width="12.25" style="109" customWidth="1"/>
    <col min="1801" max="1801" width="11.625" style="109" customWidth="1"/>
    <col min="1802" max="1802" width="9.75" style="109" customWidth="1"/>
    <col min="1803" max="1803" width="9.875" style="109" customWidth="1"/>
    <col min="1804" max="1804" width="12" style="109" customWidth="1"/>
    <col min="1805" max="1805" width="9.875" style="109" customWidth="1"/>
    <col min="1806" max="1807" width="10.375" style="109" customWidth="1"/>
    <col min="1808" max="1808" width="16.25" style="109" customWidth="1"/>
    <col min="1809" max="1809" width="9.875" style="109" bestFit="1" customWidth="1"/>
    <col min="1810" max="2048" width="9" style="109"/>
    <col min="2049" max="2049" width="5" style="109" customWidth="1"/>
    <col min="2050" max="2050" width="40.875" style="109" customWidth="1"/>
    <col min="2051" max="2051" width="10.125" style="109" customWidth="1"/>
    <col min="2052" max="2052" width="10.75" style="109" customWidth="1"/>
    <col min="2053" max="2053" width="10" style="109" customWidth="1"/>
    <col min="2054" max="2054" width="9.625" style="109" bestFit="1" customWidth="1"/>
    <col min="2055" max="2055" width="10.75" style="109" customWidth="1"/>
    <col min="2056" max="2056" width="12.25" style="109" customWidth="1"/>
    <col min="2057" max="2057" width="11.625" style="109" customWidth="1"/>
    <col min="2058" max="2058" width="9.75" style="109" customWidth="1"/>
    <col min="2059" max="2059" width="9.875" style="109" customWidth="1"/>
    <col min="2060" max="2060" width="12" style="109" customWidth="1"/>
    <col min="2061" max="2061" width="9.875" style="109" customWidth="1"/>
    <col min="2062" max="2063" width="10.375" style="109" customWidth="1"/>
    <col min="2064" max="2064" width="16.25" style="109" customWidth="1"/>
    <col min="2065" max="2065" width="9.875" style="109" bestFit="1" customWidth="1"/>
    <col min="2066" max="2304" width="9" style="109"/>
    <col min="2305" max="2305" width="5" style="109" customWidth="1"/>
    <col min="2306" max="2306" width="40.875" style="109" customWidth="1"/>
    <col min="2307" max="2307" width="10.125" style="109" customWidth="1"/>
    <col min="2308" max="2308" width="10.75" style="109" customWidth="1"/>
    <col min="2309" max="2309" width="10" style="109" customWidth="1"/>
    <col min="2310" max="2310" width="9.625" style="109" bestFit="1" customWidth="1"/>
    <col min="2311" max="2311" width="10.75" style="109" customWidth="1"/>
    <col min="2312" max="2312" width="12.25" style="109" customWidth="1"/>
    <col min="2313" max="2313" width="11.625" style="109" customWidth="1"/>
    <col min="2314" max="2314" width="9.75" style="109" customWidth="1"/>
    <col min="2315" max="2315" width="9.875" style="109" customWidth="1"/>
    <col min="2316" max="2316" width="12" style="109" customWidth="1"/>
    <col min="2317" max="2317" width="9.875" style="109" customWidth="1"/>
    <col min="2318" max="2319" width="10.375" style="109" customWidth="1"/>
    <col min="2320" max="2320" width="16.25" style="109" customWidth="1"/>
    <col min="2321" max="2321" width="9.875" style="109" bestFit="1" customWidth="1"/>
    <col min="2322" max="2560" width="9" style="109"/>
    <col min="2561" max="2561" width="5" style="109" customWidth="1"/>
    <col min="2562" max="2562" width="40.875" style="109" customWidth="1"/>
    <col min="2563" max="2563" width="10.125" style="109" customWidth="1"/>
    <col min="2564" max="2564" width="10.75" style="109" customWidth="1"/>
    <col min="2565" max="2565" width="10" style="109" customWidth="1"/>
    <col min="2566" max="2566" width="9.625" style="109" bestFit="1" customWidth="1"/>
    <col min="2567" max="2567" width="10.75" style="109" customWidth="1"/>
    <col min="2568" max="2568" width="12.25" style="109" customWidth="1"/>
    <col min="2569" max="2569" width="11.625" style="109" customWidth="1"/>
    <col min="2570" max="2570" width="9.75" style="109" customWidth="1"/>
    <col min="2571" max="2571" width="9.875" style="109" customWidth="1"/>
    <col min="2572" max="2572" width="12" style="109" customWidth="1"/>
    <col min="2573" max="2573" width="9.875" style="109" customWidth="1"/>
    <col min="2574" max="2575" width="10.375" style="109" customWidth="1"/>
    <col min="2576" max="2576" width="16.25" style="109" customWidth="1"/>
    <col min="2577" max="2577" width="9.875" style="109" bestFit="1" customWidth="1"/>
    <col min="2578" max="2816" width="9" style="109"/>
    <col min="2817" max="2817" width="5" style="109" customWidth="1"/>
    <col min="2818" max="2818" width="40.875" style="109" customWidth="1"/>
    <col min="2819" max="2819" width="10.125" style="109" customWidth="1"/>
    <col min="2820" max="2820" width="10.75" style="109" customWidth="1"/>
    <col min="2821" max="2821" width="10" style="109" customWidth="1"/>
    <col min="2822" max="2822" width="9.625" style="109" bestFit="1" customWidth="1"/>
    <col min="2823" max="2823" width="10.75" style="109" customWidth="1"/>
    <col min="2824" max="2824" width="12.25" style="109" customWidth="1"/>
    <col min="2825" max="2825" width="11.625" style="109" customWidth="1"/>
    <col min="2826" max="2826" width="9.75" style="109" customWidth="1"/>
    <col min="2827" max="2827" width="9.875" style="109" customWidth="1"/>
    <col min="2828" max="2828" width="12" style="109" customWidth="1"/>
    <col min="2829" max="2829" width="9.875" style="109" customWidth="1"/>
    <col min="2830" max="2831" width="10.375" style="109" customWidth="1"/>
    <col min="2832" max="2832" width="16.25" style="109" customWidth="1"/>
    <col min="2833" max="2833" width="9.875" style="109" bestFit="1" customWidth="1"/>
    <col min="2834" max="3072" width="9" style="109"/>
    <col min="3073" max="3073" width="5" style="109" customWidth="1"/>
    <col min="3074" max="3074" width="40.875" style="109" customWidth="1"/>
    <col min="3075" max="3075" width="10.125" style="109" customWidth="1"/>
    <col min="3076" max="3076" width="10.75" style="109" customWidth="1"/>
    <col min="3077" max="3077" width="10" style="109" customWidth="1"/>
    <col min="3078" max="3078" width="9.625" style="109" bestFit="1" customWidth="1"/>
    <col min="3079" max="3079" width="10.75" style="109" customWidth="1"/>
    <col min="3080" max="3080" width="12.25" style="109" customWidth="1"/>
    <col min="3081" max="3081" width="11.625" style="109" customWidth="1"/>
    <col min="3082" max="3082" width="9.75" style="109" customWidth="1"/>
    <col min="3083" max="3083" width="9.875" style="109" customWidth="1"/>
    <col min="3084" max="3084" width="12" style="109" customWidth="1"/>
    <col min="3085" max="3085" width="9.875" style="109" customWidth="1"/>
    <col min="3086" max="3087" width="10.375" style="109" customWidth="1"/>
    <col min="3088" max="3088" width="16.25" style="109" customWidth="1"/>
    <col min="3089" max="3089" width="9.875" style="109" bestFit="1" customWidth="1"/>
    <col min="3090" max="3328" width="9" style="109"/>
    <col min="3329" max="3329" width="5" style="109" customWidth="1"/>
    <col min="3330" max="3330" width="40.875" style="109" customWidth="1"/>
    <col min="3331" max="3331" width="10.125" style="109" customWidth="1"/>
    <col min="3332" max="3332" width="10.75" style="109" customWidth="1"/>
    <col min="3333" max="3333" width="10" style="109" customWidth="1"/>
    <col min="3334" max="3334" width="9.625" style="109" bestFit="1" customWidth="1"/>
    <col min="3335" max="3335" width="10.75" style="109" customWidth="1"/>
    <col min="3336" max="3336" width="12.25" style="109" customWidth="1"/>
    <col min="3337" max="3337" width="11.625" style="109" customWidth="1"/>
    <col min="3338" max="3338" width="9.75" style="109" customWidth="1"/>
    <col min="3339" max="3339" width="9.875" style="109" customWidth="1"/>
    <col min="3340" max="3340" width="12" style="109" customWidth="1"/>
    <col min="3341" max="3341" width="9.875" style="109" customWidth="1"/>
    <col min="3342" max="3343" width="10.375" style="109" customWidth="1"/>
    <col min="3344" max="3344" width="16.25" style="109" customWidth="1"/>
    <col min="3345" max="3345" width="9.875" style="109" bestFit="1" customWidth="1"/>
    <col min="3346" max="3584" width="9" style="109"/>
    <col min="3585" max="3585" width="5" style="109" customWidth="1"/>
    <col min="3586" max="3586" width="40.875" style="109" customWidth="1"/>
    <col min="3587" max="3587" width="10.125" style="109" customWidth="1"/>
    <col min="3588" max="3588" width="10.75" style="109" customWidth="1"/>
    <col min="3589" max="3589" width="10" style="109" customWidth="1"/>
    <col min="3590" max="3590" width="9.625" style="109" bestFit="1" customWidth="1"/>
    <col min="3591" max="3591" width="10.75" style="109" customWidth="1"/>
    <col min="3592" max="3592" width="12.25" style="109" customWidth="1"/>
    <col min="3593" max="3593" width="11.625" style="109" customWidth="1"/>
    <col min="3594" max="3594" width="9.75" style="109" customWidth="1"/>
    <col min="3595" max="3595" width="9.875" style="109" customWidth="1"/>
    <col min="3596" max="3596" width="12" style="109" customWidth="1"/>
    <col min="3597" max="3597" width="9.875" style="109" customWidth="1"/>
    <col min="3598" max="3599" width="10.375" style="109" customWidth="1"/>
    <col min="3600" max="3600" width="16.25" style="109" customWidth="1"/>
    <col min="3601" max="3601" width="9.875" style="109" bestFit="1" customWidth="1"/>
    <col min="3602" max="3840" width="9" style="109"/>
    <col min="3841" max="3841" width="5" style="109" customWidth="1"/>
    <col min="3842" max="3842" width="40.875" style="109" customWidth="1"/>
    <col min="3843" max="3843" width="10.125" style="109" customWidth="1"/>
    <col min="3844" max="3844" width="10.75" style="109" customWidth="1"/>
    <col min="3845" max="3845" width="10" style="109" customWidth="1"/>
    <col min="3846" max="3846" width="9.625" style="109" bestFit="1" customWidth="1"/>
    <col min="3847" max="3847" width="10.75" style="109" customWidth="1"/>
    <col min="3848" max="3848" width="12.25" style="109" customWidth="1"/>
    <col min="3849" max="3849" width="11.625" style="109" customWidth="1"/>
    <col min="3850" max="3850" width="9.75" style="109" customWidth="1"/>
    <col min="3851" max="3851" width="9.875" style="109" customWidth="1"/>
    <col min="3852" max="3852" width="12" style="109" customWidth="1"/>
    <col min="3853" max="3853" width="9.875" style="109" customWidth="1"/>
    <col min="3854" max="3855" width="10.375" style="109" customWidth="1"/>
    <col min="3856" max="3856" width="16.25" style="109" customWidth="1"/>
    <col min="3857" max="3857" width="9.875" style="109" bestFit="1" customWidth="1"/>
    <col min="3858" max="4096" width="9" style="109"/>
    <col min="4097" max="4097" width="5" style="109" customWidth="1"/>
    <col min="4098" max="4098" width="40.875" style="109" customWidth="1"/>
    <col min="4099" max="4099" width="10.125" style="109" customWidth="1"/>
    <col min="4100" max="4100" width="10.75" style="109" customWidth="1"/>
    <col min="4101" max="4101" width="10" style="109" customWidth="1"/>
    <col min="4102" max="4102" width="9.625" style="109" bestFit="1" customWidth="1"/>
    <col min="4103" max="4103" width="10.75" style="109" customWidth="1"/>
    <col min="4104" max="4104" width="12.25" style="109" customWidth="1"/>
    <col min="4105" max="4105" width="11.625" style="109" customWidth="1"/>
    <col min="4106" max="4106" width="9.75" style="109" customWidth="1"/>
    <col min="4107" max="4107" width="9.875" style="109" customWidth="1"/>
    <col min="4108" max="4108" width="12" style="109" customWidth="1"/>
    <col min="4109" max="4109" width="9.875" style="109" customWidth="1"/>
    <col min="4110" max="4111" width="10.375" style="109" customWidth="1"/>
    <col min="4112" max="4112" width="16.25" style="109" customWidth="1"/>
    <col min="4113" max="4113" width="9.875" style="109" bestFit="1" customWidth="1"/>
    <col min="4114" max="4352" width="9" style="109"/>
    <col min="4353" max="4353" width="5" style="109" customWidth="1"/>
    <col min="4354" max="4354" width="40.875" style="109" customWidth="1"/>
    <col min="4355" max="4355" width="10.125" style="109" customWidth="1"/>
    <col min="4356" max="4356" width="10.75" style="109" customWidth="1"/>
    <col min="4357" max="4357" width="10" style="109" customWidth="1"/>
    <col min="4358" max="4358" width="9.625" style="109" bestFit="1" customWidth="1"/>
    <col min="4359" max="4359" width="10.75" style="109" customWidth="1"/>
    <col min="4360" max="4360" width="12.25" style="109" customWidth="1"/>
    <col min="4361" max="4361" width="11.625" style="109" customWidth="1"/>
    <col min="4362" max="4362" width="9.75" style="109" customWidth="1"/>
    <col min="4363" max="4363" width="9.875" style="109" customWidth="1"/>
    <col min="4364" max="4364" width="12" style="109" customWidth="1"/>
    <col min="4365" max="4365" width="9.875" style="109" customWidth="1"/>
    <col min="4366" max="4367" width="10.375" style="109" customWidth="1"/>
    <col min="4368" max="4368" width="16.25" style="109" customWidth="1"/>
    <col min="4369" max="4369" width="9.875" style="109" bestFit="1" customWidth="1"/>
    <col min="4370" max="4608" width="9" style="109"/>
    <col min="4609" max="4609" width="5" style="109" customWidth="1"/>
    <col min="4610" max="4610" width="40.875" style="109" customWidth="1"/>
    <col min="4611" max="4611" width="10.125" style="109" customWidth="1"/>
    <col min="4612" max="4612" width="10.75" style="109" customWidth="1"/>
    <col min="4613" max="4613" width="10" style="109" customWidth="1"/>
    <col min="4614" max="4614" width="9.625" style="109" bestFit="1" customWidth="1"/>
    <col min="4615" max="4615" width="10.75" style="109" customWidth="1"/>
    <col min="4616" max="4616" width="12.25" style="109" customWidth="1"/>
    <col min="4617" max="4617" width="11.625" style="109" customWidth="1"/>
    <col min="4618" max="4618" width="9.75" style="109" customWidth="1"/>
    <col min="4619" max="4619" width="9.875" style="109" customWidth="1"/>
    <col min="4620" max="4620" width="12" style="109" customWidth="1"/>
    <col min="4621" max="4621" width="9.875" style="109" customWidth="1"/>
    <col min="4622" max="4623" width="10.375" style="109" customWidth="1"/>
    <col min="4624" max="4624" width="16.25" style="109" customWidth="1"/>
    <col min="4625" max="4625" width="9.875" style="109" bestFit="1" customWidth="1"/>
    <col min="4626" max="4864" width="9" style="109"/>
    <col min="4865" max="4865" width="5" style="109" customWidth="1"/>
    <col min="4866" max="4866" width="40.875" style="109" customWidth="1"/>
    <col min="4867" max="4867" width="10.125" style="109" customWidth="1"/>
    <col min="4868" max="4868" width="10.75" style="109" customWidth="1"/>
    <col min="4869" max="4869" width="10" style="109" customWidth="1"/>
    <col min="4870" max="4870" width="9.625" style="109" bestFit="1" customWidth="1"/>
    <col min="4871" max="4871" width="10.75" style="109" customWidth="1"/>
    <col min="4872" max="4872" width="12.25" style="109" customWidth="1"/>
    <col min="4873" max="4873" width="11.625" style="109" customWidth="1"/>
    <col min="4874" max="4874" width="9.75" style="109" customWidth="1"/>
    <col min="4875" max="4875" width="9.875" style="109" customWidth="1"/>
    <col min="4876" max="4876" width="12" style="109" customWidth="1"/>
    <col min="4877" max="4877" width="9.875" style="109" customWidth="1"/>
    <col min="4878" max="4879" width="10.375" style="109" customWidth="1"/>
    <col min="4880" max="4880" width="16.25" style="109" customWidth="1"/>
    <col min="4881" max="4881" width="9.875" style="109" bestFit="1" customWidth="1"/>
    <col min="4882" max="5120" width="9" style="109"/>
    <col min="5121" max="5121" width="5" style="109" customWidth="1"/>
    <col min="5122" max="5122" width="40.875" style="109" customWidth="1"/>
    <col min="5123" max="5123" width="10.125" style="109" customWidth="1"/>
    <col min="5124" max="5124" width="10.75" style="109" customWidth="1"/>
    <col min="5125" max="5125" width="10" style="109" customWidth="1"/>
    <col min="5126" max="5126" width="9.625" style="109" bestFit="1" customWidth="1"/>
    <col min="5127" max="5127" width="10.75" style="109" customWidth="1"/>
    <col min="5128" max="5128" width="12.25" style="109" customWidth="1"/>
    <col min="5129" max="5129" width="11.625" style="109" customWidth="1"/>
    <col min="5130" max="5130" width="9.75" style="109" customWidth="1"/>
    <col min="5131" max="5131" width="9.875" style="109" customWidth="1"/>
    <col min="5132" max="5132" width="12" style="109" customWidth="1"/>
    <col min="5133" max="5133" width="9.875" style="109" customWidth="1"/>
    <col min="5134" max="5135" width="10.375" style="109" customWidth="1"/>
    <col min="5136" max="5136" width="16.25" style="109" customWidth="1"/>
    <col min="5137" max="5137" width="9.875" style="109" bestFit="1" customWidth="1"/>
    <col min="5138" max="5376" width="9" style="109"/>
    <col min="5377" max="5377" width="5" style="109" customWidth="1"/>
    <col min="5378" max="5378" width="40.875" style="109" customWidth="1"/>
    <col min="5379" max="5379" width="10.125" style="109" customWidth="1"/>
    <col min="5380" max="5380" width="10.75" style="109" customWidth="1"/>
    <col min="5381" max="5381" width="10" style="109" customWidth="1"/>
    <col min="5382" max="5382" width="9.625" style="109" bestFit="1" customWidth="1"/>
    <col min="5383" max="5383" width="10.75" style="109" customWidth="1"/>
    <col min="5384" max="5384" width="12.25" style="109" customWidth="1"/>
    <col min="5385" max="5385" width="11.625" style="109" customWidth="1"/>
    <col min="5386" max="5386" width="9.75" style="109" customWidth="1"/>
    <col min="5387" max="5387" width="9.875" style="109" customWidth="1"/>
    <col min="5388" max="5388" width="12" style="109" customWidth="1"/>
    <col min="5389" max="5389" width="9.875" style="109" customWidth="1"/>
    <col min="5390" max="5391" width="10.375" style="109" customWidth="1"/>
    <col min="5392" max="5392" width="16.25" style="109" customWidth="1"/>
    <col min="5393" max="5393" width="9.875" style="109" bestFit="1" customWidth="1"/>
    <col min="5394" max="5632" width="9" style="109"/>
    <col min="5633" max="5633" width="5" style="109" customWidth="1"/>
    <col min="5634" max="5634" width="40.875" style="109" customWidth="1"/>
    <col min="5635" max="5635" width="10.125" style="109" customWidth="1"/>
    <col min="5636" max="5636" width="10.75" style="109" customWidth="1"/>
    <col min="5637" max="5637" width="10" style="109" customWidth="1"/>
    <col min="5638" max="5638" width="9.625" style="109" bestFit="1" customWidth="1"/>
    <col min="5639" max="5639" width="10.75" style="109" customWidth="1"/>
    <col min="5640" max="5640" width="12.25" style="109" customWidth="1"/>
    <col min="5641" max="5641" width="11.625" style="109" customWidth="1"/>
    <col min="5642" max="5642" width="9.75" style="109" customWidth="1"/>
    <col min="5643" max="5643" width="9.875" style="109" customWidth="1"/>
    <col min="5644" max="5644" width="12" style="109" customWidth="1"/>
    <col min="5645" max="5645" width="9.875" style="109" customWidth="1"/>
    <col min="5646" max="5647" width="10.375" style="109" customWidth="1"/>
    <col min="5648" max="5648" width="16.25" style="109" customWidth="1"/>
    <col min="5649" max="5649" width="9.875" style="109" bestFit="1" customWidth="1"/>
    <col min="5650" max="5888" width="9" style="109"/>
    <col min="5889" max="5889" width="5" style="109" customWidth="1"/>
    <col min="5890" max="5890" width="40.875" style="109" customWidth="1"/>
    <col min="5891" max="5891" width="10.125" style="109" customWidth="1"/>
    <col min="5892" max="5892" width="10.75" style="109" customWidth="1"/>
    <col min="5893" max="5893" width="10" style="109" customWidth="1"/>
    <col min="5894" max="5894" width="9.625" style="109" bestFit="1" customWidth="1"/>
    <col min="5895" max="5895" width="10.75" style="109" customWidth="1"/>
    <col min="5896" max="5896" width="12.25" style="109" customWidth="1"/>
    <col min="5897" max="5897" width="11.625" style="109" customWidth="1"/>
    <col min="5898" max="5898" width="9.75" style="109" customWidth="1"/>
    <col min="5899" max="5899" width="9.875" style="109" customWidth="1"/>
    <col min="5900" max="5900" width="12" style="109" customWidth="1"/>
    <col min="5901" max="5901" width="9.875" style="109" customWidth="1"/>
    <col min="5902" max="5903" width="10.375" style="109" customWidth="1"/>
    <col min="5904" max="5904" width="16.25" style="109" customWidth="1"/>
    <col min="5905" max="5905" width="9.875" style="109" bestFit="1" customWidth="1"/>
    <col min="5906" max="6144" width="9" style="109"/>
    <col min="6145" max="6145" width="5" style="109" customWidth="1"/>
    <col min="6146" max="6146" width="40.875" style="109" customWidth="1"/>
    <col min="6147" max="6147" width="10.125" style="109" customWidth="1"/>
    <col min="6148" max="6148" width="10.75" style="109" customWidth="1"/>
    <col min="6149" max="6149" width="10" style="109" customWidth="1"/>
    <col min="6150" max="6150" width="9.625" style="109" bestFit="1" customWidth="1"/>
    <col min="6151" max="6151" width="10.75" style="109" customWidth="1"/>
    <col min="6152" max="6152" width="12.25" style="109" customWidth="1"/>
    <col min="6153" max="6153" width="11.625" style="109" customWidth="1"/>
    <col min="6154" max="6154" width="9.75" style="109" customWidth="1"/>
    <col min="6155" max="6155" width="9.875" style="109" customWidth="1"/>
    <col min="6156" max="6156" width="12" style="109" customWidth="1"/>
    <col min="6157" max="6157" width="9.875" style="109" customWidth="1"/>
    <col min="6158" max="6159" width="10.375" style="109" customWidth="1"/>
    <col min="6160" max="6160" width="16.25" style="109" customWidth="1"/>
    <col min="6161" max="6161" width="9.875" style="109" bestFit="1" customWidth="1"/>
    <col min="6162" max="6400" width="9" style="109"/>
    <col min="6401" max="6401" width="5" style="109" customWidth="1"/>
    <col min="6402" max="6402" width="40.875" style="109" customWidth="1"/>
    <col min="6403" max="6403" width="10.125" style="109" customWidth="1"/>
    <col min="6404" max="6404" width="10.75" style="109" customWidth="1"/>
    <col min="6405" max="6405" width="10" style="109" customWidth="1"/>
    <col min="6406" max="6406" width="9.625" style="109" bestFit="1" customWidth="1"/>
    <col min="6407" max="6407" width="10.75" style="109" customWidth="1"/>
    <col min="6408" max="6408" width="12.25" style="109" customWidth="1"/>
    <col min="6409" max="6409" width="11.625" style="109" customWidth="1"/>
    <col min="6410" max="6410" width="9.75" style="109" customWidth="1"/>
    <col min="6411" max="6411" width="9.875" style="109" customWidth="1"/>
    <col min="6412" max="6412" width="12" style="109" customWidth="1"/>
    <col min="6413" max="6413" width="9.875" style="109" customWidth="1"/>
    <col min="6414" max="6415" width="10.375" style="109" customWidth="1"/>
    <col min="6416" max="6416" width="16.25" style="109" customWidth="1"/>
    <col min="6417" max="6417" width="9.875" style="109" bestFit="1" customWidth="1"/>
    <col min="6418" max="6656" width="9" style="109"/>
    <col min="6657" max="6657" width="5" style="109" customWidth="1"/>
    <col min="6658" max="6658" width="40.875" style="109" customWidth="1"/>
    <col min="6659" max="6659" width="10.125" style="109" customWidth="1"/>
    <col min="6660" max="6660" width="10.75" style="109" customWidth="1"/>
    <col min="6661" max="6661" width="10" style="109" customWidth="1"/>
    <col min="6662" max="6662" width="9.625" style="109" bestFit="1" customWidth="1"/>
    <col min="6663" max="6663" width="10.75" style="109" customWidth="1"/>
    <col min="6664" max="6664" width="12.25" style="109" customWidth="1"/>
    <col min="6665" max="6665" width="11.625" style="109" customWidth="1"/>
    <col min="6666" max="6666" width="9.75" style="109" customWidth="1"/>
    <col min="6667" max="6667" width="9.875" style="109" customWidth="1"/>
    <col min="6668" max="6668" width="12" style="109" customWidth="1"/>
    <col min="6669" max="6669" width="9.875" style="109" customWidth="1"/>
    <col min="6670" max="6671" width="10.375" style="109" customWidth="1"/>
    <col min="6672" max="6672" width="16.25" style="109" customWidth="1"/>
    <col min="6673" max="6673" width="9.875" style="109" bestFit="1" customWidth="1"/>
    <col min="6674" max="6912" width="9" style="109"/>
    <col min="6913" max="6913" width="5" style="109" customWidth="1"/>
    <col min="6914" max="6914" width="40.875" style="109" customWidth="1"/>
    <col min="6915" max="6915" width="10.125" style="109" customWidth="1"/>
    <col min="6916" max="6916" width="10.75" style="109" customWidth="1"/>
    <col min="6917" max="6917" width="10" style="109" customWidth="1"/>
    <col min="6918" max="6918" width="9.625" style="109" bestFit="1" customWidth="1"/>
    <col min="6919" max="6919" width="10.75" style="109" customWidth="1"/>
    <col min="6920" max="6920" width="12.25" style="109" customWidth="1"/>
    <col min="6921" max="6921" width="11.625" style="109" customWidth="1"/>
    <col min="6922" max="6922" width="9.75" style="109" customWidth="1"/>
    <col min="6923" max="6923" width="9.875" style="109" customWidth="1"/>
    <col min="6924" max="6924" width="12" style="109" customWidth="1"/>
    <col min="6925" max="6925" width="9.875" style="109" customWidth="1"/>
    <col min="6926" max="6927" width="10.375" style="109" customWidth="1"/>
    <col min="6928" max="6928" width="16.25" style="109" customWidth="1"/>
    <col min="6929" max="6929" width="9.875" style="109" bestFit="1" customWidth="1"/>
    <col min="6930" max="7168" width="9" style="109"/>
    <col min="7169" max="7169" width="5" style="109" customWidth="1"/>
    <col min="7170" max="7170" width="40.875" style="109" customWidth="1"/>
    <col min="7171" max="7171" width="10.125" style="109" customWidth="1"/>
    <col min="7172" max="7172" width="10.75" style="109" customWidth="1"/>
    <col min="7173" max="7173" width="10" style="109" customWidth="1"/>
    <col min="7174" max="7174" width="9.625" style="109" bestFit="1" customWidth="1"/>
    <col min="7175" max="7175" width="10.75" style="109" customWidth="1"/>
    <col min="7176" max="7176" width="12.25" style="109" customWidth="1"/>
    <col min="7177" max="7177" width="11.625" style="109" customWidth="1"/>
    <col min="7178" max="7178" width="9.75" style="109" customWidth="1"/>
    <col min="7179" max="7179" width="9.875" style="109" customWidth="1"/>
    <col min="7180" max="7180" width="12" style="109" customWidth="1"/>
    <col min="7181" max="7181" width="9.875" style="109" customWidth="1"/>
    <col min="7182" max="7183" width="10.375" style="109" customWidth="1"/>
    <col min="7184" max="7184" width="16.25" style="109" customWidth="1"/>
    <col min="7185" max="7185" width="9.875" style="109" bestFit="1" customWidth="1"/>
    <col min="7186" max="7424" width="9" style="109"/>
    <col min="7425" max="7425" width="5" style="109" customWidth="1"/>
    <col min="7426" max="7426" width="40.875" style="109" customWidth="1"/>
    <col min="7427" max="7427" width="10.125" style="109" customWidth="1"/>
    <col min="7428" max="7428" width="10.75" style="109" customWidth="1"/>
    <col min="7429" max="7429" width="10" style="109" customWidth="1"/>
    <col min="7430" max="7430" width="9.625" style="109" bestFit="1" customWidth="1"/>
    <col min="7431" max="7431" width="10.75" style="109" customWidth="1"/>
    <col min="7432" max="7432" width="12.25" style="109" customWidth="1"/>
    <col min="7433" max="7433" width="11.625" style="109" customWidth="1"/>
    <col min="7434" max="7434" width="9.75" style="109" customWidth="1"/>
    <col min="7435" max="7435" width="9.875" style="109" customWidth="1"/>
    <col min="7436" max="7436" width="12" style="109" customWidth="1"/>
    <col min="7437" max="7437" width="9.875" style="109" customWidth="1"/>
    <col min="7438" max="7439" width="10.375" style="109" customWidth="1"/>
    <col min="7440" max="7440" width="16.25" style="109" customWidth="1"/>
    <col min="7441" max="7441" width="9.875" style="109" bestFit="1" customWidth="1"/>
    <col min="7442" max="7680" width="9" style="109"/>
    <col min="7681" max="7681" width="5" style="109" customWidth="1"/>
    <col min="7682" max="7682" width="40.875" style="109" customWidth="1"/>
    <col min="7683" max="7683" width="10.125" style="109" customWidth="1"/>
    <col min="7684" max="7684" width="10.75" style="109" customWidth="1"/>
    <col min="7685" max="7685" width="10" style="109" customWidth="1"/>
    <col min="7686" max="7686" width="9.625" style="109" bestFit="1" customWidth="1"/>
    <col min="7687" max="7687" width="10.75" style="109" customWidth="1"/>
    <col min="7688" max="7688" width="12.25" style="109" customWidth="1"/>
    <col min="7689" max="7689" width="11.625" style="109" customWidth="1"/>
    <col min="7690" max="7690" width="9.75" style="109" customWidth="1"/>
    <col min="7691" max="7691" width="9.875" style="109" customWidth="1"/>
    <col min="7692" max="7692" width="12" style="109" customWidth="1"/>
    <col min="7693" max="7693" width="9.875" style="109" customWidth="1"/>
    <col min="7694" max="7695" width="10.375" style="109" customWidth="1"/>
    <col min="7696" max="7696" width="16.25" style="109" customWidth="1"/>
    <col min="7697" max="7697" width="9.875" style="109" bestFit="1" customWidth="1"/>
    <col min="7698" max="7936" width="9" style="109"/>
    <col min="7937" max="7937" width="5" style="109" customWidth="1"/>
    <col min="7938" max="7938" width="40.875" style="109" customWidth="1"/>
    <col min="7939" max="7939" width="10.125" style="109" customWidth="1"/>
    <col min="7940" max="7940" width="10.75" style="109" customWidth="1"/>
    <col min="7941" max="7941" width="10" style="109" customWidth="1"/>
    <col min="7942" max="7942" width="9.625" style="109" bestFit="1" customWidth="1"/>
    <col min="7943" max="7943" width="10.75" style="109" customWidth="1"/>
    <col min="7944" max="7944" width="12.25" style="109" customWidth="1"/>
    <col min="7945" max="7945" width="11.625" style="109" customWidth="1"/>
    <col min="7946" max="7946" width="9.75" style="109" customWidth="1"/>
    <col min="7947" max="7947" width="9.875" style="109" customWidth="1"/>
    <col min="7948" max="7948" width="12" style="109" customWidth="1"/>
    <col min="7949" max="7949" width="9.875" style="109" customWidth="1"/>
    <col min="7950" max="7951" width="10.375" style="109" customWidth="1"/>
    <col min="7952" max="7952" width="16.25" style="109" customWidth="1"/>
    <col min="7953" max="7953" width="9.875" style="109" bestFit="1" customWidth="1"/>
    <col min="7954" max="8192" width="9" style="109"/>
    <col min="8193" max="8193" width="5" style="109" customWidth="1"/>
    <col min="8194" max="8194" width="40.875" style="109" customWidth="1"/>
    <col min="8195" max="8195" width="10.125" style="109" customWidth="1"/>
    <col min="8196" max="8196" width="10.75" style="109" customWidth="1"/>
    <col min="8197" max="8197" width="10" style="109" customWidth="1"/>
    <col min="8198" max="8198" width="9.625" style="109" bestFit="1" customWidth="1"/>
    <col min="8199" max="8199" width="10.75" style="109" customWidth="1"/>
    <col min="8200" max="8200" width="12.25" style="109" customWidth="1"/>
    <col min="8201" max="8201" width="11.625" style="109" customWidth="1"/>
    <col min="8202" max="8202" width="9.75" style="109" customWidth="1"/>
    <col min="8203" max="8203" width="9.875" style="109" customWidth="1"/>
    <col min="8204" max="8204" width="12" style="109" customWidth="1"/>
    <col min="8205" max="8205" width="9.875" style="109" customWidth="1"/>
    <col min="8206" max="8207" width="10.375" style="109" customWidth="1"/>
    <col min="8208" max="8208" width="16.25" style="109" customWidth="1"/>
    <col min="8209" max="8209" width="9.875" style="109" bestFit="1" customWidth="1"/>
    <col min="8210" max="8448" width="9" style="109"/>
    <col min="8449" max="8449" width="5" style="109" customWidth="1"/>
    <col min="8450" max="8450" width="40.875" style="109" customWidth="1"/>
    <col min="8451" max="8451" width="10.125" style="109" customWidth="1"/>
    <col min="8452" max="8452" width="10.75" style="109" customWidth="1"/>
    <col min="8453" max="8453" width="10" style="109" customWidth="1"/>
    <col min="8454" max="8454" width="9.625" style="109" bestFit="1" customWidth="1"/>
    <col min="8455" max="8455" width="10.75" style="109" customWidth="1"/>
    <col min="8456" max="8456" width="12.25" style="109" customWidth="1"/>
    <col min="8457" max="8457" width="11.625" style="109" customWidth="1"/>
    <col min="8458" max="8458" width="9.75" style="109" customWidth="1"/>
    <col min="8459" max="8459" width="9.875" style="109" customWidth="1"/>
    <col min="8460" max="8460" width="12" style="109" customWidth="1"/>
    <col min="8461" max="8461" width="9.875" style="109" customWidth="1"/>
    <col min="8462" max="8463" width="10.375" style="109" customWidth="1"/>
    <col min="8464" max="8464" width="16.25" style="109" customWidth="1"/>
    <col min="8465" max="8465" width="9.875" style="109" bestFit="1" customWidth="1"/>
    <col min="8466" max="8704" width="9" style="109"/>
    <col min="8705" max="8705" width="5" style="109" customWidth="1"/>
    <col min="8706" max="8706" width="40.875" style="109" customWidth="1"/>
    <col min="8707" max="8707" width="10.125" style="109" customWidth="1"/>
    <col min="8708" max="8708" width="10.75" style="109" customWidth="1"/>
    <col min="8709" max="8709" width="10" style="109" customWidth="1"/>
    <col min="8710" max="8710" width="9.625" style="109" bestFit="1" customWidth="1"/>
    <col min="8711" max="8711" width="10.75" style="109" customWidth="1"/>
    <col min="8712" max="8712" width="12.25" style="109" customWidth="1"/>
    <col min="8713" max="8713" width="11.625" style="109" customWidth="1"/>
    <col min="8714" max="8714" width="9.75" style="109" customWidth="1"/>
    <col min="8715" max="8715" width="9.875" style="109" customWidth="1"/>
    <col min="8716" max="8716" width="12" style="109" customWidth="1"/>
    <col min="8717" max="8717" width="9.875" style="109" customWidth="1"/>
    <col min="8718" max="8719" width="10.375" style="109" customWidth="1"/>
    <col min="8720" max="8720" width="16.25" style="109" customWidth="1"/>
    <col min="8721" max="8721" width="9.875" style="109" bestFit="1" customWidth="1"/>
    <col min="8722" max="8960" width="9" style="109"/>
    <col min="8961" max="8961" width="5" style="109" customWidth="1"/>
    <col min="8962" max="8962" width="40.875" style="109" customWidth="1"/>
    <col min="8963" max="8963" width="10.125" style="109" customWidth="1"/>
    <col min="8964" max="8964" width="10.75" style="109" customWidth="1"/>
    <col min="8965" max="8965" width="10" style="109" customWidth="1"/>
    <col min="8966" max="8966" width="9.625" style="109" bestFit="1" customWidth="1"/>
    <col min="8967" max="8967" width="10.75" style="109" customWidth="1"/>
    <col min="8968" max="8968" width="12.25" style="109" customWidth="1"/>
    <col min="8969" max="8969" width="11.625" style="109" customWidth="1"/>
    <col min="8970" max="8970" width="9.75" style="109" customWidth="1"/>
    <col min="8971" max="8971" width="9.875" style="109" customWidth="1"/>
    <col min="8972" max="8972" width="12" style="109" customWidth="1"/>
    <col min="8973" max="8973" width="9.875" style="109" customWidth="1"/>
    <col min="8974" max="8975" width="10.375" style="109" customWidth="1"/>
    <col min="8976" max="8976" width="16.25" style="109" customWidth="1"/>
    <col min="8977" max="8977" width="9.875" style="109" bestFit="1" customWidth="1"/>
    <col min="8978" max="9216" width="9" style="109"/>
    <col min="9217" max="9217" width="5" style="109" customWidth="1"/>
    <col min="9218" max="9218" width="40.875" style="109" customWidth="1"/>
    <col min="9219" max="9219" width="10.125" style="109" customWidth="1"/>
    <col min="9220" max="9220" width="10.75" style="109" customWidth="1"/>
    <col min="9221" max="9221" width="10" style="109" customWidth="1"/>
    <col min="9222" max="9222" width="9.625" style="109" bestFit="1" customWidth="1"/>
    <col min="9223" max="9223" width="10.75" style="109" customWidth="1"/>
    <col min="9224" max="9224" width="12.25" style="109" customWidth="1"/>
    <col min="9225" max="9225" width="11.625" style="109" customWidth="1"/>
    <col min="9226" max="9226" width="9.75" style="109" customWidth="1"/>
    <col min="9227" max="9227" width="9.875" style="109" customWidth="1"/>
    <col min="9228" max="9228" width="12" style="109" customWidth="1"/>
    <col min="9229" max="9229" width="9.875" style="109" customWidth="1"/>
    <col min="9230" max="9231" width="10.375" style="109" customWidth="1"/>
    <col min="9232" max="9232" width="16.25" style="109" customWidth="1"/>
    <col min="9233" max="9233" width="9.875" style="109" bestFit="1" customWidth="1"/>
    <col min="9234" max="9472" width="9" style="109"/>
    <col min="9473" max="9473" width="5" style="109" customWidth="1"/>
    <col min="9474" max="9474" width="40.875" style="109" customWidth="1"/>
    <col min="9475" max="9475" width="10.125" style="109" customWidth="1"/>
    <col min="9476" max="9476" width="10.75" style="109" customWidth="1"/>
    <col min="9477" max="9477" width="10" style="109" customWidth="1"/>
    <col min="9478" max="9478" width="9.625" style="109" bestFit="1" customWidth="1"/>
    <col min="9479" max="9479" width="10.75" style="109" customWidth="1"/>
    <col min="9480" max="9480" width="12.25" style="109" customWidth="1"/>
    <col min="9481" max="9481" width="11.625" style="109" customWidth="1"/>
    <col min="9482" max="9482" width="9.75" style="109" customWidth="1"/>
    <col min="9483" max="9483" width="9.875" style="109" customWidth="1"/>
    <col min="9484" max="9484" width="12" style="109" customWidth="1"/>
    <col min="9485" max="9485" width="9.875" style="109" customWidth="1"/>
    <col min="9486" max="9487" width="10.375" style="109" customWidth="1"/>
    <col min="9488" max="9488" width="16.25" style="109" customWidth="1"/>
    <col min="9489" max="9489" width="9.875" style="109" bestFit="1" customWidth="1"/>
    <col min="9490" max="9728" width="9" style="109"/>
    <col min="9729" max="9729" width="5" style="109" customWidth="1"/>
    <col min="9730" max="9730" width="40.875" style="109" customWidth="1"/>
    <col min="9731" max="9731" width="10.125" style="109" customWidth="1"/>
    <col min="9732" max="9732" width="10.75" style="109" customWidth="1"/>
    <col min="9733" max="9733" width="10" style="109" customWidth="1"/>
    <col min="9734" max="9734" width="9.625" style="109" bestFit="1" customWidth="1"/>
    <col min="9735" max="9735" width="10.75" style="109" customWidth="1"/>
    <col min="9736" max="9736" width="12.25" style="109" customWidth="1"/>
    <col min="9737" max="9737" width="11.625" style="109" customWidth="1"/>
    <col min="9738" max="9738" width="9.75" style="109" customWidth="1"/>
    <col min="9739" max="9739" width="9.875" style="109" customWidth="1"/>
    <col min="9740" max="9740" width="12" style="109" customWidth="1"/>
    <col min="9741" max="9741" width="9.875" style="109" customWidth="1"/>
    <col min="9742" max="9743" width="10.375" style="109" customWidth="1"/>
    <col min="9744" max="9744" width="16.25" style="109" customWidth="1"/>
    <col min="9745" max="9745" width="9.875" style="109" bestFit="1" customWidth="1"/>
    <col min="9746" max="9984" width="9" style="109"/>
    <col min="9985" max="9985" width="5" style="109" customWidth="1"/>
    <col min="9986" max="9986" width="40.875" style="109" customWidth="1"/>
    <col min="9987" max="9987" width="10.125" style="109" customWidth="1"/>
    <col min="9988" max="9988" width="10.75" style="109" customWidth="1"/>
    <col min="9989" max="9989" width="10" style="109" customWidth="1"/>
    <col min="9990" max="9990" width="9.625" style="109" bestFit="1" customWidth="1"/>
    <col min="9991" max="9991" width="10.75" style="109" customWidth="1"/>
    <col min="9992" max="9992" width="12.25" style="109" customWidth="1"/>
    <col min="9993" max="9993" width="11.625" style="109" customWidth="1"/>
    <col min="9994" max="9994" width="9.75" style="109" customWidth="1"/>
    <col min="9995" max="9995" width="9.875" style="109" customWidth="1"/>
    <col min="9996" max="9996" width="12" style="109" customWidth="1"/>
    <col min="9997" max="9997" width="9.875" style="109" customWidth="1"/>
    <col min="9998" max="9999" width="10.375" style="109" customWidth="1"/>
    <col min="10000" max="10000" width="16.25" style="109" customWidth="1"/>
    <col min="10001" max="10001" width="9.875" style="109" bestFit="1" customWidth="1"/>
    <col min="10002" max="10240" width="9" style="109"/>
    <col min="10241" max="10241" width="5" style="109" customWidth="1"/>
    <col min="10242" max="10242" width="40.875" style="109" customWidth="1"/>
    <col min="10243" max="10243" width="10.125" style="109" customWidth="1"/>
    <col min="10244" max="10244" width="10.75" style="109" customWidth="1"/>
    <col min="10245" max="10245" width="10" style="109" customWidth="1"/>
    <col min="10246" max="10246" width="9.625" style="109" bestFit="1" customWidth="1"/>
    <col min="10247" max="10247" width="10.75" style="109" customWidth="1"/>
    <col min="10248" max="10248" width="12.25" style="109" customWidth="1"/>
    <col min="10249" max="10249" width="11.625" style="109" customWidth="1"/>
    <col min="10250" max="10250" width="9.75" style="109" customWidth="1"/>
    <col min="10251" max="10251" width="9.875" style="109" customWidth="1"/>
    <col min="10252" max="10252" width="12" style="109" customWidth="1"/>
    <col min="10253" max="10253" width="9.875" style="109" customWidth="1"/>
    <col min="10254" max="10255" width="10.375" style="109" customWidth="1"/>
    <col min="10256" max="10256" width="16.25" style="109" customWidth="1"/>
    <col min="10257" max="10257" width="9.875" style="109" bestFit="1" customWidth="1"/>
    <col min="10258" max="10496" width="9" style="109"/>
    <col min="10497" max="10497" width="5" style="109" customWidth="1"/>
    <col min="10498" max="10498" width="40.875" style="109" customWidth="1"/>
    <col min="10499" max="10499" width="10.125" style="109" customWidth="1"/>
    <col min="10500" max="10500" width="10.75" style="109" customWidth="1"/>
    <col min="10501" max="10501" width="10" style="109" customWidth="1"/>
    <col min="10502" max="10502" width="9.625" style="109" bestFit="1" customWidth="1"/>
    <col min="10503" max="10503" width="10.75" style="109" customWidth="1"/>
    <col min="10504" max="10504" width="12.25" style="109" customWidth="1"/>
    <col min="10505" max="10505" width="11.625" style="109" customWidth="1"/>
    <col min="10506" max="10506" width="9.75" style="109" customWidth="1"/>
    <col min="10507" max="10507" width="9.875" style="109" customWidth="1"/>
    <col min="10508" max="10508" width="12" style="109" customWidth="1"/>
    <col min="10509" max="10509" width="9.875" style="109" customWidth="1"/>
    <col min="10510" max="10511" width="10.375" style="109" customWidth="1"/>
    <col min="10512" max="10512" width="16.25" style="109" customWidth="1"/>
    <col min="10513" max="10513" width="9.875" style="109" bestFit="1" customWidth="1"/>
    <col min="10514" max="10752" width="9" style="109"/>
    <col min="10753" max="10753" width="5" style="109" customWidth="1"/>
    <col min="10754" max="10754" width="40.875" style="109" customWidth="1"/>
    <col min="10755" max="10755" width="10.125" style="109" customWidth="1"/>
    <col min="10756" max="10756" width="10.75" style="109" customWidth="1"/>
    <col min="10757" max="10757" width="10" style="109" customWidth="1"/>
    <col min="10758" max="10758" width="9.625" style="109" bestFit="1" customWidth="1"/>
    <col min="10759" max="10759" width="10.75" style="109" customWidth="1"/>
    <col min="10760" max="10760" width="12.25" style="109" customWidth="1"/>
    <col min="10761" max="10761" width="11.625" style="109" customWidth="1"/>
    <col min="10762" max="10762" width="9.75" style="109" customWidth="1"/>
    <col min="10763" max="10763" width="9.875" style="109" customWidth="1"/>
    <col min="10764" max="10764" width="12" style="109" customWidth="1"/>
    <col min="10765" max="10765" width="9.875" style="109" customWidth="1"/>
    <col min="10766" max="10767" width="10.375" style="109" customWidth="1"/>
    <col min="10768" max="10768" width="16.25" style="109" customWidth="1"/>
    <col min="10769" max="10769" width="9.875" style="109" bestFit="1" customWidth="1"/>
    <col min="10770" max="11008" width="9" style="109"/>
    <col min="11009" max="11009" width="5" style="109" customWidth="1"/>
    <col min="11010" max="11010" width="40.875" style="109" customWidth="1"/>
    <col min="11011" max="11011" width="10.125" style="109" customWidth="1"/>
    <col min="11012" max="11012" width="10.75" style="109" customWidth="1"/>
    <col min="11013" max="11013" width="10" style="109" customWidth="1"/>
    <col min="11014" max="11014" width="9.625" style="109" bestFit="1" customWidth="1"/>
    <col min="11015" max="11015" width="10.75" style="109" customWidth="1"/>
    <col min="11016" max="11016" width="12.25" style="109" customWidth="1"/>
    <col min="11017" max="11017" width="11.625" style="109" customWidth="1"/>
    <col min="11018" max="11018" width="9.75" style="109" customWidth="1"/>
    <col min="11019" max="11019" width="9.875" style="109" customWidth="1"/>
    <col min="11020" max="11020" width="12" style="109" customWidth="1"/>
    <col min="11021" max="11021" width="9.875" style="109" customWidth="1"/>
    <col min="11022" max="11023" width="10.375" style="109" customWidth="1"/>
    <col min="11024" max="11024" width="16.25" style="109" customWidth="1"/>
    <col min="11025" max="11025" width="9.875" style="109" bestFit="1" customWidth="1"/>
    <col min="11026" max="11264" width="9" style="109"/>
    <col min="11265" max="11265" width="5" style="109" customWidth="1"/>
    <col min="11266" max="11266" width="40.875" style="109" customWidth="1"/>
    <col min="11267" max="11267" width="10.125" style="109" customWidth="1"/>
    <col min="11268" max="11268" width="10.75" style="109" customWidth="1"/>
    <col min="11269" max="11269" width="10" style="109" customWidth="1"/>
    <col min="11270" max="11270" width="9.625" style="109" bestFit="1" customWidth="1"/>
    <col min="11271" max="11271" width="10.75" style="109" customWidth="1"/>
    <col min="11272" max="11272" width="12.25" style="109" customWidth="1"/>
    <col min="11273" max="11273" width="11.625" style="109" customWidth="1"/>
    <col min="11274" max="11274" width="9.75" style="109" customWidth="1"/>
    <col min="11275" max="11275" width="9.875" style="109" customWidth="1"/>
    <col min="11276" max="11276" width="12" style="109" customWidth="1"/>
    <col min="11277" max="11277" width="9.875" style="109" customWidth="1"/>
    <col min="11278" max="11279" width="10.375" style="109" customWidth="1"/>
    <col min="11280" max="11280" width="16.25" style="109" customWidth="1"/>
    <col min="11281" max="11281" width="9.875" style="109" bestFit="1" customWidth="1"/>
    <col min="11282" max="11520" width="9" style="109"/>
    <col min="11521" max="11521" width="5" style="109" customWidth="1"/>
    <col min="11522" max="11522" width="40.875" style="109" customWidth="1"/>
    <col min="11523" max="11523" width="10.125" style="109" customWidth="1"/>
    <col min="11524" max="11524" width="10.75" style="109" customWidth="1"/>
    <col min="11525" max="11525" width="10" style="109" customWidth="1"/>
    <col min="11526" max="11526" width="9.625" style="109" bestFit="1" customWidth="1"/>
    <col min="11527" max="11527" width="10.75" style="109" customWidth="1"/>
    <col min="11528" max="11528" width="12.25" style="109" customWidth="1"/>
    <col min="11529" max="11529" width="11.625" style="109" customWidth="1"/>
    <col min="11530" max="11530" width="9.75" style="109" customWidth="1"/>
    <col min="11531" max="11531" width="9.875" style="109" customWidth="1"/>
    <col min="11532" max="11532" width="12" style="109" customWidth="1"/>
    <col min="11533" max="11533" width="9.875" style="109" customWidth="1"/>
    <col min="11534" max="11535" width="10.375" style="109" customWidth="1"/>
    <col min="11536" max="11536" width="16.25" style="109" customWidth="1"/>
    <col min="11537" max="11537" width="9.875" style="109" bestFit="1" customWidth="1"/>
    <col min="11538" max="11776" width="9" style="109"/>
    <col min="11777" max="11777" width="5" style="109" customWidth="1"/>
    <col min="11778" max="11778" width="40.875" style="109" customWidth="1"/>
    <col min="11779" max="11779" width="10.125" style="109" customWidth="1"/>
    <col min="11780" max="11780" width="10.75" style="109" customWidth="1"/>
    <col min="11781" max="11781" width="10" style="109" customWidth="1"/>
    <col min="11782" max="11782" width="9.625" style="109" bestFit="1" customWidth="1"/>
    <col min="11783" max="11783" width="10.75" style="109" customWidth="1"/>
    <col min="11784" max="11784" width="12.25" style="109" customWidth="1"/>
    <col min="11785" max="11785" width="11.625" style="109" customWidth="1"/>
    <col min="11786" max="11786" width="9.75" style="109" customWidth="1"/>
    <col min="11787" max="11787" width="9.875" style="109" customWidth="1"/>
    <col min="11788" max="11788" width="12" style="109" customWidth="1"/>
    <col min="11789" max="11789" width="9.875" style="109" customWidth="1"/>
    <col min="11790" max="11791" width="10.375" style="109" customWidth="1"/>
    <col min="11792" max="11792" width="16.25" style="109" customWidth="1"/>
    <col min="11793" max="11793" width="9.875" style="109" bestFit="1" customWidth="1"/>
    <col min="11794" max="12032" width="9" style="109"/>
    <col min="12033" max="12033" width="5" style="109" customWidth="1"/>
    <col min="12034" max="12034" width="40.875" style="109" customWidth="1"/>
    <col min="12035" max="12035" width="10.125" style="109" customWidth="1"/>
    <col min="12036" max="12036" width="10.75" style="109" customWidth="1"/>
    <col min="12037" max="12037" width="10" style="109" customWidth="1"/>
    <col min="12038" max="12038" width="9.625" style="109" bestFit="1" customWidth="1"/>
    <col min="12039" max="12039" width="10.75" style="109" customWidth="1"/>
    <col min="12040" max="12040" width="12.25" style="109" customWidth="1"/>
    <col min="12041" max="12041" width="11.625" style="109" customWidth="1"/>
    <col min="12042" max="12042" width="9.75" style="109" customWidth="1"/>
    <col min="12043" max="12043" width="9.875" style="109" customWidth="1"/>
    <col min="12044" max="12044" width="12" style="109" customWidth="1"/>
    <col min="12045" max="12045" width="9.875" style="109" customWidth="1"/>
    <col min="12046" max="12047" width="10.375" style="109" customWidth="1"/>
    <col min="12048" max="12048" width="16.25" style="109" customWidth="1"/>
    <col min="12049" max="12049" width="9.875" style="109" bestFit="1" customWidth="1"/>
    <col min="12050" max="12288" width="9" style="109"/>
    <col min="12289" max="12289" width="5" style="109" customWidth="1"/>
    <col min="12290" max="12290" width="40.875" style="109" customWidth="1"/>
    <col min="12291" max="12291" width="10.125" style="109" customWidth="1"/>
    <col min="12292" max="12292" width="10.75" style="109" customWidth="1"/>
    <col min="12293" max="12293" width="10" style="109" customWidth="1"/>
    <col min="12294" max="12294" width="9.625" style="109" bestFit="1" customWidth="1"/>
    <col min="12295" max="12295" width="10.75" style="109" customWidth="1"/>
    <col min="12296" max="12296" width="12.25" style="109" customWidth="1"/>
    <col min="12297" max="12297" width="11.625" style="109" customWidth="1"/>
    <col min="12298" max="12298" width="9.75" style="109" customWidth="1"/>
    <col min="12299" max="12299" width="9.875" style="109" customWidth="1"/>
    <col min="12300" max="12300" width="12" style="109" customWidth="1"/>
    <col min="12301" max="12301" width="9.875" style="109" customWidth="1"/>
    <col min="12302" max="12303" width="10.375" style="109" customWidth="1"/>
    <col min="12304" max="12304" width="16.25" style="109" customWidth="1"/>
    <col min="12305" max="12305" width="9.875" style="109" bestFit="1" customWidth="1"/>
    <col min="12306" max="12544" width="9" style="109"/>
    <col min="12545" max="12545" width="5" style="109" customWidth="1"/>
    <col min="12546" max="12546" width="40.875" style="109" customWidth="1"/>
    <col min="12547" max="12547" width="10.125" style="109" customWidth="1"/>
    <col min="12548" max="12548" width="10.75" style="109" customWidth="1"/>
    <col min="12549" max="12549" width="10" style="109" customWidth="1"/>
    <col min="12550" max="12550" width="9.625" style="109" bestFit="1" customWidth="1"/>
    <col min="12551" max="12551" width="10.75" style="109" customWidth="1"/>
    <col min="12552" max="12552" width="12.25" style="109" customWidth="1"/>
    <col min="12553" max="12553" width="11.625" style="109" customWidth="1"/>
    <col min="12554" max="12554" width="9.75" style="109" customWidth="1"/>
    <col min="12555" max="12555" width="9.875" style="109" customWidth="1"/>
    <col min="12556" max="12556" width="12" style="109" customWidth="1"/>
    <col min="12557" max="12557" width="9.875" style="109" customWidth="1"/>
    <col min="12558" max="12559" width="10.375" style="109" customWidth="1"/>
    <col min="12560" max="12560" width="16.25" style="109" customWidth="1"/>
    <col min="12561" max="12561" width="9.875" style="109" bestFit="1" customWidth="1"/>
    <col min="12562" max="12800" width="9" style="109"/>
    <col min="12801" max="12801" width="5" style="109" customWidth="1"/>
    <col min="12802" max="12802" width="40.875" style="109" customWidth="1"/>
    <col min="12803" max="12803" width="10.125" style="109" customWidth="1"/>
    <col min="12804" max="12804" width="10.75" style="109" customWidth="1"/>
    <col min="12805" max="12805" width="10" style="109" customWidth="1"/>
    <col min="12806" max="12806" width="9.625" style="109" bestFit="1" customWidth="1"/>
    <col min="12807" max="12807" width="10.75" style="109" customWidth="1"/>
    <col min="12808" max="12808" width="12.25" style="109" customWidth="1"/>
    <col min="12809" max="12809" width="11.625" style="109" customWidth="1"/>
    <col min="12810" max="12810" width="9.75" style="109" customWidth="1"/>
    <col min="12811" max="12811" width="9.875" style="109" customWidth="1"/>
    <col min="12812" max="12812" width="12" style="109" customWidth="1"/>
    <col min="12813" max="12813" width="9.875" style="109" customWidth="1"/>
    <col min="12814" max="12815" width="10.375" style="109" customWidth="1"/>
    <col min="12816" max="12816" width="16.25" style="109" customWidth="1"/>
    <col min="12817" max="12817" width="9.875" style="109" bestFit="1" customWidth="1"/>
    <col min="12818" max="13056" width="9" style="109"/>
    <col min="13057" max="13057" width="5" style="109" customWidth="1"/>
    <col min="13058" max="13058" width="40.875" style="109" customWidth="1"/>
    <col min="13059" max="13059" width="10.125" style="109" customWidth="1"/>
    <col min="13060" max="13060" width="10.75" style="109" customWidth="1"/>
    <col min="13061" max="13061" width="10" style="109" customWidth="1"/>
    <col min="13062" max="13062" width="9.625" style="109" bestFit="1" customWidth="1"/>
    <col min="13063" max="13063" width="10.75" style="109" customWidth="1"/>
    <col min="13064" max="13064" width="12.25" style="109" customWidth="1"/>
    <col min="13065" max="13065" width="11.625" style="109" customWidth="1"/>
    <col min="13066" max="13066" width="9.75" style="109" customWidth="1"/>
    <col min="13067" max="13067" width="9.875" style="109" customWidth="1"/>
    <col min="13068" max="13068" width="12" style="109" customWidth="1"/>
    <col min="13069" max="13069" width="9.875" style="109" customWidth="1"/>
    <col min="13070" max="13071" width="10.375" style="109" customWidth="1"/>
    <col min="13072" max="13072" width="16.25" style="109" customWidth="1"/>
    <col min="13073" max="13073" width="9.875" style="109" bestFit="1" customWidth="1"/>
    <col min="13074" max="13312" width="9" style="109"/>
    <col min="13313" max="13313" width="5" style="109" customWidth="1"/>
    <col min="13314" max="13314" width="40.875" style="109" customWidth="1"/>
    <col min="13315" max="13315" width="10.125" style="109" customWidth="1"/>
    <col min="13316" max="13316" width="10.75" style="109" customWidth="1"/>
    <col min="13317" max="13317" width="10" style="109" customWidth="1"/>
    <col min="13318" max="13318" width="9.625" style="109" bestFit="1" customWidth="1"/>
    <col min="13319" max="13319" width="10.75" style="109" customWidth="1"/>
    <col min="13320" max="13320" width="12.25" style="109" customWidth="1"/>
    <col min="13321" max="13321" width="11.625" style="109" customWidth="1"/>
    <col min="13322" max="13322" width="9.75" style="109" customWidth="1"/>
    <col min="13323" max="13323" width="9.875" style="109" customWidth="1"/>
    <col min="13324" max="13324" width="12" style="109" customWidth="1"/>
    <col min="13325" max="13325" width="9.875" style="109" customWidth="1"/>
    <col min="13326" max="13327" width="10.375" style="109" customWidth="1"/>
    <col min="13328" max="13328" width="16.25" style="109" customWidth="1"/>
    <col min="13329" max="13329" width="9.875" style="109" bestFit="1" customWidth="1"/>
    <col min="13330" max="13568" width="9" style="109"/>
    <col min="13569" max="13569" width="5" style="109" customWidth="1"/>
    <col min="13570" max="13570" width="40.875" style="109" customWidth="1"/>
    <col min="13571" max="13571" width="10.125" style="109" customWidth="1"/>
    <col min="13572" max="13572" width="10.75" style="109" customWidth="1"/>
    <col min="13573" max="13573" width="10" style="109" customWidth="1"/>
    <col min="13574" max="13574" width="9.625" style="109" bestFit="1" customWidth="1"/>
    <col min="13575" max="13575" width="10.75" style="109" customWidth="1"/>
    <col min="13576" max="13576" width="12.25" style="109" customWidth="1"/>
    <col min="13577" max="13577" width="11.625" style="109" customWidth="1"/>
    <col min="13578" max="13578" width="9.75" style="109" customWidth="1"/>
    <col min="13579" max="13579" width="9.875" style="109" customWidth="1"/>
    <col min="13580" max="13580" width="12" style="109" customWidth="1"/>
    <col min="13581" max="13581" width="9.875" style="109" customWidth="1"/>
    <col min="13582" max="13583" width="10.375" style="109" customWidth="1"/>
    <col min="13584" max="13584" width="16.25" style="109" customWidth="1"/>
    <col min="13585" max="13585" width="9.875" style="109" bestFit="1" customWidth="1"/>
    <col min="13586" max="13824" width="9" style="109"/>
    <col min="13825" max="13825" width="5" style="109" customWidth="1"/>
    <col min="13826" max="13826" width="40.875" style="109" customWidth="1"/>
    <col min="13827" max="13827" width="10.125" style="109" customWidth="1"/>
    <col min="13828" max="13828" width="10.75" style="109" customWidth="1"/>
    <col min="13829" max="13829" width="10" style="109" customWidth="1"/>
    <col min="13830" max="13830" width="9.625" style="109" bestFit="1" customWidth="1"/>
    <col min="13831" max="13831" width="10.75" style="109" customWidth="1"/>
    <col min="13832" max="13832" width="12.25" style="109" customWidth="1"/>
    <col min="13833" max="13833" width="11.625" style="109" customWidth="1"/>
    <col min="13834" max="13834" width="9.75" style="109" customWidth="1"/>
    <col min="13835" max="13835" width="9.875" style="109" customWidth="1"/>
    <col min="13836" max="13836" width="12" style="109" customWidth="1"/>
    <col min="13837" max="13837" width="9.875" style="109" customWidth="1"/>
    <col min="13838" max="13839" width="10.375" style="109" customWidth="1"/>
    <col min="13840" max="13840" width="16.25" style="109" customWidth="1"/>
    <col min="13841" max="13841" width="9.875" style="109" bestFit="1" customWidth="1"/>
    <col min="13842" max="14080" width="9" style="109"/>
    <col min="14081" max="14081" width="5" style="109" customWidth="1"/>
    <col min="14082" max="14082" width="40.875" style="109" customWidth="1"/>
    <col min="14083" max="14083" width="10.125" style="109" customWidth="1"/>
    <col min="14084" max="14084" width="10.75" style="109" customWidth="1"/>
    <col min="14085" max="14085" width="10" style="109" customWidth="1"/>
    <col min="14086" max="14086" width="9.625" style="109" bestFit="1" customWidth="1"/>
    <col min="14087" max="14087" width="10.75" style="109" customWidth="1"/>
    <col min="14088" max="14088" width="12.25" style="109" customWidth="1"/>
    <col min="14089" max="14089" width="11.625" style="109" customWidth="1"/>
    <col min="14090" max="14090" width="9.75" style="109" customWidth="1"/>
    <col min="14091" max="14091" width="9.875" style="109" customWidth="1"/>
    <col min="14092" max="14092" width="12" style="109" customWidth="1"/>
    <col min="14093" max="14093" width="9.875" style="109" customWidth="1"/>
    <col min="14094" max="14095" width="10.375" style="109" customWidth="1"/>
    <col min="14096" max="14096" width="16.25" style="109" customWidth="1"/>
    <col min="14097" max="14097" width="9.875" style="109" bestFit="1" customWidth="1"/>
    <col min="14098" max="14336" width="9" style="109"/>
    <col min="14337" max="14337" width="5" style="109" customWidth="1"/>
    <col min="14338" max="14338" width="40.875" style="109" customWidth="1"/>
    <col min="14339" max="14339" width="10.125" style="109" customWidth="1"/>
    <col min="14340" max="14340" width="10.75" style="109" customWidth="1"/>
    <col min="14341" max="14341" width="10" style="109" customWidth="1"/>
    <col min="14342" max="14342" width="9.625" style="109" bestFit="1" customWidth="1"/>
    <col min="14343" max="14343" width="10.75" style="109" customWidth="1"/>
    <col min="14344" max="14344" width="12.25" style="109" customWidth="1"/>
    <col min="14345" max="14345" width="11.625" style="109" customWidth="1"/>
    <col min="14346" max="14346" width="9.75" style="109" customWidth="1"/>
    <col min="14347" max="14347" width="9.875" style="109" customWidth="1"/>
    <col min="14348" max="14348" width="12" style="109" customWidth="1"/>
    <col min="14349" max="14349" width="9.875" style="109" customWidth="1"/>
    <col min="14350" max="14351" width="10.375" style="109" customWidth="1"/>
    <col min="14352" max="14352" width="16.25" style="109" customWidth="1"/>
    <col min="14353" max="14353" width="9.875" style="109" bestFit="1" customWidth="1"/>
    <col min="14354" max="14592" width="9" style="109"/>
    <col min="14593" max="14593" width="5" style="109" customWidth="1"/>
    <col min="14594" max="14594" width="40.875" style="109" customWidth="1"/>
    <col min="14595" max="14595" width="10.125" style="109" customWidth="1"/>
    <col min="14596" max="14596" width="10.75" style="109" customWidth="1"/>
    <col min="14597" max="14597" width="10" style="109" customWidth="1"/>
    <col min="14598" max="14598" width="9.625" style="109" bestFit="1" customWidth="1"/>
    <col min="14599" max="14599" width="10.75" style="109" customWidth="1"/>
    <col min="14600" max="14600" width="12.25" style="109" customWidth="1"/>
    <col min="14601" max="14601" width="11.625" style="109" customWidth="1"/>
    <col min="14602" max="14602" width="9.75" style="109" customWidth="1"/>
    <col min="14603" max="14603" width="9.875" style="109" customWidth="1"/>
    <col min="14604" max="14604" width="12" style="109" customWidth="1"/>
    <col min="14605" max="14605" width="9.875" style="109" customWidth="1"/>
    <col min="14606" max="14607" width="10.375" style="109" customWidth="1"/>
    <col min="14608" max="14608" width="16.25" style="109" customWidth="1"/>
    <col min="14609" max="14609" width="9.875" style="109" bestFit="1" customWidth="1"/>
    <col min="14610" max="14848" width="9" style="109"/>
    <col min="14849" max="14849" width="5" style="109" customWidth="1"/>
    <col min="14850" max="14850" width="40.875" style="109" customWidth="1"/>
    <col min="14851" max="14851" width="10.125" style="109" customWidth="1"/>
    <col min="14852" max="14852" width="10.75" style="109" customWidth="1"/>
    <col min="14853" max="14853" width="10" style="109" customWidth="1"/>
    <col min="14854" max="14854" width="9.625" style="109" bestFit="1" customWidth="1"/>
    <col min="14855" max="14855" width="10.75" style="109" customWidth="1"/>
    <col min="14856" max="14856" width="12.25" style="109" customWidth="1"/>
    <col min="14857" max="14857" width="11.625" style="109" customWidth="1"/>
    <col min="14858" max="14858" width="9.75" style="109" customWidth="1"/>
    <col min="14859" max="14859" width="9.875" style="109" customWidth="1"/>
    <col min="14860" max="14860" width="12" style="109" customWidth="1"/>
    <col min="14861" max="14861" width="9.875" style="109" customWidth="1"/>
    <col min="14862" max="14863" width="10.375" style="109" customWidth="1"/>
    <col min="14864" max="14864" width="16.25" style="109" customWidth="1"/>
    <col min="14865" max="14865" width="9.875" style="109" bestFit="1" customWidth="1"/>
    <col min="14866" max="15104" width="9" style="109"/>
    <col min="15105" max="15105" width="5" style="109" customWidth="1"/>
    <col min="15106" max="15106" width="40.875" style="109" customWidth="1"/>
    <col min="15107" max="15107" width="10.125" style="109" customWidth="1"/>
    <col min="15108" max="15108" width="10.75" style="109" customWidth="1"/>
    <col min="15109" max="15109" width="10" style="109" customWidth="1"/>
    <col min="15110" max="15110" width="9.625" style="109" bestFit="1" customWidth="1"/>
    <col min="15111" max="15111" width="10.75" style="109" customWidth="1"/>
    <col min="15112" max="15112" width="12.25" style="109" customWidth="1"/>
    <col min="15113" max="15113" width="11.625" style="109" customWidth="1"/>
    <col min="15114" max="15114" width="9.75" style="109" customWidth="1"/>
    <col min="15115" max="15115" width="9.875" style="109" customWidth="1"/>
    <col min="15116" max="15116" width="12" style="109" customWidth="1"/>
    <col min="15117" max="15117" width="9.875" style="109" customWidth="1"/>
    <col min="15118" max="15119" width="10.375" style="109" customWidth="1"/>
    <col min="15120" max="15120" width="16.25" style="109" customWidth="1"/>
    <col min="15121" max="15121" width="9.875" style="109" bestFit="1" customWidth="1"/>
    <col min="15122" max="15360" width="9" style="109"/>
    <col min="15361" max="15361" width="5" style="109" customWidth="1"/>
    <col min="15362" max="15362" width="40.875" style="109" customWidth="1"/>
    <col min="15363" max="15363" width="10.125" style="109" customWidth="1"/>
    <col min="15364" max="15364" width="10.75" style="109" customWidth="1"/>
    <col min="15365" max="15365" width="10" style="109" customWidth="1"/>
    <col min="15366" max="15366" width="9.625" style="109" bestFit="1" customWidth="1"/>
    <col min="15367" max="15367" width="10.75" style="109" customWidth="1"/>
    <col min="15368" max="15368" width="12.25" style="109" customWidth="1"/>
    <col min="15369" max="15369" width="11.625" style="109" customWidth="1"/>
    <col min="15370" max="15370" width="9.75" style="109" customWidth="1"/>
    <col min="15371" max="15371" width="9.875" style="109" customWidth="1"/>
    <col min="15372" max="15372" width="12" style="109" customWidth="1"/>
    <col min="15373" max="15373" width="9.875" style="109" customWidth="1"/>
    <col min="15374" max="15375" width="10.375" style="109" customWidth="1"/>
    <col min="15376" max="15376" width="16.25" style="109" customWidth="1"/>
    <col min="15377" max="15377" width="9.875" style="109" bestFit="1" customWidth="1"/>
    <col min="15378" max="15616" width="9" style="109"/>
    <col min="15617" max="15617" width="5" style="109" customWidth="1"/>
    <col min="15618" max="15618" width="40.875" style="109" customWidth="1"/>
    <col min="15619" max="15619" width="10.125" style="109" customWidth="1"/>
    <col min="15620" max="15620" width="10.75" style="109" customWidth="1"/>
    <col min="15621" max="15621" width="10" style="109" customWidth="1"/>
    <col min="15622" max="15622" width="9.625" style="109" bestFit="1" customWidth="1"/>
    <col min="15623" max="15623" width="10.75" style="109" customWidth="1"/>
    <col min="15624" max="15624" width="12.25" style="109" customWidth="1"/>
    <col min="15625" max="15625" width="11.625" style="109" customWidth="1"/>
    <col min="15626" max="15626" width="9.75" style="109" customWidth="1"/>
    <col min="15627" max="15627" width="9.875" style="109" customWidth="1"/>
    <col min="15628" max="15628" width="12" style="109" customWidth="1"/>
    <col min="15629" max="15629" width="9.875" style="109" customWidth="1"/>
    <col min="15630" max="15631" width="10.375" style="109" customWidth="1"/>
    <col min="15632" max="15632" width="16.25" style="109" customWidth="1"/>
    <col min="15633" max="15633" width="9.875" style="109" bestFit="1" customWidth="1"/>
    <col min="15634" max="15872" width="9" style="109"/>
    <col min="15873" max="15873" width="5" style="109" customWidth="1"/>
    <col min="15874" max="15874" width="40.875" style="109" customWidth="1"/>
    <col min="15875" max="15875" width="10.125" style="109" customWidth="1"/>
    <col min="15876" max="15876" width="10.75" style="109" customWidth="1"/>
    <col min="15877" max="15877" width="10" style="109" customWidth="1"/>
    <col min="15878" max="15878" width="9.625" style="109" bestFit="1" customWidth="1"/>
    <col min="15879" max="15879" width="10.75" style="109" customWidth="1"/>
    <col min="15880" max="15880" width="12.25" style="109" customWidth="1"/>
    <col min="15881" max="15881" width="11.625" style="109" customWidth="1"/>
    <col min="15882" max="15882" width="9.75" style="109" customWidth="1"/>
    <col min="15883" max="15883" width="9.875" style="109" customWidth="1"/>
    <col min="15884" max="15884" width="12" style="109" customWidth="1"/>
    <col min="15885" max="15885" width="9.875" style="109" customWidth="1"/>
    <col min="15886" max="15887" width="10.375" style="109" customWidth="1"/>
    <col min="15888" max="15888" width="16.25" style="109" customWidth="1"/>
    <col min="15889" max="15889" width="9.875" style="109" bestFit="1" customWidth="1"/>
    <col min="15890" max="16128" width="9" style="109"/>
    <col min="16129" max="16129" width="5" style="109" customWidth="1"/>
    <col min="16130" max="16130" width="40.875" style="109" customWidth="1"/>
    <col min="16131" max="16131" width="10.125" style="109" customWidth="1"/>
    <col min="16132" max="16132" width="10.75" style="109" customWidth="1"/>
    <col min="16133" max="16133" width="10" style="109" customWidth="1"/>
    <col min="16134" max="16134" width="9.625" style="109" bestFit="1" customWidth="1"/>
    <col min="16135" max="16135" width="10.75" style="109" customWidth="1"/>
    <col min="16136" max="16136" width="12.25" style="109" customWidth="1"/>
    <col min="16137" max="16137" width="11.625" style="109" customWidth="1"/>
    <col min="16138" max="16138" width="9.75" style="109" customWidth="1"/>
    <col min="16139" max="16139" width="9.875" style="109" customWidth="1"/>
    <col min="16140" max="16140" width="12" style="109" customWidth="1"/>
    <col min="16141" max="16141" width="9.875" style="109" customWidth="1"/>
    <col min="16142" max="16143" width="10.375" style="109" customWidth="1"/>
    <col min="16144" max="16144" width="16.25" style="109" customWidth="1"/>
    <col min="16145" max="16145" width="9.875" style="109" bestFit="1" customWidth="1"/>
    <col min="16146" max="16384" width="9" style="109"/>
  </cols>
  <sheetData>
    <row r="1" spans="1:52" x14ac:dyDescent="0.25">
      <c r="A1" s="1009" t="s">
        <v>597</v>
      </c>
      <c r="B1" s="1009"/>
      <c r="C1" s="1009"/>
      <c r="D1" s="1009"/>
      <c r="E1" s="1009"/>
      <c r="F1" s="1009"/>
      <c r="G1" s="1009"/>
      <c r="H1" s="1009"/>
      <c r="I1" s="1009"/>
      <c r="J1" s="1009"/>
      <c r="K1" s="1009"/>
      <c r="L1" s="1009"/>
      <c r="M1" s="1009"/>
      <c r="N1" s="1009"/>
      <c r="O1" s="1009"/>
      <c r="P1" s="1009"/>
    </row>
    <row r="2" spans="1:52" x14ac:dyDescent="0.25">
      <c r="A2" s="358"/>
      <c r="B2" s="358"/>
      <c r="C2" s="358"/>
      <c r="D2" s="358"/>
      <c r="E2" s="358"/>
      <c r="F2" s="358"/>
      <c r="G2" s="358"/>
      <c r="H2" s="358"/>
      <c r="I2" s="358"/>
      <c r="J2" s="358"/>
      <c r="K2" s="358"/>
      <c r="L2" s="358"/>
      <c r="M2" s="358"/>
      <c r="N2" s="358"/>
      <c r="O2" s="358"/>
      <c r="P2" s="894"/>
    </row>
    <row r="3" spans="1:52" ht="16.5" thickBot="1" x14ac:dyDescent="0.3"/>
    <row r="4" spans="1:52" s="115" customFormat="1" ht="77.25" thickBot="1" x14ac:dyDescent="0.3">
      <c r="A4" s="110"/>
      <c r="B4" s="111" t="s">
        <v>145</v>
      </c>
      <c r="C4" s="112" t="s">
        <v>30</v>
      </c>
      <c r="D4" s="112" t="s">
        <v>31</v>
      </c>
      <c r="E4" s="112" t="s">
        <v>32</v>
      </c>
      <c r="F4" s="113" t="s">
        <v>477</v>
      </c>
      <c r="G4" s="113" t="s">
        <v>279</v>
      </c>
      <c r="H4" s="112" t="s">
        <v>381</v>
      </c>
      <c r="I4" s="114" t="s">
        <v>51</v>
      </c>
      <c r="J4" s="114" t="s">
        <v>59</v>
      </c>
      <c r="K4" s="113" t="s">
        <v>280</v>
      </c>
      <c r="L4" s="112" t="s">
        <v>382</v>
      </c>
      <c r="M4" s="114" t="s">
        <v>77</v>
      </c>
      <c r="N4" s="113" t="s">
        <v>72</v>
      </c>
      <c r="O4" s="112" t="s">
        <v>47</v>
      </c>
      <c r="P4" s="111" t="s">
        <v>270</v>
      </c>
      <c r="R4" s="889" t="s">
        <v>1159</v>
      </c>
      <c r="S4" s="890" t="s">
        <v>1159</v>
      </c>
      <c r="T4" s="890" t="s">
        <v>1159</v>
      </c>
      <c r="U4" s="890" t="s">
        <v>1159</v>
      </c>
      <c r="V4" s="890" t="s">
        <v>1159</v>
      </c>
      <c r="W4" s="890" t="s">
        <v>1159</v>
      </c>
      <c r="X4" s="890" t="s">
        <v>1159</v>
      </c>
      <c r="Y4" s="890" t="s">
        <v>1159</v>
      </c>
      <c r="Z4" s="890" t="s">
        <v>1159</v>
      </c>
      <c r="AA4" s="890" t="s">
        <v>1159</v>
      </c>
      <c r="AB4" s="890" t="s">
        <v>1159</v>
      </c>
      <c r="AC4" s="890"/>
      <c r="AD4" s="890" t="s">
        <v>1160</v>
      </c>
      <c r="AE4" s="890" t="s">
        <v>1160</v>
      </c>
      <c r="AF4" s="890" t="s">
        <v>1160</v>
      </c>
      <c r="AG4" s="890" t="s">
        <v>1160</v>
      </c>
      <c r="AH4" s="890" t="s">
        <v>1160</v>
      </c>
      <c r="AI4" s="890" t="s">
        <v>1160</v>
      </c>
      <c r="AJ4" s="890" t="s">
        <v>1160</v>
      </c>
      <c r="AK4" s="890" t="s">
        <v>1160</v>
      </c>
      <c r="AL4" s="890" t="s">
        <v>1160</v>
      </c>
      <c r="AM4" s="890" t="s">
        <v>1160</v>
      </c>
      <c r="AN4" s="890" t="s">
        <v>1160</v>
      </c>
      <c r="AO4" s="890"/>
      <c r="AP4" s="890" t="s">
        <v>1161</v>
      </c>
      <c r="AQ4" s="890" t="s">
        <v>1161</v>
      </c>
      <c r="AR4" s="890" t="s">
        <v>1161</v>
      </c>
      <c r="AS4" s="890" t="s">
        <v>1161</v>
      </c>
      <c r="AT4" s="890" t="s">
        <v>1161</v>
      </c>
      <c r="AU4" s="890" t="s">
        <v>1161</v>
      </c>
      <c r="AV4" s="890" t="s">
        <v>1161</v>
      </c>
      <c r="AW4" s="890" t="s">
        <v>1161</v>
      </c>
      <c r="AX4" s="890" t="s">
        <v>1161</v>
      </c>
      <c r="AY4" s="890" t="s">
        <v>1161</v>
      </c>
      <c r="AZ4" s="890" t="s">
        <v>1161</v>
      </c>
    </row>
    <row r="5" spans="1:52" s="115" customFormat="1" ht="48" thickBot="1" x14ac:dyDescent="0.3">
      <c r="A5" s="110"/>
      <c r="B5" s="111"/>
      <c r="C5" s="112" t="s">
        <v>163</v>
      </c>
      <c r="D5" s="112" t="s">
        <v>164</v>
      </c>
      <c r="E5" s="112" t="s">
        <v>165</v>
      </c>
      <c r="F5" s="113" t="s">
        <v>166</v>
      </c>
      <c r="G5" s="113" t="s">
        <v>271</v>
      </c>
      <c r="H5" s="112" t="s">
        <v>284</v>
      </c>
      <c r="I5" s="114" t="s">
        <v>167</v>
      </c>
      <c r="J5" s="114" t="s">
        <v>168</v>
      </c>
      <c r="K5" s="113" t="s">
        <v>169</v>
      </c>
      <c r="L5" s="112" t="s">
        <v>285</v>
      </c>
      <c r="M5" s="259"/>
      <c r="N5" s="113"/>
      <c r="O5" s="112" t="s">
        <v>282</v>
      </c>
      <c r="P5" s="111" t="s">
        <v>283</v>
      </c>
      <c r="R5" s="889" t="s">
        <v>1162</v>
      </c>
      <c r="S5" s="890" t="s">
        <v>1163</v>
      </c>
      <c r="T5" s="890" t="s">
        <v>1164</v>
      </c>
      <c r="U5" s="890" t="s">
        <v>1165</v>
      </c>
      <c r="V5" s="890" t="s">
        <v>1166</v>
      </c>
      <c r="W5" s="890" t="s">
        <v>1167</v>
      </c>
      <c r="X5" s="890" t="s">
        <v>1168</v>
      </c>
      <c r="Y5" s="890" t="s">
        <v>1169</v>
      </c>
      <c r="Z5" s="890" t="s">
        <v>1170</v>
      </c>
      <c r="AA5" s="890" t="s">
        <v>1171</v>
      </c>
      <c r="AB5" s="890" t="s">
        <v>152</v>
      </c>
      <c r="AC5" s="890"/>
      <c r="AD5" s="890" t="s">
        <v>1162</v>
      </c>
      <c r="AE5" s="890" t="s">
        <v>1163</v>
      </c>
      <c r="AF5" s="890" t="s">
        <v>1164</v>
      </c>
      <c r="AG5" s="890" t="s">
        <v>1165</v>
      </c>
      <c r="AH5" s="890" t="s">
        <v>1166</v>
      </c>
      <c r="AI5" s="890" t="s">
        <v>1167</v>
      </c>
      <c r="AJ5" s="890" t="s">
        <v>1168</v>
      </c>
      <c r="AK5" s="890" t="s">
        <v>1169</v>
      </c>
      <c r="AL5" s="890" t="s">
        <v>1170</v>
      </c>
      <c r="AM5" s="890" t="s">
        <v>1171</v>
      </c>
      <c r="AN5" s="890" t="s">
        <v>152</v>
      </c>
      <c r="AO5" s="890"/>
      <c r="AP5" s="890" t="s">
        <v>1162</v>
      </c>
      <c r="AQ5" s="890" t="s">
        <v>1163</v>
      </c>
      <c r="AR5" s="890" t="s">
        <v>1164</v>
      </c>
      <c r="AS5" s="890" t="s">
        <v>1165</v>
      </c>
      <c r="AT5" s="890" t="s">
        <v>1166</v>
      </c>
      <c r="AU5" s="890" t="s">
        <v>1167</v>
      </c>
      <c r="AV5" s="890" t="s">
        <v>1168</v>
      </c>
      <c r="AW5" s="890" t="s">
        <v>1169</v>
      </c>
      <c r="AX5" s="890" t="s">
        <v>1170</v>
      </c>
      <c r="AY5" s="890" t="s">
        <v>1171</v>
      </c>
      <c r="AZ5" s="890" t="s">
        <v>152</v>
      </c>
    </row>
    <row r="6" spans="1:52" s="118" customFormat="1" ht="16.5" thickBot="1" x14ac:dyDescent="0.3">
      <c r="A6" s="116"/>
      <c r="B6" s="116" t="s">
        <v>146</v>
      </c>
      <c r="C6" s="116" t="s">
        <v>147</v>
      </c>
      <c r="D6" s="116" t="s">
        <v>148</v>
      </c>
      <c r="E6" s="116" t="s">
        <v>149</v>
      </c>
      <c r="F6" s="117" t="s">
        <v>150</v>
      </c>
      <c r="G6" s="117" t="s">
        <v>151</v>
      </c>
      <c r="H6" s="116" t="s">
        <v>33</v>
      </c>
      <c r="I6" s="265" t="s">
        <v>34</v>
      </c>
      <c r="J6" s="116" t="s">
        <v>35</v>
      </c>
      <c r="K6" s="117" t="s">
        <v>36</v>
      </c>
      <c r="L6" s="116" t="s">
        <v>37</v>
      </c>
      <c r="M6" s="266" t="s">
        <v>38</v>
      </c>
      <c r="N6" s="117" t="s">
        <v>39</v>
      </c>
      <c r="O6" s="116" t="s">
        <v>277</v>
      </c>
      <c r="P6" s="895" t="s">
        <v>288</v>
      </c>
      <c r="R6" s="891"/>
      <c r="S6" s="891"/>
      <c r="T6" s="891"/>
      <c r="U6" s="891"/>
      <c r="V6" s="891"/>
      <c r="W6" s="891"/>
      <c r="X6" s="891"/>
      <c r="Y6" s="891"/>
      <c r="Z6" s="891"/>
      <c r="AA6" s="891"/>
      <c r="AB6" s="891"/>
      <c r="AC6" s="891"/>
      <c r="AD6" s="891"/>
      <c r="AE6" s="891"/>
      <c r="AF6" s="891"/>
      <c r="AG6" s="891"/>
      <c r="AH6" s="891"/>
      <c r="AI6" s="891"/>
      <c r="AJ6" s="891"/>
      <c r="AK6" s="891"/>
      <c r="AL6" s="891"/>
      <c r="AM6" s="891"/>
      <c r="AN6" s="891"/>
      <c r="AO6" s="891"/>
      <c r="AP6" s="891"/>
      <c r="AQ6" s="891"/>
      <c r="AR6" s="891"/>
      <c r="AS6" s="891"/>
      <c r="AT6" s="891"/>
      <c r="AU6" s="891"/>
      <c r="AV6" s="891"/>
      <c r="AW6" s="891"/>
      <c r="AX6" s="891"/>
      <c r="AY6" s="891"/>
      <c r="AZ6" s="891"/>
    </row>
    <row r="7" spans="1:52" s="122" customFormat="1" x14ac:dyDescent="0.25">
      <c r="A7" s="119"/>
      <c r="B7" s="120"/>
      <c r="C7" s="121"/>
      <c r="D7" s="121"/>
      <c r="E7" s="121"/>
      <c r="F7" s="121"/>
      <c r="G7" s="125"/>
      <c r="H7" s="124"/>
      <c r="I7" s="121"/>
      <c r="J7" s="121"/>
      <c r="K7" s="125"/>
      <c r="L7" s="124"/>
      <c r="M7" s="121"/>
      <c r="N7" s="125"/>
      <c r="O7" s="260"/>
      <c r="P7" s="542"/>
      <c r="R7" s="819"/>
      <c r="S7" s="819"/>
      <c r="T7" s="819"/>
      <c r="U7" s="819"/>
      <c r="V7" s="819"/>
      <c r="W7" s="819"/>
      <c r="X7" s="819"/>
      <c r="Y7" s="819"/>
      <c r="Z7" s="819"/>
      <c r="AA7" s="819"/>
      <c r="AB7" s="819"/>
      <c r="AC7" s="819"/>
      <c r="AD7" s="819"/>
      <c r="AE7" s="819"/>
      <c r="AF7" s="819"/>
      <c r="AG7" s="819"/>
      <c r="AH7" s="819"/>
      <c r="AI7" s="819"/>
      <c r="AJ7" s="819"/>
      <c r="AK7" s="819"/>
      <c r="AL7" s="819"/>
      <c r="AM7" s="819"/>
      <c r="AN7" s="819"/>
      <c r="AO7" s="819"/>
      <c r="AP7" s="819"/>
      <c r="AQ7" s="819"/>
      <c r="AR7" s="819"/>
      <c r="AS7" s="819"/>
      <c r="AT7" s="819"/>
      <c r="AU7" s="819"/>
      <c r="AV7" s="819"/>
      <c r="AW7" s="819"/>
      <c r="AX7" s="819"/>
      <c r="AY7" s="819"/>
      <c r="AZ7" s="819"/>
    </row>
    <row r="8" spans="1:52" s="347" customFormat="1" x14ac:dyDescent="0.25">
      <c r="A8" s="341"/>
      <c r="B8" s="342" t="s">
        <v>383</v>
      </c>
      <c r="C8" s="343">
        <v>478948</v>
      </c>
      <c r="D8" s="343">
        <v>114698</v>
      </c>
      <c r="E8" s="343">
        <v>5077852</v>
      </c>
      <c r="F8" s="344">
        <v>40689</v>
      </c>
      <c r="G8" s="345">
        <v>12570407</v>
      </c>
      <c r="H8" s="346">
        <f>SUM(C8:G8)</f>
        <v>18282594</v>
      </c>
      <c r="I8" s="343">
        <v>30997455</v>
      </c>
      <c r="J8" s="343">
        <v>4538282</v>
      </c>
      <c r="K8" s="345">
        <v>903191</v>
      </c>
      <c r="L8" s="346">
        <f>SUM(I8:K8)</f>
        <v>36438928</v>
      </c>
      <c r="M8" s="343">
        <v>250000</v>
      </c>
      <c r="N8" s="345">
        <v>2916264</v>
      </c>
      <c r="O8" s="346">
        <f>SUM(M8:N8)</f>
        <v>3166264</v>
      </c>
      <c r="P8" s="896">
        <f>SUM(O8+L8+H8)</f>
        <v>57887786</v>
      </c>
      <c r="R8" s="344"/>
      <c r="S8" s="344"/>
      <c r="T8" s="344"/>
      <c r="U8" s="344"/>
      <c r="V8" s="344"/>
      <c r="W8" s="344"/>
      <c r="X8" s="344"/>
      <c r="Y8" s="344"/>
      <c r="Z8" s="344"/>
      <c r="AA8" s="344"/>
      <c r="AB8" s="344"/>
      <c r="AC8" s="344"/>
      <c r="AD8" s="344"/>
      <c r="AE8" s="344"/>
      <c r="AF8" s="344"/>
      <c r="AG8" s="344"/>
      <c r="AH8" s="344"/>
      <c r="AI8" s="344"/>
      <c r="AJ8" s="344"/>
      <c r="AK8" s="344"/>
      <c r="AL8" s="344"/>
      <c r="AM8" s="344"/>
      <c r="AN8" s="344"/>
      <c r="AO8" s="344"/>
      <c r="AP8" s="344"/>
      <c r="AQ8" s="344"/>
      <c r="AR8" s="344"/>
      <c r="AS8" s="344"/>
      <c r="AT8" s="344"/>
      <c r="AU8" s="344"/>
      <c r="AV8" s="344"/>
      <c r="AW8" s="344"/>
      <c r="AX8" s="344"/>
      <c r="AY8" s="344"/>
      <c r="AZ8" s="344"/>
    </row>
    <row r="9" spans="1:52" s="347" customFormat="1" x14ac:dyDescent="0.25">
      <c r="A9" s="341"/>
      <c r="B9" s="548" t="s">
        <v>787</v>
      </c>
      <c r="C9" s="343">
        <v>478630</v>
      </c>
      <c r="D9" s="343">
        <v>114847</v>
      </c>
      <c r="E9" s="343">
        <v>8202173</v>
      </c>
      <c r="F9" s="626">
        <v>41014</v>
      </c>
      <c r="G9" s="345">
        <v>13701859</v>
      </c>
      <c r="H9" s="346">
        <f>SUM(C9:G9)</f>
        <v>22538523</v>
      </c>
      <c r="I9" s="343">
        <v>28461078</v>
      </c>
      <c r="J9" s="343">
        <v>4530947</v>
      </c>
      <c r="K9" s="345">
        <v>974097</v>
      </c>
      <c r="L9" s="346">
        <f>SUM(I9:K9)</f>
        <v>33966122</v>
      </c>
      <c r="M9" s="343">
        <v>109885</v>
      </c>
      <c r="N9" s="345">
        <v>2085542</v>
      </c>
      <c r="O9" s="346">
        <f>SUM(M9:N9)</f>
        <v>2195427</v>
      </c>
      <c r="P9" s="896">
        <f>SUM(O9+L9+H9)</f>
        <v>58700072</v>
      </c>
      <c r="R9" s="344"/>
      <c r="S9" s="344"/>
      <c r="T9" s="344"/>
      <c r="U9" s="344"/>
      <c r="V9" s="344"/>
      <c r="W9" s="344"/>
      <c r="X9" s="344"/>
      <c r="Y9" s="344"/>
      <c r="Z9" s="344"/>
      <c r="AA9" s="344"/>
      <c r="AB9" s="344"/>
      <c r="AC9" s="344"/>
      <c r="AD9" s="344"/>
      <c r="AE9" s="344"/>
      <c r="AF9" s="344"/>
      <c r="AG9" s="344"/>
      <c r="AH9" s="344"/>
      <c r="AI9" s="344"/>
      <c r="AJ9" s="344"/>
      <c r="AK9" s="344"/>
      <c r="AL9" s="344"/>
      <c r="AM9" s="344"/>
      <c r="AN9" s="344"/>
      <c r="AO9" s="344"/>
      <c r="AP9" s="344"/>
      <c r="AQ9" s="344"/>
      <c r="AR9" s="344"/>
      <c r="AS9" s="344"/>
      <c r="AT9" s="344"/>
      <c r="AU9" s="344"/>
      <c r="AV9" s="344"/>
      <c r="AW9" s="344"/>
      <c r="AX9" s="344"/>
      <c r="AY9" s="344"/>
      <c r="AZ9" s="344"/>
    </row>
    <row r="10" spans="1:52" s="347" customFormat="1" x14ac:dyDescent="0.25">
      <c r="A10" s="341"/>
      <c r="B10" s="548" t="s">
        <v>836</v>
      </c>
      <c r="C10" s="343">
        <v>472304</v>
      </c>
      <c r="D10" s="343">
        <v>115465</v>
      </c>
      <c r="E10" s="343">
        <v>8818919</v>
      </c>
      <c r="F10" s="626">
        <v>48659</v>
      </c>
      <c r="G10" s="345">
        <v>14002812</v>
      </c>
      <c r="H10" s="346">
        <f>SUM(C10:G10)</f>
        <v>23458159</v>
      </c>
      <c r="I10" s="343">
        <v>28982160</v>
      </c>
      <c r="J10" s="343">
        <v>4009345</v>
      </c>
      <c r="K10" s="345">
        <v>1338685</v>
      </c>
      <c r="L10" s="346">
        <f>SUM(I10:K10)</f>
        <v>34330190</v>
      </c>
      <c r="M10" s="343">
        <v>73288</v>
      </c>
      <c r="N10" s="345">
        <v>2627521</v>
      </c>
      <c r="O10" s="346">
        <f>SUM(M10:N10)</f>
        <v>2700809</v>
      </c>
      <c r="P10" s="896">
        <f>SUM(O10+L10+H10)</f>
        <v>60489158</v>
      </c>
      <c r="R10" s="344"/>
      <c r="S10" s="344"/>
      <c r="T10" s="344"/>
      <c r="U10" s="344"/>
      <c r="V10" s="344"/>
      <c r="W10" s="344"/>
      <c r="X10" s="344"/>
      <c r="Y10" s="344"/>
      <c r="Z10" s="344"/>
      <c r="AA10" s="344"/>
      <c r="AB10" s="344"/>
      <c r="AC10" s="344"/>
      <c r="AD10" s="344"/>
      <c r="AE10" s="344"/>
      <c r="AF10" s="344"/>
      <c r="AG10" s="344"/>
      <c r="AH10" s="344"/>
      <c r="AI10" s="344"/>
      <c r="AJ10" s="344"/>
      <c r="AK10" s="344"/>
      <c r="AL10" s="344"/>
      <c r="AM10" s="344"/>
      <c r="AN10" s="344"/>
      <c r="AO10" s="344"/>
      <c r="AP10" s="344"/>
      <c r="AQ10" s="344"/>
      <c r="AR10" s="344"/>
      <c r="AS10" s="344"/>
      <c r="AT10" s="344"/>
      <c r="AU10" s="344"/>
      <c r="AV10" s="344"/>
      <c r="AW10" s="344"/>
      <c r="AX10" s="344"/>
      <c r="AY10" s="344"/>
      <c r="AZ10" s="344"/>
    </row>
    <row r="11" spans="1:52" s="347" customFormat="1" x14ac:dyDescent="0.25">
      <c r="A11" s="341"/>
      <c r="B11" s="548" t="s">
        <v>851</v>
      </c>
      <c r="C11" s="343">
        <v>482653</v>
      </c>
      <c r="D11" s="343">
        <v>116317</v>
      </c>
      <c r="E11" s="343">
        <v>8880476</v>
      </c>
      <c r="F11" s="343">
        <v>41014</v>
      </c>
      <c r="G11" s="345">
        <v>14478738</v>
      </c>
      <c r="H11" s="346">
        <f>SUM(C11:G11)</f>
        <v>23999198</v>
      </c>
      <c r="I11" s="343">
        <v>28968963</v>
      </c>
      <c r="J11" s="343">
        <v>3957490</v>
      </c>
      <c r="K11" s="345">
        <v>1341685</v>
      </c>
      <c r="L11" s="346">
        <f>SUM(I11:K11)</f>
        <v>34268138</v>
      </c>
      <c r="M11" s="343">
        <v>40356</v>
      </c>
      <c r="N11" s="345">
        <v>2171368</v>
      </c>
      <c r="O11" s="346">
        <f>SUM(M11:N11)</f>
        <v>2211724</v>
      </c>
      <c r="P11" s="896">
        <f>SUM(O11+L11+H11)</f>
        <v>60479060</v>
      </c>
      <c r="R11" s="344"/>
      <c r="S11" s="344"/>
      <c r="T11" s="344"/>
      <c r="U11" s="344"/>
      <c r="V11" s="344"/>
      <c r="W11" s="344"/>
      <c r="X11" s="344"/>
      <c r="Y11" s="344"/>
      <c r="Z11" s="344"/>
      <c r="AA11" s="344"/>
      <c r="AB11" s="344"/>
      <c r="AC11" s="344"/>
      <c r="AD11" s="344"/>
      <c r="AE11" s="344"/>
      <c r="AF11" s="344"/>
      <c r="AG11" s="344"/>
      <c r="AH11" s="344"/>
      <c r="AI11" s="344"/>
      <c r="AJ11" s="344"/>
      <c r="AK11" s="344"/>
      <c r="AL11" s="344"/>
      <c r="AM11" s="344"/>
      <c r="AN11" s="344"/>
      <c r="AO11" s="344"/>
      <c r="AP11" s="344"/>
      <c r="AQ11" s="344"/>
      <c r="AR11" s="344"/>
      <c r="AS11" s="344"/>
      <c r="AT11" s="344"/>
      <c r="AU11" s="344"/>
      <c r="AV11" s="344"/>
      <c r="AW11" s="344"/>
      <c r="AX11" s="344"/>
      <c r="AY11" s="344"/>
      <c r="AZ11" s="344"/>
    </row>
    <row r="12" spans="1:52" s="347" customFormat="1" x14ac:dyDescent="0.25">
      <c r="A12" s="341"/>
      <c r="B12" s="548"/>
      <c r="C12" s="343"/>
      <c r="D12" s="343"/>
      <c r="E12" s="343"/>
      <c r="F12" s="343"/>
      <c r="G12" s="345"/>
      <c r="H12" s="346"/>
      <c r="I12" s="343"/>
      <c r="J12" s="343"/>
      <c r="K12" s="345"/>
      <c r="L12" s="346"/>
      <c r="M12" s="343"/>
      <c r="N12" s="345"/>
      <c r="O12" s="346"/>
      <c r="P12" s="896"/>
      <c r="R12" s="344"/>
      <c r="S12" s="344"/>
      <c r="T12" s="344"/>
      <c r="U12" s="344"/>
      <c r="V12" s="344"/>
      <c r="W12" s="344"/>
      <c r="X12" s="344"/>
      <c r="Y12" s="344"/>
      <c r="Z12" s="344"/>
      <c r="AA12" s="344"/>
      <c r="AB12" s="344"/>
      <c r="AC12" s="344"/>
      <c r="AD12" s="344"/>
      <c r="AE12" s="344"/>
      <c r="AF12" s="344"/>
      <c r="AG12" s="344"/>
      <c r="AH12" s="344"/>
      <c r="AI12" s="344"/>
      <c r="AJ12" s="344"/>
      <c r="AK12" s="344"/>
      <c r="AL12" s="344"/>
      <c r="AM12" s="344"/>
      <c r="AN12" s="344"/>
      <c r="AO12" s="344"/>
      <c r="AP12" s="344"/>
      <c r="AQ12" s="344"/>
      <c r="AR12" s="344"/>
      <c r="AS12" s="344"/>
      <c r="AT12" s="344"/>
      <c r="AU12" s="344"/>
      <c r="AV12" s="344"/>
      <c r="AW12" s="344"/>
      <c r="AX12" s="344"/>
      <c r="AY12" s="344"/>
      <c r="AZ12" s="344"/>
    </row>
    <row r="13" spans="1:52" x14ac:dyDescent="0.25">
      <c r="A13" s="119" t="s">
        <v>490</v>
      </c>
      <c r="B13" s="145" t="s">
        <v>491</v>
      </c>
      <c r="C13" s="126"/>
      <c r="D13" s="126"/>
      <c r="E13" s="126"/>
      <c r="F13" s="126"/>
      <c r="G13" s="348"/>
      <c r="H13" s="124"/>
      <c r="I13" s="126"/>
      <c r="J13" s="126"/>
      <c r="K13" s="348"/>
      <c r="L13" s="127"/>
      <c r="M13" s="126"/>
      <c r="N13" s="348"/>
      <c r="O13" s="261"/>
      <c r="P13" s="542"/>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row>
    <row r="14" spans="1:52" x14ac:dyDescent="0.25">
      <c r="A14" s="119"/>
      <c r="B14" s="145" t="s">
        <v>80</v>
      </c>
      <c r="C14" s="126"/>
      <c r="D14" s="126"/>
      <c r="E14" s="126"/>
      <c r="F14" s="126"/>
      <c r="G14" s="348"/>
      <c r="H14" s="124"/>
      <c r="I14" s="126"/>
      <c r="J14" s="126"/>
      <c r="K14" s="348"/>
      <c r="L14" s="127"/>
      <c r="M14" s="126"/>
      <c r="N14" s="348"/>
      <c r="O14" s="261"/>
      <c r="P14" s="542"/>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row>
    <row r="15" spans="1:52" x14ac:dyDescent="0.25">
      <c r="A15" s="119"/>
      <c r="B15" s="548" t="s">
        <v>81</v>
      </c>
      <c r="C15" s="126"/>
      <c r="D15" s="126"/>
      <c r="E15" s="126"/>
      <c r="F15" s="126"/>
      <c r="G15" s="348"/>
      <c r="H15" s="124"/>
      <c r="I15" s="126"/>
      <c r="J15" s="126"/>
      <c r="K15" s="348"/>
      <c r="L15" s="127"/>
      <c r="M15" s="126"/>
      <c r="N15" s="348"/>
      <c r="O15" s="261"/>
      <c r="P15" s="542"/>
      <c r="R15" s="130"/>
      <c r="S15" s="130"/>
      <c r="T15" s="130"/>
      <c r="U15" s="130"/>
      <c r="V15" s="130"/>
      <c r="W15" s="130"/>
      <c r="X15" s="130"/>
      <c r="Y15" s="130"/>
      <c r="Z15" s="130"/>
      <c r="AA15" s="130"/>
      <c r="AB15" s="130">
        <f>SUM(R15:AA15)</f>
        <v>0</v>
      </c>
      <c r="AC15" s="130"/>
      <c r="AD15" s="130"/>
      <c r="AE15" s="130"/>
      <c r="AF15" s="130"/>
      <c r="AG15" s="130"/>
      <c r="AH15" s="130"/>
      <c r="AI15" s="130"/>
      <c r="AJ15" s="130"/>
      <c r="AK15" s="130"/>
      <c r="AL15" s="130"/>
      <c r="AM15" s="130"/>
      <c r="AN15" s="130">
        <f>SUM(AD15:AM15)</f>
        <v>0</v>
      </c>
      <c r="AO15" s="130"/>
      <c r="AP15" s="130">
        <f>SUM(R15,AD15)</f>
        <v>0</v>
      </c>
      <c r="AQ15" s="130">
        <f t="shared" ref="AQ15:AZ15" si="0">SUM(S15,AE15)</f>
        <v>0</v>
      </c>
      <c r="AR15" s="130">
        <f t="shared" si="0"/>
        <v>0</v>
      </c>
      <c r="AS15" s="130">
        <f t="shared" si="0"/>
        <v>0</v>
      </c>
      <c r="AT15" s="130">
        <f t="shared" si="0"/>
        <v>0</v>
      </c>
      <c r="AU15" s="130">
        <f t="shared" si="0"/>
        <v>0</v>
      </c>
      <c r="AV15" s="130">
        <f t="shared" si="0"/>
        <v>0</v>
      </c>
      <c r="AW15" s="130">
        <f t="shared" si="0"/>
        <v>0</v>
      </c>
      <c r="AX15" s="130">
        <f t="shared" si="0"/>
        <v>0</v>
      </c>
      <c r="AY15" s="130">
        <f t="shared" si="0"/>
        <v>0</v>
      </c>
      <c r="AZ15" s="130">
        <f t="shared" si="0"/>
        <v>0</v>
      </c>
    </row>
    <row r="16" spans="1:52" x14ac:dyDescent="0.25">
      <c r="A16" s="132"/>
      <c r="B16" s="351" t="s">
        <v>493</v>
      </c>
      <c r="C16" s="129"/>
      <c r="D16" s="130"/>
      <c r="E16" s="130"/>
      <c r="F16" s="130"/>
      <c r="G16" s="140"/>
      <c r="H16" s="124"/>
      <c r="I16" s="129"/>
      <c r="J16" s="129"/>
      <c r="K16" s="131"/>
      <c r="L16" s="127"/>
      <c r="M16" s="129"/>
      <c r="N16" s="131"/>
      <c r="O16" s="262"/>
      <c r="P16" s="542"/>
      <c r="R16" s="130"/>
      <c r="S16" s="130"/>
      <c r="T16" s="130"/>
      <c r="U16" s="130"/>
      <c r="V16" s="130"/>
      <c r="W16" s="130"/>
      <c r="X16" s="130"/>
      <c r="Y16" s="130"/>
      <c r="Z16" s="130"/>
      <c r="AA16" s="130"/>
      <c r="AB16" s="130">
        <f t="shared" ref="AB16:AB79" si="1">SUM(R16:AA16)</f>
        <v>0</v>
      </c>
      <c r="AC16" s="130"/>
      <c r="AD16" s="130"/>
      <c r="AE16" s="130"/>
      <c r="AF16" s="130"/>
      <c r="AG16" s="130"/>
      <c r="AH16" s="130"/>
      <c r="AI16" s="130"/>
      <c r="AJ16" s="130"/>
      <c r="AK16" s="130"/>
      <c r="AL16" s="130"/>
      <c r="AM16" s="130"/>
      <c r="AN16" s="130">
        <f t="shared" ref="AN16:AN79" si="2">SUM(AD16:AM16)</f>
        <v>0</v>
      </c>
      <c r="AO16" s="130"/>
      <c r="AP16" s="130">
        <f t="shared" ref="AP16:AP79" si="3">SUM(R16,AD16)</f>
        <v>0</v>
      </c>
      <c r="AQ16" s="130">
        <f t="shared" ref="AQ16:AQ79" si="4">SUM(S16,AE16)</f>
        <v>0</v>
      </c>
      <c r="AR16" s="130">
        <f t="shared" ref="AR16:AR79" si="5">SUM(T16,AF16)</f>
        <v>0</v>
      </c>
      <c r="AS16" s="130">
        <f t="shared" ref="AS16:AS79" si="6">SUM(U16,AG16)</f>
        <v>0</v>
      </c>
      <c r="AT16" s="130">
        <f t="shared" ref="AT16:AT79" si="7">SUM(V16,AH16)</f>
        <v>0</v>
      </c>
      <c r="AU16" s="130">
        <f t="shared" ref="AU16:AU79" si="8">SUM(W16,AI16)</f>
        <v>0</v>
      </c>
      <c r="AV16" s="130">
        <f t="shared" ref="AV16:AV79" si="9">SUM(X16,AJ16)</f>
        <v>0</v>
      </c>
      <c r="AW16" s="130">
        <f t="shared" ref="AW16:AW79" si="10">SUM(Y16,AK16)</f>
        <v>0</v>
      </c>
      <c r="AX16" s="130">
        <f t="shared" ref="AX16:AX79" si="11">SUM(Z16,AL16)</f>
        <v>0</v>
      </c>
      <c r="AY16" s="130">
        <f t="shared" ref="AY16:AY79" si="12">SUM(AA16,AM16)</f>
        <v>0</v>
      </c>
      <c r="AZ16" s="130">
        <f t="shared" ref="AZ16:AZ79" si="13">SUM(AB16,AN16)</f>
        <v>0</v>
      </c>
    </row>
    <row r="17" spans="1:54" x14ac:dyDescent="0.25">
      <c r="A17" s="132"/>
      <c r="B17" s="540" t="s">
        <v>976</v>
      </c>
      <c r="C17" s="129"/>
      <c r="D17" s="130"/>
      <c r="E17" s="130">
        <v>20636</v>
      </c>
      <c r="F17" s="130"/>
      <c r="G17" s="140"/>
      <c r="H17" s="124">
        <f>SUM(C17:G17)</f>
        <v>20636</v>
      </c>
      <c r="I17" s="349"/>
      <c r="J17" s="349"/>
      <c r="K17" s="352"/>
      <c r="L17" s="127">
        <f>SUM(I17:K17)</f>
        <v>0</v>
      </c>
      <c r="M17" s="349"/>
      <c r="N17" s="352"/>
      <c r="O17" s="350"/>
      <c r="P17" s="542">
        <f>O17+L17+H17</f>
        <v>20636</v>
      </c>
      <c r="R17" s="130"/>
      <c r="S17" s="130"/>
      <c r="T17" s="130">
        <v>20636</v>
      </c>
      <c r="U17" s="130"/>
      <c r="V17" s="130"/>
      <c r="W17" s="130"/>
      <c r="X17" s="130"/>
      <c r="Y17" s="130"/>
      <c r="Z17" s="130"/>
      <c r="AA17" s="130"/>
      <c r="AB17" s="130">
        <f t="shared" si="1"/>
        <v>20636</v>
      </c>
      <c r="AC17" s="130"/>
      <c r="AD17" s="130"/>
      <c r="AE17" s="130"/>
      <c r="AF17" s="130"/>
      <c r="AG17" s="130"/>
      <c r="AH17" s="130"/>
      <c r="AI17" s="130"/>
      <c r="AJ17" s="130"/>
      <c r="AK17" s="130"/>
      <c r="AL17" s="130"/>
      <c r="AM17" s="130"/>
      <c r="AN17" s="130">
        <f t="shared" si="2"/>
        <v>0</v>
      </c>
      <c r="AO17" s="130"/>
      <c r="AP17" s="130">
        <f t="shared" si="3"/>
        <v>0</v>
      </c>
      <c r="AQ17" s="130">
        <f t="shared" si="4"/>
        <v>0</v>
      </c>
      <c r="AR17" s="130">
        <f t="shared" si="5"/>
        <v>20636</v>
      </c>
      <c r="AS17" s="130">
        <f t="shared" si="6"/>
        <v>0</v>
      </c>
      <c r="AT17" s="130">
        <f t="shared" si="7"/>
        <v>0</v>
      </c>
      <c r="AU17" s="130">
        <f t="shared" si="8"/>
        <v>0</v>
      </c>
      <c r="AV17" s="130">
        <f t="shared" si="9"/>
        <v>0</v>
      </c>
      <c r="AW17" s="130">
        <f t="shared" si="10"/>
        <v>0</v>
      </c>
      <c r="AX17" s="130">
        <f t="shared" si="11"/>
        <v>0</v>
      </c>
      <c r="AY17" s="130">
        <f t="shared" si="12"/>
        <v>0</v>
      </c>
      <c r="AZ17" s="130">
        <f t="shared" si="13"/>
        <v>20636</v>
      </c>
      <c r="BB17" s="109">
        <f>+P17-AZ17</f>
        <v>0</v>
      </c>
    </row>
    <row r="18" spans="1:54" x14ac:dyDescent="0.25">
      <c r="A18" s="132"/>
      <c r="B18" s="540"/>
      <c r="C18" s="129"/>
      <c r="D18" s="130"/>
      <c r="E18" s="130"/>
      <c r="F18" s="130"/>
      <c r="G18" s="140"/>
      <c r="H18" s="124"/>
      <c r="I18" s="349"/>
      <c r="J18" s="349"/>
      <c r="K18" s="352"/>
      <c r="L18" s="127"/>
      <c r="M18" s="349"/>
      <c r="N18" s="352"/>
      <c r="O18" s="350"/>
      <c r="P18" s="542"/>
      <c r="R18" s="130"/>
      <c r="S18" s="130"/>
      <c r="T18" s="130"/>
      <c r="U18" s="130"/>
      <c r="V18" s="130"/>
      <c r="W18" s="130"/>
      <c r="X18" s="130"/>
      <c r="Y18" s="130"/>
      <c r="Z18" s="130"/>
      <c r="AA18" s="130"/>
      <c r="AB18" s="130">
        <f t="shared" si="1"/>
        <v>0</v>
      </c>
      <c r="AC18" s="130"/>
      <c r="AD18" s="130"/>
      <c r="AE18" s="130"/>
      <c r="AF18" s="130"/>
      <c r="AG18" s="130"/>
      <c r="AH18" s="130"/>
      <c r="AI18" s="130"/>
      <c r="AJ18" s="130"/>
      <c r="AK18" s="130"/>
      <c r="AL18" s="130"/>
      <c r="AM18" s="130"/>
      <c r="AN18" s="130">
        <f t="shared" si="2"/>
        <v>0</v>
      </c>
      <c r="AO18" s="130"/>
      <c r="AP18" s="130">
        <f t="shared" si="3"/>
        <v>0</v>
      </c>
      <c r="AQ18" s="130">
        <f t="shared" si="4"/>
        <v>0</v>
      </c>
      <c r="AR18" s="130">
        <f t="shared" si="5"/>
        <v>0</v>
      </c>
      <c r="AS18" s="130">
        <f t="shared" si="6"/>
        <v>0</v>
      </c>
      <c r="AT18" s="130">
        <f t="shared" si="7"/>
        <v>0</v>
      </c>
      <c r="AU18" s="130">
        <f t="shared" si="8"/>
        <v>0</v>
      </c>
      <c r="AV18" s="130">
        <f t="shared" si="9"/>
        <v>0</v>
      </c>
      <c r="AW18" s="130">
        <f t="shared" si="10"/>
        <v>0</v>
      </c>
      <c r="AX18" s="130">
        <f t="shared" si="11"/>
        <v>0</v>
      </c>
      <c r="AY18" s="130">
        <f t="shared" si="12"/>
        <v>0</v>
      </c>
      <c r="AZ18" s="130">
        <f t="shared" si="13"/>
        <v>0</v>
      </c>
      <c r="BB18" s="109">
        <f t="shared" ref="BB18:BB81" si="14">+P18-AZ18</f>
        <v>0</v>
      </c>
    </row>
    <row r="19" spans="1:54" ht="31.5" x14ac:dyDescent="0.25">
      <c r="A19" s="132"/>
      <c r="B19" s="351" t="s">
        <v>385</v>
      </c>
      <c r="C19" s="129"/>
      <c r="D19" s="130"/>
      <c r="E19" s="130"/>
      <c r="F19" s="130"/>
      <c r="G19" s="140"/>
      <c r="H19" s="124"/>
      <c r="I19" s="349"/>
      <c r="J19" s="349"/>
      <c r="K19" s="352"/>
      <c r="L19" s="127"/>
      <c r="M19" s="349"/>
      <c r="N19" s="352"/>
      <c r="O19" s="350"/>
      <c r="P19" s="542"/>
      <c r="R19" s="130"/>
      <c r="S19" s="130"/>
      <c r="T19" s="130"/>
      <c r="U19" s="130"/>
      <c r="V19" s="130"/>
      <c r="W19" s="130"/>
      <c r="X19" s="130"/>
      <c r="Y19" s="130"/>
      <c r="Z19" s="130"/>
      <c r="AA19" s="130"/>
      <c r="AB19" s="130">
        <f t="shared" si="1"/>
        <v>0</v>
      </c>
      <c r="AC19" s="130"/>
      <c r="AD19" s="130"/>
      <c r="AE19" s="130"/>
      <c r="AF19" s="130"/>
      <c r="AG19" s="130"/>
      <c r="AH19" s="130"/>
      <c r="AI19" s="130"/>
      <c r="AJ19" s="130"/>
      <c r="AK19" s="130"/>
      <c r="AL19" s="130"/>
      <c r="AM19" s="130"/>
      <c r="AN19" s="130">
        <f t="shared" si="2"/>
        <v>0</v>
      </c>
      <c r="AO19" s="130"/>
      <c r="AP19" s="130">
        <f t="shared" si="3"/>
        <v>0</v>
      </c>
      <c r="AQ19" s="130">
        <f t="shared" si="4"/>
        <v>0</v>
      </c>
      <c r="AR19" s="130">
        <f t="shared" si="5"/>
        <v>0</v>
      </c>
      <c r="AS19" s="130">
        <f t="shared" si="6"/>
        <v>0</v>
      </c>
      <c r="AT19" s="130">
        <f t="shared" si="7"/>
        <v>0</v>
      </c>
      <c r="AU19" s="130">
        <f t="shared" si="8"/>
        <v>0</v>
      </c>
      <c r="AV19" s="130">
        <f t="shared" si="9"/>
        <v>0</v>
      </c>
      <c r="AW19" s="130">
        <f t="shared" si="10"/>
        <v>0</v>
      </c>
      <c r="AX19" s="130">
        <f t="shared" si="11"/>
        <v>0</v>
      </c>
      <c r="AY19" s="130">
        <f t="shared" si="12"/>
        <v>0</v>
      </c>
      <c r="AZ19" s="130">
        <f t="shared" si="13"/>
        <v>0</v>
      </c>
      <c r="BB19" s="109">
        <f t="shared" si="14"/>
        <v>0</v>
      </c>
    </row>
    <row r="20" spans="1:54" x14ac:dyDescent="0.25">
      <c r="A20" s="132"/>
      <c r="B20" s="589" t="s">
        <v>977</v>
      </c>
      <c r="C20" s="129"/>
      <c r="D20" s="130"/>
      <c r="E20" s="130">
        <v>23844</v>
      </c>
      <c r="F20" s="130"/>
      <c r="G20" s="263"/>
      <c r="H20" s="124">
        <f t="shared" ref="H20" si="15">SUM(C20:G20)</f>
        <v>23844</v>
      </c>
      <c r="I20" s="349"/>
      <c r="J20" s="349"/>
      <c r="K20" s="352"/>
      <c r="L20" s="127">
        <f t="shared" ref="L20" si="16">SUM(I20:K20)</f>
        <v>0</v>
      </c>
      <c r="M20" s="349"/>
      <c r="N20" s="352"/>
      <c r="O20" s="350"/>
      <c r="P20" s="542">
        <f t="shared" ref="P20" si="17">O20+L20+H20</f>
        <v>23844</v>
      </c>
      <c r="R20" s="130"/>
      <c r="S20" s="130"/>
      <c r="T20" s="130"/>
      <c r="U20" s="130"/>
      <c r="V20" s="130"/>
      <c r="W20" s="130"/>
      <c r="X20" s="130"/>
      <c r="Y20" s="130"/>
      <c r="Z20" s="130"/>
      <c r="AA20" s="130"/>
      <c r="AB20" s="130">
        <f t="shared" si="1"/>
        <v>0</v>
      </c>
      <c r="AC20" s="130"/>
      <c r="AD20" s="130"/>
      <c r="AE20" s="130"/>
      <c r="AF20" s="130">
        <v>23844</v>
      </c>
      <c r="AG20" s="130"/>
      <c r="AH20" s="130"/>
      <c r="AI20" s="130"/>
      <c r="AJ20" s="130"/>
      <c r="AK20" s="130"/>
      <c r="AL20" s="130"/>
      <c r="AM20" s="130"/>
      <c r="AN20" s="130">
        <f t="shared" si="2"/>
        <v>23844</v>
      </c>
      <c r="AO20" s="130"/>
      <c r="AP20" s="130">
        <f t="shared" si="3"/>
        <v>0</v>
      </c>
      <c r="AQ20" s="130">
        <f t="shared" si="4"/>
        <v>0</v>
      </c>
      <c r="AR20" s="130">
        <f t="shared" si="5"/>
        <v>23844</v>
      </c>
      <c r="AS20" s="130">
        <f t="shared" si="6"/>
        <v>0</v>
      </c>
      <c r="AT20" s="130">
        <f t="shared" si="7"/>
        <v>0</v>
      </c>
      <c r="AU20" s="130">
        <f t="shared" si="8"/>
        <v>0</v>
      </c>
      <c r="AV20" s="130">
        <f t="shared" si="9"/>
        <v>0</v>
      </c>
      <c r="AW20" s="130">
        <f t="shared" si="10"/>
        <v>0</v>
      </c>
      <c r="AX20" s="130">
        <f t="shared" si="11"/>
        <v>0</v>
      </c>
      <c r="AY20" s="130">
        <f t="shared" si="12"/>
        <v>0</v>
      </c>
      <c r="AZ20" s="130">
        <f t="shared" si="13"/>
        <v>23844</v>
      </c>
      <c r="BB20" s="109">
        <f t="shared" si="14"/>
        <v>0</v>
      </c>
    </row>
    <row r="21" spans="1:54" x14ac:dyDescent="0.25">
      <c r="A21" s="132"/>
      <c r="B21" s="589" t="s">
        <v>978</v>
      </c>
      <c r="C21" s="129"/>
      <c r="D21" s="130"/>
      <c r="E21" s="130">
        <v>5191</v>
      </c>
      <c r="F21" s="130"/>
      <c r="G21" s="263"/>
      <c r="H21" s="124">
        <f t="shared" ref="H21:H22" si="18">SUM(C21:G21)</f>
        <v>5191</v>
      </c>
      <c r="I21" s="349"/>
      <c r="J21" s="349"/>
      <c r="K21" s="352"/>
      <c r="L21" s="127">
        <f t="shared" ref="L21:L22" si="19">SUM(I21:K21)</f>
        <v>0</v>
      </c>
      <c r="M21" s="349"/>
      <c r="N21" s="352"/>
      <c r="O21" s="350"/>
      <c r="P21" s="542">
        <f t="shared" ref="P21:P22" si="20">O21+L21+H21</f>
        <v>5191</v>
      </c>
      <c r="R21" s="130"/>
      <c r="S21" s="130"/>
      <c r="T21" s="130">
        <v>5191</v>
      </c>
      <c r="U21" s="130"/>
      <c r="V21" s="130"/>
      <c r="W21" s="130"/>
      <c r="X21" s="130"/>
      <c r="Y21" s="130"/>
      <c r="Z21" s="130"/>
      <c r="AA21" s="130"/>
      <c r="AB21" s="130">
        <f t="shared" si="1"/>
        <v>5191</v>
      </c>
      <c r="AC21" s="130"/>
      <c r="AD21" s="130"/>
      <c r="AE21" s="130"/>
      <c r="AF21" s="130"/>
      <c r="AG21" s="130"/>
      <c r="AH21" s="130"/>
      <c r="AI21" s="130"/>
      <c r="AJ21" s="130"/>
      <c r="AK21" s="130"/>
      <c r="AL21" s="130"/>
      <c r="AM21" s="130"/>
      <c r="AN21" s="130">
        <f t="shared" si="2"/>
        <v>0</v>
      </c>
      <c r="AO21" s="130"/>
      <c r="AP21" s="130">
        <f t="shared" si="3"/>
        <v>0</v>
      </c>
      <c r="AQ21" s="130">
        <f t="shared" si="4"/>
        <v>0</v>
      </c>
      <c r="AR21" s="130">
        <f t="shared" si="5"/>
        <v>5191</v>
      </c>
      <c r="AS21" s="130">
        <f t="shared" si="6"/>
        <v>0</v>
      </c>
      <c r="AT21" s="130">
        <f t="shared" si="7"/>
        <v>0</v>
      </c>
      <c r="AU21" s="130">
        <f t="shared" si="8"/>
        <v>0</v>
      </c>
      <c r="AV21" s="130">
        <f t="shared" si="9"/>
        <v>0</v>
      </c>
      <c r="AW21" s="130">
        <f t="shared" si="10"/>
        <v>0</v>
      </c>
      <c r="AX21" s="130">
        <f t="shared" si="11"/>
        <v>0</v>
      </c>
      <c r="AY21" s="130">
        <f t="shared" si="12"/>
        <v>0</v>
      </c>
      <c r="AZ21" s="130">
        <f t="shared" si="13"/>
        <v>5191</v>
      </c>
      <c r="BB21" s="109">
        <f t="shared" si="14"/>
        <v>0</v>
      </c>
    </row>
    <row r="22" spans="1:54" x14ac:dyDescent="0.25">
      <c r="A22" s="132"/>
      <c r="B22" s="589" t="s">
        <v>979</v>
      </c>
      <c r="C22" s="129"/>
      <c r="D22" s="130"/>
      <c r="E22" s="130">
        <v>737</v>
      </c>
      <c r="F22" s="130"/>
      <c r="G22" s="263"/>
      <c r="H22" s="124">
        <f t="shared" si="18"/>
        <v>737</v>
      </c>
      <c r="I22" s="349"/>
      <c r="J22" s="349"/>
      <c r="K22" s="352"/>
      <c r="L22" s="127">
        <f t="shared" si="19"/>
        <v>0</v>
      </c>
      <c r="M22" s="349"/>
      <c r="N22" s="352"/>
      <c r="O22" s="350"/>
      <c r="P22" s="542">
        <f t="shared" si="20"/>
        <v>737</v>
      </c>
      <c r="R22" s="130"/>
      <c r="S22" s="130"/>
      <c r="T22" s="130">
        <v>737</v>
      </c>
      <c r="U22" s="130"/>
      <c r="V22" s="130"/>
      <c r="W22" s="130"/>
      <c r="X22" s="130"/>
      <c r="Y22" s="130"/>
      <c r="Z22" s="130"/>
      <c r="AA22" s="130"/>
      <c r="AB22" s="130">
        <f t="shared" si="1"/>
        <v>737</v>
      </c>
      <c r="AC22" s="130"/>
      <c r="AD22" s="130"/>
      <c r="AE22" s="130"/>
      <c r="AF22" s="130"/>
      <c r="AG22" s="130"/>
      <c r="AH22" s="130"/>
      <c r="AI22" s="130"/>
      <c r="AJ22" s="130"/>
      <c r="AK22" s="130"/>
      <c r="AL22" s="130"/>
      <c r="AM22" s="130"/>
      <c r="AN22" s="130">
        <f t="shared" si="2"/>
        <v>0</v>
      </c>
      <c r="AO22" s="130"/>
      <c r="AP22" s="130">
        <f t="shared" si="3"/>
        <v>0</v>
      </c>
      <c r="AQ22" s="130">
        <f t="shared" si="4"/>
        <v>0</v>
      </c>
      <c r="AR22" s="130">
        <f t="shared" si="5"/>
        <v>737</v>
      </c>
      <c r="AS22" s="130">
        <f t="shared" si="6"/>
        <v>0</v>
      </c>
      <c r="AT22" s="130">
        <f t="shared" si="7"/>
        <v>0</v>
      </c>
      <c r="AU22" s="130">
        <f t="shared" si="8"/>
        <v>0</v>
      </c>
      <c r="AV22" s="130">
        <f t="shared" si="9"/>
        <v>0</v>
      </c>
      <c r="AW22" s="130">
        <f t="shared" si="10"/>
        <v>0</v>
      </c>
      <c r="AX22" s="130">
        <f t="shared" si="11"/>
        <v>0</v>
      </c>
      <c r="AY22" s="130">
        <f t="shared" si="12"/>
        <v>0</v>
      </c>
      <c r="AZ22" s="130">
        <f t="shared" si="13"/>
        <v>737</v>
      </c>
      <c r="BB22" s="109">
        <f t="shared" si="14"/>
        <v>0</v>
      </c>
    </row>
    <row r="23" spans="1:54" x14ac:dyDescent="0.25">
      <c r="A23" s="128"/>
      <c r="B23" s="353"/>
      <c r="C23" s="129"/>
      <c r="D23" s="130"/>
      <c r="E23" s="130"/>
      <c r="F23" s="131"/>
      <c r="G23" s="131"/>
      <c r="H23" s="124"/>
      <c r="I23" s="349"/>
      <c r="J23" s="349"/>
      <c r="K23" s="352"/>
      <c r="L23" s="127"/>
      <c r="M23" s="349"/>
      <c r="N23" s="352"/>
      <c r="O23" s="350"/>
      <c r="P23" s="542"/>
      <c r="R23" s="130"/>
      <c r="S23" s="130"/>
      <c r="T23" s="130"/>
      <c r="U23" s="130"/>
      <c r="V23" s="130"/>
      <c r="W23" s="130"/>
      <c r="X23" s="130"/>
      <c r="Y23" s="130"/>
      <c r="Z23" s="130"/>
      <c r="AA23" s="130"/>
      <c r="AB23" s="130">
        <f t="shared" si="1"/>
        <v>0</v>
      </c>
      <c r="AC23" s="130"/>
      <c r="AD23" s="130"/>
      <c r="AE23" s="130"/>
      <c r="AF23" s="130"/>
      <c r="AG23" s="130"/>
      <c r="AH23" s="130"/>
      <c r="AI23" s="130"/>
      <c r="AJ23" s="130"/>
      <c r="AK23" s="130"/>
      <c r="AL23" s="130"/>
      <c r="AM23" s="130"/>
      <c r="AN23" s="130">
        <f t="shared" si="2"/>
        <v>0</v>
      </c>
      <c r="AO23" s="130"/>
      <c r="AP23" s="130">
        <f t="shared" si="3"/>
        <v>0</v>
      </c>
      <c r="AQ23" s="130">
        <f t="shared" si="4"/>
        <v>0</v>
      </c>
      <c r="AR23" s="130">
        <f t="shared" si="5"/>
        <v>0</v>
      </c>
      <c r="AS23" s="130">
        <f t="shared" si="6"/>
        <v>0</v>
      </c>
      <c r="AT23" s="130">
        <f t="shared" si="7"/>
        <v>0</v>
      </c>
      <c r="AU23" s="130">
        <f t="shared" si="8"/>
        <v>0</v>
      </c>
      <c r="AV23" s="130">
        <f t="shared" si="9"/>
        <v>0</v>
      </c>
      <c r="AW23" s="130">
        <f t="shared" si="10"/>
        <v>0</v>
      </c>
      <c r="AX23" s="130">
        <f t="shared" si="11"/>
        <v>0</v>
      </c>
      <c r="AY23" s="130">
        <f t="shared" si="12"/>
        <v>0</v>
      </c>
      <c r="AZ23" s="130">
        <f t="shared" si="13"/>
        <v>0</v>
      </c>
      <c r="BB23" s="109">
        <f t="shared" si="14"/>
        <v>0</v>
      </c>
    </row>
    <row r="24" spans="1:54" x14ac:dyDescent="0.25">
      <c r="A24" s="132"/>
      <c r="B24" s="351" t="s">
        <v>412</v>
      </c>
      <c r="C24" s="129"/>
      <c r="D24" s="130"/>
      <c r="E24" s="130"/>
      <c r="F24" s="130"/>
      <c r="G24" s="140"/>
      <c r="H24" s="127"/>
      <c r="I24" s="129"/>
      <c r="J24" s="129"/>
      <c r="K24" s="131"/>
      <c r="L24" s="127"/>
      <c r="M24" s="129"/>
      <c r="N24" s="131"/>
      <c r="O24" s="262"/>
      <c r="P24" s="544"/>
      <c r="R24" s="130"/>
      <c r="S24" s="130"/>
      <c r="T24" s="130"/>
      <c r="U24" s="130"/>
      <c r="V24" s="130"/>
      <c r="W24" s="130"/>
      <c r="X24" s="130"/>
      <c r="Y24" s="130"/>
      <c r="Z24" s="130"/>
      <c r="AA24" s="130"/>
      <c r="AB24" s="130">
        <f t="shared" si="1"/>
        <v>0</v>
      </c>
      <c r="AC24" s="130"/>
      <c r="AD24" s="130"/>
      <c r="AE24" s="130"/>
      <c r="AF24" s="130"/>
      <c r="AG24" s="130"/>
      <c r="AH24" s="130"/>
      <c r="AI24" s="130"/>
      <c r="AJ24" s="130"/>
      <c r="AK24" s="130"/>
      <c r="AL24" s="130"/>
      <c r="AM24" s="130"/>
      <c r="AN24" s="130">
        <f t="shared" si="2"/>
        <v>0</v>
      </c>
      <c r="AO24" s="130"/>
      <c r="AP24" s="130">
        <f t="shared" si="3"/>
        <v>0</v>
      </c>
      <c r="AQ24" s="130">
        <f t="shared" si="4"/>
        <v>0</v>
      </c>
      <c r="AR24" s="130">
        <f t="shared" si="5"/>
        <v>0</v>
      </c>
      <c r="AS24" s="130">
        <f t="shared" si="6"/>
        <v>0</v>
      </c>
      <c r="AT24" s="130">
        <f t="shared" si="7"/>
        <v>0</v>
      </c>
      <c r="AU24" s="130">
        <f t="shared" si="8"/>
        <v>0</v>
      </c>
      <c r="AV24" s="130">
        <f t="shared" si="9"/>
        <v>0</v>
      </c>
      <c r="AW24" s="130">
        <f t="shared" si="10"/>
        <v>0</v>
      </c>
      <c r="AX24" s="130">
        <f t="shared" si="11"/>
        <v>0</v>
      </c>
      <c r="AY24" s="130">
        <f t="shared" si="12"/>
        <v>0</v>
      </c>
      <c r="AZ24" s="130">
        <f t="shared" si="13"/>
        <v>0</v>
      </c>
      <c r="BB24" s="109">
        <f t="shared" si="14"/>
        <v>0</v>
      </c>
    </row>
    <row r="25" spans="1:54" x14ac:dyDescent="0.25">
      <c r="A25" s="132"/>
      <c r="B25" s="769" t="s">
        <v>980</v>
      </c>
      <c r="C25" s="129"/>
      <c r="D25" s="130">
        <v>25</v>
      </c>
      <c r="E25" s="130">
        <v>-25</v>
      </c>
      <c r="F25" s="130"/>
      <c r="G25" s="140"/>
      <c r="H25" s="124">
        <f>SUM(C25:G25)</f>
        <v>0</v>
      </c>
      <c r="I25" s="129"/>
      <c r="J25" s="129"/>
      <c r="K25" s="131"/>
      <c r="L25" s="127">
        <f>SUM(I25:K25)</f>
        <v>0</v>
      </c>
      <c r="M25" s="129"/>
      <c r="N25" s="131"/>
      <c r="O25" s="262"/>
      <c r="P25" s="542">
        <f>O25+L25+H25</f>
        <v>0</v>
      </c>
      <c r="R25" s="130"/>
      <c r="S25" s="130"/>
      <c r="T25" s="130"/>
      <c r="U25" s="130"/>
      <c r="V25" s="130"/>
      <c r="W25" s="130"/>
      <c r="X25" s="130"/>
      <c r="Y25" s="130"/>
      <c r="Z25" s="130"/>
      <c r="AA25" s="130"/>
      <c r="AB25" s="130">
        <f t="shared" si="1"/>
        <v>0</v>
      </c>
      <c r="AC25" s="130"/>
      <c r="AD25" s="130"/>
      <c r="AE25" s="130">
        <v>25</v>
      </c>
      <c r="AF25" s="130">
        <v>-25</v>
      </c>
      <c r="AG25" s="130"/>
      <c r="AH25" s="130"/>
      <c r="AI25" s="130"/>
      <c r="AJ25" s="130"/>
      <c r="AK25" s="130"/>
      <c r="AL25" s="130"/>
      <c r="AM25" s="130"/>
      <c r="AN25" s="130">
        <f t="shared" si="2"/>
        <v>0</v>
      </c>
      <c r="AO25" s="130"/>
      <c r="AP25" s="130">
        <f t="shared" si="3"/>
        <v>0</v>
      </c>
      <c r="AQ25" s="130">
        <f t="shared" si="4"/>
        <v>25</v>
      </c>
      <c r="AR25" s="130">
        <f t="shared" si="5"/>
        <v>-25</v>
      </c>
      <c r="AS25" s="130">
        <f t="shared" si="6"/>
        <v>0</v>
      </c>
      <c r="AT25" s="130">
        <f t="shared" si="7"/>
        <v>0</v>
      </c>
      <c r="AU25" s="130">
        <f t="shared" si="8"/>
        <v>0</v>
      </c>
      <c r="AV25" s="130">
        <f t="shared" si="9"/>
        <v>0</v>
      </c>
      <c r="AW25" s="130">
        <f t="shared" si="10"/>
        <v>0</v>
      </c>
      <c r="AX25" s="130">
        <f t="shared" si="11"/>
        <v>0</v>
      </c>
      <c r="AY25" s="130">
        <f t="shared" si="12"/>
        <v>0</v>
      </c>
      <c r="AZ25" s="130">
        <f t="shared" si="13"/>
        <v>0</v>
      </c>
      <c r="BB25" s="109">
        <f t="shared" si="14"/>
        <v>0</v>
      </c>
    </row>
    <row r="26" spans="1:54" x14ac:dyDescent="0.25">
      <c r="A26" s="119"/>
      <c r="B26" s="818"/>
      <c r="C26" s="126"/>
      <c r="D26" s="126"/>
      <c r="E26" s="126"/>
      <c r="F26" s="126"/>
      <c r="G26" s="348"/>
      <c r="H26" s="124"/>
      <c r="I26" s="126"/>
      <c r="J26" s="126"/>
      <c r="K26" s="348"/>
      <c r="L26" s="127"/>
      <c r="M26" s="126"/>
      <c r="N26" s="348"/>
      <c r="O26" s="261"/>
      <c r="P26" s="542"/>
      <c r="R26" s="130"/>
      <c r="S26" s="130"/>
      <c r="T26" s="130"/>
      <c r="U26" s="130"/>
      <c r="V26" s="130"/>
      <c r="W26" s="130"/>
      <c r="X26" s="130"/>
      <c r="Y26" s="130"/>
      <c r="Z26" s="130"/>
      <c r="AA26" s="130"/>
      <c r="AB26" s="130">
        <f t="shared" si="1"/>
        <v>0</v>
      </c>
      <c r="AC26" s="130"/>
      <c r="AD26" s="130"/>
      <c r="AE26" s="130"/>
      <c r="AF26" s="130"/>
      <c r="AG26" s="130"/>
      <c r="AH26" s="130"/>
      <c r="AI26" s="130"/>
      <c r="AJ26" s="130"/>
      <c r="AK26" s="130"/>
      <c r="AL26" s="130"/>
      <c r="AM26" s="130"/>
      <c r="AN26" s="130">
        <f t="shared" si="2"/>
        <v>0</v>
      </c>
      <c r="AO26" s="130"/>
      <c r="AP26" s="130">
        <f t="shared" si="3"/>
        <v>0</v>
      </c>
      <c r="AQ26" s="130">
        <f t="shared" si="4"/>
        <v>0</v>
      </c>
      <c r="AR26" s="130">
        <f t="shared" si="5"/>
        <v>0</v>
      </c>
      <c r="AS26" s="130">
        <f t="shared" si="6"/>
        <v>0</v>
      </c>
      <c r="AT26" s="130">
        <f t="shared" si="7"/>
        <v>0</v>
      </c>
      <c r="AU26" s="130">
        <f t="shared" si="8"/>
        <v>0</v>
      </c>
      <c r="AV26" s="130">
        <f t="shared" si="9"/>
        <v>0</v>
      </c>
      <c r="AW26" s="130">
        <f t="shared" si="10"/>
        <v>0</v>
      </c>
      <c r="AX26" s="130">
        <f t="shared" si="11"/>
        <v>0</v>
      </c>
      <c r="AY26" s="130">
        <f t="shared" si="12"/>
        <v>0</v>
      </c>
      <c r="AZ26" s="130">
        <f t="shared" si="13"/>
        <v>0</v>
      </c>
      <c r="BB26" s="109">
        <f t="shared" si="14"/>
        <v>0</v>
      </c>
    </row>
    <row r="27" spans="1:54" ht="31.5" x14ac:dyDescent="0.25">
      <c r="A27" s="119"/>
      <c r="B27" s="145" t="s">
        <v>82</v>
      </c>
      <c r="C27" s="126"/>
      <c r="D27" s="126"/>
      <c r="E27" s="126"/>
      <c r="F27" s="126"/>
      <c r="G27" s="348"/>
      <c r="H27" s="124"/>
      <c r="I27" s="126"/>
      <c r="J27" s="126"/>
      <c r="K27" s="348"/>
      <c r="L27" s="127"/>
      <c r="M27" s="126"/>
      <c r="N27" s="348"/>
      <c r="O27" s="261"/>
      <c r="P27" s="542"/>
      <c r="R27" s="130"/>
      <c r="S27" s="130"/>
      <c r="T27" s="130"/>
      <c r="U27" s="130"/>
      <c r="V27" s="130"/>
      <c r="W27" s="130"/>
      <c r="X27" s="130"/>
      <c r="Y27" s="130"/>
      <c r="Z27" s="130"/>
      <c r="AA27" s="130"/>
      <c r="AB27" s="130">
        <f t="shared" si="1"/>
        <v>0</v>
      </c>
      <c r="AC27" s="130"/>
      <c r="AD27" s="130"/>
      <c r="AE27" s="130"/>
      <c r="AF27" s="130"/>
      <c r="AG27" s="130"/>
      <c r="AH27" s="130"/>
      <c r="AI27" s="130"/>
      <c r="AJ27" s="130"/>
      <c r="AK27" s="130"/>
      <c r="AL27" s="130"/>
      <c r="AM27" s="130"/>
      <c r="AN27" s="130">
        <f t="shared" si="2"/>
        <v>0</v>
      </c>
      <c r="AO27" s="130"/>
      <c r="AP27" s="130">
        <f t="shared" si="3"/>
        <v>0</v>
      </c>
      <c r="AQ27" s="130">
        <f t="shared" si="4"/>
        <v>0</v>
      </c>
      <c r="AR27" s="130">
        <f t="shared" si="5"/>
        <v>0</v>
      </c>
      <c r="AS27" s="130">
        <f t="shared" si="6"/>
        <v>0</v>
      </c>
      <c r="AT27" s="130">
        <f t="shared" si="7"/>
        <v>0</v>
      </c>
      <c r="AU27" s="130">
        <f t="shared" si="8"/>
        <v>0</v>
      </c>
      <c r="AV27" s="130">
        <f t="shared" si="9"/>
        <v>0</v>
      </c>
      <c r="AW27" s="130">
        <f t="shared" si="10"/>
        <v>0</v>
      </c>
      <c r="AX27" s="130">
        <f t="shared" si="11"/>
        <v>0</v>
      </c>
      <c r="AY27" s="130">
        <f t="shared" si="12"/>
        <v>0</v>
      </c>
      <c r="AZ27" s="130">
        <f t="shared" si="13"/>
        <v>0</v>
      </c>
      <c r="BB27" s="109">
        <f t="shared" si="14"/>
        <v>0</v>
      </c>
    </row>
    <row r="28" spans="1:54" x14ac:dyDescent="0.25">
      <c r="A28" s="119"/>
      <c r="B28" s="548" t="s">
        <v>83</v>
      </c>
      <c r="C28" s="126"/>
      <c r="D28" s="126"/>
      <c r="E28" s="126"/>
      <c r="F28" s="126"/>
      <c r="G28" s="348"/>
      <c r="H28" s="124"/>
      <c r="I28" s="126"/>
      <c r="J28" s="126"/>
      <c r="K28" s="348"/>
      <c r="L28" s="127"/>
      <c r="M28" s="126"/>
      <c r="N28" s="348"/>
      <c r="O28" s="261"/>
      <c r="P28" s="542"/>
      <c r="R28" s="130"/>
      <c r="S28" s="130"/>
      <c r="T28" s="130"/>
      <c r="U28" s="130"/>
      <c r="V28" s="130"/>
      <c r="W28" s="130"/>
      <c r="X28" s="130"/>
      <c r="Y28" s="130"/>
      <c r="Z28" s="130"/>
      <c r="AA28" s="130"/>
      <c r="AB28" s="130">
        <f t="shared" si="1"/>
        <v>0</v>
      </c>
      <c r="AC28" s="130"/>
      <c r="AD28" s="130"/>
      <c r="AE28" s="130"/>
      <c r="AF28" s="130"/>
      <c r="AG28" s="130"/>
      <c r="AH28" s="130"/>
      <c r="AI28" s="130"/>
      <c r="AJ28" s="130"/>
      <c r="AK28" s="130"/>
      <c r="AL28" s="130"/>
      <c r="AM28" s="130"/>
      <c r="AN28" s="130">
        <f t="shared" si="2"/>
        <v>0</v>
      </c>
      <c r="AO28" s="130"/>
      <c r="AP28" s="130">
        <f t="shared" si="3"/>
        <v>0</v>
      </c>
      <c r="AQ28" s="130">
        <f t="shared" si="4"/>
        <v>0</v>
      </c>
      <c r="AR28" s="130">
        <f t="shared" si="5"/>
        <v>0</v>
      </c>
      <c r="AS28" s="130">
        <f t="shared" si="6"/>
        <v>0</v>
      </c>
      <c r="AT28" s="130">
        <f t="shared" si="7"/>
        <v>0</v>
      </c>
      <c r="AU28" s="130">
        <f t="shared" si="8"/>
        <v>0</v>
      </c>
      <c r="AV28" s="130">
        <f t="shared" si="9"/>
        <v>0</v>
      </c>
      <c r="AW28" s="130">
        <f t="shared" si="10"/>
        <v>0</v>
      </c>
      <c r="AX28" s="130">
        <f t="shared" si="11"/>
        <v>0</v>
      </c>
      <c r="AY28" s="130">
        <f t="shared" si="12"/>
        <v>0</v>
      </c>
      <c r="AZ28" s="130">
        <f t="shared" si="13"/>
        <v>0</v>
      </c>
      <c r="BB28" s="109">
        <f t="shared" si="14"/>
        <v>0</v>
      </c>
    </row>
    <row r="29" spans="1:54" ht="31.5" x14ac:dyDescent="0.25">
      <c r="A29" s="119"/>
      <c r="B29" s="355" t="s">
        <v>923</v>
      </c>
      <c r="C29" s="126"/>
      <c r="D29" s="126"/>
      <c r="E29" s="126"/>
      <c r="F29" s="126"/>
      <c r="G29" s="348"/>
      <c r="H29" s="124"/>
      <c r="I29" s="126"/>
      <c r="J29" s="126"/>
      <c r="K29" s="348"/>
      <c r="L29" s="127"/>
      <c r="M29" s="126"/>
      <c r="N29" s="348"/>
      <c r="O29" s="261"/>
      <c r="P29" s="542"/>
      <c r="R29" s="130"/>
      <c r="S29" s="130"/>
      <c r="T29" s="130"/>
      <c r="U29" s="130"/>
      <c r="V29" s="130"/>
      <c r="W29" s="130"/>
      <c r="X29" s="130"/>
      <c r="Y29" s="130"/>
      <c r="Z29" s="130"/>
      <c r="AA29" s="130"/>
      <c r="AB29" s="130">
        <f t="shared" si="1"/>
        <v>0</v>
      </c>
      <c r="AC29" s="130"/>
      <c r="AD29" s="130"/>
      <c r="AE29" s="130"/>
      <c r="AF29" s="130"/>
      <c r="AG29" s="130"/>
      <c r="AH29" s="130"/>
      <c r="AI29" s="130"/>
      <c r="AJ29" s="130"/>
      <c r="AK29" s="130"/>
      <c r="AL29" s="130"/>
      <c r="AM29" s="130"/>
      <c r="AN29" s="130">
        <f t="shared" si="2"/>
        <v>0</v>
      </c>
      <c r="AO29" s="130"/>
      <c r="AP29" s="130">
        <f t="shared" si="3"/>
        <v>0</v>
      </c>
      <c r="AQ29" s="130">
        <f t="shared" si="4"/>
        <v>0</v>
      </c>
      <c r="AR29" s="130">
        <f t="shared" si="5"/>
        <v>0</v>
      </c>
      <c r="AS29" s="130">
        <f t="shared" si="6"/>
        <v>0</v>
      </c>
      <c r="AT29" s="130">
        <f t="shared" si="7"/>
        <v>0</v>
      </c>
      <c r="AU29" s="130">
        <f t="shared" si="8"/>
        <v>0</v>
      </c>
      <c r="AV29" s="130">
        <f t="shared" si="9"/>
        <v>0</v>
      </c>
      <c r="AW29" s="130">
        <f t="shared" si="10"/>
        <v>0</v>
      </c>
      <c r="AX29" s="130">
        <f t="shared" si="11"/>
        <v>0</v>
      </c>
      <c r="AY29" s="130">
        <f t="shared" si="12"/>
        <v>0</v>
      </c>
      <c r="AZ29" s="130">
        <f t="shared" si="13"/>
        <v>0</v>
      </c>
      <c r="BB29" s="109">
        <f t="shared" si="14"/>
        <v>0</v>
      </c>
    </row>
    <row r="30" spans="1:54" ht="31.5" x14ac:dyDescent="0.25">
      <c r="A30" s="119"/>
      <c r="B30" s="813" t="s">
        <v>925</v>
      </c>
      <c r="C30" s="126"/>
      <c r="D30" s="126"/>
      <c r="E30" s="126">
        <v>-16026</v>
      </c>
      <c r="F30" s="126"/>
      <c r="G30" s="348"/>
      <c r="H30" s="124">
        <f t="shared" ref="H30" si="21">SUM(C30:G30)</f>
        <v>-16026</v>
      </c>
      <c r="I30" s="126">
        <v>-1118</v>
      </c>
      <c r="J30" s="126"/>
      <c r="K30" s="348"/>
      <c r="L30" s="127">
        <f t="shared" ref="L30" si="22">SUM(I30:K30)</f>
        <v>-1118</v>
      </c>
      <c r="M30" s="126"/>
      <c r="N30" s="348"/>
      <c r="O30" s="261"/>
      <c r="P30" s="542">
        <f t="shared" ref="P30" si="23">O30+L30+H30</f>
        <v>-17144</v>
      </c>
      <c r="R30" s="130"/>
      <c r="S30" s="130"/>
      <c r="T30" s="130"/>
      <c r="U30" s="130"/>
      <c r="V30" s="130"/>
      <c r="W30" s="130"/>
      <c r="X30" s="130"/>
      <c r="Y30" s="130"/>
      <c r="Z30" s="130"/>
      <c r="AA30" s="130"/>
      <c r="AB30" s="130">
        <f t="shared" si="1"/>
        <v>0</v>
      </c>
      <c r="AC30" s="130"/>
      <c r="AD30" s="130"/>
      <c r="AE30" s="130"/>
      <c r="AF30" s="130">
        <v>-16026</v>
      </c>
      <c r="AG30" s="130"/>
      <c r="AH30" s="130"/>
      <c r="AI30" s="130">
        <v>-1118</v>
      </c>
      <c r="AJ30" s="130"/>
      <c r="AK30" s="130"/>
      <c r="AL30" s="130"/>
      <c r="AM30" s="130"/>
      <c r="AN30" s="130">
        <f t="shared" si="2"/>
        <v>-17144</v>
      </c>
      <c r="AO30" s="130"/>
      <c r="AP30" s="130">
        <f t="shared" si="3"/>
        <v>0</v>
      </c>
      <c r="AQ30" s="130">
        <f t="shared" si="4"/>
        <v>0</v>
      </c>
      <c r="AR30" s="130">
        <f t="shared" si="5"/>
        <v>-16026</v>
      </c>
      <c r="AS30" s="130">
        <f t="shared" si="6"/>
        <v>0</v>
      </c>
      <c r="AT30" s="130">
        <f t="shared" si="7"/>
        <v>0</v>
      </c>
      <c r="AU30" s="130">
        <f t="shared" si="8"/>
        <v>-1118</v>
      </c>
      <c r="AV30" s="130">
        <f t="shared" si="9"/>
        <v>0</v>
      </c>
      <c r="AW30" s="130">
        <f t="shared" si="10"/>
        <v>0</v>
      </c>
      <c r="AX30" s="130">
        <f t="shared" si="11"/>
        <v>0</v>
      </c>
      <c r="AY30" s="130">
        <f t="shared" si="12"/>
        <v>0</v>
      </c>
      <c r="AZ30" s="130">
        <f t="shared" si="13"/>
        <v>-17144</v>
      </c>
      <c r="BB30" s="109">
        <f t="shared" si="14"/>
        <v>0</v>
      </c>
    </row>
    <row r="31" spans="1:54" x14ac:dyDescent="0.25">
      <c r="A31" s="119"/>
      <c r="B31" s="548"/>
      <c r="C31" s="126"/>
      <c r="D31" s="126"/>
      <c r="E31" s="126"/>
      <c r="F31" s="126"/>
      <c r="G31" s="348"/>
      <c r="H31" s="124"/>
      <c r="I31" s="126"/>
      <c r="J31" s="126"/>
      <c r="K31" s="348"/>
      <c r="L31" s="127"/>
      <c r="M31" s="126"/>
      <c r="N31" s="348"/>
      <c r="O31" s="261"/>
      <c r="P31" s="542"/>
      <c r="R31" s="130"/>
      <c r="S31" s="130"/>
      <c r="T31" s="130"/>
      <c r="U31" s="130"/>
      <c r="V31" s="130"/>
      <c r="W31" s="130"/>
      <c r="X31" s="130"/>
      <c r="Y31" s="130"/>
      <c r="Z31" s="130"/>
      <c r="AA31" s="130"/>
      <c r="AB31" s="130">
        <f t="shared" si="1"/>
        <v>0</v>
      </c>
      <c r="AC31" s="130"/>
      <c r="AD31" s="130"/>
      <c r="AE31" s="130"/>
      <c r="AF31" s="130"/>
      <c r="AG31" s="130"/>
      <c r="AH31" s="130"/>
      <c r="AI31" s="130"/>
      <c r="AJ31" s="130"/>
      <c r="AK31" s="130"/>
      <c r="AL31" s="130"/>
      <c r="AM31" s="130"/>
      <c r="AN31" s="130">
        <f t="shared" si="2"/>
        <v>0</v>
      </c>
      <c r="AO31" s="130"/>
      <c r="AP31" s="130">
        <f t="shared" si="3"/>
        <v>0</v>
      </c>
      <c r="AQ31" s="130">
        <f t="shared" si="4"/>
        <v>0</v>
      </c>
      <c r="AR31" s="130">
        <f t="shared" si="5"/>
        <v>0</v>
      </c>
      <c r="AS31" s="130">
        <f t="shared" si="6"/>
        <v>0</v>
      </c>
      <c r="AT31" s="130">
        <f t="shared" si="7"/>
        <v>0</v>
      </c>
      <c r="AU31" s="130">
        <f t="shared" si="8"/>
        <v>0</v>
      </c>
      <c r="AV31" s="130">
        <f t="shared" si="9"/>
        <v>0</v>
      </c>
      <c r="AW31" s="130">
        <f t="shared" si="10"/>
        <v>0</v>
      </c>
      <c r="AX31" s="130">
        <f t="shared" si="11"/>
        <v>0</v>
      </c>
      <c r="AY31" s="130">
        <f t="shared" si="12"/>
        <v>0</v>
      </c>
      <c r="AZ31" s="130">
        <f t="shared" si="13"/>
        <v>0</v>
      </c>
      <c r="BB31" s="109">
        <f t="shared" si="14"/>
        <v>0</v>
      </c>
    </row>
    <row r="32" spans="1:54" ht="47.25" x14ac:dyDescent="0.25">
      <c r="A32" s="132"/>
      <c r="B32" s="351" t="s">
        <v>924</v>
      </c>
      <c r="C32" s="129"/>
      <c r="D32" s="130"/>
      <c r="E32" s="130"/>
      <c r="F32" s="130"/>
      <c r="G32" s="140"/>
      <c r="H32" s="124"/>
      <c r="I32" s="129"/>
      <c r="J32" s="129"/>
      <c r="K32" s="131"/>
      <c r="L32" s="127"/>
      <c r="M32" s="129"/>
      <c r="N32" s="131"/>
      <c r="O32" s="262"/>
      <c r="P32" s="542"/>
      <c r="R32" s="130"/>
      <c r="S32" s="130"/>
      <c r="T32" s="130"/>
      <c r="U32" s="130"/>
      <c r="V32" s="130"/>
      <c r="W32" s="130"/>
      <c r="X32" s="130"/>
      <c r="Y32" s="130"/>
      <c r="Z32" s="130"/>
      <c r="AA32" s="130"/>
      <c r="AB32" s="130">
        <f t="shared" si="1"/>
        <v>0</v>
      </c>
      <c r="AC32" s="130"/>
      <c r="AD32" s="130"/>
      <c r="AE32" s="130"/>
      <c r="AF32" s="130"/>
      <c r="AG32" s="130"/>
      <c r="AH32" s="130"/>
      <c r="AI32" s="130"/>
      <c r="AJ32" s="130"/>
      <c r="AK32" s="130"/>
      <c r="AL32" s="130"/>
      <c r="AM32" s="130"/>
      <c r="AN32" s="130">
        <f t="shared" si="2"/>
        <v>0</v>
      </c>
      <c r="AO32" s="130"/>
      <c r="AP32" s="130">
        <f t="shared" si="3"/>
        <v>0</v>
      </c>
      <c r="AQ32" s="130">
        <f t="shared" si="4"/>
        <v>0</v>
      </c>
      <c r="AR32" s="130">
        <f t="shared" si="5"/>
        <v>0</v>
      </c>
      <c r="AS32" s="130">
        <f t="shared" si="6"/>
        <v>0</v>
      </c>
      <c r="AT32" s="130">
        <f t="shared" si="7"/>
        <v>0</v>
      </c>
      <c r="AU32" s="130">
        <f t="shared" si="8"/>
        <v>0</v>
      </c>
      <c r="AV32" s="130">
        <f t="shared" si="9"/>
        <v>0</v>
      </c>
      <c r="AW32" s="130">
        <f t="shared" si="10"/>
        <v>0</v>
      </c>
      <c r="AX32" s="130">
        <f t="shared" si="11"/>
        <v>0</v>
      </c>
      <c r="AY32" s="130">
        <f t="shared" si="12"/>
        <v>0</v>
      </c>
      <c r="AZ32" s="130">
        <f t="shared" si="13"/>
        <v>0</v>
      </c>
      <c r="BB32" s="109">
        <f t="shared" si="14"/>
        <v>0</v>
      </c>
    </row>
    <row r="33" spans="1:54" ht="31.5" x14ac:dyDescent="0.25">
      <c r="A33" s="119"/>
      <c r="B33" s="813" t="s">
        <v>925</v>
      </c>
      <c r="C33" s="126"/>
      <c r="D33" s="126"/>
      <c r="E33" s="766">
        <v>16026</v>
      </c>
      <c r="F33" s="126"/>
      <c r="G33" s="348"/>
      <c r="H33" s="124">
        <f t="shared" ref="H33" si="24">SUM(C33:G33)</f>
        <v>16026</v>
      </c>
      <c r="I33" s="126"/>
      <c r="J33" s="126"/>
      <c r="K33" s="348"/>
      <c r="L33" s="127">
        <f t="shared" ref="L33" si="25">SUM(I33:K33)</f>
        <v>0</v>
      </c>
      <c r="M33" s="126"/>
      <c r="N33" s="348"/>
      <c r="O33" s="261"/>
      <c r="P33" s="542">
        <f t="shared" ref="P33" si="26">O33+L33+H33</f>
        <v>16026</v>
      </c>
      <c r="R33" s="130"/>
      <c r="S33" s="130"/>
      <c r="T33" s="130"/>
      <c r="U33" s="130"/>
      <c r="V33" s="130"/>
      <c r="W33" s="130"/>
      <c r="X33" s="130"/>
      <c r="Y33" s="130"/>
      <c r="Z33" s="130"/>
      <c r="AA33" s="130"/>
      <c r="AB33" s="130">
        <f t="shared" si="1"/>
        <v>0</v>
      </c>
      <c r="AC33" s="130"/>
      <c r="AD33" s="130"/>
      <c r="AE33" s="130"/>
      <c r="AF33" s="130">
        <v>16026</v>
      </c>
      <c r="AG33" s="130"/>
      <c r="AH33" s="130"/>
      <c r="AI33" s="130"/>
      <c r="AJ33" s="130"/>
      <c r="AK33" s="130"/>
      <c r="AL33" s="130"/>
      <c r="AM33" s="130"/>
      <c r="AN33" s="130">
        <f t="shared" si="2"/>
        <v>16026</v>
      </c>
      <c r="AO33" s="130"/>
      <c r="AP33" s="130">
        <f t="shared" si="3"/>
        <v>0</v>
      </c>
      <c r="AQ33" s="130">
        <f t="shared" si="4"/>
        <v>0</v>
      </c>
      <c r="AR33" s="130">
        <f t="shared" si="5"/>
        <v>16026</v>
      </c>
      <c r="AS33" s="130">
        <f t="shared" si="6"/>
        <v>0</v>
      </c>
      <c r="AT33" s="130">
        <f t="shared" si="7"/>
        <v>0</v>
      </c>
      <c r="AU33" s="130">
        <f t="shared" si="8"/>
        <v>0</v>
      </c>
      <c r="AV33" s="130">
        <f t="shared" si="9"/>
        <v>0</v>
      </c>
      <c r="AW33" s="130">
        <f t="shared" si="10"/>
        <v>0</v>
      </c>
      <c r="AX33" s="130">
        <f t="shared" si="11"/>
        <v>0</v>
      </c>
      <c r="AY33" s="130">
        <f t="shared" si="12"/>
        <v>0</v>
      </c>
      <c r="AZ33" s="130">
        <f t="shared" si="13"/>
        <v>16026</v>
      </c>
      <c r="BB33" s="109">
        <f t="shared" si="14"/>
        <v>0</v>
      </c>
    </row>
    <row r="34" spans="1:54" x14ac:dyDescent="0.25">
      <c r="A34" s="119"/>
      <c r="B34" s="548"/>
      <c r="C34" s="126"/>
      <c r="D34" s="126"/>
      <c r="E34" s="126"/>
      <c r="F34" s="126"/>
      <c r="G34" s="348"/>
      <c r="H34" s="124"/>
      <c r="I34" s="126"/>
      <c r="J34" s="126"/>
      <c r="K34" s="348"/>
      <c r="L34" s="127"/>
      <c r="M34" s="126"/>
      <c r="N34" s="348"/>
      <c r="O34" s="261"/>
      <c r="P34" s="542"/>
      <c r="R34" s="130"/>
      <c r="S34" s="130"/>
      <c r="T34" s="130"/>
      <c r="U34" s="130"/>
      <c r="V34" s="130"/>
      <c r="W34" s="130"/>
      <c r="X34" s="130"/>
      <c r="Y34" s="130"/>
      <c r="Z34" s="130"/>
      <c r="AA34" s="130"/>
      <c r="AB34" s="130">
        <f t="shared" si="1"/>
        <v>0</v>
      </c>
      <c r="AC34" s="130"/>
      <c r="AD34" s="130"/>
      <c r="AE34" s="130"/>
      <c r="AF34" s="130"/>
      <c r="AG34" s="130"/>
      <c r="AH34" s="130"/>
      <c r="AI34" s="130"/>
      <c r="AJ34" s="130"/>
      <c r="AK34" s="130"/>
      <c r="AL34" s="130"/>
      <c r="AM34" s="130"/>
      <c r="AN34" s="130">
        <f t="shared" si="2"/>
        <v>0</v>
      </c>
      <c r="AO34" s="130"/>
      <c r="AP34" s="130">
        <f t="shared" si="3"/>
        <v>0</v>
      </c>
      <c r="AQ34" s="130">
        <f t="shared" si="4"/>
        <v>0</v>
      </c>
      <c r="AR34" s="130">
        <f t="shared" si="5"/>
        <v>0</v>
      </c>
      <c r="AS34" s="130">
        <f t="shared" si="6"/>
        <v>0</v>
      </c>
      <c r="AT34" s="130">
        <f t="shared" si="7"/>
        <v>0</v>
      </c>
      <c r="AU34" s="130">
        <f t="shared" si="8"/>
        <v>0</v>
      </c>
      <c r="AV34" s="130">
        <f t="shared" si="9"/>
        <v>0</v>
      </c>
      <c r="AW34" s="130">
        <f t="shared" si="10"/>
        <v>0</v>
      </c>
      <c r="AX34" s="130">
        <f t="shared" si="11"/>
        <v>0</v>
      </c>
      <c r="AY34" s="130">
        <f t="shared" si="12"/>
        <v>0</v>
      </c>
      <c r="AZ34" s="130">
        <f t="shared" si="13"/>
        <v>0</v>
      </c>
      <c r="BB34" s="109">
        <f t="shared" si="14"/>
        <v>0</v>
      </c>
    </row>
    <row r="35" spans="1:54" x14ac:dyDescent="0.25">
      <c r="A35" s="132"/>
      <c r="B35" s="351" t="s">
        <v>412</v>
      </c>
      <c r="C35" s="129"/>
      <c r="D35" s="130"/>
      <c r="E35" s="130"/>
      <c r="F35" s="130"/>
      <c r="G35" s="140"/>
      <c r="H35" s="127"/>
      <c r="I35" s="129"/>
      <c r="J35" s="129"/>
      <c r="K35" s="131"/>
      <c r="L35" s="127"/>
      <c r="M35" s="129"/>
      <c r="N35" s="131"/>
      <c r="O35" s="262"/>
      <c r="P35" s="544"/>
      <c r="R35" s="130"/>
      <c r="S35" s="130"/>
      <c r="T35" s="130"/>
      <c r="U35" s="130"/>
      <c r="V35" s="130"/>
      <c r="W35" s="130"/>
      <c r="X35" s="130"/>
      <c r="Y35" s="130"/>
      <c r="Z35" s="130"/>
      <c r="AA35" s="130"/>
      <c r="AB35" s="130">
        <f t="shared" si="1"/>
        <v>0</v>
      </c>
      <c r="AC35" s="130"/>
      <c r="AD35" s="130"/>
      <c r="AE35" s="130"/>
      <c r="AF35" s="130"/>
      <c r="AG35" s="130"/>
      <c r="AH35" s="130"/>
      <c r="AI35" s="130"/>
      <c r="AJ35" s="130"/>
      <c r="AK35" s="130"/>
      <c r="AL35" s="130"/>
      <c r="AM35" s="130"/>
      <c r="AN35" s="130">
        <f t="shared" si="2"/>
        <v>0</v>
      </c>
      <c r="AO35" s="130"/>
      <c r="AP35" s="130">
        <f t="shared" si="3"/>
        <v>0</v>
      </c>
      <c r="AQ35" s="130">
        <f t="shared" si="4"/>
        <v>0</v>
      </c>
      <c r="AR35" s="130">
        <f t="shared" si="5"/>
        <v>0</v>
      </c>
      <c r="AS35" s="130">
        <f t="shared" si="6"/>
        <v>0</v>
      </c>
      <c r="AT35" s="130">
        <f t="shared" si="7"/>
        <v>0</v>
      </c>
      <c r="AU35" s="130">
        <f t="shared" si="8"/>
        <v>0</v>
      </c>
      <c r="AV35" s="130">
        <f t="shared" si="9"/>
        <v>0</v>
      </c>
      <c r="AW35" s="130">
        <f t="shared" si="10"/>
        <v>0</v>
      </c>
      <c r="AX35" s="130">
        <f t="shared" si="11"/>
        <v>0</v>
      </c>
      <c r="AY35" s="130">
        <f t="shared" si="12"/>
        <v>0</v>
      </c>
      <c r="AZ35" s="130">
        <f t="shared" si="13"/>
        <v>0</v>
      </c>
      <c r="BB35" s="109">
        <f t="shared" si="14"/>
        <v>0</v>
      </c>
    </row>
    <row r="36" spans="1:54" x14ac:dyDescent="0.25">
      <c r="A36" s="132"/>
      <c r="B36" s="769" t="s">
        <v>981</v>
      </c>
      <c r="C36" s="129">
        <v>114</v>
      </c>
      <c r="D36" s="130">
        <v>57</v>
      </c>
      <c r="E36" s="130">
        <v>-171</v>
      </c>
      <c r="F36" s="130"/>
      <c r="G36" s="140"/>
      <c r="H36" s="124">
        <f>SUM(C36:G36)</f>
        <v>0</v>
      </c>
      <c r="I36" s="129"/>
      <c r="J36" s="129"/>
      <c r="K36" s="131"/>
      <c r="L36" s="127">
        <f>SUM(I36:K36)</f>
        <v>0</v>
      </c>
      <c r="M36" s="129"/>
      <c r="N36" s="131"/>
      <c r="O36" s="262"/>
      <c r="P36" s="542">
        <f>O36+L36+H36</f>
        <v>0</v>
      </c>
      <c r="R36" s="130"/>
      <c r="S36" s="130"/>
      <c r="T36" s="130"/>
      <c r="U36" s="130"/>
      <c r="V36" s="130"/>
      <c r="W36" s="130"/>
      <c r="X36" s="130"/>
      <c r="Y36" s="130"/>
      <c r="Z36" s="130"/>
      <c r="AA36" s="130"/>
      <c r="AB36" s="130">
        <f t="shared" si="1"/>
        <v>0</v>
      </c>
      <c r="AC36" s="130"/>
      <c r="AD36" s="130">
        <v>114</v>
      </c>
      <c r="AE36" s="130">
        <v>57</v>
      </c>
      <c r="AF36" s="130">
        <v>-171</v>
      </c>
      <c r="AG36" s="130"/>
      <c r="AH36" s="130"/>
      <c r="AI36" s="130"/>
      <c r="AJ36" s="130"/>
      <c r="AK36" s="130"/>
      <c r="AL36" s="130"/>
      <c r="AM36" s="130"/>
      <c r="AN36" s="130">
        <f t="shared" si="2"/>
        <v>0</v>
      </c>
      <c r="AO36" s="130"/>
      <c r="AP36" s="130">
        <f t="shared" si="3"/>
        <v>114</v>
      </c>
      <c r="AQ36" s="130">
        <f t="shared" si="4"/>
        <v>57</v>
      </c>
      <c r="AR36" s="130">
        <f t="shared" si="5"/>
        <v>-171</v>
      </c>
      <c r="AS36" s="130">
        <f t="shared" si="6"/>
        <v>0</v>
      </c>
      <c r="AT36" s="130">
        <f t="shared" si="7"/>
        <v>0</v>
      </c>
      <c r="AU36" s="130">
        <f t="shared" si="8"/>
        <v>0</v>
      </c>
      <c r="AV36" s="130">
        <f t="shared" si="9"/>
        <v>0</v>
      </c>
      <c r="AW36" s="130">
        <f t="shared" si="10"/>
        <v>0</v>
      </c>
      <c r="AX36" s="130">
        <f t="shared" si="11"/>
        <v>0</v>
      </c>
      <c r="AY36" s="130">
        <f t="shared" si="12"/>
        <v>0</v>
      </c>
      <c r="AZ36" s="130">
        <f t="shared" si="13"/>
        <v>0</v>
      </c>
      <c r="BB36" s="109">
        <f t="shared" si="14"/>
        <v>0</v>
      </c>
    </row>
    <row r="37" spans="1:54" x14ac:dyDescent="0.25">
      <c r="A37" s="132"/>
      <c r="B37" s="769" t="s">
        <v>791</v>
      </c>
      <c r="C37" s="129">
        <v>1757</v>
      </c>
      <c r="D37" s="130"/>
      <c r="E37" s="130">
        <v>-1757</v>
      </c>
      <c r="F37" s="130"/>
      <c r="G37" s="140"/>
      <c r="H37" s="124">
        <f t="shared" ref="H37:H44" si="27">SUM(C37:G37)</f>
        <v>0</v>
      </c>
      <c r="I37" s="129"/>
      <c r="J37" s="129"/>
      <c r="K37" s="131"/>
      <c r="L37" s="127">
        <f t="shared" ref="L37:L44" si="28">SUM(I37:K37)</f>
        <v>0</v>
      </c>
      <c r="M37" s="129"/>
      <c r="N37" s="131"/>
      <c r="O37" s="262"/>
      <c r="P37" s="542">
        <f t="shared" ref="P37:P44" si="29">O37+L37+H37</f>
        <v>0</v>
      </c>
      <c r="R37" s="130"/>
      <c r="S37" s="130"/>
      <c r="T37" s="130"/>
      <c r="U37" s="130"/>
      <c r="V37" s="130"/>
      <c r="W37" s="130"/>
      <c r="X37" s="130"/>
      <c r="Y37" s="130"/>
      <c r="Z37" s="130"/>
      <c r="AA37" s="130"/>
      <c r="AB37" s="130">
        <f t="shared" si="1"/>
        <v>0</v>
      </c>
      <c r="AC37" s="130"/>
      <c r="AD37" s="130">
        <v>1757</v>
      </c>
      <c r="AE37" s="130"/>
      <c r="AF37" s="130">
        <v>-1757</v>
      </c>
      <c r="AG37" s="130"/>
      <c r="AH37" s="130"/>
      <c r="AI37" s="130"/>
      <c r="AJ37" s="130"/>
      <c r="AK37" s="130"/>
      <c r="AL37" s="130"/>
      <c r="AM37" s="130"/>
      <c r="AN37" s="130">
        <f t="shared" si="2"/>
        <v>0</v>
      </c>
      <c r="AO37" s="130"/>
      <c r="AP37" s="130">
        <f t="shared" si="3"/>
        <v>1757</v>
      </c>
      <c r="AQ37" s="130">
        <f t="shared" si="4"/>
        <v>0</v>
      </c>
      <c r="AR37" s="130">
        <f t="shared" si="5"/>
        <v>-1757</v>
      </c>
      <c r="AS37" s="130">
        <f t="shared" si="6"/>
        <v>0</v>
      </c>
      <c r="AT37" s="130">
        <f t="shared" si="7"/>
        <v>0</v>
      </c>
      <c r="AU37" s="130">
        <f t="shared" si="8"/>
        <v>0</v>
      </c>
      <c r="AV37" s="130">
        <f t="shared" si="9"/>
        <v>0</v>
      </c>
      <c r="AW37" s="130">
        <f t="shared" si="10"/>
        <v>0</v>
      </c>
      <c r="AX37" s="130">
        <f t="shared" si="11"/>
        <v>0</v>
      </c>
      <c r="AY37" s="130">
        <f t="shared" si="12"/>
        <v>0</v>
      </c>
      <c r="AZ37" s="130">
        <f t="shared" si="13"/>
        <v>0</v>
      </c>
      <c r="BB37" s="109">
        <f t="shared" si="14"/>
        <v>0</v>
      </c>
    </row>
    <row r="38" spans="1:54" x14ac:dyDescent="0.25">
      <c r="A38" s="132"/>
      <c r="B38" s="769" t="s">
        <v>982</v>
      </c>
      <c r="C38" s="129">
        <v>317</v>
      </c>
      <c r="D38" s="130">
        <v>160</v>
      </c>
      <c r="E38" s="130">
        <v>-477</v>
      </c>
      <c r="F38" s="130"/>
      <c r="G38" s="140"/>
      <c r="H38" s="124">
        <f t="shared" si="27"/>
        <v>0</v>
      </c>
      <c r="I38" s="129"/>
      <c r="J38" s="129"/>
      <c r="K38" s="131"/>
      <c r="L38" s="127">
        <f t="shared" si="28"/>
        <v>0</v>
      </c>
      <c r="M38" s="129"/>
      <c r="N38" s="131"/>
      <c r="O38" s="262"/>
      <c r="P38" s="542">
        <f t="shared" si="29"/>
        <v>0</v>
      </c>
      <c r="R38" s="130"/>
      <c r="S38" s="130"/>
      <c r="T38" s="130"/>
      <c r="U38" s="130"/>
      <c r="V38" s="130"/>
      <c r="W38" s="130"/>
      <c r="X38" s="130"/>
      <c r="Y38" s="130"/>
      <c r="Z38" s="130"/>
      <c r="AA38" s="130"/>
      <c r="AB38" s="130">
        <f t="shared" si="1"/>
        <v>0</v>
      </c>
      <c r="AC38" s="130"/>
      <c r="AD38" s="130">
        <v>317</v>
      </c>
      <c r="AE38" s="130">
        <v>160</v>
      </c>
      <c r="AF38" s="130">
        <v>-477</v>
      </c>
      <c r="AG38" s="130"/>
      <c r="AH38" s="130"/>
      <c r="AI38" s="130"/>
      <c r="AJ38" s="130"/>
      <c r="AK38" s="130"/>
      <c r="AL38" s="130"/>
      <c r="AM38" s="130"/>
      <c r="AN38" s="130">
        <f t="shared" si="2"/>
        <v>0</v>
      </c>
      <c r="AO38" s="130"/>
      <c r="AP38" s="130">
        <f t="shared" si="3"/>
        <v>317</v>
      </c>
      <c r="AQ38" s="130">
        <f t="shared" si="4"/>
        <v>160</v>
      </c>
      <c r="AR38" s="130">
        <f t="shared" si="5"/>
        <v>-477</v>
      </c>
      <c r="AS38" s="130">
        <f t="shared" si="6"/>
        <v>0</v>
      </c>
      <c r="AT38" s="130">
        <f t="shared" si="7"/>
        <v>0</v>
      </c>
      <c r="AU38" s="130">
        <f t="shared" si="8"/>
        <v>0</v>
      </c>
      <c r="AV38" s="130">
        <f t="shared" si="9"/>
        <v>0</v>
      </c>
      <c r="AW38" s="130">
        <f t="shared" si="10"/>
        <v>0</v>
      </c>
      <c r="AX38" s="130">
        <f t="shared" si="11"/>
        <v>0</v>
      </c>
      <c r="AY38" s="130">
        <f t="shared" si="12"/>
        <v>0</v>
      </c>
      <c r="AZ38" s="130">
        <f t="shared" si="13"/>
        <v>0</v>
      </c>
      <c r="BB38" s="109">
        <f t="shared" si="14"/>
        <v>0</v>
      </c>
    </row>
    <row r="39" spans="1:54" ht="31.5" x14ac:dyDescent="0.25">
      <c r="A39" s="132"/>
      <c r="B39" s="769" t="s">
        <v>983</v>
      </c>
      <c r="C39" s="129"/>
      <c r="D39" s="130">
        <v>38</v>
      </c>
      <c r="E39" s="130">
        <v>-38</v>
      </c>
      <c r="F39" s="130"/>
      <c r="G39" s="140"/>
      <c r="H39" s="124">
        <f t="shared" si="27"/>
        <v>0</v>
      </c>
      <c r="I39" s="129"/>
      <c r="J39" s="129"/>
      <c r="K39" s="131"/>
      <c r="L39" s="127">
        <f t="shared" si="28"/>
        <v>0</v>
      </c>
      <c r="M39" s="129"/>
      <c r="N39" s="131"/>
      <c r="O39" s="262"/>
      <c r="P39" s="542">
        <f t="shared" si="29"/>
        <v>0</v>
      </c>
      <c r="R39" s="130"/>
      <c r="S39" s="130"/>
      <c r="T39" s="130"/>
      <c r="U39" s="130"/>
      <c r="V39" s="130"/>
      <c r="W39" s="130"/>
      <c r="X39" s="130"/>
      <c r="Y39" s="130"/>
      <c r="Z39" s="130"/>
      <c r="AA39" s="130"/>
      <c r="AB39" s="130">
        <f t="shared" si="1"/>
        <v>0</v>
      </c>
      <c r="AC39" s="130"/>
      <c r="AD39" s="130"/>
      <c r="AE39" s="130">
        <v>38</v>
      </c>
      <c r="AF39" s="130">
        <v>-38</v>
      </c>
      <c r="AG39" s="130"/>
      <c r="AH39" s="130"/>
      <c r="AI39" s="130"/>
      <c r="AJ39" s="130"/>
      <c r="AK39" s="130"/>
      <c r="AL39" s="130"/>
      <c r="AM39" s="130"/>
      <c r="AN39" s="130">
        <f t="shared" si="2"/>
        <v>0</v>
      </c>
      <c r="AO39" s="130"/>
      <c r="AP39" s="130">
        <f t="shared" si="3"/>
        <v>0</v>
      </c>
      <c r="AQ39" s="130">
        <f t="shared" si="4"/>
        <v>38</v>
      </c>
      <c r="AR39" s="130">
        <f t="shared" si="5"/>
        <v>-38</v>
      </c>
      <c r="AS39" s="130">
        <f t="shared" si="6"/>
        <v>0</v>
      </c>
      <c r="AT39" s="130">
        <f t="shared" si="7"/>
        <v>0</v>
      </c>
      <c r="AU39" s="130">
        <f t="shared" si="8"/>
        <v>0</v>
      </c>
      <c r="AV39" s="130">
        <f t="shared" si="9"/>
        <v>0</v>
      </c>
      <c r="AW39" s="130">
        <f t="shared" si="10"/>
        <v>0</v>
      </c>
      <c r="AX39" s="130">
        <f t="shared" si="11"/>
        <v>0</v>
      </c>
      <c r="AY39" s="130">
        <f t="shared" si="12"/>
        <v>0</v>
      </c>
      <c r="AZ39" s="130">
        <f t="shared" si="13"/>
        <v>0</v>
      </c>
      <c r="BB39" s="109">
        <f t="shared" si="14"/>
        <v>0</v>
      </c>
    </row>
    <row r="40" spans="1:54" x14ac:dyDescent="0.25">
      <c r="A40" s="132"/>
      <c r="B40" s="769" t="s">
        <v>984</v>
      </c>
      <c r="C40" s="129">
        <v>441</v>
      </c>
      <c r="D40" s="130">
        <v>-441</v>
      </c>
      <c r="E40" s="130"/>
      <c r="F40" s="130"/>
      <c r="G40" s="140"/>
      <c r="H40" s="124">
        <f t="shared" si="27"/>
        <v>0</v>
      </c>
      <c r="I40" s="129"/>
      <c r="J40" s="129"/>
      <c r="K40" s="131"/>
      <c r="L40" s="127">
        <f t="shared" si="28"/>
        <v>0</v>
      </c>
      <c r="M40" s="129"/>
      <c r="N40" s="131"/>
      <c r="O40" s="262"/>
      <c r="P40" s="542">
        <f t="shared" si="29"/>
        <v>0</v>
      </c>
      <c r="R40" s="130"/>
      <c r="S40" s="130"/>
      <c r="T40" s="130"/>
      <c r="U40" s="130"/>
      <c r="V40" s="130"/>
      <c r="W40" s="130"/>
      <c r="X40" s="130"/>
      <c r="Y40" s="130"/>
      <c r="Z40" s="130"/>
      <c r="AA40" s="130"/>
      <c r="AB40" s="130">
        <f t="shared" si="1"/>
        <v>0</v>
      </c>
      <c r="AC40" s="130"/>
      <c r="AD40" s="130">
        <v>441</v>
      </c>
      <c r="AE40" s="130">
        <v>-441</v>
      </c>
      <c r="AF40" s="130"/>
      <c r="AG40" s="130"/>
      <c r="AH40" s="130"/>
      <c r="AI40" s="130"/>
      <c r="AJ40" s="130"/>
      <c r="AK40" s="130"/>
      <c r="AL40" s="130"/>
      <c r="AM40" s="130"/>
      <c r="AN40" s="130">
        <f t="shared" si="2"/>
        <v>0</v>
      </c>
      <c r="AO40" s="130"/>
      <c r="AP40" s="130">
        <f t="shared" si="3"/>
        <v>441</v>
      </c>
      <c r="AQ40" s="130">
        <f t="shared" si="4"/>
        <v>-441</v>
      </c>
      <c r="AR40" s="130">
        <f t="shared" si="5"/>
        <v>0</v>
      </c>
      <c r="AS40" s="130">
        <f t="shared" si="6"/>
        <v>0</v>
      </c>
      <c r="AT40" s="130">
        <f t="shared" si="7"/>
        <v>0</v>
      </c>
      <c r="AU40" s="130">
        <f t="shared" si="8"/>
        <v>0</v>
      </c>
      <c r="AV40" s="130">
        <f t="shared" si="9"/>
        <v>0</v>
      </c>
      <c r="AW40" s="130">
        <f t="shared" si="10"/>
        <v>0</v>
      </c>
      <c r="AX40" s="130">
        <f t="shared" si="11"/>
        <v>0</v>
      </c>
      <c r="AY40" s="130">
        <f t="shared" si="12"/>
        <v>0</v>
      </c>
      <c r="AZ40" s="130">
        <f t="shared" si="13"/>
        <v>0</v>
      </c>
      <c r="BB40" s="109">
        <f t="shared" si="14"/>
        <v>0</v>
      </c>
    </row>
    <row r="41" spans="1:54" ht="31.5" x14ac:dyDescent="0.25">
      <c r="A41" s="132"/>
      <c r="B41" s="820" t="s">
        <v>925</v>
      </c>
      <c r="C41" s="129">
        <v>-10840</v>
      </c>
      <c r="D41" s="130">
        <v>-5041</v>
      </c>
      <c r="E41" s="130"/>
      <c r="F41" s="130"/>
      <c r="G41" s="140">
        <v>21058</v>
      </c>
      <c r="H41" s="124">
        <f t="shared" si="27"/>
        <v>5177</v>
      </c>
      <c r="I41" s="129">
        <v>-5177</v>
      </c>
      <c r="J41" s="129"/>
      <c r="K41" s="131"/>
      <c r="L41" s="127">
        <f t="shared" si="28"/>
        <v>-5177</v>
      </c>
      <c r="M41" s="129"/>
      <c r="N41" s="131"/>
      <c r="O41" s="262"/>
      <c r="P41" s="542">
        <f t="shared" si="29"/>
        <v>0</v>
      </c>
      <c r="R41" s="130"/>
      <c r="S41" s="130"/>
      <c r="T41" s="130"/>
      <c r="U41" s="130"/>
      <c r="V41" s="130"/>
      <c r="W41" s="130"/>
      <c r="X41" s="130"/>
      <c r="Y41" s="130"/>
      <c r="Z41" s="130"/>
      <c r="AA41" s="130"/>
      <c r="AB41" s="130">
        <f t="shared" si="1"/>
        <v>0</v>
      </c>
      <c r="AC41" s="130"/>
      <c r="AD41" s="130">
        <v>-10840</v>
      </c>
      <c r="AE41" s="130">
        <v>-5041</v>
      </c>
      <c r="AF41" s="130"/>
      <c r="AG41" s="130"/>
      <c r="AH41" s="130">
        <v>21058</v>
      </c>
      <c r="AI41" s="130">
        <v>-5177</v>
      </c>
      <c r="AJ41" s="130"/>
      <c r="AK41" s="130"/>
      <c r="AL41" s="130"/>
      <c r="AM41" s="130"/>
      <c r="AN41" s="130">
        <f t="shared" si="2"/>
        <v>0</v>
      </c>
      <c r="AO41" s="130"/>
      <c r="AP41" s="130">
        <f t="shared" si="3"/>
        <v>-10840</v>
      </c>
      <c r="AQ41" s="130">
        <f t="shared" si="4"/>
        <v>-5041</v>
      </c>
      <c r="AR41" s="130">
        <f t="shared" si="5"/>
        <v>0</v>
      </c>
      <c r="AS41" s="130">
        <f t="shared" si="6"/>
        <v>0</v>
      </c>
      <c r="AT41" s="130">
        <f t="shared" si="7"/>
        <v>21058</v>
      </c>
      <c r="AU41" s="130">
        <f t="shared" si="8"/>
        <v>-5177</v>
      </c>
      <c r="AV41" s="130">
        <f t="shared" si="9"/>
        <v>0</v>
      </c>
      <c r="AW41" s="130">
        <f t="shared" si="10"/>
        <v>0</v>
      </c>
      <c r="AX41" s="130">
        <f t="shared" si="11"/>
        <v>0</v>
      </c>
      <c r="AY41" s="130">
        <f t="shared" si="12"/>
        <v>0</v>
      </c>
      <c r="AZ41" s="130">
        <f t="shared" si="13"/>
        <v>0</v>
      </c>
      <c r="BB41" s="109">
        <f t="shared" si="14"/>
        <v>0</v>
      </c>
    </row>
    <row r="42" spans="1:54" ht="31.5" x14ac:dyDescent="0.25">
      <c r="A42" s="132"/>
      <c r="B42" s="769" t="s">
        <v>985</v>
      </c>
      <c r="C42" s="129">
        <v>-269</v>
      </c>
      <c r="D42" s="130">
        <v>-270</v>
      </c>
      <c r="E42" s="130">
        <v>539</v>
      </c>
      <c r="F42" s="130"/>
      <c r="G42" s="140"/>
      <c r="H42" s="124">
        <f t="shared" si="27"/>
        <v>0</v>
      </c>
      <c r="I42" s="129"/>
      <c r="J42" s="129"/>
      <c r="K42" s="131"/>
      <c r="L42" s="127">
        <f t="shared" si="28"/>
        <v>0</v>
      </c>
      <c r="M42" s="129"/>
      <c r="N42" s="131"/>
      <c r="O42" s="262"/>
      <c r="P42" s="542">
        <f t="shared" si="29"/>
        <v>0</v>
      </c>
      <c r="R42" s="130"/>
      <c r="S42" s="130"/>
      <c r="T42" s="130"/>
      <c r="U42" s="130"/>
      <c r="V42" s="130"/>
      <c r="W42" s="130"/>
      <c r="X42" s="130"/>
      <c r="Y42" s="130"/>
      <c r="Z42" s="130"/>
      <c r="AA42" s="130"/>
      <c r="AB42" s="130">
        <f t="shared" si="1"/>
        <v>0</v>
      </c>
      <c r="AC42" s="130"/>
      <c r="AD42" s="130">
        <v>-269</v>
      </c>
      <c r="AE42" s="130">
        <v>-270</v>
      </c>
      <c r="AF42" s="130">
        <v>539</v>
      </c>
      <c r="AG42" s="130"/>
      <c r="AH42" s="130"/>
      <c r="AI42" s="130"/>
      <c r="AJ42" s="130"/>
      <c r="AK42" s="130"/>
      <c r="AL42" s="130"/>
      <c r="AM42" s="130"/>
      <c r="AN42" s="130">
        <f t="shared" si="2"/>
        <v>0</v>
      </c>
      <c r="AO42" s="130"/>
      <c r="AP42" s="130">
        <f t="shared" si="3"/>
        <v>-269</v>
      </c>
      <c r="AQ42" s="130">
        <f t="shared" si="4"/>
        <v>-270</v>
      </c>
      <c r="AR42" s="130">
        <f t="shared" si="5"/>
        <v>539</v>
      </c>
      <c r="AS42" s="130">
        <f t="shared" si="6"/>
        <v>0</v>
      </c>
      <c r="AT42" s="130">
        <f t="shared" si="7"/>
        <v>0</v>
      </c>
      <c r="AU42" s="130">
        <f t="shared" si="8"/>
        <v>0</v>
      </c>
      <c r="AV42" s="130">
        <f t="shared" si="9"/>
        <v>0</v>
      </c>
      <c r="AW42" s="130">
        <f t="shared" si="10"/>
        <v>0</v>
      </c>
      <c r="AX42" s="130">
        <f t="shared" si="11"/>
        <v>0</v>
      </c>
      <c r="AY42" s="130">
        <f t="shared" si="12"/>
        <v>0</v>
      </c>
      <c r="AZ42" s="130">
        <f t="shared" si="13"/>
        <v>0</v>
      </c>
      <c r="BB42" s="109">
        <f t="shared" si="14"/>
        <v>0</v>
      </c>
    </row>
    <row r="43" spans="1:54" x14ac:dyDescent="0.25">
      <c r="A43" s="132"/>
      <c r="B43" s="769" t="s">
        <v>986</v>
      </c>
      <c r="C43" s="129">
        <v>3850</v>
      </c>
      <c r="D43" s="130">
        <v>662</v>
      </c>
      <c r="E43" s="130">
        <v>-4512</v>
      </c>
      <c r="F43" s="130"/>
      <c r="G43" s="140"/>
      <c r="H43" s="124">
        <f t="shared" si="27"/>
        <v>0</v>
      </c>
      <c r="I43" s="129"/>
      <c r="J43" s="129"/>
      <c r="K43" s="131"/>
      <c r="L43" s="127">
        <f t="shared" si="28"/>
        <v>0</v>
      </c>
      <c r="M43" s="129"/>
      <c r="N43" s="131"/>
      <c r="O43" s="262"/>
      <c r="P43" s="542">
        <f t="shared" si="29"/>
        <v>0</v>
      </c>
      <c r="R43" s="130"/>
      <c r="S43" s="130"/>
      <c r="T43" s="130"/>
      <c r="U43" s="130"/>
      <c r="V43" s="130"/>
      <c r="W43" s="130"/>
      <c r="X43" s="130"/>
      <c r="Y43" s="130"/>
      <c r="Z43" s="130"/>
      <c r="AA43" s="130"/>
      <c r="AB43" s="130">
        <f t="shared" si="1"/>
        <v>0</v>
      </c>
      <c r="AC43" s="130"/>
      <c r="AD43" s="130">
        <v>3850</v>
      </c>
      <c r="AE43" s="130">
        <v>662</v>
      </c>
      <c r="AF43" s="130">
        <v>-4512</v>
      </c>
      <c r="AG43" s="130"/>
      <c r="AH43" s="130"/>
      <c r="AI43" s="130"/>
      <c r="AJ43" s="130"/>
      <c r="AK43" s="130"/>
      <c r="AL43" s="130"/>
      <c r="AM43" s="130"/>
      <c r="AN43" s="130">
        <f t="shared" si="2"/>
        <v>0</v>
      </c>
      <c r="AO43" s="130"/>
      <c r="AP43" s="130">
        <f t="shared" si="3"/>
        <v>3850</v>
      </c>
      <c r="AQ43" s="130">
        <f t="shared" si="4"/>
        <v>662</v>
      </c>
      <c r="AR43" s="130">
        <f t="shared" si="5"/>
        <v>-4512</v>
      </c>
      <c r="AS43" s="130">
        <f t="shared" si="6"/>
        <v>0</v>
      </c>
      <c r="AT43" s="130">
        <f t="shared" si="7"/>
        <v>0</v>
      </c>
      <c r="AU43" s="130">
        <f t="shared" si="8"/>
        <v>0</v>
      </c>
      <c r="AV43" s="130">
        <f t="shared" si="9"/>
        <v>0</v>
      </c>
      <c r="AW43" s="130">
        <f t="shared" si="10"/>
        <v>0</v>
      </c>
      <c r="AX43" s="130">
        <f t="shared" si="11"/>
        <v>0</v>
      </c>
      <c r="AY43" s="130">
        <f t="shared" si="12"/>
        <v>0</v>
      </c>
      <c r="AZ43" s="130">
        <f t="shared" si="13"/>
        <v>0</v>
      </c>
      <c r="BB43" s="109">
        <f t="shared" si="14"/>
        <v>0</v>
      </c>
    </row>
    <row r="44" spans="1:54" x14ac:dyDescent="0.25">
      <c r="A44" s="132"/>
      <c r="B44" s="769" t="s">
        <v>987</v>
      </c>
      <c r="C44" s="129">
        <v>182</v>
      </c>
      <c r="D44" s="130"/>
      <c r="E44" s="130">
        <v>-182</v>
      </c>
      <c r="F44" s="130"/>
      <c r="G44" s="140"/>
      <c r="H44" s="124">
        <f t="shared" si="27"/>
        <v>0</v>
      </c>
      <c r="I44" s="129"/>
      <c r="J44" s="129"/>
      <c r="K44" s="131"/>
      <c r="L44" s="127">
        <f t="shared" si="28"/>
        <v>0</v>
      </c>
      <c r="M44" s="129"/>
      <c r="N44" s="131"/>
      <c r="O44" s="262"/>
      <c r="P44" s="542">
        <f t="shared" si="29"/>
        <v>0</v>
      </c>
      <c r="R44" s="130"/>
      <c r="S44" s="130"/>
      <c r="T44" s="130"/>
      <c r="U44" s="130"/>
      <c r="V44" s="130"/>
      <c r="W44" s="130"/>
      <c r="X44" s="130"/>
      <c r="Y44" s="130"/>
      <c r="Z44" s="130"/>
      <c r="AA44" s="130"/>
      <c r="AB44" s="130">
        <f t="shared" si="1"/>
        <v>0</v>
      </c>
      <c r="AC44" s="130"/>
      <c r="AD44" s="130">
        <v>182</v>
      </c>
      <c r="AE44" s="130"/>
      <c r="AF44" s="130">
        <v>-182</v>
      </c>
      <c r="AG44" s="130"/>
      <c r="AH44" s="130"/>
      <c r="AI44" s="130"/>
      <c r="AJ44" s="130"/>
      <c r="AK44" s="130"/>
      <c r="AL44" s="130"/>
      <c r="AM44" s="130"/>
      <c r="AN44" s="130">
        <f t="shared" si="2"/>
        <v>0</v>
      </c>
      <c r="AO44" s="130"/>
      <c r="AP44" s="130">
        <f t="shared" si="3"/>
        <v>182</v>
      </c>
      <c r="AQ44" s="130">
        <f t="shared" si="4"/>
        <v>0</v>
      </c>
      <c r="AR44" s="130">
        <f t="shared" si="5"/>
        <v>-182</v>
      </c>
      <c r="AS44" s="130">
        <f t="shared" si="6"/>
        <v>0</v>
      </c>
      <c r="AT44" s="130">
        <f t="shared" si="7"/>
        <v>0</v>
      </c>
      <c r="AU44" s="130">
        <f t="shared" si="8"/>
        <v>0</v>
      </c>
      <c r="AV44" s="130">
        <f t="shared" si="9"/>
        <v>0</v>
      </c>
      <c r="AW44" s="130">
        <f t="shared" si="10"/>
        <v>0</v>
      </c>
      <c r="AX44" s="130">
        <f t="shared" si="11"/>
        <v>0</v>
      </c>
      <c r="AY44" s="130">
        <f t="shared" si="12"/>
        <v>0</v>
      </c>
      <c r="AZ44" s="130">
        <f t="shared" si="13"/>
        <v>0</v>
      </c>
      <c r="BB44" s="109">
        <f t="shared" si="14"/>
        <v>0</v>
      </c>
    </row>
    <row r="45" spans="1:54" x14ac:dyDescent="0.25">
      <c r="A45" s="119"/>
      <c r="B45" s="818"/>
      <c r="C45" s="126"/>
      <c r="D45" s="126"/>
      <c r="E45" s="126"/>
      <c r="F45" s="126"/>
      <c r="G45" s="348"/>
      <c r="H45" s="124"/>
      <c r="I45" s="126"/>
      <c r="J45" s="126"/>
      <c r="K45" s="348"/>
      <c r="L45" s="127"/>
      <c r="M45" s="126"/>
      <c r="N45" s="348"/>
      <c r="O45" s="261"/>
      <c r="P45" s="542"/>
      <c r="R45" s="130"/>
      <c r="S45" s="130"/>
      <c r="T45" s="130"/>
      <c r="U45" s="130"/>
      <c r="V45" s="130"/>
      <c r="W45" s="130"/>
      <c r="X45" s="130"/>
      <c r="Y45" s="130"/>
      <c r="Z45" s="130"/>
      <c r="AA45" s="130"/>
      <c r="AB45" s="130">
        <f t="shared" si="1"/>
        <v>0</v>
      </c>
      <c r="AC45" s="130"/>
      <c r="AD45" s="130"/>
      <c r="AE45" s="130"/>
      <c r="AF45" s="130"/>
      <c r="AG45" s="130"/>
      <c r="AH45" s="130"/>
      <c r="AI45" s="130"/>
      <c r="AJ45" s="130"/>
      <c r="AK45" s="130"/>
      <c r="AL45" s="130"/>
      <c r="AM45" s="130"/>
      <c r="AN45" s="130">
        <f t="shared" si="2"/>
        <v>0</v>
      </c>
      <c r="AO45" s="130"/>
      <c r="AP45" s="130">
        <f t="shared" si="3"/>
        <v>0</v>
      </c>
      <c r="AQ45" s="130">
        <f t="shared" si="4"/>
        <v>0</v>
      </c>
      <c r="AR45" s="130">
        <f t="shared" si="5"/>
        <v>0</v>
      </c>
      <c r="AS45" s="130">
        <f t="shared" si="6"/>
        <v>0</v>
      </c>
      <c r="AT45" s="130">
        <f t="shared" si="7"/>
        <v>0</v>
      </c>
      <c r="AU45" s="130">
        <f t="shared" si="8"/>
        <v>0</v>
      </c>
      <c r="AV45" s="130">
        <f t="shared" si="9"/>
        <v>0</v>
      </c>
      <c r="AW45" s="130">
        <f t="shared" si="10"/>
        <v>0</v>
      </c>
      <c r="AX45" s="130">
        <f t="shared" si="11"/>
        <v>0</v>
      </c>
      <c r="AY45" s="130">
        <f t="shared" si="12"/>
        <v>0</v>
      </c>
      <c r="AZ45" s="130">
        <f t="shared" si="13"/>
        <v>0</v>
      </c>
      <c r="BB45" s="109">
        <f t="shared" si="14"/>
        <v>0</v>
      </c>
    </row>
    <row r="46" spans="1:54" x14ac:dyDescent="0.25">
      <c r="A46" s="132"/>
      <c r="B46" s="136" t="s">
        <v>107</v>
      </c>
      <c r="C46" s="129"/>
      <c r="D46" s="130"/>
      <c r="E46" s="130"/>
      <c r="F46" s="130"/>
      <c r="G46" s="140"/>
      <c r="H46" s="124"/>
      <c r="I46" s="129"/>
      <c r="J46" s="129"/>
      <c r="K46" s="131"/>
      <c r="L46" s="127"/>
      <c r="M46" s="129"/>
      <c r="N46" s="131"/>
      <c r="O46" s="262"/>
      <c r="P46" s="542"/>
      <c r="R46" s="130"/>
      <c r="S46" s="130"/>
      <c r="T46" s="130"/>
      <c r="U46" s="130"/>
      <c r="V46" s="130"/>
      <c r="W46" s="130"/>
      <c r="X46" s="130"/>
      <c r="Y46" s="130"/>
      <c r="Z46" s="130"/>
      <c r="AA46" s="130"/>
      <c r="AB46" s="130">
        <f t="shared" si="1"/>
        <v>0</v>
      </c>
      <c r="AC46" s="130"/>
      <c r="AD46" s="130"/>
      <c r="AE46" s="130"/>
      <c r="AF46" s="130"/>
      <c r="AG46" s="130"/>
      <c r="AH46" s="130"/>
      <c r="AI46" s="130"/>
      <c r="AJ46" s="130"/>
      <c r="AK46" s="130"/>
      <c r="AL46" s="130"/>
      <c r="AM46" s="130"/>
      <c r="AN46" s="130">
        <f t="shared" si="2"/>
        <v>0</v>
      </c>
      <c r="AO46" s="130"/>
      <c r="AP46" s="130">
        <f t="shared" si="3"/>
        <v>0</v>
      </c>
      <c r="AQ46" s="130">
        <f t="shared" si="4"/>
        <v>0</v>
      </c>
      <c r="AR46" s="130">
        <f t="shared" si="5"/>
        <v>0</v>
      </c>
      <c r="AS46" s="130">
        <f t="shared" si="6"/>
        <v>0</v>
      </c>
      <c r="AT46" s="130">
        <f t="shared" si="7"/>
        <v>0</v>
      </c>
      <c r="AU46" s="130">
        <f t="shared" si="8"/>
        <v>0</v>
      </c>
      <c r="AV46" s="130">
        <f t="shared" si="9"/>
        <v>0</v>
      </c>
      <c r="AW46" s="130">
        <f t="shared" si="10"/>
        <v>0</v>
      </c>
      <c r="AX46" s="130">
        <f t="shared" si="11"/>
        <v>0</v>
      </c>
      <c r="AY46" s="130">
        <f t="shared" si="12"/>
        <v>0</v>
      </c>
      <c r="AZ46" s="130">
        <f t="shared" si="13"/>
        <v>0</v>
      </c>
      <c r="BB46" s="109">
        <f t="shared" si="14"/>
        <v>0</v>
      </c>
    </row>
    <row r="47" spans="1:54" x14ac:dyDescent="0.25">
      <c r="A47" s="132"/>
      <c r="B47" s="351" t="s">
        <v>412</v>
      </c>
      <c r="C47" s="129"/>
      <c r="D47" s="130"/>
      <c r="E47" s="130"/>
      <c r="F47" s="130"/>
      <c r="G47" s="140"/>
      <c r="H47" s="127"/>
      <c r="I47" s="129"/>
      <c r="J47" s="129"/>
      <c r="K47" s="131"/>
      <c r="L47" s="127"/>
      <c r="M47" s="129"/>
      <c r="N47" s="131"/>
      <c r="O47" s="262"/>
      <c r="P47" s="544"/>
      <c r="R47" s="130"/>
      <c r="S47" s="130"/>
      <c r="T47" s="130"/>
      <c r="U47" s="130"/>
      <c r="V47" s="130"/>
      <c r="W47" s="130"/>
      <c r="X47" s="130"/>
      <c r="Y47" s="130"/>
      <c r="Z47" s="130"/>
      <c r="AA47" s="130"/>
      <c r="AB47" s="130">
        <f t="shared" si="1"/>
        <v>0</v>
      </c>
      <c r="AC47" s="130"/>
      <c r="AD47" s="130"/>
      <c r="AE47" s="130"/>
      <c r="AF47" s="130"/>
      <c r="AG47" s="130"/>
      <c r="AH47" s="130"/>
      <c r="AI47" s="130"/>
      <c r="AJ47" s="130"/>
      <c r="AK47" s="130"/>
      <c r="AL47" s="130"/>
      <c r="AM47" s="130"/>
      <c r="AN47" s="130">
        <f t="shared" si="2"/>
        <v>0</v>
      </c>
      <c r="AO47" s="130"/>
      <c r="AP47" s="130">
        <f t="shared" si="3"/>
        <v>0</v>
      </c>
      <c r="AQ47" s="130">
        <f t="shared" si="4"/>
        <v>0</v>
      </c>
      <c r="AR47" s="130">
        <f t="shared" si="5"/>
        <v>0</v>
      </c>
      <c r="AS47" s="130">
        <f t="shared" si="6"/>
        <v>0</v>
      </c>
      <c r="AT47" s="130">
        <f t="shared" si="7"/>
        <v>0</v>
      </c>
      <c r="AU47" s="130">
        <f t="shared" si="8"/>
        <v>0</v>
      </c>
      <c r="AV47" s="130">
        <f t="shared" si="9"/>
        <v>0</v>
      </c>
      <c r="AW47" s="130">
        <f t="shared" si="10"/>
        <v>0</v>
      </c>
      <c r="AX47" s="130">
        <f t="shared" si="11"/>
        <v>0</v>
      </c>
      <c r="AY47" s="130">
        <f t="shared" si="12"/>
        <v>0</v>
      </c>
      <c r="AZ47" s="130">
        <f t="shared" si="13"/>
        <v>0</v>
      </c>
      <c r="BB47" s="109">
        <f t="shared" si="14"/>
        <v>0</v>
      </c>
    </row>
    <row r="48" spans="1:54" x14ac:dyDescent="0.25">
      <c r="A48" s="132"/>
      <c r="B48" s="769" t="s">
        <v>988</v>
      </c>
      <c r="C48" s="129">
        <v>-53</v>
      </c>
      <c r="D48" s="130">
        <v>-29</v>
      </c>
      <c r="E48" s="130">
        <v>82</v>
      </c>
      <c r="F48" s="130"/>
      <c r="G48" s="140"/>
      <c r="H48" s="124">
        <f>SUM(C48:G48)</f>
        <v>0</v>
      </c>
      <c r="I48" s="129"/>
      <c r="J48" s="129"/>
      <c r="K48" s="131"/>
      <c r="L48" s="127">
        <f>SUM(I48:K48)</f>
        <v>0</v>
      </c>
      <c r="M48" s="129"/>
      <c r="N48" s="131"/>
      <c r="O48" s="262"/>
      <c r="P48" s="542">
        <f>O48+L48+H48</f>
        <v>0</v>
      </c>
      <c r="R48" s="130"/>
      <c r="S48" s="130"/>
      <c r="T48" s="130"/>
      <c r="U48" s="130"/>
      <c r="V48" s="130"/>
      <c r="W48" s="130"/>
      <c r="X48" s="130"/>
      <c r="Y48" s="130"/>
      <c r="Z48" s="130"/>
      <c r="AA48" s="130"/>
      <c r="AB48" s="130">
        <f t="shared" si="1"/>
        <v>0</v>
      </c>
      <c r="AC48" s="130"/>
      <c r="AD48" s="130">
        <v>-53</v>
      </c>
      <c r="AE48" s="130">
        <v>-29</v>
      </c>
      <c r="AF48" s="130">
        <v>82</v>
      </c>
      <c r="AG48" s="130"/>
      <c r="AH48" s="130"/>
      <c r="AI48" s="130"/>
      <c r="AJ48" s="130"/>
      <c r="AK48" s="130"/>
      <c r="AL48" s="130"/>
      <c r="AM48" s="130"/>
      <c r="AN48" s="130">
        <f t="shared" si="2"/>
        <v>0</v>
      </c>
      <c r="AO48" s="130"/>
      <c r="AP48" s="130">
        <f t="shared" si="3"/>
        <v>-53</v>
      </c>
      <c r="AQ48" s="130">
        <f t="shared" si="4"/>
        <v>-29</v>
      </c>
      <c r="AR48" s="130">
        <f t="shared" si="5"/>
        <v>82</v>
      </c>
      <c r="AS48" s="130">
        <f t="shared" si="6"/>
        <v>0</v>
      </c>
      <c r="AT48" s="130">
        <f t="shared" si="7"/>
        <v>0</v>
      </c>
      <c r="AU48" s="130">
        <f t="shared" si="8"/>
        <v>0</v>
      </c>
      <c r="AV48" s="130">
        <f t="shared" si="9"/>
        <v>0</v>
      </c>
      <c r="AW48" s="130">
        <f t="shared" si="10"/>
        <v>0</v>
      </c>
      <c r="AX48" s="130">
        <f t="shared" si="11"/>
        <v>0</v>
      </c>
      <c r="AY48" s="130">
        <f t="shared" si="12"/>
        <v>0</v>
      </c>
      <c r="AZ48" s="130">
        <f t="shared" si="13"/>
        <v>0</v>
      </c>
      <c r="BB48" s="109">
        <f t="shared" si="14"/>
        <v>0</v>
      </c>
    </row>
    <row r="49" spans="1:54" x14ac:dyDescent="0.25">
      <c r="A49" s="132"/>
      <c r="B49" s="769" t="s">
        <v>989</v>
      </c>
      <c r="C49" s="129">
        <v>1138</v>
      </c>
      <c r="D49" s="130">
        <v>188</v>
      </c>
      <c r="E49" s="130">
        <f>-1399-252</f>
        <v>-1651</v>
      </c>
      <c r="F49" s="130"/>
      <c r="G49" s="140">
        <v>73</v>
      </c>
      <c r="H49" s="124">
        <f t="shared" ref="H49:H50" si="30">SUM(C49:G49)</f>
        <v>-252</v>
      </c>
      <c r="I49" s="129"/>
      <c r="J49" s="129"/>
      <c r="K49" s="131"/>
      <c r="L49" s="127">
        <f t="shared" ref="L49:L50" si="31">SUM(I49:K49)</f>
        <v>0</v>
      </c>
      <c r="M49" s="129"/>
      <c r="N49" s="131"/>
      <c r="O49" s="262"/>
      <c r="P49" s="542">
        <f t="shared" ref="P49:P50" si="32">O49+L49+H49</f>
        <v>-252</v>
      </c>
      <c r="R49" s="130"/>
      <c r="S49" s="130"/>
      <c r="T49" s="130"/>
      <c r="U49" s="130"/>
      <c r="V49" s="130"/>
      <c r="W49" s="130"/>
      <c r="X49" s="130"/>
      <c r="Y49" s="130"/>
      <c r="Z49" s="130"/>
      <c r="AA49" s="130"/>
      <c r="AB49" s="130">
        <f t="shared" si="1"/>
        <v>0</v>
      </c>
      <c r="AC49" s="130"/>
      <c r="AD49" s="130">
        <v>1138</v>
      </c>
      <c r="AE49" s="130">
        <v>188</v>
      </c>
      <c r="AF49" s="130">
        <f>-1399-252</f>
        <v>-1651</v>
      </c>
      <c r="AG49" s="130"/>
      <c r="AH49" s="130">
        <v>73</v>
      </c>
      <c r="AI49" s="130"/>
      <c r="AJ49" s="130"/>
      <c r="AK49" s="130"/>
      <c r="AL49" s="130"/>
      <c r="AM49" s="130"/>
      <c r="AN49" s="130">
        <f t="shared" si="2"/>
        <v>-252</v>
      </c>
      <c r="AO49" s="130"/>
      <c r="AP49" s="130">
        <f t="shared" si="3"/>
        <v>1138</v>
      </c>
      <c r="AQ49" s="130">
        <f t="shared" si="4"/>
        <v>188</v>
      </c>
      <c r="AR49" s="130">
        <f t="shared" si="5"/>
        <v>-1651</v>
      </c>
      <c r="AS49" s="130">
        <f t="shared" si="6"/>
        <v>0</v>
      </c>
      <c r="AT49" s="130">
        <f t="shared" si="7"/>
        <v>73</v>
      </c>
      <c r="AU49" s="130">
        <f t="shared" si="8"/>
        <v>0</v>
      </c>
      <c r="AV49" s="130">
        <f t="shared" si="9"/>
        <v>0</v>
      </c>
      <c r="AW49" s="130">
        <f t="shared" si="10"/>
        <v>0</v>
      </c>
      <c r="AX49" s="130">
        <f t="shared" si="11"/>
        <v>0</v>
      </c>
      <c r="AY49" s="130">
        <f t="shared" si="12"/>
        <v>0</v>
      </c>
      <c r="AZ49" s="130">
        <f t="shared" si="13"/>
        <v>-252</v>
      </c>
      <c r="BB49" s="109">
        <f t="shared" si="14"/>
        <v>0</v>
      </c>
    </row>
    <row r="50" spans="1:54" x14ac:dyDescent="0.25">
      <c r="A50" s="132"/>
      <c r="B50" s="769" t="s">
        <v>792</v>
      </c>
      <c r="C50" s="129">
        <v>-20</v>
      </c>
      <c r="D50" s="130">
        <v>-50</v>
      </c>
      <c r="E50" s="130">
        <v>-110</v>
      </c>
      <c r="F50" s="130"/>
      <c r="G50" s="140">
        <f>180+252</f>
        <v>432</v>
      </c>
      <c r="H50" s="124">
        <f t="shared" si="30"/>
        <v>252</v>
      </c>
      <c r="I50" s="129"/>
      <c r="J50" s="129"/>
      <c r="K50" s="131"/>
      <c r="L50" s="127">
        <f t="shared" si="31"/>
        <v>0</v>
      </c>
      <c r="M50" s="129"/>
      <c r="N50" s="131"/>
      <c r="O50" s="262"/>
      <c r="P50" s="542">
        <f t="shared" si="32"/>
        <v>252</v>
      </c>
      <c r="R50" s="130"/>
      <c r="S50" s="130"/>
      <c r="T50" s="130"/>
      <c r="U50" s="130"/>
      <c r="V50" s="130"/>
      <c r="W50" s="130"/>
      <c r="X50" s="130"/>
      <c r="Y50" s="130"/>
      <c r="Z50" s="130"/>
      <c r="AA50" s="130"/>
      <c r="AB50" s="130">
        <f t="shared" si="1"/>
        <v>0</v>
      </c>
      <c r="AC50" s="130"/>
      <c r="AD50" s="130">
        <v>-20</v>
      </c>
      <c r="AE50" s="130">
        <v>-50</v>
      </c>
      <c r="AF50" s="130">
        <v>-110</v>
      </c>
      <c r="AG50" s="130"/>
      <c r="AH50" s="130">
        <f>180+252</f>
        <v>432</v>
      </c>
      <c r="AI50" s="130"/>
      <c r="AJ50" s="130"/>
      <c r="AK50" s="130"/>
      <c r="AL50" s="130"/>
      <c r="AM50" s="130"/>
      <c r="AN50" s="130">
        <f t="shared" si="2"/>
        <v>252</v>
      </c>
      <c r="AO50" s="130"/>
      <c r="AP50" s="130">
        <f t="shared" si="3"/>
        <v>-20</v>
      </c>
      <c r="AQ50" s="130">
        <f t="shared" si="4"/>
        <v>-50</v>
      </c>
      <c r="AR50" s="130">
        <f t="shared" si="5"/>
        <v>-110</v>
      </c>
      <c r="AS50" s="130">
        <f t="shared" si="6"/>
        <v>0</v>
      </c>
      <c r="AT50" s="130">
        <f t="shared" si="7"/>
        <v>432</v>
      </c>
      <c r="AU50" s="130">
        <f t="shared" si="8"/>
        <v>0</v>
      </c>
      <c r="AV50" s="130">
        <f t="shared" si="9"/>
        <v>0</v>
      </c>
      <c r="AW50" s="130">
        <f t="shared" si="10"/>
        <v>0</v>
      </c>
      <c r="AX50" s="130">
        <f t="shared" si="11"/>
        <v>0</v>
      </c>
      <c r="AY50" s="130">
        <f t="shared" si="12"/>
        <v>0</v>
      </c>
      <c r="AZ50" s="130">
        <f t="shared" si="13"/>
        <v>252</v>
      </c>
      <c r="BB50" s="109">
        <f t="shared" si="14"/>
        <v>0</v>
      </c>
    </row>
    <row r="51" spans="1:54" x14ac:dyDescent="0.25">
      <c r="A51" s="132"/>
      <c r="B51" s="769"/>
      <c r="C51" s="129"/>
      <c r="D51" s="130"/>
      <c r="E51" s="130"/>
      <c r="F51" s="130"/>
      <c r="G51" s="140"/>
      <c r="H51" s="124"/>
      <c r="I51" s="129"/>
      <c r="J51" s="129"/>
      <c r="K51" s="131"/>
      <c r="L51" s="127"/>
      <c r="M51" s="129"/>
      <c r="N51" s="131"/>
      <c r="O51" s="262"/>
      <c r="P51" s="542"/>
      <c r="R51" s="130"/>
      <c r="S51" s="130"/>
      <c r="T51" s="130"/>
      <c r="U51" s="130"/>
      <c r="V51" s="130"/>
      <c r="W51" s="130"/>
      <c r="X51" s="130"/>
      <c r="Y51" s="130"/>
      <c r="Z51" s="130"/>
      <c r="AA51" s="130"/>
      <c r="AB51" s="130">
        <f t="shared" si="1"/>
        <v>0</v>
      </c>
      <c r="AC51" s="130"/>
      <c r="AD51" s="130"/>
      <c r="AE51" s="130"/>
      <c r="AF51" s="130"/>
      <c r="AG51" s="130"/>
      <c r="AH51" s="130"/>
      <c r="AI51" s="130"/>
      <c r="AJ51" s="130"/>
      <c r="AK51" s="130"/>
      <c r="AL51" s="130"/>
      <c r="AM51" s="130"/>
      <c r="AN51" s="130">
        <f t="shared" si="2"/>
        <v>0</v>
      </c>
      <c r="AO51" s="130"/>
      <c r="AP51" s="130">
        <f t="shared" si="3"/>
        <v>0</v>
      </c>
      <c r="AQ51" s="130">
        <f t="shared" si="4"/>
        <v>0</v>
      </c>
      <c r="AR51" s="130">
        <f t="shared" si="5"/>
        <v>0</v>
      </c>
      <c r="AS51" s="130">
        <f t="shared" si="6"/>
        <v>0</v>
      </c>
      <c r="AT51" s="130">
        <f t="shared" si="7"/>
        <v>0</v>
      </c>
      <c r="AU51" s="130">
        <f t="shared" si="8"/>
        <v>0</v>
      </c>
      <c r="AV51" s="130">
        <f t="shared" si="9"/>
        <v>0</v>
      </c>
      <c r="AW51" s="130">
        <f t="shared" si="10"/>
        <v>0</v>
      </c>
      <c r="AX51" s="130">
        <f t="shared" si="11"/>
        <v>0</v>
      </c>
      <c r="AY51" s="130">
        <f t="shared" si="12"/>
        <v>0</v>
      </c>
      <c r="AZ51" s="130">
        <f t="shared" si="13"/>
        <v>0</v>
      </c>
      <c r="BB51" s="109">
        <f t="shared" si="14"/>
        <v>0</v>
      </c>
    </row>
    <row r="52" spans="1:54" s="546" customFormat="1" x14ac:dyDescent="0.25">
      <c r="A52" s="539"/>
      <c r="B52" s="351" t="s">
        <v>408</v>
      </c>
      <c r="C52" s="541"/>
      <c r="D52" s="139"/>
      <c r="E52" s="139"/>
      <c r="F52" s="139"/>
      <c r="G52" s="263"/>
      <c r="H52" s="542"/>
      <c r="I52" s="554"/>
      <c r="J52" s="554"/>
      <c r="K52" s="555"/>
      <c r="L52" s="544"/>
      <c r="M52" s="554"/>
      <c r="N52" s="555"/>
      <c r="O52" s="556"/>
      <c r="P52" s="542"/>
      <c r="R52" s="139"/>
      <c r="S52" s="139"/>
      <c r="T52" s="139"/>
      <c r="U52" s="139"/>
      <c r="V52" s="139"/>
      <c r="W52" s="139"/>
      <c r="X52" s="139"/>
      <c r="Y52" s="139"/>
      <c r="Z52" s="139"/>
      <c r="AA52" s="139"/>
      <c r="AB52" s="130">
        <f t="shared" si="1"/>
        <v>0</v>
      </c>
      <c r="AC52" s="130"/>
      <c r="AD52" s="130"/>
      <c r="AE52" s="130"/>
      <c r="AF52" s="130"/>
      <c r="AG52" s="130"/>
      <c r="AH52" s="130"/>
      <c r="AI52" s="130"/>
      <c r="AJ52" s="130"/>
      <c r="AK52" s="130"/>
      <c r="AL52" s="130"/>
      <c r="AM52" s="130"/>
      <c r="AN52" s="130">
        <f t="shared" si="2"/>
        <v>0</v>
      </c>
      <c r="AO52" s="139"/>
      <c r="AP52" s="130">
        <f t="shared" si="3"/>
        <v>0</v>
      </c>
      <c r="AQ52" s="130">
        <f t="shared" si="4"/>
        <v>0</v>
      </c>
      <c r="AR52" s="130">
        <f t="shared" si="5"/>
        <v>0</v>
      </c>
      <c r="AS52" s="130">
        <f t="shared" si="6"/>
        <v>0</v>
      </c>
      <c r="AT52" s="130">
        <f t="shared" si="7"/>
        <v>0</v>
      </c>
      <c r="AU52" s="130">
        <f t="shared" si="8"/>
        <v>0</v>
      </c>
      <c r="AV52" s="130">
        <f t="shared" si="9"/>
        <v>0</v>
      </c>
      <c r="AW52" s="130">
        <f t="shared" si="10"/>
        <v>0</v>
      </c>
      <c r="AX52" s="130">
        <f t="shared" si="11"/>
        <v>0</v>
      </c>
      <c r="AY52" s="130">
        <f t="shared" si="12"/>
        <v>0</v>
      </c>
      <c r="AZ52" s="130">
        <f t="shared" si="13"/>
        <v>0</v>
      </c>
      <c r="BB52" s="109">
        <f t="shared" si="14"/>
        <v>0</v>
      </c>
    </row>
    <row r="53" spans="1:54" s="546" customFormat="1" ht="94.5" x14ac:dyDescent="0.25">
      <c r="A53" s="539"/>
      <c r="B53" s="589" t="s">
        <v>942</v>
      </c>
      <c r="C53" s="541"/>
      <c r="D53" s="139"/>
      <c r="E53" s="139"/>
      <c r="F53" s="139"/>
      <c r="G53" s="263">
        <v>-252</v>
      </c>
      <c r="H53" s="542">
        <f>SUM(C53:G53)</f>
        <v>-252</v>
      </c>
      <c r="I53" s="554"/>
      <c r="J53" s="554"/>
      <c r="K53" s="555"/>
      <c r="L53" s="544">
        <f>SUM(I53:K53)</f>
        <v>0</v>
      </c>
      <c r="M53" s="554"/>
      <c r="N53" s="555"/>
      <c r="O53" s="556"/>
      <c r="P53" s="542">
        <f>O53+L53+H53</f>
        <v>-252</v>
      </c>
      <c r="R53" s="139"/>
      <c r="S53" s="139"/>
      <c r="T53" s="139"/>
      <c r="U53" s="139"/>
      <c r="V53" s="139"/>
      <c r="W53" s="139"/>
      <c r="X53" s="139"/>
      <c r="Y53" s="139"/>
      <c r="Z53" s="139"/>
      <c r="AA53" s="139"/>
      <c r="AB53" s="130">
        <f t="shared" si="1"/>
        <v>0</v>
      </c>
      <c r="AC53" s="130"/>
      <c r="AD53" s="130"/>
      <c r="AE53" s="130"/>
      <c r="AF53" s="130"/>
      <c r="AG53" s="130"/>
      <c r="AH53" s="130">
        <v>-252</v>
      </c>
      <c r="AI53" s="130"/>
      <c r="AJ53" s="130"/>
      <c r="AK53" s="130"/>
      <c r="AL53" s="130"/>
      <c r="AM53" s="130"/>
      <c r="AN53" s="130">
        <f t="shared" si="2"/>
        <v>-252</v>
      </c>
      <c r="AO53" s="139"/>
      <c r="AP53" s="130">
        <f t="shared" si="3"/>
        <v>0</v>
      </c>
      <c r="AQ53" s="130">
        <f t="shared" si="4"/>
        <v>0</v>
      </c>
      <c r="AR53" s="130">
        <f t="shared" si="5"/>
        <v>0</v>
      </c>
      <c r="AS53" s="130">
        <f t="shared" si="6"/>
        <v>0</v>
      </c>
      <c r="AT53" s="130">
        <f t="shared" si="7"/>
        <v>-252</v>
      </c>
      <c r="AU53" s="130">
        <f t="shared" si="8"/>
        <v>0</v>
      </c>
      <c r="AV53" s="130">
        <f t="shared" si="9"/>
        <v>0</v>
      </c>
      <c r="AW53" s="130">
        <f t="shared" si="10"/>
        <v>0</v>
      </c>
      <c r="AX53" s="130">
        <f t="shared" si="11"/>
        <v>0</v>
      </c>
      <c r="AY53" s="130">
        <f t="shared" si="12"/>
        <v>0</v>
      </c>
      <c r="AZ53" s="130">
        <f t="shared" si="13"/>
        <v>-252</v>
      </c>
      <c r="BB53" s="109">
        <f t="shared" si="14"/>
        <v>0</v>
      </c>
    </row>
    <row r="54" spans="1:54" s="546" customFormat="1" x14ac:dyDescent="0.25">
      <c r="A54" s="539"/>
      <c r="B54" s="540"/>
      <c r="C54" s="541"/>
      <c r="D54" s="139"/>
      <c r="E54" s="139"/>
      <c r="F54" s="139"/>
      <c r="G54" s="590"/>
      <c r="H54" s="542"/>
      <c r="I54" s="554"/>
      <c r="J54" s="554"/>
      <c r="K54" s="555"/>
      <c r="L54" s="544"/>
      <c r="M54" s="554"/>
      <c r="N54" s="555"/>
      <c r="O54" s="556"/>
      <c r="P54" s="542"/>
      <c r="R54" s="139"/>
      <c r="S54" s="139"/>
      <c r="T54" s="139"/>
      <c r="U54" s="139"/>
      <c r="V54" s="139"/>
      <c r="W54" s="139"/>
      <c r="X54" s="139"/>
      <c r="Y54" s="139"/>
      <c r="Z54" s="139"/>
      <c r="AA54" s="139"/>
      <c r="AB54" s="130">
        <f t="shared" si="1"/>
        <v>0</v>
      </c>
      <c r="AC54" s="130"/>
      <c r="AD54" s="130"/>
      <c r="AE54" s="130"/>
      <c r="AF54" s="130"/>
      <c r="AG54" s="130"/>
      <c r="AH54" s="130"/>
      <c r="AI54" s="130"/>
      <c r="AJ54" s="130"/>
      <c r="AK54" s="130"/>
      <c r="AL54" s="130"/>
      <c r="AM54" s="130"/>
      <c r="AN54" s="130">
        <f t="shared" si="2"/>
        <v>0</v>
      </c>
      <c r="AO54" s="139"/>
      <c r="AP54" s="130">
        <f t="shared" si="3"/>
        <v>0</v>
      </c>
      <c r="AQ54" s="130">
        <f t="shared" si="4"/>
        <v>0</v>
      </c>
      <c r="AR54" s="130">
        <f t="shared" si="5"/>
        <v>0</v>
      </c>
      <c r="AS54" s="130">
        <f t="shared" si="6"/>
        <v>0</v>
      </c>
      <c r="AT54" s="130">
        <f t="shared" si="7"/>
        <v>0</v>
      </c>
      <c r="AU54" s="130">
        <f t="shared" si="8"/>
        <v>0</v>
      </c>
      <c r="AV54" s="130">
        <f t="shared" si="9"/>
        <v>0</v>
      </c>
      <c r="AW54" s="130">
        <f t="shared" si="10"/>
        <v>0</v>
      </c>
      <c r="AX54" s="130">
        <f t="shared" si="11"/>
        <v>0</v>
      </c>
      <c r="AY54" s="130">
        <f t="shared" si="12"/>
        <v>0</v>
      </c>
      <c r="AZ54" s="130">
        <f t="shared" si="13"/>
        <v>0</v>
      </c>
      <c r="BB54" s="109">
        <f t="shared" si="14"/>
        <v>0</v>
      </c>
    </row>
    <row r="55" spans="1:54" x14ac:dyDescent="0.25">
      <c r="A55" s="132"/>
      <c r="B55" s="136" t="s">
        <v>84</v>
      </c>
      <c r="C55" s="129"/>
      <c r="D55" s="130"/>
      <c r="E55" s="130"/>
      <c r="F55" s="130"/>
      <c r="G55" s="140"/>
      <c r="H55" s="124"/>
      <c r="I55" s="129"/>
      <c r="J55" s="129"/>
      <c r="K55" s="131"/>
      <c r="L55" s="127"/>
      <c r="M55" s="129"/>
      <c r="N55" s="131"/>
      <c r="O55" s="262"/>
      <c r="P55" s="542"/>
      <c r="R55" s="130"/>
      <c r="S55" s="130"/>
      <c r="T55" s="130"/>
      <c r="U55" s="130"/>
      <c r="V55" s="130"/>
      <c r="W55" s="130"/>
      <c r="X55" s="130"/>
      <c r="Y55" s="130"/>
      <c r="Z55" s="130"/>
      <c r="AA55" s="130"/>
      <c r="AB55" s="130">
        <f t="shared" si="1"/>
        <v>0</v>
      </c>
      <c r="AC55" s="130"/>
      <c r="AD55" s="130"/>
      <c r="AE55" s="130"/>
      <c r="AF55" s="130"/>
      <c r="AG55" s="130"/>
      <c r="AH55" s="130"/>
      <c r="AI55" s="130"/>
      <c r="AJ55" s="130"/>
      <c r="AK55" s="130"/>
      <c r="AL55" s="130"/>
      <c r="AM55" s="130"/>
      <c r="AN55" s="130">
        <f t="shared" si="2"/>
        <v>0</v>
      </c>
      <c r="AO55" s="130"/>
      <c r="AP55" s="130">
        <f t="shared" si="3"/>
        <v>0</v>
      </c>
      <c r="AQ55" s="130">
        <f t="shared" si="4"/>
        <v>0</v>
      </c>
      <c r="AR55" s="130">
        <f t="shared" si="5"/>
        <v>0</v>
      </c>
      <c r="AS55" s="130">
        <f t="shared" si="6"/>
        <v>0</v>
      </c>
      <c r="AT55" s="130">
        <f t="shared" si="7"/>
        <v>0</v>
      </c>
      <c r="AU55" s="130">
        <f t="shared" si="8"/>
        <v>0</v>
      </c>
      <c r="AV55" s="130">
        <f t="shared" si="9"/>
        <v>0</v>
      </c>
      <c r="AW55" s="130">
        <f t="shared" si="10"/>
        <v>0</v>
      </c>
      <c r="AX55" s="130">
        <f t="shared" si="11"/>
        <v>0</v>
      </c>
      <c r="AY55" s="130">
        <f t="shared" si="12"/>
        <v>0</v>
      </c>
      <c r="AZ55" s="130">
        <f t="shared" si="13"/>
        <v>0</v>
      </c>
      <c r="BB55" s="109">
        <f t="shared" si="14"/>
        <v>0</v>
      </c>
    </row>
    <row r="56" spans="1:54" x14ac:dyDescent="0.25">
      <c r="A56" s="132"/>
      <c r="B56" s="351" t="s">
        <v>412</v>
      </c>
      <c r="C56" s="129"/>
      <c r="D56" s="130"/>
      <c r="E56" s="130"/>
      <c r="F56" s="130"/>
      <c r="G56" s="140"/>
      <c r="H56" s="127"/>
      <c r="I56" s="129"/>
      <c r="J56" s="129"/>
      <c r="K56" s="131"/>
      <c r="L56" s="127"/>
      <c r="M56" s="129"/>
      <c r="N56" s="131"/>
      <c r="O56" s="262"/>
      <c r="P56" s="544"/>
      <c r="R56" s="130"/>
      <c r="S56" s="130"/>
      <c r="T56" s="130"/>
      <c r="U56" s="130"/>
      <c r="V56" s="130"/>
      <c r="W56" s="130"/>
      <c r="X56" s="130"/>
      <c r="Y56" s="130"/>
      <c r="Z56" s="130"/>
      <c r="AA56" s="130"/>
      <c r="AB56" s="130">
        <f t="shared" si="1"/>
        <v>0</v>
      </c>
      <c r="AC56" s="130"/>
      <c r="AD56" s="130"/>
      <c r="AE56" s="130"/>
      <c r="AF56" s="130"/>
      <c r="AG56" s="130"/>
      <c r="AH56" s="130"/>
      <c r="AI56" s="130"/>
      <c r="AJ56" s="130"/>
      <c r="AK56" s="130"/>
      <c r="AL56" s="130"/>
      <c r="AM56" s="130"/>
      <c r="AN56" s="130">
        <f t="shared" si="2"/>
        <v>0</v>
      </c>
      <c r="AO56" s="130"/>
      <c r="AP56" s="130">
        <f t="shared" si="3"/>
        <v>0</v>
      </c>
      <c r="AQ56" s="130">
        <f t="shared" si="4"/>
        <v>0</v>
      </c>
      <c r="AR56" s="130">
        <f t="shared" si="5"/>
        <v>0</v>
      </c>
      <c r="AS56" s="130">
        <f t="shared" si="6"/>
        <v>0</v>
      </c>
      <c r="AT56" s="130">
        <f t="shared" si="7"/>
        <v>0</v>
      </c>
      <c r="AU56" s="130">
        <f t="shared" si="8"/>
        <v>0</v>
      </c>
      <c r="AV56" s="130">
        <f t="shared" si="9"/>
        <v>0</v>
      </c>
      <c r="AW56" s="130">
        <f t="shared" si="10"/>
        <v>0</v>
      </c>
      <c r="AX56" s="130">
        <f t="shared" si="11"/>
        <v>0</v>
      </c>
      <c r="AY56" s="130">
        <f t="shared" si="12"/>
        <v>0</v>
      </c>
      <c r="AZ56" s="130">
        <f t="shared" si="13"/>
        <v>0</v>
      </c>
      <c r="BB56" s="109">
        <f t="shared" si="14"/>
        <v>0</v>
      </c>
    </row>
    <row r="57" spans="1:54" x14ac:dyDescent="0.25">
      <c r="A57" s="132"/>
      <c r="B57" s="769" t="s">
        <v>793</v>
      </c>
      <c r="C57" s="129">
        <v>-153</v>
      </c>
      <c r="D57" s="130">
        <v>153</v>
      </c>
      <c r="E57" s="130"/>
      <c r="F57" s="130"/>
      <c r="G57" s="140"/>
      <c r="H57" s="124">
        <f>SUM(C57:G57)</f>
        <v>0</v>
      </c>
      <c r="I57" s="129"/>
      <c r="J57" s="129"/>
      <c r="K57" s="131"/>
      <c r="L57" s="127">
        <f>SUM(I57:K57)</f>
        <v>0</v>
      </c>
      <c r="M57" s="129"/>
      <c r="N57" s="131"/>
      <c r="O57" s="262"/>
      <c r="P57" s="542">
        <f>O57+L57+H57</f>
        <v>0</v>
      </c>
      <c r="R57" s="130"/>
      <c r="S57" s="130"/>
      <c r="T57" s="130"/>
      <c r="U57" s="130"/>
      <c r="V57" s="130"/>
      <c r="W57" s="130"/>
      <c r="X57" s="130"/>
      <c r="Y57" s="130"/>
      <c r="Z57" s="130"/>
      <c r="AA57" s="130"/>
      <c r="AB57" s="130">
        <f t="shared" si="1"/>
        <v>0</v>
      </c>
      <c r="AC57" s="130"/>
      <c r="AD57" s="130">
        <v>-153</v>
      </c>
      <c r="AE57" s="130">
        <v>153</v>
      </c>
      <c r="AF57" s="130"/>
      <c r="AG57" s="130"/>
      <c r="AH57" s="130"/>
      <c r="AI57" s="130"/>
      <c r="AJ57" s="130"/>
      <c r="AK57" s="130"/>
      <c r="AL57" s="130"/>
      <c r="AM57" s="130"/>
      <c r="AN57" s="130">
        <f t="shared" si="2"/>
        <v>0</v>
      </c>
      <c r="AO57" s="130"/>
      <c r="AP57" s="130">
        <f t="shared" si="3"/>
        <v>-153</v>
      </c>
      <c r="AQ57" s="130">
        <f t="shared" si="4"/>
        <v>153</v>
      </c>
      <c r="AR57" s="130">
        <f t="shared" si="5"/>
        <v>0</v>
      </c>
      <c r="AS57" s="130">
        <f t="shared" si="6"/>
        <v>0</v>
      </c>
      <c r="AT57" s="130">
        <f t="shared" si="7"/>
        <v>0</v>
      </c>
      <c r="AU57" s="130">
        <f t="shared" si="8"/>
        <v>0</v>
      </c>
      <c r="AV57" s="130">
        <f t="shared" si="9"/>
        <v>0</v>
      </c>
      <c r="AW57" s="130">
        <f t="shared" si="10"/>
        <v>0</v>
      </c>
      <c r="AX57" s="130">
        <f t="shared" si="11"/>
        <v>0</v>
      </c>
      <c r="AY57" s="130">
        <f t="shared" si="12"/>
        <v>0</v>
      </c>
      <c r="AZ57" s="130">
        <f t="shared" si="13"/>
        <v>0</v>
      </c>
      <c r="BB57" s="109">
        <f t="shared" si="14"/>
        <v>0</v>
      </c>
    </row>
    <row r="58" spans="1:54" x14ac:dyDescent="0.25">
      <c r="A58" s="132"/>
      <c r="B58" s="769" t="s">
        <v>990</v>
      </c>
      <c r="C58" s="541">
        <v>-680</v>
      </c>
      <c r="D58" s="139">
        <v>680</v>
      </c>
      <c r="E58" s="130"/>
      <c r="F58" s="130"/>
      <c r="G58" s="140"/>
      <c r="H58" s="124">
        <f>SUM(C58:G58)</f>
        <v>0</v>
      </c>
      <c r="I58" s="129"/>
      <c r="J58" s="129"/>
      <c r="K58" s="131"/>
      <c r="L58" s="127">
        <f>SUM(I58:K58)</f>
        <v>0</v>
      </c>
      <c r="M58" s="129"/>
      <c r="N58" s="131"/>
      <c r="O58" s="262"/>
      <c r="P58" s="542">
        <f>O58+L58+H58</f>
        <v>0</v>
      </c>
      <c r="R58" s="130"/>
      <c r="S58" s="130"/>
      <c r="T58" s="130"/>
      <c r="U58" s="130"/>
      <c r="V58" s="130"/>
      <c r="W58" s="130"/>
      <c r="X58" s="130"/>
      <c r="Y58" s="130"/>
      <c r="Z58" s="130"/>
      <c r="AA58" s="130"/>
      <c r="AB58" s="130">
        <f t="shared" si="1"/>
        <v>0</v>
      </c>
      <c r="AC58" s="130"/>
      <c r="AD58" s="130">
        <v>-680</v>
      </c>
      <c r="AE58" s="130">
        <v>680</v>
      </c>
      <c r="AF58" s="130"/>
      <c r="AG58" s="130"/>
      <c r="AH58" s="130"/>
      <c r="AI58" s="130"/>
      <c r="AJ58" s="130"/>
      <c r="AK58" s="130"/>
      <c r="AL58" s="130"/>
      <c r="AM58" s="130"/>
      <c r="AN58" s="130">
        <f t="shared" si="2"/>
        <v>0</v>
      </c>
      <c r="AO58" s="130"/>
      <c r="AP58" s="130">
        <f t="shared" si="3"/>
        <v>-680</v>
      </c>
      <c r="AQ58" s="130">
        <f t="shared" si="4"/>
        <v>680</v>
      </c>
      <c r="AR58" s="130">
        <f t="shared" si="5"/>
        <v>0</v>
      </c>
      <c r="AS58" s="130">
        <f t="shared" si="6"/>
        <v>0</v>
      </c>
      <c r="AT58" s="130">
        <f t="shared" si="7"/>
        <v>0</v>
      </c>
      <c r="AU58" s="130">
        <f t="shared" si="8"/>
        <v>0</v>
      </c>
      <c r="AV58" s="130">
        <f t="shared" si="9"/>
        <v>0</v>
      </c>
      <c r="AW58" s="130">
        <f t="shared" si="10"/>
        <v>0</v>
      </c>
      <c r="AX58" s="130">
        <f t="shared" si="11"/>
        <v>0</v>
      </c>
      <c r="AY58" s="130">
        <f t="shared" si="12"/>
        <v>0</v>
      </c>
      <c r="AZ58" s="130">
        <f t="shared" si="13"/>
        <v>0</v>
      </c>
      <c r="BB58" s="109">
        <f t="shared" si="14"/>
        <v>0</v>
      </c>
    </row>
    <row r="59" spans="1:54" x14ac:dyDescent="0.25">
      <c r="A59" s="132"/>
      <c r="B59" s="769"/>
      <c r="C59" s="129"/>
      <c r="D59" s="129"/>
      <c r="E59" s="129"/>
      <c r="F59" s="129"/>
      <c r="G59" s="140"/>
      <c r="H59" s="124"/>
      <c r="I59" s="129"/>
      <c r="J59" s="129"/>
      <c r="K59" s="140"/>
      <c r="L59" s="127"/>
      <c r="M59" s="129"/>
      <c r="N59" s="140"/>
      <c r="O59" s="262"/>
      <c r="P59" s="542"/>
      <c r="R59" s="130"/>
      <c r="S59" s="130"/>
      <c r="T59" s="130"/>
      <c r="U59" s="130"/>
      <c r="V59" s="130"/>
      <c r="W59" s="130"/>
      <c r="X59" s="130"/>
      <c r="Y59" s="130"/>
      <c r="Z59" s="130"/>
      <c r="AA59" s="130"/>
      <c r="AB59" s="130">
        <f t="shared" si="1"/>
        <v>0</v>
      </c>
      <c r="AC59" s="130"/>
      <c r="AD59" s="130"/>
      <c r="AE59" s="130"/>
      <c r="AF59" s="130"/>
      <c r="AG59" s="130"/>
      <c r="AH59" s="130"/>
      <c r="AI59" s="130"/>
      <c r="AJ59" s="130"/>
      <c r="AK59" s="130"/>
      <c r="AL59" s="130"/>
      <c r="AM59" s="130"/>
      <c r="AN59" s="130">
        <f t="shared" si="2"/>
        <v>0</v>
      </c>
      <c r="AO59" s="130"/>
      <c r="AP59" s="130">
        <f t="shared" si="3"/>
        <v>0</v>
      </c>
      <c r="AQ59" s="130">
        <f t="shared" si="4"/>
        <v>0</v>
      </c>
      <c r="AR59" s="130">
        <f t="shared" si="5"/>
        <v>0</v>
      </c>
      <c r="AS59" s="130">
        <f t="shared" si="6"/>
        <v>0</v>
      </c>
      <c r="AT59" s="130">
        <f t="shared" si="7"/>
        <v>0</v>
      </c>
      <c r="AU59" s="130">
        <f t="shared" si="8"/>
        <v>0</v>
      </c>
      <c r="AV59" s="130">
        <f t="shared" si="9"/>
        <v>0</v>
      </c>
      <c r="AW59" s="130">
        <f t="shared" si="10"/>
        <v>0</v>
      </c>
      <c r="AX59" s="130">
        <f t="shared" si="11"/>
        <v>0</v>
      </c>
      <c r="AY59" s="130">
        <f t="shared" si="12"/>
        <v>0</v>
      </c>
      <c r="AZ59" s="130">
        <f t="shared" si="13"/>
        <v>0</v>
      </c>
      <c r="BB59" s="109">
        <f t="shared" si="14"/>
        <v>0</v>
      </c>
    </row>
    <row r="60" spans="1:54" s="122" customFormat="1" x14ac:dyDescent="0.25">
      <c r="A60" s="132" t="s">
        <v>991</v>
      </c>
      <c r="B60" s="123" t="s">
        <v>992</v>
      </c>
      <c r="C60" s="133"/>
      <c r="D60" s="133"/>
      <c r="E60" s="133"/>
      <c r="F60" s="133"/>
      <c r="G60" s="135"/>
      <c r="H60" s="127"/>
      <c r="I60" s="133"/>
      <c r="J60" s="133"/>
      <c r="K60" s="135"/>
      <c r="L60" s="127"/>
      <c r="M60" s="133"/>
      <c r="N60" s="135"/>
      <c r="O60" s="127"/>
      <c r="P60" s="544"/>
      <c r="R60" s="819"/>
      <c r="S60" s="819"/>
      <c r="T60" s="819"/>
      <c r="U60" s="819"/>
      <c r="V60" s="819"/>
      <c r="W60" s="819"/>
      <c r="X60" s="819"/>
      <c r="Y60" s="819"/>
      <c r="Z60" s="819"/>
      <c r="AA60" s="819"/>
      <c r="AB60" s="130">
        <f t="shared" si="1"/>
        <v>0</v>
      </c>
      <c r="AC60" s="130"/>
      <c r="AD60" s="130"/>
      <c r="AE60" s="130"/>
      <c r="AF60" s="130"/>
      <c r="AG60" s="130"/>
      <c r="AH60" s="130"/>
      <c r="AI60" s="130"/>
      <c r="AJ60" s="130"/>
      <c r="AK60" s="130"/>
      <c r="AL60" s="130"/>
      <c r="AM60" s="130"/>
      <c r="AN60" s="130">
        <f t="shared" si="2"/>
        <v>0</v>
      </c>
      <c r="AO60" s="819"/>
      <c r="AP60" s="130">
        <f t="shared" si="3"/>
        <v>0</v>
      </c>
      <c r="AQ60" s="130">
        <f t="shared" si="4"/>
        <v>0</v>
      </c>
      <c r="AR60" s="130">
        <f t="shared" si="5"/>
        <v>0</v>
      </c>
      <c r="AS60" s="130">
        <f t="shared" si="6"/>
        <v>0</v>
      </c>
      <c r="AT60" s="130">
        <f t="shared" si="7"/>
        <v>0</v>
      </c>
      <c r="AU60" s="130">
        <f t="shared" si="8"/>
        <v>0</v>
      </c>
      <c r="AV60" s="130">
        <f t="shared" si="9"/>
        <v>0</v>
      </c>
      <c r="AW60" s="130">
        <f t="shared" si="10"/>
        <v>0</v>
      </c>
      <c r="AX60" s="130">
        <f t="shared" si="11"/>
        <v>0</v>
      </c>
      <c r="AY60" s="130">
        <f t="shared" si="12"/>
        <v>0</v>
      </c>
      <c r="AZ60" s="130">
        <f t="shared" si="13"/>
        <v>0</v>
      </c>
      <c r="BB60" s="109">
        <f t="shared" si="14"/>
        <v>0</v>
      </c>
    </row>
    <row r="61" spans="1:54" ht="32.25" customHeight="1" x14ac:dyDescent="0.25">
      <c r="A61" s="132"/>
      <c r="B61" s="136" t="s">
        <v>86</v>
      </c>
      <c r="C61" s="129"/>
      <c r="D61" s="130"/>
      <c r="E61" s="130"/>
      <c r="F61" s="130"/>
      <c r="G61" s="140"/>
      <c r="H61" s="124"/>
      <c r="I61" s="129"/>
      <c r="J61" s="129"/>
      <c r="K61" s="131"/>
      <c r="L61" s="127"/>
      <c r="M61" s="129"/>
      <c r="N61" s="131"/>
      <c r="O61" s="262"/>
      <c r="P61" s="542"/>
      <c r="R61" s="130"/>
      <c r="S61" s="130"/>
      <c r="T61" s="130"/>
      <c r="U61" s="130"/>
      <c r="V61" s="130"/>
      <c r="W61" s="130"/>
      <c r="X61" s="130"/>
      <c r="Y61" s="130"/>
      <c r="Z61" s="130"/>
      <c r="AA61" s="130"/>
      <c r="AB61" s="130">
        <f t="shared" si="1"/>
        <v>0</v>
      </c>
      <c r="AC61" s="130"/>
      <c r="AD61" s="130"/>
      <c r="AE61" s="130"/>
      <c r="AF61" s="130"/>
      <c r="AG61" s="130"/>
      <c r="AH61" s="130"/>
      <c r="AI61" s="130"/>
      <c r="AJ61" s="130"/>
      <c r="AK61" s="130"/>
      <c r="AL61" s="130"/>
      <c r="AM61" s="130"/>
      <c r="AN61" s="130">
        <f t="shared" si="2"/>
        <v>0</v>
      </c>
      <c r="AO61" s="130"/>
      <c r="AP61" s="130">
        <f t="shared" si="3"/>
        <v>0</v>
      </c>
      <c r="AQ61" s="130">
        <f t="shared" si="4"/>
        <v>0</v>
      </c>
      <c r="AR61" s="130">
        <f t="shared" si="5"/>
        <v>0</v>
      </c>
      <c r="AS61" s="130">
        <f t="shared" si="6"/>
        <v>0</v>
      </c>
      <c r="AT61" s="130">
        <f t="shared" si="7"/>
        <v>0</v>
      </c>
      <c r="AU61" s="130">
        <f t="shared" si="8"/>
        <v>0</v>
      </c>
      <c r="AV61" s="130">
        <f t="shared" si="9"/>
        <v>0</v>
      </c>
      <c r="AW61" s="130">
        <f t="shared" si="10"/>
        <v>0</v>
      </c>
      <c r="AX61" s="130">
        <f t="shared" si="11"/>
        <v>0</v>
      </c>
      <c r="AY61" s="130">
        <f t="shared" si="12"/>
        <v>0</v>
      </c>
      <c r="AZ61" s="130">
        <f t="shared" si="13"/>
        <v>0</v>
      </c>
      <c r="BB61" s="109">
        <f t="shared" si="14"/>
        <v>0</v>
      </c>
    </row>
    <row r="62" spans="1:54" x14ac:dyDescent="0.25">
      <c r="A62" s="132"/>
      <c r="B62" s="351" t="s">
        <v>412</v>
      </c>
      <c r="C62" s="129"/>
      <c r="D62" s="130"/>
      <c r="E62" s="130"/>
      <c r="F62" s="130"/>
      <c r="G62" s="140"/>
      <c r="H62" s="127"/>
      <c r="I62" s="129"/>
      <c r="J62" s="129"/>
      <c r="K62" s="131"/>
      <c r="L62" s="127"/>
      <c r="M62" s="129"/>
      <c r="N62" s="131"/>
      <c r="O62" s="262"/>
      <c r="P62" s="544"/>
      <c r="R62" s="130"/>
      <c r="S62" s="130"/>
      <c r="T62" s="130"/>
      <c r="U62" s="130"/>
      <c r="V62" s="130"/>
      <c r="W62" s="130"/>
      <c r="X62" s="130"/>
      <c r="Y62" s="130"/>
      <c r="Z62" s="130"/>
      <c r="AA62" s="130"/>
      <c r="AB62" s="130">
        <f t="shared" si="1"/>
        <v>0</v>
      </c>
      <c r="AC62" s="130"/>
      <c r="AD62" s="130"/>
      <c r="AE62" s="130"/>
      <c r="AF62" s="130"/>
      <c r="AG62" s="130"/>
      <c r="AH62" s="130"/>
      <c r="AI62" s="130"/>
      <c r="AJ62" s="130"/>
      <c r="AK62" s="130"/>
      <c r="AL62" s="130"/>
      <c r="AM62" s="130"/>
      <c r="AN62" s="130">
        <f t="shared" si="2"/>
        <v>0</v>
      </c>
      <c r="AO62" s="130"/>
      <c r="AP62" s="130">
        <f t="shared" si="3"/>
        <v>0</v>
      </c>
      <c r="AQ62" s="130">
        <f t="shared" si="4"/>
        <v>0</v>
      </c>
      <c r="AR62" s="130">
        <f t="shared" si="5"/>
        <v>0</v>
      </c>
      <c r="AS62" s="130">
        <f t="shared" si="6"/>
        <v>0</v>
      </c>
      <c r="AT62" s="130">
        <f t="shared" si="7"/>
        <v>0</v>
      </c>
      <c r="AU62" s="130">
        <f t="shared" si="8"/>
        <v>0</v>
      </c>
      <c r="AV62" s="130">
        <f t="shared" si="9"/>
        <v>0</v>
      </c>
      <c r="AW62" s="130">
        <f t="shared" si="10"/>
        <v>0</v>
      </c>
      <c r="AX62" s="130">
        <f t="shared" si="11"/>
        <v>0</v>
      </c>
      <c r="AY62" s="130">
        <f t="shared" si="12"/>
        <v>0</v>
      </c>
      <c r="AZ62" s="130">
        <f t="shared" si="13"/>
        <v>0</v>
      </c>
      <c r="BB62" s="109">
        <f t="shared" si="14"/>
        <v>0</v>
      </c>
    </row>
    <row r="63" spans="1:54" x14ac:dyDescent="0.25">
      <c r="A63" s="132"/>
      <c r="B63" s="769" t="s">
        <v>993</v>
      </c>
      <c r="C63" s="541">
        <v>98</v>
      </c>
      <c r="D63" s="139"/>
      <c r="E63" s="139"/>
      <c r="F63" s="139">
        <v>-98</v>
      </c>
      <c r="G63" s="140"/>
      <c r="H63" s="124">
        <f>SUM(C63:G63)</f>
        <v>0</v>
      </c>
      <c r="I63" s="129"/>
      <c r="J63" s="129"/>
      <c r="K63" s="131"/>
      <c r="L63" s="127">
        <f>SUM(I63:K63)</f>
        <v>0</v>
      </c>
      <c r="M63" s="129"/>
      <c r="N63" s="131"/>
      <c r="O63" s="262"/>
      <c r="P63" s="542">
        <f>O63+L63+H63</f>
        <v>0</v>
      </c>
      <c r="R63" s="130">
        <v>98</v>
      </c>
      <c r="S63" s="130"/>
      <c r="T63" s="130"/>
      <c r="U63" s="130">
        <v>-98</v>
      </c>
      <c r="V63" s="130"/>
      <c r="W63" s="130"/>
      <c r="X63" s="130"/>
      <c r="Y63" s="130"/>
      <c r="Z63" s="130"/>
      <c r="AA63" s="130"/>
      <c r="AB63" s="130">
        <f t="shared" si="1"/>
        <v>0</v>
      </c>
      <c r="AC63" s="130"/>
      <c r="AD63" s="130"/>
      <c r="AE63" s="130"/>
      <c r="AF63" s="130"/>
      <c r="AG63" s="130"/>
      <c r="AH63" s="130"/>
      <c r="AI63" s="130"/>
      <c r="AJ63" s="130"/>
      <c r="AK63" s="130"/>
      <c r="AL63" s="130"/>
      <c r="AM63" s="130"/>
      <c r="AN63" s="130">
        <f t="shared" si="2"/>
        <v>0</v>
      </c>
      <c r="AO63" s="130"/>
      <c r="AP63" s="130">
        <f t="shared" si="3"/>
        <v>98</v>
      </c>
      <c r="AQ63" s="130">
        <f t="shared" si="4"/>
        <v>0</v>
      </c>
      <c r="AR63" s="130">
        <f t="shared" si="5"/>
        <v>0</v>
      </c>
      <c r="AS63" s="130">
        <f t="shared" si="6"/>
        <v>-98</v>
      </c>
      <c r="AT63" s="130">
        <f t="shared" si="7"/>
        <v>0</v>
      </c>
      <c r="AU63" s="130">
        <f t="shared" si="8"/>
        <v>0</v>
      </c>
      <c r="AV63" s="130">
        <f t="shared" si="9"/>
        <v>0</v>
      </c>
      <c r="AW63" s="130">
        <f t="shared" si="10"/>
        <v>0</v>
      </c>
      <c r="AX63" s="130">
        <f t="shared" si="11"/>
        <v>0</v>
      </c>
      <c r="AY63" s="130">
        <f t="shared" si="12"/>
        <v>0</v>
      </c>
      <c r="AZ63" s="130">
        <f t="shared" si="13"/>
        <v>0</v>
      </c>
      <c r="BB63" s="109">
        <f t="shared" si="14"/>
        <v>0</v>
      </c>
    </row>
    <row r="64" spans="1:54" x14ac:dyDescent="0.25">
      <c r="A64" s="132"/>
      <c r="B64" s="136"/>
      <c r="C64" s="129"/>
      <c r="D64" s="129"/>
      <c r="E64" s="129"/>
      <c r="F64" s="129"/>
      <c r="G64" s="140"/>
      <c r="H64" s="124"/>
      <c r="I64" s="129"/>
      <c r="J64" s="129"/>
      <c r="K64" s="140"/>
      <c r="L64" s="127"/>
      <c r="M64" s="129"/>
      <c r="N64" s="140"/>
      <c r="O64" s="262"/>
      <c r="P64" s="542"/>
      <c r="R64" s="130"/>
      <c r="S64" s="130"/>
      <c r="T64" s="130"/>
      <c r="U64" s="130"/>
      <c r="V64" s="130"/>
      <c r="W64" s="130"/>
      <c r="X64" s="130"/>
      <c r="Y64" s="130"/>
      <c r="Z64" s="130"/>
      <c r="AA64" s="130"/>
      <c r="AB64" s="130">
        <f t="shared" si="1"/>
        <v>0</v>
      </c>
      <c r="AC64" s="130"/>
      <c r="AD64" s="130"/>
      <c r="AE64" s="130"/>
      <c r="AF64" s="130"/>
      <c r="AG64" s="130"/>
      <c r="AH64" s="130"/>
      <c r="AI64" s="130"/>
      <c r="AJ64" s="130"/>
      <c r="AK64" s="130"/>
      <c r="AL64" s="130"/>
      <c r="AM64" s="130"/>
      <c r="AN64" s="130">
        <f t="shared" si="2"/>
        <v>0</v>
      </c>
      <c r="AO64" s="130"/>
      <c r="AP64" s="130">
        <f t="shared" si="3"/>
        <v>0</v>
      </c>
      <c r="AQ64" s="130">
        <f t="shared" si="4"/>
        <v>0</v>
      </c>
      <c r="AR64" s="130">
        <f t="shared" si="5"/>
        <v>0</v>
      </c>
      <c r="AS64" s="130">
        <f t="shared" si="6"/>
        <v>0</v>
      </c>
      <c r="AT64" s="130">
        <f t="shared" si="7"/>
        <v>0</v>
      </c>
      <c r="AU64" s="130">
        <f t="shared" si="8"/>
        <v>0</v>
      </c>
      <c r="AV64" s="130">
        <f t="shared" si="9"/>
        <v>0</v>
      </c>
      <c r="AW64" s="130">
        <f t="shared" si="10"/>
        <v>0</v>
      </c>
      <c r="AX64" s="130">
        <f t="shared" si="11"/>
        <v>0</v>
      </c>
      <c r="AY64" s="130">
        <f t="shared" si="12"/>
        <v>0</v>
      </c>
      <c r="AZ64" s="130">
        <f t="shared" si="13"/>
        <v>0</v>
      </c>
      <c r="BB64" s="109">
        <f t="shared" si="14"/>
        <v>0</v>
      </c>
    </row>
    <row r="65" spans="1:54" s="122" customFormat="1" x14ac:dyDescent="0.25">
      <c r="A65" s="132" t="s">
        <v>40</v>
      </c>
      <c r="B65" s="123" t="s">
        <v>41</v>
      </c>
      <c r="C65" s="133"/>
      <c r="D65" s="133"/>
      <c r="E65" s="133"/>
      <c r="F65" s="133"/>
      <c r="G65" s="135"/>
      <c r="H65" s="127"/>
      <c r="I65" s="133"/>
      <c r="J65" s="133"/>
      <c r="K65" s="135"/>
      <c r="L65" s="127"/>
      <c r="M65" s="133"/>
      <c r="N65" s="135"/>
      <c r="O65" s="127"/>
      <c r="P65" s="544"/>
      <c r="R65" s="819"/>
      <c r="S65" s="819"/>
      <c r="T65" s="819"/>
      <c r="U65" s="819"/>
      <c r="V65" s="819"/>
      <c r="W65" s="819"/>
      <c r="X65" s="819"/>
      <c r="Y65" s="819"/>
      <c r="Z65" s="819"/>
      <c r="AA65" s="819"/>
      <c r="AB65" s="130">
        <f t="shared" si="1"/>
        <v>0</v>
      </c>
      <c r="AC65" s="130"/>
      <c r="AD65" s="130"/>
      <c r="AE65" s="130"/>
      <c r="AF65" s="130"/>
      <c r="AG65" s="130"/>
      <c r="AH65" s="130"/>
      <c r="AI65" s="130"/>
      <c r="AJ65" s="130"/>
      <c r="AK65" s="130"/>
      <c r="AL65" s="130"/>
      <c r="AM65" s="130"/>
      <c r="AN65" s="130">
        <f t="shared" si="2"/>
        <v>0</v>
      </c>
      <c r="AO65" s="819"/>
      <c r="AP65" s="130">
        <f t="shared" si="3"/>
        <v>0</v>
      </c>
      <c r="AQ65" s="130">
        <f t="shared" si="4"/>
        <v>0</v>
      </c>
      <c r="AR65" s="130">
        <f t="shared" si="5"/>
        <v>0</v>
      </c>
      <c r="AS65" s="130">
        <f t="shared" si="6"/>
        <v>0</v>
      </c>
      <c r="AT65" s="130">
        <f t="shared" si="7"/>
        <v>0</v>
      </c>
      <c r="AU65" s="130">
        <f t="shared" si="8"/>
        <v>0</v>
      </c>
      <c r="AV65" s="130">
        <f t="shared" si="9"/>
        <v>0</v>
      </c>
      <c r="AW65" s="130">
        <f t="shared" si="10"/>
        <v>0</v>
      </c>
      <c r="AX65" s="130">
        <f t="shared" si="11"/>
        <v>0</v>
      </c>
      <c r="AY65" s="130">
        <f t="shared" si="12"/>
        <v>0</v>
      </c>
      <c r="AZ65" s="130">
        <f t="shared" si="13"/>
        <v>0</v>
      </c>
      <c r="BB65" s="109">
        <f t="shared" si="14"/>
        <v>0</v>
      </c>
    </row>
    <row r="66" spans="1:54" x14ac:dyDescent="0.25">
      <c r="A66" s="132"/>
      <c r="B66" s="136" t="s">
        <v>599</v>
      </c>
      <c r="C66" s="129"/>
      <c r="D66" s="130"/>
      <c r="E66" s="130"/>
      <c r="F66" s="130"/>
      <c r="G66" s="140"/>
      <c r="H66" s="124"/>
      <c r="I66" s="129"/>
      <c r="J66" s="129"/>
      <c r="K66" s="131"/>
      <c r="L66" s="127"/>
      <c r="M66" s="129"/>
      <c r="N66" s="131"/>
      <c r="O66" s="262"/>
      <c r="P66" s="542"/>
      <c r="R66" s="130"/>
      <c r="S66" s="130"/>
      <c r="T66" s="130"/>
      <c r="U66" s="130"/>
      <c r="V66" s="130"/>
      <c r="W66" s="130"/>
      <c r="X66" s="130"/>
      <c r="Y66" s="130"/>
      <c r="Z66" s="130"/>
      <c r="AA66" s="130"/>
      <c r="AB66" s="130">
        <f t="shared" si="1"/>
        <v>0</v>
      </c>
      <c r="AC66" s="130"/>
      <c r="AD66" s="130"/>
      <c r="AE66" s="130"/>
      <c r="AF66" s="130"/>
      <c r="AG66" s="130"/>
      <c r="AH66" s="130"/>
      <c r="AI66" s="130"/>
      <c r="AJ66" s="130"/>
      <c r="AK66" s="130"/>
      <c r="AL66" s="130"/>
      <c r="AM66" s="130"/>
      <c r="AN66" s="130">
        <f t="shared" si="2"/>
        <v>0</v>
      </c>
      <c r="AO66" s="130"/>
      <c r="AP66" s="130">
        <f t="shared" si="3"/>
        <v>0</v>
      </c>
      <c r="AQ66" s="130">
        <f t="shared" si="4"/>
        <v>0</v>
      </c>
      <c r="AR66" s="130">
        <f t="shared" si="5"/>
        <v>0</v>
      </c>
      <c r="AS66" s="130">
        <f t="shared" si="6"/>
        <v>0</v>
      </c>
      <c r="AT66" s="130">
        <f t="shared" si="7"/>
        <v>0</v>
      </c>
      <c r="AU66" s="130">
        <f t="shared" si="8"/>
        <v>0</v>
      </c>
      <c r="AV66" s="130">
        <f t="shared" si="9"/>
        <v>0</v>
      </c>
      <c r="AW66" s="130">
        <f t="shared" si="10"/>
        <v>0</v>
      </c>
      <c r="AX66" s="130">
        <f t="shared" si="11"/>
        <v>0</v>
      </c>
      <c r="AY66" s="130">
        <f t="shared" si="12"/>
        <v>0</v>
      </c>
      <c r="AZ66" s="130">
        <f t="shared" si="13"/>
        <v>0</v>
      </c>
      <c r="BB66" s="109">
        <f t="shared" si="14"/>
        <v>0</v>
      </c>
    </row>
    <row r="67" spans="1:54" ht="31.5" x14ac:dyDescent="0.25">
      <c r="A67" s="132"/>
      <c r="B67" s="355" t="s">
        <v>923</v>
      </c>
      <c r="C67" s="129"/>
      <c r="D67" s="130"/>
      <c r="E67" s="130"/>
      <c r="F67" s="130"/>
      <c r="G67" s="140"/>
      <c r="H67" s="124"/>
      <c r="I67" s="129"/>
      <c r="J67" s="129"/>
      <c r="K67" s="131"/>
      <c r="L67" s="127"/>
      <c r="M67" s="129"/>
      <c r="N67" s="131"/>
      <c r="O67" s="262"/>
      <c r="P67" s="542"/>
      <c r="R67" s="130"/>
      <c r="S67" s="130"/>
      <c r="T67" s="130"/>
      <c r="U67" s="130"/>
      <c r="V67" s="130"/>
      <c r="W67" s="130"/>
      <c r="X67" s="130"/>
      <c r="Y67" s="130"/>
      <c r="Z67" s="130"/>
      <c r="AA67" s="130"/>
      <c r="AB67" s="130">
        <f t="shared" si="1"/>
        <v>0</v>
      </c>
      <c r="AC67" s="130"/>
      <c r="AD67" s="130"/>
      <c r="AE67" s="130"/>
      <c r="AF67" s="130"/>
      <c r="AG67" s="130"/>
      <c r="AH67" s="130"/>
      <c r="AI67" s="130"/>
      <c r="AJ67" s="130"/>
      <c r="AK67" s="130"/>
      <c r="AL67" s="130"/>
      <c r="AM67" s="130"/>
      <c r="AN67" s="130">
        <f t="shared" si="2"/>
        <v>0</v>
      </c>
      <c r="AO67" s="130"/>
      <c r="AP67" s="130">
        <f t="shared" si="3"/>
        <v>0</v>
      </c>
      <c r="AQ67" s="130">
        <f t="shared" si="4"/>
        <v>0</v>
      </c>
      <c r="AR67" s="130">
        <f t="shared" si="5"/>
        <v>0</v>
      </c>
      <c r="AS67" s="130">
        <f t="shared" si="6"/>
        <v>0</v>
      </c>
      <c r="AT67" s="130">
        <f t="shared" si="7"/>
        <v>0</v>
      </c>
      <c r="AU67" s="130">
        <f t="shared" si="8"/>
        <v>0</v>
      </c>
      <c r="AV67" s="130">
        <f t="shared" si="9"/>
        <v>0</v>
      </c>
      <c r="AW67" s="130">
        <f t="shared" si="10"/>
        <v>0</v>
      </c>
      <c r="AX67" s="130">
        <f t="shared" si="11"/>
        <v>0</v>
      </c>
      <c r="AY67" s="130">
        <f t="shared" si="12"/>
        <v>0</v>
      </c>
      <c r="AZ67" s="130">
        <f t="shared" si="13"/>
        <v>0</v>
      </c>
      <c r="BB67" s="109">
        <f t="shared" si="14"/>
        <v>0</v>
      </c>
    </row>
    <row r="68" spans="1:54" ht="63" x14ac:dyDescent="0.25">
      <c r="A68" s="132"/>
      <c r="B68" s="137" t="s">
        <v>962</v>
      </c>
      <c r="C68" s="129">
        <v>-27</v>
      </c>
      <c r="D68" s="130"/>
      <c r="E68" s="130"/>
      <c r="F68" s="130"/>
      <c r="G68" s="140">
        <v>-300</v>
      </c>
      <c r="H68" s="124">
        <f t="shared" ref="H68" si="33">SUM(C68:G68)</f>
        <v>-327</v>
      </c>
      <c r="I68" s="349"/>
      <c r="J68" s="349"/>
      <c r="K68" s="352"/>
      <c r="L68" s="127">
        <f t="shared" ref="L68" si="34">SUM(I68:K68)</f>
        <v>0</v>
      </c>
      <c r="M68" s="349"/>
      <c r="N68" s="352"/>
      <c r="O68" s="350"/>
      <c r="P68" s="542">
        <f t="shared" ref="P68" si="35">O68+L68+H68</f>
        <v>-327</v>
      </c>
      <c r="R68" s="130">
        <v>-27</v>
      </c>
      <c r="S68" s="130"/>
      <c r="T68" s="130"/>
      <c r="U68" s="130"/>
      <c r="V68" s="130">
        <v>-300</v>
      </c>
      <c r="W68" s="130"/>
      <c r="X68" s="130"/>
      <c r="Y68" s="130"/>
      <c r="Z68" s="130"/>
      <c r="AA68" s="130"/>
      <c r="AB68" s="130">
        <f t="shared" si="1"/>
        <v>-327</v>
      </c>
      <c r="AC68" s="130"/>
      <c r="AD68" s="130"/>
      <c r="AE68" s="130"/>
      <c r="AF68" s="130"/>
      <c r="AG68" s="130"/>
      <c r="AH68" s="130"/>
      <c r="AI68" s="130"/>
      <c r="AJ68" s="130"/>
      <c r="AK68" s="130"/>
      <c r="AL68" s="130"/>
      <c r="AM68" s="130"/>
      <c r="AN68" s="130">
        <f t="shared" si="2"/>
        <v>0</v>
      </c>
      <c r="AO68" s="130"/>
      <c r="AP68" s="130">
        <f t="shared" si="3"/>
        <v>-27</v>
      </c>
      <c r="AQ68" s="130">
        <f t="shared" si="4"/>
        <v>0</v>
      </c>
      <c r="AR68" s="130">
        <f t="shared" si="5"/>
        <v>0</v>
      </c>
      <c r="AS68" s="130">
        <f t="shared" si="6"/>
        <v>0</v>
      </c>
      <c r="AT68" s="130">
        <f t="shared" si="7"/>
        <v>-300</v>
      </c>
      <c r="AU68" s="130">
        <f t="shared" si="8"/>
        <v>0</v>
      </c>
      <c r="AV68" s="130">
        <f t="shared" si="9"/>
        <v>0</v>
      </c>
      <c r="AW68" s="130">
        <f t="shared" si="10"/>
        <v>0</v>
      </c>
      <c r="AX68" s="130">
        <f t="shared" si="11"/>
        <v>0</v>
      </c>
      <c r="AY68" s="130">
        <f t="shared" si="12"/>
        <v>0</v>
      </c>
      <c r="AZ68" s="130">
        <f t="shared" si="13"/>
        <v>-327</v>
      </c>
      <c r="BB68" s="109">
        <f t="shared" si="14"/>
        <v>0</v>
      </c>
    </row>
    <row r="69" spans="1:54" ht="47.25" x14ac:dyDescent="0.25">
      <c r="A69" s="132"/>
      <c r="B69" s="137" t="s">
        <v>1172</v>
      </c>
      <c r="C69" s="129">
        <v>-4693</v>
      </c>
      <c r="D69" s="130">
        <v>-1032</v>
      </c>
      <c r="E69" s="130">
        <v>-30873</v>
      </c>
      <c r="F69" s="130"/>
      <c r="G69" s="140"/>
      <c r="H69" s="124">
        <f t="shared" ref="H69" si="36">SUM(C69:G69)</f>
        <v>-36598</v>
      </c>
      <c r="I69" s="349">
        <v>-16408</v>
      </c>
      <c r="J69" s="349">
        <v>-171294</v>
      </c>
      <c r="K69" s="352"/>
      <c r="L69" s="127">
        <f t="shared" ref="L69" si="37">SUM(I69:K69)</f>
        <v>-187702</v>
      </c>
      <c r="M69" s="349"/>
      <c r="N69" s="352"/>
      <c r="O69" s="350"/>
      <c r="P69" s="542">
        <f t="shared" ref="P69" si="38">O69+L69+H69</f>
        <v>-224300</v>
      </c>
      <c r="R69" s="130">
        <v>-4693</v>
      </c>
      <c r="S69" s="130">
        <v>-1032</v>
      </c>
      <c r="T69" s="130">
        <v>-30873</v>
      </c>
      <c r="U69" s="130"/>
      <c r="V69" s="130"/>
      <c r="W69" s="130">
        <v>-16408</v>
      </c>
      <c r="X69" s="130">
        <v>-171294</v>
      </c>
      <c r="Y69" s="130"/>
      <c r="Z69" s="130"/>
      <c r="AA69" s="130"/>
      <c r="AB69" s="130">
        <f t="shared" si="1"/>
        <v>-224300</v>
      </c>
      <c r="AC69" s="130"/>
      <c r="AD69" s="130"/>
      <c r="AE69" s="130"/>
      <c r="AF69" s="130"/>
      <c r="AG69" s="130"/>
      <c r="AH69" s="130"/>
      <c r="AI69" s="130"/>
      <c r="AJ69" s="130"/>
      <c r="AK69" s="130"/>
      <c r="AL69" s="130"/>
      <c r="AM69" s="130"/>
      <c r="AN69" s="130">
        <f t="shared" si="2"/>
        <v>0</v>
      </c>
      <c r="AO69" s="130"/>
      <c r="AP69" s="130">
        <f t="shared" si="3"/>
        <v>-4693</v>
      </c>
      <c r="AQ69" s="130">
        <f t="shared" si="4"/>
        <v>-1032</v>
      </c>
      <c r="AR69" s="130">
        <f t="shared" si="5"/>
        <v>-30873</v>
      </c>
      <c r="AS69" s="130">
        <f t="shared" si="6"/>
        <v>0</v>
      </c>
      <c r="AT69" s="130">
        <f t="shared" si="7"/>
        <v>0</v>
      </c>
      <c r="AU69" s="130">
        <f t="shared" si="8"/>
        <v>-16408</v>
      </c>
      <c r="AV69" s="130">
        <f t="shared" si="9"/>
        <v>-171294</v>
      </c>
      <c r="AW69" s="130">
        <f t="shared" si="10"/>
        <v>0</v>
      </c>
      <c r="AX69" s="130">
        <f t="shared" si="11"/>
        <v>0</v>
      </c>
      <c r="AY69" s="130">
        <f t="shared" si="12"/>
        <v>0</v>
      </c>
      <c r="AZ69" s="130">
        <f t="shared" si="13"/>
        <v>-224300</v>
      </c>
      <c r="BB69" s="109">
        <f t="shared" si="14"/>
        <v>0</v>
      </c>
    </row>
    <row r="70" spans="1:54" ht="78.75" x14ac:dyDescent="0.25">
      <c r="A70" s="132"/>
      <c r="B70" s="137" t="s">
        <v>964</v>
      </c>
      <c r="C70" s="129"/>
      <c r="D70" s="130"/>
      <c r="E70" s="130"/>
      <c r="F70" s="130"/>
      <c r="G70" s="592"/>
      <c r="H70" s="124">
        <f t="shared" ref="H70:H71" si="39">SUM(C70:G70)</f>
        <v>0</v>
      </c>
      <c r="I70" s="349">
        <v>-4355</v>
      </c>
      <c r="J70" s="349"/>
      <c r="K70" s="352"/>
      <c r="L70" s="127">
        <f t="shared" ref="L70:L71" si="40">SUM(I70:K70)</f>
        <v>-4355</v>
      </c>
      <c r="M70" s="349"/>
      <c r="N70" s="352"/>
      <c r="O70" s="350"/>
      <c r="P70" s="542">
        <f t="shared" ref="P70:P71" si="41">O70+L70+H70</f>
        <v>-4355</v>
      </c>
      <c r="R70" s="130"/>
      <c r="S70" s="130"/>
      <c r="T70" s="130"/>
      <c r="U70" s="130"/>
      <c r="V70" s="130"/>
      <c r="W70" s="130">
        <v>-4355</v>
      </c>
      <c r="X70" s="130"/>
      <c r="Y70" s="130"/>
      <c r="Z70" s="130"/>
      <c r="AA70" s="130"/>
      <c r="AB70" s="130">
        <f t="shared" si="1"/>
        <v>-4355</v>
      </c>
      <c r="AC70" s="130"/>
      <c r="AD70" s="130"/>
      <c r="AE70" s="130"/>
      <c r="AF70" s="130"/>
      <c r="AG70" s="130"/>
      <c r="AH70" s="130"/>
      <c r="AI70" s="130"/>
      <c r="AJ70" s="130"/>
      <c r="AK70" s="130"/>
      <c r="AL70" s="130"/>
      <c r="AM70" s="130"/>
      <c r="AN70" s="130">
        <f t="shared" si="2"/>
        <v>0</v>
      </c>
      <c r="AO70" s="130"/>
      <c r="AP70" s="130">
        <f t="shared" si="3"/>
        <v>0</v>
      </c>
      <c r="AQ70" s="130">
        <f t="shared" si="4"/>
        <v>0</v>
      </c>
      <c r="AR70" s="130">
        <f t="shared" si="5"/>
        <v>0</v>
      </c>
      <c r="AS70" s="130">
        <f t="shared" si="6"/>
        <v>0</v>
      </c>
      <c r="AT70" s="130">
        <f t="shared" si="7"/>
        <v>0</v>
      </c>
      <c r="AU70" s="130">
        <f t="shared" si="8"/>
        <v>-4355</v>
      </c>
      <c r="AV70" s="130">
        <f t="shared" si="9"/>
        <v>0</v>
      </c>
      <c r="AW70" s="130">
        <f t="shared" si="10"/>
        <v>0</v>
      </c>
      <c r="AX70" s="130">
        <f t="shared" si="11"/>
        <v>0</v>
      </c>
      <c r="AY70" s="130">
        <f t="shared" si="12"/>
        <v>0</v>
      </c>
      <c r="AZ70" s="130">
        <f t="shared" si="13"/>
        <v>-4355</v>
      </c>
      <c r="BB70" s="109">
        <f t="shared" si="14"/>
        <v>0</v>
      </c>
    </row>
    <row r="71" spans="1:54" ht="33" customHeight="1" x14ac:dyDescent="0.25">
      <c r="A71" s="128"/>
      <c r="B71" s="353" t="s">
        <v>965</v>
      </c>
      <c r="C71" s="129"/>
      <c r="D71" s="130"/>
      <c r="E71" s="130"/>
      <c r="F71" s="131"/>
      <c r="G71" s="131"/>
      <c r="H71" s="124">
        <f t="shared" si="39"/>
        <v>0</v>
      </c>
      <c r="I71" s="349">
        <v>-61075</v>
      </c>
      <c r="J71" s="349"/>
      <c r="K71" s="352"/>
      <c r="L71" s="127">
        <f t="shared" si="40"/>
        <v>-61075</v>
      </c>
      <c r="M71" s="349"/>
      <c r="N71" s="352"/>
      <c r="O71" s="350"/>
      <c r="P71" s="542">
        <f t="shared" si="41"/>
        <v>-61075</v>
      </c>
      <c r="R71" s="130"/>
      <c r="S71" s="130"/>
      <c r="T71" s="130"/>
      <c r="U71" s="130"/>
      <c r="V71" s="130"/>
      <c r="W71" s="130">
        <v>-61075</v>
      </c>
      <c r="X71" s="130"/>
      <c r="Y71" s="130"/>
      <c r="Z71" s="130"/>
      <c r="AA71" s="130"/>
      <c r="AB71" s="130">
        <f t="shared" si="1"/>
        <v>-61075</v>
      </c>
      <c r="AC71" s="130"/>
      <c r="AD71" s="130"/>
      <c r="AE71" s="130"/>
      <c r="AF71" s="130"/>
      <c r="AG71" s="130"/>
      <c r="AH71" s="130"/>
      <c r="AI71" s="130"/>
      <c r="AJ71" s="130"/>
      <c r="AK71" s="130"/>
      <c r="AL71" s="130"/>
      <c r="AM71" s="130"/>
      <c r="AN71" s="130">
        <f t="shared" si="2"/>
        <v>0</v>
      </c>
      <c r="AO71" s="130"/>
      <c r="AP71" s="130">
        <f t="shared" si="3"/>
        <v>0</v>
      </c>
      <c r="AQ71" s="130">
        <f t="shared" si="4"/>
        <v>0</v>
      </c>
      <c r="AR71" s="130">
        <f t="shared" si="5"/>
        <v>0</v>
      </c>
      <c r="AS71" s="130">
        <f t="shared" si="6"/>
        <v>0</v>
      </c>
      <c r="AT71" s="130">
        <f t="shared" si="7"/>
        <v>0</v>
      </c>
      <c r="AU71" s="130">
        <f t="shared" si="8"/>
        <v>-61075</v>
      </c>
      <c r="AV71" s="130">
        <f t="shared" si="9"/>
        <v>0</v>
      </c>
      <c r="AW71" s="130">
        <f t="shared" si="10"/>
        <v>0</v>
      </c>
      <c r="AX71" s="130">
        <f t="shared" si="11"/>
        <v>0</v>
      </c>
      <c r="AY71" s="130">
        <f t="shared" si="12"/>
        <v>0</v>
      </c>
      <c r="AZ71" s="130">
        <f t="shared" si="13"/>
        <v>-61075</v>
      </c>
      <c r="BB71" s="109">
        <f t="shared" si="14"/>
        <v>0</v>
      </c>
    </row>
    <row r="72" spans="1:54" ht="31.5" x14ac:dyDescent="0.25">
      <c r="A72" s="128"/>
      <c r="B72" s="353" t="s">
        <v>966</v>
      </c>
      <c r="C72" s="129">
        <v>-1400</v>
      </c>
      <c r="D72" s="130">
        <v>-308</v>
      </c>
      <c r="E72" s="130">
        <v>-20533</v>
      </c>
      <c r="F72" s="130"/>
      <c r="G72" s="592"/>
      <c r="H72" s="124">
        <f t="shared" ref="H72:H74" si="42">SUM(C72:G72)</f>
        <v>-22241</v>
      </c>
      <c r="I72" s="349">
        <v>-5112</v>
      </c>
      <c r="J72" s="349">
        <v>-62885</v>
      </c>
      <c r="K72" s="352"/>
      <c r="L72" s="127">
        <f t="shared" ref="L72:L74" si="43">SUM(I72:K72)</f>
        <v>-67997</v>
      </c>
      <c r="M72" s="349"/>
      <c r="N72" s="352"/>
      <c r="O72" s="350"/>
      <c r="P72" s="542">
        <f t="shared" ref="P72:P74" si="44">O72+L72+H72</f>
        <v>-90238</v>
      </c>
      <c r="R72" s="130">
        <v>-1400</v>
      </c>
      <c r="S72" s="130">
        <v>-308</v>
      </c>
      <c r="T72" s="130">
        <v>-20533</v>
      </c>
      <c r="U72" s="130"/>
      <c r="V72" s="130"/>
      <c r="W72" s="130">
        <v>-5112</v>
      </c>
      <c r="X72" s="130">
        <v>-62885</v>
      </c>
      <c r="Y72" s="130"/>
      <c r="Z72" s="130"/>
      <c r="AA72" s="130"/>
      <c r="AB72" s="130">
        <f t="shared" si="1"/>
        <v>-90238</v>
      </c>
      <c r="AC72" s="130"/>
      <c r="AD72" s="130"/>
      <c r="AE72" s="130"/>
      <c r="AF72" s="130"/>
      <c r="AG72" s="130"/>
      <c r="AH72" s="130"/>
      <c r="AI72" s="130"/>
      <c r="AJ72" s="130"/>
      <c r="AK72" s="130"/>
      <c r="AL72" s="130"/>
      <c r="AM72" s="130"/>
      <c r="AN72" s="130">
        <f t="shared" si="2"/>
        <v>0</v>
      </c>
      <c r="AO72" s="130"/>
      <c r="AP72" s="130">
        <f t="shared" si="3"/>
        <v>-1400</v>
      </c>
      <c r="AQ72" s="130">
        <f t="shared" si="4"/>
        <v>-308</v>
      </c>
      <c r="AR72" s="130">
        <f t="shared" si="5"/>
        <v>-20533</v>
      </c>
      <c r="AS72" s="130">
        <f t="shared" si="6"/>
        <v>0</v>
      </c>
      <c r="AT72" s="130">
        <f t="shared" si="7"/>
        <v>0</v>
      </c>
      <c r="AU72" s="130">
        <f t="shared" si="8"/>
        <v>-5112</v>
      </c>
      <c r="AV72" s="130">
        <f t="shared" si="9"/>
        <v>-62885</v>
      </c>
      <c r="AW72" s="130">
        <f t="shared" si="10"/>
        <v>0</v>
      </c>
      <c r="AX72" s="130">
        <f t="shared" si="11"/>
        <v>0</v>
      </c>
      <c r="AY72" s="130">
        <f t="shared" si="12"/>
        <v>0</v>
      </c>
      <c r="AZ72" s="130">
        <f t="shared" si="13"/>
        <v>-90238</v>
      </c>
      <c r="BB72" s="109">
        <f t="shared" si="14"/>
        <v>0</v>
      </c>
    </row>
    <row r="73" spans="1:54" ht="63" x14ac:dyDescent="0.25">
      <c r="A73" s="128"/>
      <c r="B73" s="353" t="s">
        <v>968</v>
      </c>
      <c r="C73" s="129"/>
      <c r="D73" s="130">
        <v>-176</v>
      </c>
      <c r="E73" s="130">
        <v>-10775</v>
      </c>
      <c r="F73" s="130"/>
      <c r="G73" s="592"/>
      <c r="H73" s="124">
        <f t="shared" si="42"/>
        <v>-10951</v>
      </c>
      <c r="I73" s="349"/>
      <c r="J73" s="349">
        <v>-58049</v>
      </c>
      <c r="K73" s="352"/>
      <c r="L73" s="127">
        <f t="shared" si="43"/>
        <v>-58049</v>
      </c>
      <c r="M73" s="349"/>
      <c r="N73" s="352"/>
      <c r="O73" s="350"/>
      <c r="P73" s="542">
        <f t="shared" si="44"/>
        <v>-69000</v>
      </c>
      <c r="R73" s="130"/>
      <c r="S73" s="130">
        <v>-176</v>
      </c>
      <c r="T73" s="130">
        <v>-10775</v>
      </c>
      <c r="U73" s="130"/>
      <c r="V73" s="130"/>
      <c r="W73" s="130"/>
      <c r="X73" s="130">
        <v>-58049</v>
      </c>
      <c r="Y73" s="130"/>
      <c r="Z73" s="130"/>
      <c r="AA73" s="130"/>
      <c r="AB73" s="130">
        <f t="shared" si="1"/>
        <v>-69000</v>
      </c>
      <c r="AC73" s="130"/>
      <c r="AD73" s="130"/>
      <c r="AE73" s="130"/>
      <c r="AF73" s="130"/>
      <c r="AG73" s="130"/>
      <c r="AH73" s="130"/>
      <c r="AI73" s="130"/>
      <c r="AJ73" s="130"/>
      <c r="AK73" s="130"/>
      <c r="AL73" s="130"/>
      <c r="AM73" s="130"/>
      <c r="AN73" s="130">
        <f t="shared" si="2"/>
        <v>0</v>
      </c>
      <c r="AO73" s="130"/>
      <c r="AP73" s="130">
        <f t="shared" si="3"/>
        <v>0</v>
      </c>
      <c r="AQ73" s="130">
        <f t="shared" si="4"/>
        <v>-176</v>
      </c>
      <c r="AR73" s="130">
        <f t="shared" si="5"/>
        <v>-10775</v>
      </c>
      <c r="AS73" s="130">
        <f t="shared" si="6"/>
        <v>0</v>
      </c>
      <c r="AT73" s="130">
        <f t="shared" si="7"/>
        <v>0</v>
      </c>
      <c r="AU73" s="130">
        <f t="shared" si="8"/>
        <v>0</v>
      </c>
      <c r="AV73" s="130">
        <f t="shared" si="9"/>
        <v>-58049</v>
      </c>
      <c r="AW73" s="130">
        <f t="shared" si="10"/>
        <v>0</v>
      </c>
      <c r="AX73" s="130">
        <f t="shared" si="11"/>
        <v>0</v>
      </c>
      <c r="AY73" s="130">
        <f t="shared" si="12"/>
        <v>0</v>
      </c>
      <c r="AZ73" s="130">
        <f t="shared" si="13"/>
        <v>-69000</v>
      </c>
      <c r="BB73" s="109">
        <f t="shared" si="14"/>
        <v>0</v>
      </c>
    </row>
    <row r="74" spans="1:54" ht="47.25" x14ac:dyDescent="0.25">
      <c r="A74" s="128"/>
      <c r="B74" s="353" t="s">
        <v>967</v>
      </c>
      <c r="C74" s="129">
        <v>-1400</v>
      </c>
      <c r="D74" s="130">
        <v>-308</v>
      </c>
      <c r="E74" s="130">
        <v>-53966</v>
      </c>
      <c r="F74" s="130"/>
      <c r="G74" s="592"/>
      <c r="H74" s="124">
        <f t="shared" si="42"/>
        <v>-55674</v>
      </c>
      <c r="I74" s="349">
        <v>-9144</v>
      </c>
      <c r="J74" s="349">
        <v>-285898</v>
      </c>
      <c r="K74" s="352"/>
      <c r="L74" s="127">
        <f t="shared" si="43"/>
        <v>-295042</v>
      </c>
      <c r="M74" s="349"/>
      <c r="N74" s="352"/>
      <c r="O74" s="350"/>
      <c r="P74" s="542">
        <f t="shared" si="44"/>
        <v>-350716</v>
      </c>
      <c r="R74" s="130">
        <v>-1400</v>
      </c>
      <c r="S74" s="130">
        <v>-308</v>
      </c>
      <c r="T74" s="130">
        <v>-53966</v>
      </c>
      <c r="U74" s="130"/>
      <c r="V74" s="130"/>
      <c r="W74" s="130">
        <v>-9144</v>
      </c>
      <c r="X74" s="130">
        <v>-285898</v>
      </c>
      <c r="Y74" s="130"/>
      <c r="Z74" s="130"/>
      <c r="AA74" s="130"/>
      <c r="AB74" s="130">
        <f t="shared" si="1"/>
        <v>-350716</v>
      </c>
      <c r="AC74" s="130"/>
      <c r="AD74" s="130"/>
      <c r="AE74" s="130"/>
      <c r="AF74" s="130"/>
      <c r="AG74" s="130"/>
      <c r="AH74" s="130"/>
      <c r="AI74" s="130"/>
      <c r="AJ74" s="130"/>
      <c r="AK74" s="130"/>
      <c r="AL74" s="130"/>
      <c r="AM74" s="130"/>
      <c r="AN74" s="130">
        <f t="shared" si="2"/>
        <v>0</v>
      </c>
      <c r="AO74" s="130"/>
      <c r="AP74" s="130">
        <f t="shared" si="3"/>
        <v>-1400</v>
      </c>
      <c r="AQ74" s="130">
        <f t="shared" si="4"/>
        <v>-308</v>
      </c>
      <c r="AR74" s="130">
        <f t="shared" si="5"/>
        <v>-53966</v>
      </c>
      <c r="AS74" s="130">
        <f t="shared" si="6"/>
        <v>0</v>
      </c>
      <c r="AT74" s="130">
        <f t="shared" si="7"/>
        <v>0</v>
      </c>
      <c r="AU74" s="130">
        <f t="shared" si="8"/>
        <v>-9144</v>
      </c>
      <c r="AV74" s="130">
        <f t="shared" si="9"/>
        <v>-285898</v>
      </c>
      <c r="AW74" s="130">
        <f t="shared" si="10"/>
        <v>0</v>
      </c>
      <c r="AX74" s="130">
        <f t="shared" si="11"/>
        <v>0</v>
      </c>
      <c r="AY74" s="130">
        <f t="shared" si="12"/>
        <v>0</v>
      </c>
      <c r="AZ74" s="130">
        <f t="shared" si="13"/>
        <v>-350716</v>
      </c>
      <c r="BB74" s="109">
        <f t="shared" si="14"/>
        <v>0</v>
      </c>
    </row>
    <row r="75" spans="1:54" x14ac:dyDescent="0.25">
      <c r="A75" s="128"/>
      <c r="B75" s="353"/>
      <c r="C75" s="129"/>
      <c r="D75" s="130"/>
      <c r="E75" s="130"/>
      <c r="F75" s="130"/>
      <c r="G75" s="592"/>
      <c r="H75" s="124"/>
      <c r="I75" s="349"/>
      <c r="J75" s="349"/>
      <c r="K75" s="352"/>
      <c r="L75" s="127"/>
      <c r="M75" s="349"/>
      <c r="N75" s="352"/>
      <c r="O75" s="350"/>
      <c r="P75" s="542"/>
      <c r="R75" s="130"/>
      <c r="S75" s="130"/>
      <c r="T75" s="130"/>
      <c r="U75" s="130"/>
      <c r="V75" s="130"/>
      <c r="W75" s="130"/>
      <c r="X75" s="130"/>
      <c r="Y75" s="130"/>
      <c r="Z75" s="130"/>
      <c r="AA75" s="130"/>
      <c r="AB75" s="130">
        <f t="shared" si="1"/>
        <v>0</v>
      </c>
      <c r="AC75" s="130"/>
      <c r="AD75" s="130"/>
      <c r="AE75" s="130"/>
      <c r="AF75" s="130"/>
      <c r="AG75" s="130"/>
      <c r="AH75" s="130"/>
      <c r="AI75" s="130"/>
      <c r="AJ75" s="130"/>
      <c r="AK75" s="130"/>
      <c r="AL75" s="130"/>
      <c r="AM75" s="130"/>
      <c r="AN75" s="130">
        <f t="shared" si="2"/>
        <v>0</v>
      </c>
      <c r="AO75" s="130"/>
      <c r="AP75" s="130">
        <f t="shared" si="3"/>
        <v>0</v>
      </c>
      <c r="AQ75" s="130">
        <f t="shared" si="4"/>
        <v>0</v>
      </c>
      <c r="AR75" s="130">
        <f t="shared" si="5"/>
        <v>0</v>
      </c>
      <c r="AS75" s="130">
        <f t="shared" si="6"/>
        <v>0</v>
      </c>
      <c r="AT75" s="130">
        <f t="shared" si="7"/>
        <v>0</v>
      </c>
      <c r="AU75" s="130">
        <f t="shared" si="8"/>
        <v>0</v>
      </c>
      <c r="AV75" s="130">
        <f t="shared" si="9"/>
        <v>0</v>
      </c>
      <c r="AW75" s="130">
        <f t="shared" si="10"/>
        <v>0</v>
      </c>
      <c r="AX75" s="130">
        <f t="shared" si="11"/>
        <v>0</v>
      </c>
      <c r="AY75" s="130">
        <f t="shared" si="12"/>
        <v>0</v>
      </c>
      <c r="AZ75" s="130">
        <f t="shared" si="13"/>
        <v>0</v>
      </c>
      <c r="BB75" s="109">
        <f t="shared" si="14"/>
        <v>0</v>
      </c>
    </row>
    <row r="76" spans="1:54" ht="47.25" x14ac:dyDescent="0.25">
      <c r="A76" s="132"/>
      <c r="B76" s="351" t="s">
        <v>924</v>
      </c>
      <c r="C76" s="129"/>
      <c r="D76" s="130"/>
      <c r="E76" s="130"/>
      <c r="F76" s="130"/>
      <c r="G76" s="140"/>
      <c r="H76" s="124"/>
      <c r="I76" s="129"/>
      <c r="J76" s="129"/>
      <c r="K76" s="131"/>
      <c r="L76" s="127"/>
      <c r="M76" s="129"/>
      <c r="N76" s="131"/>
      <c r="O76" s="262"/>
      <c r="P76" s="542"/>
      <c r="R76" s="130"/>
      <c r="S76" s="130"/>
      <c r="T76" s="130"/>
      <c r="U76" s="130"/>
      <c r="V76" s="130"/>
      <c r="W76" s="130"/>
      <c r="X76" s="130"/>
      <c r="Y76" s="130"/>
      <c r="Z76" s="130"/>
      <c r="AA76" s="130"/>
      <c r="AB76" s="130">
        <f t="shared" si="1"/>
        <v>0</v>
      </c>
      <c r="AC76" s="130"/>
      <c r="AD76" s="130"/>
      <c r="AE76" s="130"/>
      <c r="AF76" s="130"/>
      <c r="AG76" s="130"/>
      <c r="AH76" s="130"/>
      <c r="AI76" s="130"/>
      <c r="AJ76" s="130"/>
      <c r="AK76" s="130"/>
      <c r="AL76" s="130"/>
      <c r="AM76" s="130"/>
      <c r="AN76" s="130">
        <f t="shared" si="2"/>
        <v>0</v>
      </c>
      <c r="AO76" s="130"/>
      <c r="AP76" s="130">
        <f t="shared" si="3"/>
        <v>0</v>
      </c>
      <c r="AQ76" s="130">
        <f t="shared" si="4"/>
        <v>0</v>
      </c>
      <c r="AR76" s="130">
        <f t="shared" si="5"/>
        <v>0</v>
      </c>
      <c r="AS76" s="130">
        <f t="shared" si="6"/>
        <v>0</v>
      </c>
      <c r="AT76" s="130">
        <f t="shared" si="7"/>
        <v>0</v>
      </c>
      <c r="AU76" s="130">
        <f t="shared" si="8"/>
        <v>0</v>
      </c>
      <c r="AV76" s="130">
        <f t="shared" si="9"/>
        <v>0</v>
      </c>
      <c r="AW76" s="130">
        <f t="shared" si="10"/>
        <v>0</v>
      </c>
      <c r="AX76" s="130">
        <f t="shared" si="11"/>
        <v>0</v>
      </c>
      <c r="AY76" s="130">
        <f t="shared" si="12"/>
        <v>0</v>
      </c>
      <c r="AZ76" s="130">
        <f t="shared" si="13"/>
        <v>0</v>
      </c>
      <c r="BB76" s="109">
        <f t="shared" si="14"/>
        <v>0</v>
      </c>
    </row>
    <row r="77" spans="1:54" ht="63" x14ac:dyDescent="0.25">
      <c r="A77" s="132"/>
      <c r="B77" s="137" t="s">
        <v>962</v>
      </c>
      <c r="C77" s="129"/>
      <c r="D77" s="130"/>
      <c r="E77" s="130"/>
      <c r="F77" s="130"/>
      <c r="G77" s="263">
        <v>300</v>
      </c>
      <c r="H77" s="124">
        <f t="shared" ref="H77:H82" si="45">SUM(C77:G77)</f>
        <v>300</v>
      </c>
      <c r="I77" s="349"/>
      <c r="J77" s="349"/>
      <c r="K77" s="352"/>
      <c r="L77" s="127">
        <f t="shared" ref="L77:L82" si="46">SUM(I77:K77)</f>
        <v>0</v>
      </c>
      <c r="M77" s="349"/>
      <c r="N77" s="352"/>
      <c r="O77" s="350"/>
      <c r="P77" s="542">
        <f t="shared" ref="P77:P82" si="47">O77+L77+H77</f>
        <v>300</v>
      </c>
      <c r="R77" s="130"/>
      <c r="S77" s="130"/>
      <c r="T77" s="130"/>
      <c r="U77" s="130"/>
      <c r="V77" s="130">
        <v>300</v>
      </c>
      <c r="W77" s="130"/>
      <c r="X77" s="130"/>
      <c r="Y77" s="130"/>
      <c r="Z77" s="130"/>
      <c r="AA77" s="130"/>
      <c r="AB77" s="130">
        <f t="shared" si="1"/>
        <v>300</v>
      </c>
      <c r="AC77" s="130"/>
      <c r="AD77" s="130"/>
      <c r="AE77" s="130"/>
      <c r="AF77" s="130"/>
      <c r="AG77" s="130"/>
      <c r="AH77" s="130"/>
      <c r="AI77" s="130"/>
      <c r="AJ77" s="130"/>
      <c r="AK77" s="130"/>
      <c r="AL77" s="130"/>
      <c r="AM77" s="130"/>
      <c r="AN77" s="130">
        <f t="shared" si="2"/>
        <v>0</v>
      </c>
      <c r="AO77" s="130"/>
      <c r="AP77" s="130">
        <f t="shared" si="3"/>
        <v>0</v>
      </c>
      <c r="AQ77" s="130">
        <f t="shared" si="4"/>
        <v>0</v>
      </c>
      <c r="AR77" s="130">
        <f t="shared" si="5"/>
        <v>0</v>
      </c>
      <c r="AS77" s="130">
        <f t="shared" si="6"/>
        <v>0</v>
      </c>
      <c r="AT77" s="130">
        <f t="shared" si="7"/>
        <v>300</v>
      </c>
      <c r="AU77" s="130">
        <f t="shared" si="8"/>
        <v>0</v>
      </c>
      <c r="AV77" s="130">
        <f t="shared" si="9"/>
        <v>0</v>
      </c>
      <c r="AW77" s="130">
        <f t="shared" si="10"/>
        <v>0</v>
      </c>
      <c r="AX77" s="130">
        <f t="shared" si="11"/>
        <v>0</v>
      </c>
      <c r="AY77" s="130">
        <f t="shared" si="12"/>
        <v>0</v>
      </c>
      <c r="AZ77" s="130">
        <f t="shared" si="13"/>
        <v>300</v>
      </c>
      <c r="BB77" s="109">
        <f t="shared" si="14"/>
        <v>0</v>
      </c>
    </row>
    <row r="78" spans="1:54" ht="47.25" x14ac:dyDescent="0.25">
      <c r="A78" s="132"/>
      <c r="B78" s="137" t="s">
        <v>1172</v>
      </c>
      <c r="C78" s="129"/>
      <c r="D78" s="130"/>
      <c r="E78" s="130"/>
      <c r="F78" s="130"/>
      <c r="G78" s="263"/>
      <c r="H78" s="124">
        <f t="shared" si="45"/>
        <v>0</v>
      </c>
      <c r="I78" s="349">
        <v>16408</v>
      </c>
      <c r="J78" s="349"/>
      <c r="K78" s="352"/>
      <c r="L78" s="127">
        <f t="shared" si="46"/>
        <v>16408</v>
      </c>
      <c r="M78" s="349"/>
      <c r="N78" s="352"/>
      <c r="O78" s="350"/>
      <c r="P78" s="542">
        <f t="shared" si="47"/>
        <v>16408</v>
      </c>
      <c r="R78" s="130"/>
      <c r="S78" s="130"/>
      <c r="T78" s="130"/>
      <c r="U78" s="130"/>
      <c r="V78" s="130"/>
      <c r="W78" s="130">
        <v>16408</v>
      </c>
      <c r="X78" s="130"/>
      <c r="Y78" s="130"/>
      <c r="Z78" s="130"/>
      <c r="AA78" s="130"/>
      <c r="AB78" s="130">
        <f t="shared" si="1"/>
        <v>16408</v>
      </c>
      <c r="AC78" s="130"/>
      <c r="AD78" s="130"/>
      <c r="AE78" s="130"/>
      <c r="AF78" s="130"/>
      <c r="AG78" s="130"/>
      <c r="AH78" s="130"/>
      <c r="AI78" s="130"/>
      <c r="AJ78" s="130"/>
      <c r="AK78" s="130"/>
      <c r="AL78" s="130"/>
      <c r="AM78" s="130"/>
      <c r="AN78" s="130">
        <f t="shared" si="2"/>
        <v>0</v>
      </c>
      <c r="AO78" s="130"/>
      <c r="AP78" s="130">
        <f t="shared" si="3"/>
        <v>0</v>
      </c>
      <c r="AQ78" s="130">
        <f t="shared" si="4"/>
        <v>0</v>
      </c>
      <c r="AR78" s="130">
        <f t="shared" si="5"/>
        <v>0</v>
      </c>
      <c r="AS78" s="130">
        <f t="shared" si="6"/>
        <v>0</v>
      </c>
      <c r="AT78" s="130">
        <f t="shared" si="7"/>
        <v>0</v>
      </c>
      <c r="AU78" s="130">
        <f t="shared" si="8"/>
        <v>16408</v>
      </c>
      <c r="AV78" s="130">
        <f t="shared" si="9"/>
        <v>0</v>
      </c>
      <c r="AW78" s="130">
        <f t="shared" si="10"/>
        <v>0</v>
      </c>
      <c r="AX78" s="130">
        <f t="shared" si="11"/>
        <v>0</v>
      </c>
      <c r="AY78" s="130">
        <f t="shared" si="12"/>
        <v>0</v>
      </c>
      <c r="AZ78" s="130">
        <f t="shared" si="13"/>
        <v>16408</v>
      </c>
      <c r="BB78" s="109">
        <f t="shared" si="14"/>
        <v>0</v>
      </c>
    </row>
    <row r="79" spans="1:54" ht="78.75" x14ac:dyDescent="0.25">
      <c r="A79" s="132"/>
      <c r="B79" s="137" t="s">
        <v>964</v>
      </c>
      <c r="C79" s="129"/>
      <c r="D79" s="130"/>
      <c r="E79" s="130"/>
      <c r="F79" s="130"/>
      <c r="G79" s="263"/>
      <c r="H79" s="124">
        <f t="shared" si="45"/>
        <v>0</v>
      </c>
      <c r="I79" s="554">
        <v>4355</v>
      </c>
      <c r="J79" s="349"/>
      <c r="K79" s="352"/>
      <c r="L79" s="127">
        <f t="shared" si="46"/>
        <v>4355</v>
      </c>
      <c r="M79" s="349"/>
      <c r="N79" s="352"/>
      <c r="O79" s="350"/>
      <c r="P79" s="542">
        <f t="shared" si="47"/>
        <v>4355</v>
      </c>
      <c r="R79" s="130"/>
      <c r="S79" s="130"/>
      <c r="T79" s="130"/>
      <c r="U79" s="130"/>
      <c r="V79" s="130"/>
      <c r="W79" s="130">
        <v>4355</v>
      </c>
      <c r="X79" s="130"/>
      <c r="Y79" s="130"/>
      <c r="Z79" s="130"/>
      <c r="AA79" s="130"/>
      <c r="AB79" s="130">
        <f t="shared" si="1"/>
        <v>4355</v>
      </c>
      <c r="AC79" s="130"/>
      <c r="AD79" s="130"/>
      <c r="AE79" s="130"/>
      <c r="AF79" s="130"/>
      <c r="AG79" s="130"/>
      <c r="AH79" s="130"/>
      <c r="AI79" s="130"/>
      <c r="AJ79" s="130"/>
      <c r="AK79" s="130"/>
      <c r="AL79" s="130"/>
      <c r="AM79" s="130"/>
      <c r="AN79" s="130">
        <f t="shared" si="2"/>
        <v>0</v>
      </c>
      <c r="AO79" s="130"/>
      <c r="AP79" s="130">
        <f t="shared" si="3"/>
        <v>0</v>
      </c>
      <c r="AQ79" s="130">
        <f t="shared" si="4"/>
        <v>0</v>
      </c>
      <c r="AR79" s="130">
        <f t="shared" si="5"/>
        <v>0</v>
      </c>
      <c r="AS79" s="130">
        <f t="shared" si="6"/>
        <v>0</v>
      </c>
      <c r="AT79" s="130">
        <f t="shared" si="7"/>
        <v>0</v>
      </c>
      <c r="AU79" s="130">
        <f t="shared" si="8"/>
        <v>4355</v>
      </c>
      <c r="AV79" s="130">
        <f t="shared" si="9"/>
        <v>0</v>
      </c>
      <c r="AW79" s="130">
        <f t="shared" si="10"/>
        <v>0</v>
      </c>
      <c r="AX79" s="130">
        <f t="shared" si="11"/>
        <v>0</v>
      </c>
      <c r="AY79" s="130">
        <f t="shared" si="12"/>
        <v>0</v>
      </c>
      <c r="AZ79" s="130">
        <f t="shared" si="13"/>
        <v>4355</v>
      </c>
      <c r="BB79" s="109">
        <f t="shared" si="14"/>
        <v>0</v>
      </c>
    </row>
    <row r="80" spans="1:54" ht="31.5" x14ac:dyDescent="0.25">
      <c r="A80" s="132"/>
      <c r="B80" s="353" t="s">
        <v>965</v>
      </c>
      <c r="C80" s="129"/>
      <c r="D80" s="130"/>
      <c r="E80" s="130"/>
      <c r="F80" s="130"/>
      <c r="G80" s="263"/>
      <c r="H80" s="124">
        <f t="shared" si="45"/>
        <v>0</v>
      </c>
      <c r="I80" s="554">
        <v>61075</v>
      </c>
      <c r="J80" s="349"/>
      <c r="K80" s="352"/>
      <c r="L80" s="127">
        <f t="shared" si="46"/>
        <v>61075</v>
      </c>
      <c r="M80" s="349"/>
      <c r="N80" s="352"/>
      <c r="O80" s="350"/>
      <c r="P80" s="542">
        <f t="shared" si="47"/>
        <v>61075</v>
      </c>
      <c r="R80" s="130"/>
      <c r="S80" s="130"/>
      <c r="T80" s="130"/>
      <c r="U80" s="130"/>
      <c r="V80" s="130"/>
      <c r="W80" s="130">
        <v>61075</v>
      </c>
      <c r="X80" s="130"/>
      <c r="Y80" s="130"/>
      <c r="Z80" s="130"/>
      <c r="AA80" s="130"/>
      <c r="AB80" s="130">
        <f t="shared" ref="AB80:AB142" si="48">SUM(R80:AA80)</f>
        <v>61075</v>
      </c>
      <c r="AC80" s="130"/>
      <c r="AD80" s="130"/>
      <c r="AE80" s="130"/>
      <c r="AF80" s="130"/>
      <c r="AG80" s="130"/>
      <c r="AH80" s="130"/>
      <c r="AI80" s="130"/>
      <c r="AJ80" s="130"/>
      <c r="AK80" s="130"/>
      <c r="AL80" s="130"/>
      <c r="AM80" s="130"/>
      <c r="AN80" s="130">
        <f t="shared" ref="AN80:AN142" si="49">SUM(AD80:AM80)</f>
        <v>0</v>
      </c>
      <c r="AO80" s="130"/>
      <c r="AP80" s="130">
        <f t="shared" ref="AP80:AP142" si="50">SUM(R80,AD80)</f>
        <v>0</v>
      </c>
      <c r="AQ80" s="130">
        <f t="shared" ref="AQ80:AQ142" si="51">SUM(S80,AE80)</f>
        <v>0</v>
      </c>
      <c r="AR80" s="130">
        <f t="shared" ref="AR80:AR142" si="52">SUM(T80,AF80)</f>
        <v>0</v>
      </c>
      <c r="AS80" s="130">
        <f t="shared" ref="AS80:AS142" si="53">SUM(U80,AG80)</f>
        <v>0</v>
      </c>
      <c r="AT80" s="130">
        <f t="shared" ref="AT80:AT142" si="54">SUM(V80,AH80)</f>
        <v>0</v>
      </c>
      <c r="AU80" s="130">
        <f t="shared" ref="AU80:AU142" si="55">SUM(W80,AI80)</f>
        <v>61075</v>
      </c>
      <c r="AV80" s="130">
        <f t="shared" ref="AV80:AV142" si="56">SUM(X80,AJ80)</f>
        <v>0</v>
      </c>
      <c r="AW80" s="130">
        <f t="shared" ref="AW80:AW142" si="57">SUM(Y80,AK80)</f>
        <v>0</v>
      </c>
      <c r="AX80" s="130">
        <f t="shared" ref="AX80:AX142" si="58">SUM(Z80,AL80)</f>
        <v>0</v>
      </c>
      <c r="AY80" s="130">
        <f t="shared" ref="AY80:AY142" si="59">SUM(AA80,AM80)</f>
        <v>0</v>
      </c>
      <c r="AZ80" s="130">
        <f t="shared" ref="AZ80:AZ142" si="60">SUM(AB80,AN80)</f>
        <v>61075</v>
      </c>
      <c r="BB80" s="109">
        <f t="shared" si="14"/>
        <v>0</v>
      </c>
    </row>
    <row r="81" spans="1:54" ht="31.5" x14ac:dyDescent="0.25">
      <c r="A81" s="132"/>
      <c r="B81" s="353" t="s">
        <v>966</v>
      </c>
      <c r="C81" s="129"/>
      <c r="D81" s="130"/>
      <c r="E81" s="130"/>
      <c r="F81" s="130"/>
      <c r="G81" s="263"/>
      <c r="H81" s="124">
        <f t="shared" si="45"/>
        <v>0</v>
      </c>
      <c r="I81" s="349">
        <v>5112</v>
      </c>
      <c r="J81" s="349"/>
      <c r="K81" s="352"/>
      <c r="L81" s="127">
        <f t="shared" si="46"/>
        <v>5112</v>
      </c>
      <c r="M81" s="349"/>
      <c r="N81" s="352"/>
      <c r="O81" s="350"/>
      <c r="P81" s="542">
        <f t="shared" si="47"/>
        <v>5112</v>
      </c>
      <c r="R81" s="130"/>
      <c r="S81" s="130"/>
      <c r="T81" s="130"/>
      <c r="U81" s="130"/>
      <c r="V81" s="130"/>
      <c r="W81" s="130">
        <v>5112</v>
      </c>
      <c r="X81" s="130"/>
      <c r="Y81" s="130"/>
      <c r="Z81" s="130"/>
      <c r="AA81" s="130"/>
      <c r="AB81" s="130">
        <f t="shared" si="48"/>
        <v>5112</v>
      </c>
      <c r="AC81" s="130"/>
      <c r="AD81" s="130"/>
      <c r="AE81" s="130"/>
      <c r="AF81" s="130"/>
      <c r="AG81" s="130"/>
      <c r="AH81" s="130"/>
      <c r="AI81" s="130"/>
      <c r="AJ81" s="130"/>
      <c r="AK81" s="130"/>
      <c r="AL81" s="130"/>
      <c r="AM81" s="130"/>
      <c r="AN81" s="130">
        <f t="shared" si="49"/>
        <v>0</v>
      </c>
      <c r="AO81" s="130"/>
      <c r="AP81" s="130">
        <f t="shared" si="50"/>
        <v>0</v>
      </c>
      <c r="AQ81" s="130">
        <f t="shared" si="51"/>
        <v>0</v>
      </c>
      <c r="AR81" s="130">
        <f t="shared" si="52"/>
        <v>0</v>
      </c>
      <c r="AS81" s="130">
        <f t="shared" si="53"/>
        <v>0</v>
      </c>
      <c r="AT81" s="130">
        <f t="shared" si="54"/>
        <v>0</v>
      </c>
      <c r="AU81" s="130">
        <f t="shared" si="55"/>
        <v>5112</v>
      </c>
      <c r="AV81" s="130">
        <f t="shared" si="56"/>
        <v>0</v>
      </c>
      <c r="AW81" s="130">
        <f t="shared" si="57"/>
        <v>0</v>
      </c>
      <c r="AX81" s="130">
        <f t="shared" si="58"/>
        <v>0</v>
      </c>
      <c r="AY81" s="130">
        <f t="shared" si="59"/>
        <v>0</v>
      </c>
      <c r="AZ81" s="130">
        <f t="shared" si="60"/>
        <v>5112</v>
      </c>
      <c r="BB81" s="109">
        <f t="shared" si="14"/>
        <v>0</v>
      </c>
    </row>
    <row r="82" spans="1:54" ht="47.25" x14ac:dyDescent="0.25">
      <c r="A82" s="132"/>
      <c r="B82" s="353" t="s">
        <v>967</v>
      </c>
      <c r="C82" s="129"/>
      <c r="D82" s="130"/>
      <c r="E82" s="130"/>
      <c r="F82" s="130"/>
      <c r="G82" s="263"/>
      <c r="H82" s="124">
        <f t="shared" si="45"/>
        <v>0</v>
      </c>
      <c r="I82" s="349"/>
      <c r="J82" s="349">
        <v>8370</v>
      </c>
      <c r="K82" s="352"/>
      <c r="L82" s="127">
        <f t="shared" si="46"/>
        <v>8370</v>
      </c>
      <c r="M82" s="349"/>
      <c r="N82" s="352"/>
      <c r="O82" s="350"/>
      <c r="P82" s="542">
        <f t="shared" si="47"/>
        <v>8370</v>
      </c>
      <c r="R82" s="130"/>
      <c r="S82" s="130"/>
      <c r="T82" s="130"/>
      <c r="U82" s="130"/>
      <c r="V82" s="130"/>
      <c r="W82" s="130"/>
      <c r="X82" s="130">
        <v>8370</v>
      </c>
      <c r="Y82" s="130"/>
      <c r="Z82" s="130"/>
      <c r="AA82" s="130"/>
      <c r="AB82" s="130">
        <f t="shared" si="48"/>
        <v>8370</v>
      </c>
      <c r="AC82" s="130"/>
      <c r="AD82" s="130"/>
      <c r="AE82" s="130"/>
      <c r="AF82" s="130"/>
      <c r="AG82" s="130"/>
      <c r="AH82" s="130"/>
      <c r="AI82" s="130"/>
      <c r="AJ82" s="130"/>
      <c r="AK82" s="130"/>
      <c r="AL82" s="130"/>
      <c r="AM82" s="130"/>
      <c r="AN82" s="130">
        <f t="shared" si="49"/>
        <v>0</v>
      </c>
      <c r="AO82" s="130"/>
      <c r="AP82" s="130">
        <f t="shared" si="50"/>
        <v>0</v>
      </c>
      <c r="AQ82" s="130">
        <f t="shared" si="51"/>
        <v>0</v>
      </c>
      <c r="AR82" s="130">
        <f t="shared" si="52"/>
        <v>0</v>
      </c>
      <c r="AS82" s="130">
        <f t="shared" si="53"/>
        <v>0</v>
      </c>
      <c r="AT82" s="130">
        <f t="shared" si="54"/>
        <v>0</v>
      </c>
      <c r="AU82" s="130">
        <f t="shared" si="55"/>
        <v>0</v>
      </c>
      <c r="AV82" s="130">
        <f t="shared" si="56"/>
        <v>8370</v>
      </c>
      <c r="AW82" s="130">
        <f t="shared" si="57"/>
        <v>0</v>
      </c>
      <c r="AX82" s="130">
        <f t="shared" si="58"/>
        <v>0</v>
      </c>
      <c r="AY82" s="130">
        <f t="shared" si="59"/>
        <v>0</v>
      </c>
      <c r="AZ82" s="130">
        <f t="shared" si="60"/>
        <v>8370</v>
      </c>
      <c r="BB82" s="109">
        <f t="shared" ref="BB82:BB144" si="61">+P82-AZ82</f>
        <v>0</v>
      </c>
    </row>
    <row r="83" spans="1:54" x14ac:dyDescent="0.25">
      <c r="A83" s="132"/>
      <c r="B83" s="138"/>
      <c r="C83" s="129"/>
      <c r="D83" s="130"/>
      <c r="E83" s="130"/>
      <c r="F83" s="130"/>
      <c r="G83" s="140"/>
      <c r="H83" s="124"/>
      <c r="I83" s="349"/>
      <c r="J83" s="349"/>
      <c r="K83" s="352"/>
      <c r="L83" s="127"/>
      <c r="M83" s="349"/>
      <c r="N83" s="352"/>
      <c r="O83" s="350"/>
      <c r="P83" s="542"/>
      <c r="R83" s="130"/>
      <c r="S83" s="130"/>
      <c r="T83" s="130"/>
      <c r="U83" s="130"/>
      <c r="V83" s="130"/>
      <c r="W83" s="130"/>
      <c r="X83" s="130"/>
      <c r="Y83" s="130"/>
      <c r="Z83" s="130"/>
      <c r="AA83" s="130"/>
      <c r="AB83" s="130">
        <f t="shared" si="48"/>
        <v>0</v>
      </c>
      <c r="AC83" s="130"/>
      <c r="AD83" s="130"/>
      <c r="AE83" s="130"/>
      <c r="AF83" s="130"/>
      <c r="AG83" s="130"/>
      <c r="AH83" s="130"/>
      <c r="AI83" s="130"/>
      <c r="AJ83" s="130"/>
      <c r="AK83" s="130"/>
      <c r="AL83" s="130"/>
      <c r="AM83" s="130"/>
      <c r="AN83" s="130">
        <f t="shared" si="49"/>
        <v>0</v>
      </c>
      <c r="AO83" s="130"/>
      <c r="AP83" s="130">
        <f t="shared" si="50"/>
        <v>0</v>
      </c>
      <c r="AQ83" s="130">
        <f t="shared" si="51"/>
        <v>0</v>
      </c>
      <c r="AR83" s="130">
        <f t="shared" si="52"/>
        <v>0</v>
      </c>
      <c r="AS83" s="130">
        <f t="shared" si="53"/>
        <v>0</v>
      </c>
      <c r="AT83" s="130">
        <f t="shared" si="54"/>
        <v>0</v>
      </c>
      <c r="AU83" s="130">
        <f t="shared" si="55"/>
        <v>0</v>
      </c>
      <c r="AV83" s="130">
        <f t="shared" si="56"/>
        <v>0</v>
      </c>
      <c r="AW83" s="130">
        <f t="shared" si="57"/>
        <v>0</v>
      </c>
      <c r="AX83" s="130">
        <f t="shared" si="58"/>
        <v>0</v>
      </c>
      <c r="AY83" s="130">
        <f t="shared" si="59"/>
        <v>0</v>
      </c>
      <c r="AZ83" s="130">
        <f t="shared" si="60"/>
        <v>0</v>
      </c>
      <c r="BB83" s="109">
        <f t="shared" si="61"/>
        <v>0</v>
      </c>
    </row>
    <row r="84" spans="1:54" ht="47.25" x14ac:dyDescent="0.25">
      <c r="A84" s="132"/>
      <c r="B84" s="351" t="s">
        <v>969</v>
      </c>
      <c r="C84" s="129"/>
      <c r="D84" s="130"/>
      <c r="E84" s="130"/>
      <c r="F84" s="130"/>
      <c r="G84" s="140"/>
      <c r="H84" s="124"/>
      <c r="I84" s="129"/>
      <c r="J84" s="129"/>
      <c r="K84" s="131"/>
      <c r="L84" s="127"/>
      <c r="M84" s="129"/>
      <c r="N84" s="131"/>
      <c r="O84" s="262"/>
      <c r="P84" s="542"/>
      <c r="R84" s="130"/>
      <c r="S84" s="130"/>
      <c r="T84" s="130"/>
      <c r="U84" s="130"/>
      <c r="V84" s="130"/>
      <c r="W84" s="130"/>
      <c r="X84" s="130"/>
      <c r="Y84" s="130"/>
      <c r="Z84" s="130"/>
      <c r="AA84" s="130"/>
      <c r="AB84" s="130">
        <f t="shared" si="48"/>
        <v>0</v>
      </c>
      <c r="AC84" s="130"/>
      <c r="AD84" s="130"/>
      <c r="AE84" s="130"/>
      <c r="AF84" s="130"/>
      <c r="AG84" s="130"/>
      <c r="AH84" s="130"/>
      <c r="AI84" s="130"/>
      <c r="AJ84" s="130"/>
      <c r="AK84" s="130"/>
      <c r="AL84" s="130"/>
      <c r="AM84" s="130"/>
      <c r="AN84" s="130">
        <f t="shared" si="49"/>
        <v>0</v>
      </c>
      <c r="AO84" s="130"/>
      <c r="AP84" s="130">
        <f t="shared" si="50"/>
        <v>0</v>
      </c>
      <c r="AQ84" s="130">
        <f t="shared" si="51"/>
        <v>0</v>
      </c>
      <c r="AR84" s="130">
        <f t="shared" si="52"/>
        <v>0</v>
      </c>
      <c r="AS84" s="130">
        <f t="shared" si="53"/>
        <v>0</v>
      </c>
      <c r="AT84" s="130">
        <f t="shared" si="54"/>
        <v>0</v>
      </c>
      <c r="AU84" s="130">
        <f t="shared" si="55"/>
        <v>0</v>
      </c>
      <c r="AV84" s="130">
        <f t="shared" si="56"/>
        <v>0</v>
      </c>
      <c r="AW84" s="130">
        <f t="shared" si="57"/>
        <v>0</v>
      </c>
      <c r="AX84" s="130">
        <f t="shared" si="58"/>
        <v>0</v>
      </c>
      <c r="AY84" s="130">
        <f t="shared" si="59"/>
        <v>0</v>
      </c>
      <c r="AZ84" s="130">
        <f t="shared" si="60"/>
        <v>0</v>
      </c>
      <c r="BB84" s="109">
        <f t="shared" si="61"/>
        <v>0</v>
      </c>
    </row>
    <row r="85" spans="1:54" ht="63" x14ac:dyDescent="0.25">
      <c r="A85" s="128"/>
      <c r="B85" s="353" t="s">
        <v>968</v>
      </c>
      <c r="C85" s="129"/>
      <c r="D85" s="130"/>
      <c r="E85" s="139"/>
      <c r="F85" s="130"/>
      <c r="G85" s="592"/>
      <c r="H85" s="124">
        <f t="shared" ref="H85" si="62">SUM(C85:G85)</f>
        <v>0</v>
      </c>
      <c r="I85" s="349"/>
      <c r="J85" s="349">
        <v>-1912</v>
      </c>
      <c r="K85" s="352"/>
      <c r="L85" s="127">
        <f t="shared" ref="L85" si="63">SUM(I85:K85)</f>
        <v>-1912</v>
      </c>
      <c r="M85" s="349"/>
      <c r="N85" s="352"/>
      <c r="O85" s="350"/>
      <c r="P85" s="542">
        <f t="shared" ref="P85" si="64">O85+L85+H85</f>
        <v>-1912</v>
      </c>
      <c r="R85" s="130"/>
      <c r="S85" s="130"/>
      <c r="T85" s="130"/>
      <c r="U85" s="130"/>
      <c r="V85" s="130"/>
      <c r="W85" s="130"/>
      <c r="X85" s="130">
        <v>-1912</v>
      </c>
      <c r="Y85" s="130"/>
      <c r="Z85" s="130"/>
      <c r="AA85" s="130"/>
      <c r="AB85" s="130">
        <f t="shared" si="48"/>
        <v>-1912</v>
      </c>
      <c r="AC85" s="130"/>
      <c r="AD85" s="130"/>
      <c r="AE85" s="130"/>
      <c r="AF85" s="130"/>
      <c r="AG85" s="130"/>
      <c r="AH85" s="130"/>
      <c r="AI85" s="130"/>
      <c r="AJ85" s="130"/>
      <c r="AK85" s="130"/>
      <c r="AL85" s="130"/>
      <c r="AM85" s="130"/>
      <c r="AN85" s="130">
        <f t="shared" si="49"/>
        <v>0</v>
      </c>
      <c r="AO85" s="130"/>
      <c r="AP85" s="130">
        <f t="shared" si="50"/>
        <v>0</v>
      </c>
      <c r="AQ85" s="130">
        <f t="shared" si="51"/>
        <v>0</v>
      </c>
      <c r="AR85" s="130">
        <f t="shared" si="52"/>
        <v>0</v>
      </c>
      <c r="AS85" s="130">
        <f t="shared" si="53"/>
        <v>0</v>
      </c>
      <c r="AT85" s="130">
        <f t="shared" si="54"/>
        <v>0</v>
      </c>
      <c r="AU85" s="130">
        <f t="shared" si="55"/>
        <v>0</v>
      </c>
      <c r="AV85" s="130">
        <f t="shared" si="56"/>
        <v>-1912</v>
      </c>
      <c r="AW85" s="130">
        <f t="shared" si="57"/>
        <v>0</v>
      </c>
      <c r="AX85" s="130">
        <f t="shared" si="58"/>
        <v>0</v>
      </c>
      <c r="AY85" s="130">
        <f t="shared" si="59"/>
        <v>0</v>
      </c>
      <c r="AZ85" s="130">
        <f t="shared" si="60"/>
        <v>-1912</v>
      </c>
      <c r="BB85" s="109">
        <f t="shared" si="61"/>
        <v>0</v>
      </c>
    </row>
    <row r="86" spans="1:54" x14ac:dyDescent="0.25">
      <c r="A86" s="132"/>
      <c r="B86" s="351"/>
      <c r="C86" s="129"/>
      <c r="D86" s="130"/>
      <c r="E86" s="130"/>
      <c r="F86" s="130"/>
      <c r="G86" s="140"/>
      <c r="H86" s="124"/>
      <c r="I86" s="129"/>
      <c r="J86" s="129"/>
      <c r="K86" s="131"/>
      <c r="L86" s="127"/>
      <c r="M86" s="129"/>
      <c r="N86" s="131"/>
      <c r="O86" s="262"/>
      <c r="P86" s="542"/>
      <c r="R86" s="130"/>
      <c r="S86" s="130"/>
      <c r="T86" s="130"/>
      <c r="U86" s="130"/>
      <c r="V86" s="130"/>
      <c r="W86" s="130"/>
      <c r="X86" s="130"/>
      <c r="Y86" s="130"/>
      <c r="Z86" s="130"/>
      <c r="AA86" s="130"/>
      <c r="AB86" s="130">
        <f t="shared" si="48"/>
        <v>0</v>
      </c>
      <c r="AC86" s="130"/>
      <c r="AD86" s="130"/>
      <c r="AE86" s="130"/>
      <c r="AF86" s="130"/>
      <c r="AG86" s="130"/>
      <c r="AH86" s="130"/>
      <c r="AI86" s="130"/>
      <c r="AJ86" s="130"/>
      <c r="AK86" s="130"/>
      <c r="AL86" s="130"/>
      <c r="AM86" s="130"/>
      <c r="AN86" s="130">
        <f t="shared" si="49"/>
        <v>0</v>
      </c>
      <c r="AO86" s="130"/>
      <c r="AP86" s="130">
        <f t="shared" si="50"/>
        <v>0</v>
      </c>
      <c r="AQ86" s="130">
        <f t="shared" si="51"/>
        <v>0</v>
      </c>
      <c r="AR86" s="130">
        <f t="shared" si="52"/>
        <v>0</v>
      </c>
      <c r="AS86" s="130">
        <f t="shared" si="53"/>
        <v>0</v>
      </c>
      <c r="AT86" s="130">
        <f t="shared" si="54"/>
        <v>0</v>
      </c>
      <c r="AU86" s="130">
        <f t="shared" si="55"/>
        <v>0</v>
      </c>
      <c r="AV86" s="130">
        <f t="shared" si="56"/>
        <v>0</v>
      </c>
      <c r="AW86" s="130">
        <f t="shared" si="57"/>
        <v>0</v>
      </c>
      <c r="AX86" s="130">
        <f t="shared" si="58"/>
        <v>0</v>
      </c>
      <c r="AY86" s="130">
        <f t="shared" si="59"/>
        <v>0</v>
      </c>
      <c r="AZ86" s="130">
        <f t="shared" si="60"/>
        <v>0</v>
      </c>
      <c r="BB86" s="109">
        <f t="shared" si="61"/>
        <v>0</v>
      </c>
    </row>
    <row r="87" spans="1:54" ht="31.5" x14ac:dyDescent="0.25">
      <c r="A87" s="132"/>
      <c r="B87" s="351" t="s">
        <v>385</v>
      </c>
      <c r="C87" s="129"/>
      <c r="D87" s="130"/>
      <c r="E87" s="130"/>
      <c r="F87" s="130"/>
      <c r="G87" s="140"/>
      <c r="H87" s="124"/>
      <c r="I87" s="129"/>
      <c r="J87" s="129"/>
      <c r="K87" s="131"/>
      <c r="L87" s="127"/>
      <c r="M87" s="129"/>
      <c r="N87" s="131"/>
      <c r="O87" s="262"/>
      <c r="P87" s="542"/>
      <c r="R87" s="130"/>
      <c r="S87" s="130"/>
      <c r="T87" s="130"/>
      <c r="U87" s="130"/>
      <c r="V87" s="130"/>
      <c r="W87" s="130"/>
      <c r="X87" s="130"/>
      <c r="Y87" s="130"/>
      <c r="Z87" s="130"/>
      <c r="AA87" s="130"/>
      <c r="AB87" s="130">
        <f t="shared" si="48"/>
        <v>0</v>
      </c>
      <c r="AC87" s="130"/>
      <c r="AD87" s="130"/>
      <c r="AE87" s="130"/>
      <c r="AF87" s="130"/>
      <c r="AG87" s="130"/>
      <c r="AH87" s="130"/>
      <c r="AI87" s="130"/>
      <c r="AJ87" s="130"/>
      <c r="AK87" s="130"/>
      <c r="AL87" s="130"/>
      <c r="AM87" s="130"/>
      <c r="AN87" s="130">
        <f t="shared" si="49"/>
        <v>0</v>
      </c>
      <c r="AO87" s="130"/>
      <c r="AP87" s="130">
        <f t="shared" si="50"/>
        <v>0</v>
      </c>
      <c r="AQ87" s="130">
        <f t="shared" si="51"/>
        <v>0</v>
      </c>
      <c r="AR87" s="130">
        <f t="shared" si="52"/>
        <v>0</v>
      </c>
      <c r="AS87" s="130">
        <f t="shared" si="53"/>
        <v>0</v>
      </c>
      <c r="AT87" s="130">
        <f t="shared" si="54"/>
        <v>0</v>
      </c>
      <c r="AU87" s="130">
        <f t="shared" si="55"/>
        <v>0</v>
      </c>
      <c r="AV87" s="130">
        <f t="shared" si="56"/>
        <v>0</v>
      </c>
      <c r="AW87" s="130">
        <f t="shared" si="57"/>
        <v>0</v>
      </c>
      <c r="AX87" s="130">
        <f t="shared" si="58"/>
        <v>0</v>
      </c>
      <c r="AY87" s="130">
        <f t="shared" si="59"/>
        <v>0</v>
      </c>
      <c r="AZ87" s="130">
        <f t="shared" si="60"/>
        <v>0</v>
      </c>
      <c r="BB87" s="109">
        <f t="shared" si="61"/>
        <v>0</v>
      </c>
    </row>
    <row r="88" spans="1:54" ht="47.25" x14ac:dyDescent="0.25">
      <c r="A88" s="128"/>
      <c r="B88" s="353" t="s">
        <v>996</v>
      </c>
      <c r="C88" s="129"/>
      <c r="D88" s="130"/>
      <c r="E88" s="139"/>
      <c r="F88" s="130"/>
      <c r="G88" s="592"/>
      <c r="H88" s="124">
        <f t="shared" ref="H88" si="65">SUM(C88:G88)</f>
        <v>0</v>
      </c>
      <c r="I88" s="349"/>
      <c r="J88" s="349">
        <v>1371</v>
      </c>
      <c r="K88" s="352"/>
      <c r="L88" s="127">
        <f t="shared" ref="L88" si="66">SUM(I88:K88)</f>
        <v>1371</v>
      </c>
      <c r="M88" s="349"/>
      <c r="N88" s="352"/>
      <c r="O88" s="350"/>
      <c r="P88" s="542">
        <f t="shared" ref="P88" si="67">O88+L88+H88</f>
        <v>1371</v>
      </c>
      <c r="R88" s="130"/>
      <c r="S88" s="130"/>
      <c r="T88" s="130"/>
      <c r="U88" s="130"/>
      <c r="V88" s="130"/>
      <c r="W88" s="130"/>
      <c r="X88" s="130">
        <v>1371</v>
      </c>
      <c r="Y88" s="130"/>
      <c r="Z88" s="130"/>
      <c r="AA88" s="130"/>
      <c r="AB88" s="130">
        <f t="shared" si="48"/>
        <v>1371</v>
      </c>
      <c r="AC88" s="130"/>
      <c r="AD88" s="130"/>
      <c r="AE88" s="130"/>
      <c r="AF88" s="130"/>
      <c r="AG88" s="130"/>
      <c r="AH88" s="130"/>
      <c r="AI88" s="130"/>
      <c r="AJ88" s="130"/>
      <c r="AK88" s="130"/>
      <c r="AL88" s="130"/>
      <c r="AM88" s="130"/>
      <c r="AN88" s="130">
        <f t="shared" si="49"/>
        <v>0</v>
      </c>
      <c r="AO88" s="130"/>
      <c r="AP88" s="130">
        <f t="shared" si="50"/>
        <v>0</v>
      </c>
      <c r="AQ88" s="130">
        <f t="shared" si="51"/>
        <v>0</v>
      </c>
      <c r="AR88" s="130">
        <f t="shared" si="52"/>
        <v>0</v>
      </c>
      <c r="AS88" s="130">
        <f t="shared" si="53"/>
        <v>0</v>
      </c>
      <c r="AT88" s="130">
        <f t="shared" si="54"/>
        <v>0</v>
      </c>
      <c r="AU88" s="130">
        <f t="shared" si="55"/>
        <v>0</v>
      </c>
      <c r="AV88" s="130">
        <f t="shared" si="56"/>
        <v>1371</v>
      </c>
      <c r="AW88" s="130">
        <f t="shared" si="57"/>
        <v>0</v>
      </c>
      <c r="AX88" s="130">
        <f t="shared" si="58"/>
        <v>0</v>
      </c>
      <c r="AY88" s="130">
        <f t="shared" si="59"/>
        <v>0</v>
      </c>
      <c r="AZ88" s="130">
        <f t="shared" si="60"/>
        <v>1371</v>
      </c>
      <c r="BB88" s="109">
        <f t="shared" si="61"/>
        <v>0</v>
      </c>
    </row>
    <row r="89" spans="1:54" x14ac:dyDescent="0.25">
      <c r="A89" s="132"/>
      <c r="B89" s="351"/>
      <c r="C89" s="129"/>
      <c r="D89" s="130"/>
      <c r="E89" s="130"/>
      <c r="F89" s="130"/>
      <c r="G89" s="140"/>
      <c r="H89" s="124"/>
      <c r="I89" s="129"/>
      <c r="J89" s="129"/>
      <c r="K89" s="131"/>
      <c r="L89" s="127"/>
      <c r="M89" s="129"/>
      <c r="N89" s="131"/>
      <c r="O89" s="262"/>
      <c r="P89" s="542"/>
      <c r="R89" s="130"/>
      <c r="S89" s="130"/>
      <c r="T89" s="130"/>
      <c r="U89" s="130"/>
      <c r="V89" s="130"/>
      <c r="W89" s="130"/>
      <c r="X89" s="130"/>
      <c r="Y89" s="130"/>
      <c r="Z89" s="130"/>
      <c r="AA89" s="130"/>
      <c r="AB89" s="130">
        <f t="shared" si="48"/>
        <v>0</v>
      </c>
      <c r="AC89" s="130"/>
      <c r="AD89" s="130"/>
      <c r="AE89" s="130"/>
      <c r="AF89" s="130"/>
      <c r="AG89" s="130"/>
      <c r="AH89" s="130"/>
      <c r="AI89" s="130"/>
      <c r="AJ89" s="130"/>
      <c r="AK89" s="130"/>
      <c r="AL89" s="130"/>
      <c r="AM89" s="130"/>
      <c r="AN89" s="130">
        <f t="shared" si="49"/>
        <v>0</v>
      </c>
      <c r="AO89" s="130"/>
      <c r="AP89" s="130">
        <f t="shared" si="50"/>
        <v>0</v>
      </c>
      <c r="AQ89" s="130">
        <f t="shared" si="51"/>
        <v>0</v>
      </c>
      <c r="AR89" s="130">
        <f t="shared" si="52"/>
        <v>0</v>
      </c>
      <c r="AS89" s="130">
        <f t="shared" si="53"/>
        <v>0</v>
      </c>
      <c r="AT89" s="130">
        <f t="shared" si="54"/>
        <v>0</v>
      </c>
      <c r="AU89" s="130">
        <f t="shared" si="55"/>
        <v>0</v>
      </c>
      <c r="AV89" s="130">
        <f t="shared" si="56"/>
        <v>0</v>
      </c>
      <c r="AW89" s="130">
        <f t="shared" si="57"/>
        <v>0</v>
      </c>
      <c r="AX89" s="130">
        <f t="shared" si="58"/>
        <v>0</v>
      </c>
      <c r="AY89" s="130">
        <f t="shared" si="59"/>
        <v>0</v>
      </c>
      <c r="AZ89" s="130">
        <f t="shared" si="60"/>
        <v>0</v>
      </c>
      <c r="BB89" s="109">
        <f t="shared" si="61"/>
        <v>0</v>
      </c>
    </row>
    <row r="90" spans="1:54" x14ac:dyDescent="0.25">
      <c r="A90" s="132"/>
      <c r="B90" s="351" t="s">
        <v>412</v>
      </c>
      <c r="C90" s="129"/>
      <c r="D90" s="130"/>
      <c r="E90" s="130"/>
      <c r="F90" s="130"/>
      <c r="G90" s="140"/>
      <c r="H90" s="127"/>
      <c r="I90" s="129"/>
      <c r="J90" s="129"/>
      <c r="K90" s="131"/>
      <c r="L90" s="127"/>
      <c r="M90" s="129"/>
      <c r="N90" s="131"/>
      <c r="O90" s="262"/>
      <c r="P90" s="544"/>
      <c r="R90" s="130"/>
      <c r="S90" s="130"/>
      <c r="T90" s="130"/>
      <c r="U90" s="130"/>
      <c r="V90" s="130"/>
      <c r="W90" s="130"/>
      <c r="X90" s="130"/>
      <c r="Y90" s="130"/>
      <c r="Z90" s="130"/>
      <c r="AA90" s="130"/>
      <c r="AB90" s="130">
        <f t="shared" si="48"/>
        <v>0</v>
      </c>
      <c r="AC90" s="130"/>
      <c r="AD90" s="130"/>
      <c r="AE90" s="130"/>
      <c r="AF90" s="130"/>
      <c r="AG90" s="130"/>
      <c r="AH90" s="130"/>
      <c r="AI90" s="130"/>
      <c r="AJ90" s="130"/>
      <c r="AK90" s="130"/>
      <c r="AL90" s="130"/>
      <c r="AM90" s="130"/>
      <c r="AN90" s="130">
        <f t="shared" si="49"/>
        <v>0</v>
      </c>
      <c r="AO90" s="130"/>
      <c r="AP90" s="130">
        <f t="shared" si="50"/>
        <v>0</v>
      </c>
      <c r="AQ90" s="130">
        <f t="shared" si="51"/>
        <v>0</v>
      </c>
      <c r="AR90" s="130">
        <f t="shared" si="52"/>
        <v>0</v>
      </c>
      <c r="AS90" s="130">
        <f t="shared" si="53"/>
        <v>0</v>
      </c>
      <c r="AT90" s="130">
        <f t="shared" si="54"/>
        <v>0</v>
      </c>
      <c r="AU90" s="130">
        <f t="shared" si="55"/>
        <v>0</v>
      </c>
      <c r="AV90" s="130">
        <f t="shared" si="56"/>
        <v>0</v>
      </c>
      <c r="AW90" s="130">
        <f t="shared" si="57"/>
        <v>0</v>
      </c>
      <c r="AX90" s="130">
        <f t="shared" si="58"/>
        <v>0</v>
      </c>
      <c r="AY90" s="130">
        <f t="shared" si="59"/>
        <v>0</v>
      </c>
      <c r="AZ90" s="130">
        <f t="shared" si="60"/>
        <v>0</v>
      </c>
      <c r="BB90" s="109">
        <f t="shared" si="61"/>
        <v>0</v>
      </c>
    </row>
    <row r="91" spans="1:54" ht="31.5" x14ac:dyDescent="0.25">
      <c r="A91" s="132"/>
      <c r="B91" s="540" t="s">
        <v>994</v>
      </c>
      <c r="C91" s="129"/>
      <c r="D91" s="130"/>
      <c r="E91" s="130">
        <v>-1</v>
      </c>
      <c r="F91" s="130"/>
      <c r="G91" s="140"/>
      <c r="H91" s="124">
        <f t="shared" ref="H91:H95" si="68">SUM(C91:G91)</f>
        <v>-1</v>
      </c>
      <c r="I91" s="349">
        <v>1</v>
      </c>
      <c r="J91" s="349"/>
      <c r="K91" s="352"/>
      <c r="L91" s="127">
        <f t="shared" ref="L91" si="69">SUM(I91:K91)</f>
        <v>1</v>
      </c>
      <c r="M91" s="349"/>
      <c r="N91" s="352"/>
      <c r="O91" s="350"/>
      <c r="P91" s="542">
        <f t="shared" ref="P91" si="70">O91+L91+H91</f>
        <v>0</v>
      </c>
      <c r="R91" s="130"/>
      <c r="S91" s="130"/>
      <c r="T91" s="130">
        <v>-1</v>
      </c>
      <c r="U91" s="130"/>
      <c r="V91" s="130"/>
      <c r="W91" s="130">
        <v>1</v>
      </c>
      <c r="X91" s="130"/>
      <c r="Y91" s="130"/>
      <c r="Z91" s="130"/>
      <c r="AA91" s="130"/>
      <c r="AB91" s="130">
        <f t="shared" si="48"/>
        <v>0</v>
      </c>
      <c r="AC91" s="130"/>
      <c r="AD91" s="130"/>
      <c r="AE91" s="130"/>
      <c r="AF91" s="130"/>
      <c r="AG91" s="130"/>
      <c r="AH91" s="130"/>
      <c r="AI91" s="130"/>
      <c r="AJ91" s="130"/>
      <c r="AK91" s="130"/>
      <c r="AL91" s="130"/>
      <c r="AM91" s="130"/>
      <c r="AN91" s="130">
        <f t="shared" si="49"/>
        <v>0</v>
      </c>
      <c r="AO91" s="130"/>
      <c r="AP91" s="130">
        <f t="shared" si="50"/>
        <v>0</v>
      </c>
      <c r="AQ91" s="130">
        <f t="shared" si="51"/>
        <v>0</v>
      </c>
      <c r="AR91" s="130">
        <f t="shared" si="52"/>
        <v>-1</v>
      </c>
      <c r="AS91" s="130">
        <f t="shared" si="53"/>
        <v>0</v>
      </c>
      <c r="AT91" s="130">
        <f t="shared" si="54"/>
        <v>0</v>
      </c>
      <c r="AU91" s="130">
        <f t="shared" si="55"/>
        <v>1</v>
      </c>
      <c r="AV91" s="130">
        <f t="shared" si="56"/>
        <v>0</v>
      </c>
      <c r="AW91" s="130">
        <f t="shared" si="57"/>
        <v>0</v>
      </c>
      <c r="AX91" s="130">
        <f t="shared" si="58"/>
        <v>0</v>
      </c>
      <c r="AY91" s="130">
        <f t="shared" si="59"/>
        <v>0</v>
      </c>
      <c r="AZ91" s="130">
        <f t="shared" si="60"/>
        <v>0</v>
      </c>
      <c r="BB91" s="109">
        <f t="shared" si="61"/>
        <v>0</v>
      </c>
    </row>
    <row r="92" spans="1:54" ht="34.5" customHeight="1" x14ac:dyDescent="0.25">
      <c r="A92" s="132"/>
      <c r="B92" s="540" t="s">
        <v>995</v>
      </c>
      <c r="C92" s="129"/>
      <c r="D92" s="130"/>
      <c r="E92" s="130">
        <v>9</v>
      </c>
      <c r="F92" s="130"/>
      <c r="G92" s="140"/>
      <c r="H92" s="124">
        <f t="shared" si="68"/>
        <v>9</v>
      </c>
      <c r="I92" s="129">
        <v>-9</v>
      </c>
      <c r="J92" s="129"/>
      <c r="K92" s="131"/>
      <c r="L92" s="127">
        <f t="shared" ref="L92:L95" si="71">SUM(I92:K92)</f>
        <v>-9</v>
      </c>
      <c r="M92" s="349"/>
      <c r="N92" s="352"/>
      <c r="O92" s="350"/>
      <c r="P92" s="542">
        <f t="shared" ref="P92:P95" si="72">O92+L92+H92</f>
        <v>0</v>
      </c>
      <c r="R92" s="130"/>
      <c r="S92" s="130"/>
      <c r="T92" s="130">
        <v>9</v>
      </c>
      <c r="U92" s="130"/>
      <c r="V92" s="130"/>
      <c r="W92" s="130">
        <v>-9</v>
      </c>
      <c r="X92" s="130"/>
      <c r="Y92" s="130"/>
      <c r="Z92" s="130"/>
      <c r="AA92" s="130"/>
      <c r="AB92" s="130">
        <f t="shared" si="48"/>
        <v>0</v>
      </c>
      <c r="AC92" s="130"/>
      <c r="AD92" s="130"/>
      <c r="AE92" s="130"/>
      <c r="AF92" s="130"/>
      <c r="AG92" s="130"/>
      <c r="AH92" s="130"/>
      <c r="AI92" s="130"/>
      <c r="AJ92" s="130"/>
      <c r="AK92" s="130"/>
      <c r="AL92" s="130"/>
      <c r="AM92" s="130"/>
      <c r="AN92" s="130">
        <f t="shared" si="49"/>
        <v>0</v>
      </c>
      <c r="AO92" s="130"/>
      <c r="AP92" s="130">
        <f t="shared" si="50"/>
        <v>0</v>
      </c>
      <c r="AQ92" s="130">
        <f t="shared" si="51"/>
        <v>0</v>
      </c>
      <c r="AR92" s="130">
        <f t="shared" si="52"/>
        <v>9</v>
      </c>
      <c r="AS92" s="130">
        <f t="shared" si="53"/>
        <v>0</v>
      </c>
      <c r="AT92" s="130">
        <f t="shared" si="54"/>
        <v>0</v>
      </c>
      <c r="AU92" s="130">
        <f t="shared" si="55"/>
        <v>-9</v>
      </c>
      <c r="AV92" s="130">
        <f t="shared" si="56"/>
        <v>0</v>
      </c>
      <c r="AW92" s="130">
        <f t="shared" si="57"/>
        <v>0</v>
      </c>
      <c r="AX92" s="130">
        <f t="shared" si="58"/>
        <v>0</v>
      </c>
      <c r="AY92" s="130">
        <f t="shared" si="59"/>
        <v>0</v>
      </c>
      <c r="AZ92" s="130">
        <f t="shared" si="60"/>
        <v>0</v>
      </c>
      <c r="BB92" s="109">
        <f t="shared" si="61"/>
        <v>0</v>
      </c>
    </row>
    <row r="93" spans="1:54" ht="47.25" x14ac:dyDescent="0.25">
      <c r="A93" s="132"/>
      <c r="B93" s="540" t="s">
        <v>963</v>
      </c>
      <c r="C93" s="129"/>
      <c r="D93" s="130"/>
      <c r="E93" s="130"/>
      <c r="F93" s="130"/>
      <c r="G93" s="140">
        <v>2615</v>
      </c>
      <c r="H93" s="124">
        <f t="shared" si="68"/>
        <v>2615</v>
      </c>
      <c r="I93" s="129">
        <v>13637</v>
      </c>
      <c r="J93" s="129">
        <v>-16252</v>
      </c>
      <c r="K93" s="131"/>
      <c r="L93" s="127">
        <f t="shared" si="71"/>
        <v>-2615</v>
      </c>
      <c r="M93" s="349"/>
      <c r="N93" s="352"/>
      <c r="O93" s="350"/>
      <c r="P93" s="542">
        <f t="shared" si="72"/>
        <v>0</v>
      </c>
      <c r="R93" s="130"/>
      <c r="S93" s="130"/>
      <c r="T93" s="130"/>
      <c r="U93" s="130"/>
      <c r="V93" s="130">
        <v>2615</v>
      </c>
      <c r="W93" s="130">
        <v>13637</v>
      </c>
      <c r="X93" s="130">
        <v>-16252</v>
      </c>
      <c r="Y93" s="130"/>
      <c r="Z93" s="130"/>
      <c r="AA93" s="130"/>
      <c r="AB93" s="130">
        <f t="shared" si="48"/>
        <v>0</v>
      </c>
      <c r="AC93" s="130"/>
      <c r="AD93" s="130"/>
      <c r="AE93" s="130"/>
      <c r="AF93" s="130"/>
      <c r="AG93" s="130"/>
      <c r="AH93" s="130"/>
      <c r="AI93" s="130"/>
      <c r="AJ93" s="130"/>
      <c r="AK93" s="130"/>
      <c r="AL93" s="130"/>
      <c r="AM93" s="130"/>
      <c r="AN93" s="130">
        <f t="shared" si="49"/>
        <v>0</v>
      </c>
      <c r="AO93" s="130"/>
      <c r="AP93" s="130">
        <f t="shared" si="50"/>
        <v>0</v>
      </c>
      <c r="AQ93" s="130">
        <f t="shared" si="51"/>
        <v>0</v>
      </c>
      <c r="AR93" s="130">
        <f t="shared" si="52"/>
        <v>0</v>
      </c>
      <c r="AS93" s="130">
        <f t="shared" si="53"/>
        <v>0</v>
      </c>
      <c r="AT93" s="130">
        <f t="shared" si="54"/>
        <v>2615</v>
      </c>
      <c r="AU93" s="130">
        <f t="shared" si="55"/>
        <v>13637</v>
      </c>
      <c r="AV93" s="130">
        <f t="shared" si="56"/>
        <v>-16252</v>
      </c>
      <c r="AW93" s="130">
        <f t="shared" si="57"/>
        <v>0</v>
      </c>
      <c r="AX93" s="130">
        <f t="shared" si="58"/>
        <v>0</v>
      </c>
      <c r="AY93" s="130">
        <f t="shared" si="59"/>
        <v>0</v>
      </c>
      <c r="AZ93" s="130">
        <f t="shared" si="60"/>
        <v>0</v>
      </c>
      <c r="BB93" s="109">
        <f t="shared" si="61"/>
        <v>0</v>
      </c>
    </row>
    <row r="94" spans="1:54" ht="78.75" x14ac:dyDescent="0.25">
      <c r="A94" s="132"/>
      <c r="B94" s="540" t="s">
        <v>964</v>
      </c>
      <c r="C94" s="129">
        <v>-1652</v>
      </c>
      <c r="D94" s="130">
        <v>-364</v>
      </c>
      <c r="E94" s="130"/>
      <c r="F94" s="130"/>
      <c r="G94" s="140">
        <v>2016</v>
      </c>
      <c r="H94" s="124">
        <f t="shared" si="68"/>
        <v>0</v>
      </c>
      <c r="I94" s="129"/>
      <c r="J94" s="129"/>
      <c r="K94" s="131"/>
      <c r="L94" s="127">
        <f t="shared" si="71"/>
        <v>0</v>
      </c>
      <c r="M94" s="349"/>
      <c r="N94" s="352"/>
      <c r="O94" s="350"/>
      <c r="P94" s="542">
        <f t="shared" si="72"/>
        <v>0</v>
      </c>
      <c r="R94" s="130">
        <v>-1652</v>
      </c>
      <c r="S94" s="130">
        <v>-364</v>
      </c>
      <c r="T94" s="130"/>
      <c r="U94" s="130"/>
      <c r="V94" s="130">
        <v>2016</v>
      </c>
      <c r="W94" s="130"/>
      <c r="X94" s="130"/>
      <c r="Y94" s="130"/>
      <c r="Z94" s="130"/>
      <c r="AA94" s="130"/>
      <c r="AB94" s="130">
        <f t="shared" si="48"/>
        <v>0</v>
      </c>
      <c r="AC94" s="130"/>
      <c r="AD94" s="130"/>
      <c r="AE94" s="130"/>
      <c r="AF94" s="130"/>
      <c r="AG94" s="130"/>
      <c r="AH94" s="130"/>
      <c r="AI94" s="130"/>
      <c r="AJ94" s="130"/>
      <c r="AK94" s="130"/>
      <c r="AL94" s="130"/>
      <c r="AM94" s="130"/>
      <c r="AN94" s="130">
        <f t="shared" si="49"/>
        <v>0</v>
      </c>
      <c r="AO94" s="130"/>
      <c r="AP94" s="130">
        <f t="shared" si="50"/>
        <v>-1652</v>
      </c>
      <c r="AQ94" s="130">
        <f t="shared" si="51"/>
        <v>-364</v>
      </c>
      <c r="AR94" s="130">
        <f t="shared" si="52"/>
        <v>0</v>
      </c>
      <c r="AS94" s="130">
        <f t="shared" si="53"/>
        <v>0</v>
      </c>
      <c r="AT94" s="130">
        <f t="shared" si="54"/>
        <v>2016</v>
      </c>
      <c r="AU94" s="130">
        <f t="shared" si="55"/>
        <v>0</v>
      </c>
      <c r="AV94" s="130">
        <f t="shared" si="56"/>
        <v>0</v>
      </c>
      <c r="AW94" s="130">
        <f t="shared" si="57"/>
        <v>0</v>
      </c>
      <c r="AX94" s="130">
        <f t="shared" si="58"/>
        <v>0</v>
      </c>
      <c r="AY94" s="130">
        <f t="shared" si="59"/>
        <v>0</v>
      </c>
      <c r="AZ94" s="130">
        <f t="shared" si="60"/>
        <v>0</v>
      </c>
      <c r="BB94" s="109">
        <f t="shared" si="61"/>
        <v>0</v>
      </c>
    </row>
    <row r="95" spans="1:54" ht="63" x14ac:dyDescent="0.25">
      <c r="A95" s="132"/>
      <c r="B95" s="540" t="s">
        <v>968</v>
      </c>
      <c r="C95" s="129">
        <v>-1105</v>
      </c>
      <c r="D95" s="130">
        <v>-67</v>
      </c>
      <c r="E95" s="130"/>
      <c r="F95" s="130"/>
      <c r="G95" s="140">
        <v>1172</v>
      </c>
      <c r="H95" s="124">
        <f t="shared" si="68"/>
        <v>0</v>
      </c>
      <c r="I95" s="129"/>
      <c r="J95" s="129"/>
      <c r="K95" s="131"/>
      <c r="L95" s="127">
        <f t="shared" si="71"/>
        <v>0</v>
      </c>
      <c r="M95" s="349"/>
      <c r="N95" s="352"/>
      <c r="O95" s="350"/>
      <c r="P95" s="542">
        <f t="shared" si="72"/>
        <v>0</v>
      </c>
      <c r="R95" s="130">
        <v>-1105</v>
      </c>
      <c r="S95" s="130">
        <v>-67</v>
      </c>
      <c r="T95" s="130"/>
      <c r="U95" s="130"/>
      <c r="V95" s="130">
        <v>1172</v>
      </c>
      <c r="W95" s="130"/>
      <c r="X95" s="130"/>
      <c r="Y95" s="130"/>
      <c r="Z95" s="130"/>
      <c r="AA95" s="130"/>
      <c r="AB95" s="130">
        <f t="shared" si="48"/>
        <v>0</v>
      </c>
      <c r="AC95" s="130"/>
      <c r="AD95" s="130"/>
      <c r="AE95" s="130"/>
      <c r="AF95" s="130"/>
      <c r="AG95" s="130"/>
      <c r="AH95" s="130"/>
      <c r="AI95" s="130"/>
      <c r="AJ95" s="130"/>
      <c r="AK95" s="130"/>
      <c r="AL95" s="130"/>
      <c r="AM95" s="130"/>
      <c r="AN95" s="130">
        <f t="shared" si="49"/>
        <v>0</v>
      </c>
      <c r="AO95" s="130"/>
      <c r="AP95" s="130">
        <f t="shared" si="50"/>
        <v>-1105</v>
      </c>
      <c r="AQ95" s="130">
        <f t="shared" si="51"/>
        <v>-67</v>
      </c>
      <c r="AR95" s="130">
        <f t="shared" si="52"/>
        <v>0</v>
      </c>
      <c r="AS95" s="130">
        <f t="shared" si="53"/>
        <v>0</v>
      </c>
      <c r="AT95" s="130">
        <f t="shared" si="54"/>
        <v>1172</v>
      </c>
      <c r="AU95" s="130">
        <f t="shared" si="55"/>
        <v>0</v>
      </c>
      <c r="AV95" s="130">
        <f t="shared" si="56"/>
        <v>0</v>
      </c>
      <c r="AW95" s="130">
        <f t="shared" si="57"/>
        <v>0</v>
      </c>
      <c r="AX95" s="130">
        <f t="shared" si="58"/>
        <v>0</v>
      </c>
      <c r="AY95" s="130">
        <f t="shared" si="59"/>
        <v>0</v>
      </c>
      <c r="AZ95" s="130">
        <f t="shared" si="60"/>
        <v>0</v>
      </c>
      <c r="BB95" s="109">
        <f t="shared" si="61"/>
        <v>0</v>
      </c>
    </row>
    <row r="96" spans="1:54" x14ac:dyDescent="0.25">
      <c r="A96" s="132"/>
      <c r="B96" s="351"/>
      <c r="C96" s="129"/>
      <c r="D96" s="130"/>
      <c r="E96" s="130"/>
      <c r="F96" s="130"/>
      <c r="G96" s="140"/>
      <c r="H96" s="127"/>
      <c r="I96" s="129"/>
      <c r="J96" s="129"/>
      <c r="K96" s="131"/>
      <c r="L96" s="127"/>
      <c r="M96" s="129"/>
      <c r="N96" s="131"/>
      <c r="O96" s="262"/>
      <c r="P96" s="544"/>
      <c r="R96" s="130"/>
      <c r="S96" s="130"/>
      <c r="T96" s="130"/>
      <c r="U96" s="130"/>
      <c r="V96" s="130"/>
      <c r="W96" s="130"/>
      <c r="X96" s="130"/>
      <c r="Y96" s="130"/>
      <c r="Z96" s="130"/>
      <c r="AA96" s="130"/>
      <c r="AB96" s="130">
        <f t="shared" si="48"/>
        <v>0</v>
      </c>
      <c r="AC96" s="130"/>
      <c r="AD96" s="130"/>
      <c r="AE96" s="130"/>
      <c r="AF96" s="130"/>
      <c r="AG96" s="130"/>
      <c r="AH96" s="130"/>
      <c r="AI96" s="130"/>
      <c r="AJ96" s="130"/>
      <c r="AK96" s="130"/>
      <c r="AL96" s="130"/>
      <c r="AM96" s="130"/>
      <c r="AN96" s="130">
        <f t="shared" si="49"/>
        <v>0</v>
      </c>
      <c r="AO96" s="130"/>
      <c r="AP96" s="130">
        <f t="shared" si="50"/>
        <v>0</v>
      </c>
      <c r="AQ96" s="130">
        <f t="shared" si="51"/>
        <v>0</v>
      </c>
      <c r="AR96" s="130">
        <f t="shared" si="52"/>
        <v>0</v>
      </c>
      <c r="AS96" s="130">
        <f t="shared" si="53"/>
        <v>0</v>
      </c>
      <c r="AT96" s="130">
        <f t="shared" si="54"/>
        <v>0</v>
      </c>
      <c r="AU96" s="130">
        <f t="shared" si="55"/>
        <v>0</v>
      </c>
      <c r="AV96" s="130">
        <f t="shared" si="56"/>
        <v>0</v>
      </c>
      <c r="AW96" s="130">
        <f t="shared" si="57"/>
        <v>0</v>
      </c>
      <c r="AX96" s="130">
        <f t="shared" si="58"/>
        <v>0</v>
      </c>
      <c r="AY96" s="130">
        <f t="shared" si="59"/>
        <v>0</v>
      </c>
      <c r="AZ96" s="130">
        <f t="shared" si="60"/>
        <v>0</v>
      </c>
      <c r="BB96" s="109">
        <f t="shared" si="61"/>
        <v>0</v>
      </c>
    </row>
    <row r="97" spans="1:54" x14ac:dyDescent="0.25">
      <c r="A97" s="132"/>
      <c r="B97" s="136" t="s">
        <v>87</v>
      </c>
      <c r="C97" s="129"/>
      <c r="D97" s="130"/>
      <c r="E97" s="130"/>
      <c r="F97" s="130"/>
      <c r="G97" s="140"/>
      <c r="H97" s="127"/>
      <c r="I97" s="129"/>
      <c r="J97" s="129"/>
      <c r="K97" s="131"/>
      <c r="L97" s="127"/>
      <c r="M97" s="129"/>
      <c r="N97" s="131"/>
      <c r="O97" s="262"/>
      <c r="P97" s="544"/>
      <c r="R97" s="130"/>
      <c r="S97" s="130"/>
      <c r="T97" s="130"/>
      <c r="U97" s="130"/>
      <c r="V97" s="130"/>
      <c r="W97" s="130"/>
      <c r="X97" s="130"/>
      <c r="Y97" s="130"/>
      <c r="Z97" s="130"/>
      <c r="AA97" s="130"/>
      <c r="AB97" s="130">
        <f t="shared" si="48"/>
        <v>0</v>
      </c>
      <c r="AC97" s="130"/>
      <c r="AD97" s="130"/>
      <c r="AE97" s="130"/>
      <c r="AF97" s="130"/>
      <c r="AG97" s="130"/>
      <c r="AH97" s="130"/>
      <c r="AI97" s="130"/>
      <c r="AJ97" s="130"/>
      <c r="AK97" s="130"/>
      <c r="AL97" s="130"/>
      <c r="AM97" s="130"/>
      <c r="AN97" s="130">
        <f t="shared" si="49"/>
        <v>0</v>
      </c>
      <c r="AO97" s="130"/>
      <c r="AP97" s="130">
        <f t="shared" si="50"/>
        <v>0</v>
      </c>
      <c r="AQ97" s="130">
        <f t="shared" si="51"/>
        <v>0</v>
      </c>
      <c r="AR97" s="130">
        <f t="shared" si="52"/>
        <v>0</v>
      </c>
      <c r="AS97" s="130">
        <f t="shared" si="53"/>
        <v>0</v>
      </c>
      <c r="AT97" s="130">
        <f t="shared" si="54"/>
        <v>0</v>
      </c>
      <c r="AU97" s="130">
        <f t="shared" si="55"/>
        <v>0</v>
      </c>
      <c r="AV97" s="130">
        <f t="shared" si="56"/>
        <v>0</v>
      </c>
      <c r="AW97" s="130">
        <f t="shared" si="57"/>
        <v>0</v>
      </c>
      <c r="AX97" s="130">
        <f t="shared" si="58"/>
        <v>0</v>
      </c>
      <c r="AY97" s="130">
        <f t="shared" si="59"/>
        <v>0</v>
      </c>
      <c r="AZ97" s="130">
        <f t="shared" si="60"/>
        <v>0</v>
      </c>
      <c r="BB97" s="109">
        <f t="shared" si="61"/>
        <v>0</v>
      </c>
    </row>
    <row r="98" spans="1:54" x14ac:dyDescent="0.25">
      <c r="A98" s="132"/>
      <c r="B98" s="351" t="s">
        <v>493</v>
      </c>
      <c r="C98" s="129"/>
      <c r="D98" s="130"/>
      <c r="E98" s="130"/>
      <c r="F98" s="130"/>
      <c r="G98" s="140"/>
      <c r="H98" s="124"/>
      <c r="I98" s="129"/>
      <c r="J98" s="129"/>
      <c r="K98" s="131"/>
      <c r="L98" s="127"/>
      <c r="M98" s="129"/>
      <c r="N98" s="131"/>
      <c r="O98" s="262"/>
      <c r="P98" s="542"/>
      <c r="R98" s="130"/>
      <c r="S98" s="130"/>
      <c r="T98" s="130"/>
      <c r="U98" s="130"/>
      <c r="V98" s="130"/>
      <c r="W98" s="130"/>
      <c r="X98" s="130"/>
      <c r="Y98" s="130"/>
      <c r="Z98" s="130"/>
      <c r="AA98" s="130"/>
      <c r="AB98" s="130">
        <f t="shared" si="48"/>
        <v>0</v>
      </c>
      <c r="AC98" s="130"/>
      <c r="AD98" s="130"/>
      <c r="AE98" s="130"/>
      <c r="AF98" s="130"/>
      <c r="AG98" s="130"/>
      <c r="AH98" s="130"/>
      <c r="AI98" s="130"/>
      <c r="AJ98" s="130"/>
      <c r="AK98" s="130"/>
      <c r="AL98" s="130"/>
      <c r="AM98" s="130"/>
      <c r="AN98" s="130">
        <f t="shared" si="49"/>
        <v>0</v>
      </c>
      <c r="AO98" s="130"/>
      <c r="AP98" s="130">
        <f t="shared" si="50"/>
        <v>0</v>
      </c>
      <c r="AQ98" s="130">
        <f t="shared" si="51"/>
        <v>0</v>
      </c>
      <c r="AR98" s="130">
        <f t="shared" si="52"/>
        <v>0</v>
      </c>
      <c r="AS98" s="130">
        <f t="shared" si="53"/>
        <v>0</v>
      </c>
      <c r="AT98" s="130">
        <f t="shared" si="54"/>
        <v>0</v>
      </c>
      <c r="AU98" s="130">
        <f t="shared" si="55"/>
        <v>0</v>
      </c>
      <c r="AV98" s="130">
        <f t="shared" si="56"/>
        <v>0</v>
      </c>
      <c r="AW98" s="130">
        <f t="shared" si="57"/>
        <v>0</v>
      </c>
      <c r="AX98" s="130">
        <f t="shared" si="58"/>
        <v>0</v>
      </c>
      <c r="AY98" s="130">
        <f t="shared" si="59"/>
        <v>0</v>
      </c>
      <c r="AZ98" s="130">
        <f t="shared" si="60"/>
        <v>0</v>
      </c>
      <c r="BB98" s="109">
        <f t="shared" si="61"/>
        <v>0</v>
      </c>
    </row>
    <row r="99" spans="1:54" ht="31.5" x14ac:dyDescent="0.25">
      <c r="A99" s="132"/>
      <c r="B99" s="540" t="s">
        <v>798</v>
      </c>
      <c r="C99" s="129"/>
      <c r="D99" s="130"/>
      <c r="E99" s="130"/>
      <c r="F99" s="130"/>
      <c r="G99" s="140"/>
      <c r="H99" s="124">
        <f>SUM(C99:G99)</f>
        <v>0</v>
      </c>
      <c r="I99" s="349">
        <v>5204</v>
      </c>
      <c r="J99" s="349"/>
      <c r="K99" s="352"/>
      <c r="L99" s="127">
        <f>SUM(I99:K99)</f>
        <v>5204</v>
      </c>
      <c r="M99" s="349"/>
      <c r="N99" s="352"/>
      <c r="O99" s="350"/>
      <c r="P99" s="542">
        <f>O99+L99+H99</f>
        <v>5204</v>
      </c>
      <c r="R99" s="130"/>
      <c r="S99" s="130"/>
      <c r="T99" s="130"/>
      <c r="U99" s="130"/>
      <c r="V99" s="130"/>
      <c r="W99" s="130">
        <v>5204</v>
      </c>
      <c r="X99" s="130"/>
      <c r="Y99" s="130"/>
      <c r="Z99" s="130"/>
      <c r="AA99" s="130"/>
      <c r="AB99" s="130">
        <f t="shared" si="48"/>
        <v>5204</v>
      </c>
      <c r="AC99" s="130"/>
      <c r="AD99" s="130"/>
      <c r="AE99" s="130"/>
      <c r="AF99" s="130"/>
      <c r="AG99" s="130"/>
      <c r="AH99" s="130"/>
      <c r="AI99" s="130"/>
      <c r="AJ99" s="130"/>
      <c r="AK99" s="130"/>
      <c r="AL99" s="130"/>
      <c r="AM99" s="130"/>
      <c r="AN99" s="130">
        <f t="shared" si="49"/>
        <v>0</v>
      </c>
      <c r="AO99" s="130"/>
      <c r="AP99" s="130">
        <f t="shared" si="50"/>
        <v>0</v>
      </c>
      <c r="AQ99" s="130">
        <f t="shared" si="51"/>
        <v>0</v>
      </c>
      <c r="AR99" s="130">
        <f t="shared" si="52"/>
        <v>0</v>
      </c>
      <c r="AS99" s="130">
        <f t="shared" si="53"/>
        <v>0</v>
      </c>
      <c r="AT99" s="130">
        <f t="shared" si="54"/>
        <v>0</v>
      </c>
      <c r="AU99" s="130">
        <f t="shared" si="55"/>
        <v>5204</v>
      </c>
      <c r="AV99" s="130">
        <f t="shared" si="56"/>
        <v>0</v>
      </c>
      <c r="AW99" s="130">
        <f t="shared" si="57"/>
        <v>0</v>
      </c>
      <c r="AX99" s="130">
        <f t="shared" si="58"/>
        <v>0</v>
      </c>
      <c r="AY99" s="130">
        <f t="shared" si="59"/>
        <v>0</v>
      </c>
      <c r="AZ99" s="130">
        <f t="shared" si="60"/>
        <v>5204</v>
      </c>
      <c r="BB99" s="109">
        <f t="shared" si="61"/>
        <v>0</v>
      </c>
    </row>
    <row r="100" spans="1:54" x14ac:dyDescent="0.25">
      <c r="A100" s="132"/>
      <c r="B100" s="540" t="s">
        <v>1015</v>
      </c>
      <c r="C100" s="129"/>
      <c r="D100" s="130"/>
      <c r="E100" s="130"/>
      <c r="F100" s="130"/>
      <c r="G100" s="140"/>
      <c r="H100" s="124">
        <f>SUM(C100:G100)</f>
        <v>0</v>
      </c>
      <c r="I100" s="129">
        <v>1968</v>
      </c>
      <c r="J100" s="129"/>
      <c r="K100" s="131"/>
      <c r="L100" s="127">
        <f>SUM(I100:K100)</f>
        <v>1968</v>
      </c>
      <c r="M100" s="129"/>
      <c r="N100" s="131"/>
      <c r="O100" s="262"/>
      <c r="P100" s="542">
        <f>O100+L100+H100</f>
        <v>1968</v>
      </c>
      <c r="R100" s="130"/>
      <c r="S100" s="130"/>
      <c r="T100" s="130"/>
      <c r="U100" s="130"/>
      <c r="V100" s="130"/>
      <c r="W100" s="130">
        <v>1968</v>
      </c>
      <c r="X100" s="130"/>
      <c r="Y100" s="130"/>
      <c r="Z100" s="130"/>
      <c r="AA100" s="130"/>
      <c r="AB100" s="130">
        <f t="shared" si="48"/>
        <v>1968</v>
      </c>
      <c r="AC100" s="130"/>
      <c r="AD100" s="130"/>
      <c r="AE100" s="130"/>
      <c r="AF100" s="130"/>
      <c r="AG100" s="130"/>
      <c r="AH100" s="130"/>
      <c r="AI100" s="130"/>
      <c r="AJ100" s="130"/>
      <c r="AK100" s="130"/>
      <c r="AL100" s="130"/>
      <c r="AM100" s="130"/>
      <c r="AN100" s="130">
        <f t="shared" si="49"/>
        <v>0</v>
      </c>
      <c r="AO100" s="130"/>
      <c r="AP100" s="130">
        <f t="shared" si="50"/>
        <v>0</v>
      </c>
      <c r="AQ100" s="130">
        <f t="shared" si="51"/>
        <v>0</v>
      </c>
      <c r="AR100" s="130">
        <f t="shared" si="52"/>
        <v>0</v>
      </c>
      <c r="AS100" s="130">
        <f t="shared" si="53"/>
        <v>0</v>
      </c>
      <c r="AT100" s="130">
        <f t="shared" si="54"/>
        <v>0</v>
      </c>
      <c r="AU100" s="130">
        <f t="shared" si="55"/>
        <v>1968</v>
      </c>
      <c r="AV100" s="130">
        <f t="shared" si="56"/>
        <v>0</v>
      </c>
      <c r="AW100" s="130">
        <f t="shared" si="57"/>
        <v>0</v>
      </c>
      <c r="AX100" s="130">
        <f t="shared" si="58"/>
        <v>0</v>
      </c>
      <c r="AY100" s="130">
        <f t="shared" si="59"/>
        <v>0</v>
      </c>
      <c r="AZ100" s="130">
        <f t="shared" si="60"/>
        <v>1968</v>
      </c>
      <c r="BB100" s="109">
        <f t="shared" si="61"/>
        <v>0</v>
      </c>
    </row>
    <row r="101" spans="1:54" x14ac:dyDescent="0.25">
      <c r="A101" s="132"/>
      <c r="B101" s="136"/>
      <c r="C101" s="129"/>
      <c r="D101" s="130"/>
      <c r="E101" s="130"/>
      <c r="F101" s="130"/>
      <c r="G101" s="140"/>
      <c r="H101" s="124"/>
      <c r="I101" s="129"/>
      <c r="J101" s="129"/>
      <c r="K101" s="131"/>
      <c r="L101" s="127"/>
      <c r="M101" s="129"/>
      <c r="N101" s="131"/>
      <c r="O101" s="262"/>
      <c r="P101" s="542"/>
      <c r="R101" s="130"/>
      <c r="S101" s="130"/>
      <c r="T101" s="130"/>
      <c r="U101" s="130"/>
      <c r="V101" s="130"/>
      <c r="W101" s="130"/>
      <c r="X101" s="130"/>
      <c r="Y101" s="130"/>
      <c r="Z101" s="130"/>
      <c r="AA101" s="130"/>
      <c r="AB101" s="130">
        <f t="shared" si="48"/>
        <v>0</v>
      </c>
      <c r="AC101" s="130"/>
      <c r="AD101" s="130"/>
      <c r="AE101" s="130"/>
      <c r="AF101" s="130"/>
      <c r="AG101" s="130"/>
      <c r="AH101" s="130"/>
      <c r="AI101" s="130"/>
      <c r="AJ101" s="130"/>
      <c r="AK101" s="130"/>
      <c r="AL101" s="130"/>
      <c r="AM101" s="130"/>
      <c r="AN101" s="130">
        <f t="shared" si="49"/>
        <v>0</v>
      </c>
      <c r="AO101" s="130"/>
      <c r="AP101" s="130">
        <f t="shared" si="50"/>
        <v>0</v>
      </c>
      <c r="AQ101" s="130">
        <f t="shared" si="51"/>
        <v>0</v>
      </c>
      <c r="AR101" s="130">
        <f t="shared" si="52"/>
        <v>0</v>
      </c>
      <c r="AS101" s="130">
        <f t="shared" si="53"/>
        <v>0</v>
      </c>
      <c r="AT101" s="130">
        <f t="shared" si="54"/>
        <v>0</v>
      </c>
      <c r="AU101" s="130">
        <f t="shared" si="55"/>
        <v>0</v>
      </c>
      <c r="AV101" s="130">
        <f t="shared" si="56"/>
        <v>0</v>
      </c>
      <c r="AW101" s="130">
        <f t="shared" si="57"/>
        <v>0</v>
      </c>
      <c r="AX101" s="130">
        <f t="shared" si="58"/>
        <v>0</v>
      </c>
      <c r="AY101" s="130">
        <f t="shared" si="59"/>
        <v>0</v>
      </c>
      <c r="AZ101" s="130">
        <f t="shared" si="60"/>
        <v>0</v>
      </c>
      <c r="BB101" s="109">
        <f t="shared" si="61"/>
        <v>0</v>
      </c>
    </row>
    <row r="102" spans="1:54" ht="31.5" x14ac:dyDescent="0.25">
      <c r="A102" s="132"/>
      <c r="B102" s="355" t="s">
        <v>923</v>
      </c>
      <c r="C102" s="129"/>
      <c r="D102" s="130"/>
      <c r="E102" s="130"/>
      <c r="F102" s="130"/>
      <c r="G102" s="140"/>
      <c r="H102" s="124"/>
      <c r="I102" s="129"/>
      <c r="J102" s="129"/>
      <c r="K102" s="131"/>
      <c r="L102" s="127"/>
      <c r="M102" s="129"/>
      <c r="N102" s="131"/>
      <c r="O102" s="262"/>
      <c r="P102" s="542"/>
      <c r="R102" s="130"/>
      <c r="S102" s="130"/>
      <c r="T102" s="130"/>
      <c r="U102" s="130"/>
      <c r="V102" s="130"/>
      <c r="W102" s="130"/>
      <c r="X102" s="130"/>
      <c r="Y102" s="130"/>
      <c r="Z102" s="130"/>
      <c r="AA102" s="130"/>
      <c r="AB102" s="130">
        <f t="shared" si="48"/>
        <v>0</v>
      </c>
      <c r="AC102" s="130"/>
      <c r="AD102" s="130"/>
      <c r="AE102" s="130"/>
      <c r="AF102" s="130"/>
      <c r="AG102" s="130"/>
      <c r="AH102" s="130"/>
      <c r="AI102" s="130"/>
      <c r="AJ102" s="130"/>
      <c r="AK102" s="130"/>
      <c r="AL102" s="130"/>
      <c r="AM102" s="130"/>
      <c r="AN102" s="130">
        <f t="shared" si="49"/>
        <v>0</v>
      </c>
      <c r="AO102" s="130"/>
      <c r="AP102" s="130">
        <f t="shared" si="50"/>
        <v>0</v>
      </c>
      <c r="AQ102" s="130">
        <f t="shared" si="51"/>
        <v>0</v>
      </c>
      <c r="AR102" s="130">
        <f t="shared" si="52"/>
        <v>0</v>
      </c>
      <c r="AS102" s="130">
        <f t="shared" si="53"/>
        <v>0</v>
      </c>
      <c r="AT102" s="130">
        <f t="shared" si="54"/>
        <v>0</v>
      </c>
      <c r="AU102" s="130">
        <f t="shared" si="55"/>
        <v>0</v>
      </c>
      <c r="AV102" s="130">
        <f t="shared" si="56"/>
        <v>0</v>
      </c>
      <c r="AW102" s="130">
        <f t="shared" si="57"/>
        <v>0</v>
      </c>
      <c r="AX102" s="130">
        <f t="shared" si="58"/>
        <v>0</v>
      </c>
      <c r="AY102" s="130">
        <f t="shared" si="59"/>
        <v>0</v>
      </c>
      <c r="AZ102" s="130">
        <f t="shared" si="60"/>
        <v>0</v>
      </c>
      <c r="BB102" s="109">
        <f t="shared" si="61"/>
        <v>0</v>
      </c>
    </row>
    <row r="103" spans="1:54" ht="47.25" x14ac:dyDescent="0.25">
      <c r="A103" s="132"/>
      <c r="B103" s="540" t="s">
        <v>945</v>
      </c>
      <c r="C103" s="129"/>
      <c r="D103" s="130"/>
      <c r="E103" s="130">
        <v>-50</v>
      </c>
      <c r="F103" s="130"/>
      <c r="G103" s="140"/>
      <c r="H103" s="124">
        <f t="shared" ref="H103" si="73">SUM(C103:G103)</f>
        <v>-50</v>
      </c>
      <c r="I103" s="349">
        <v>-109669</v>
      </c>
      <c r="J103" s="349"/>
      <c r="K103" s="352"/>
      <c r="L103" s="127">
        <f t="shared" ref="L103" si="74">SUM(I103:K103)</f>
        <v>-109669</v>
      </c>
      <c r="M103" s="349"/>
      <c r="N103" s="352"/>
      <c r="O103" s="350"/>
      <c r="P103" s="542">
        <f t="shared" ref="P103" si="75">O103+L103+H103</f>
        <v>-109719</v>
      </c>
      <c r="R103" s="130"/>
      <c r="S103" s="130"/>
      <c r="T103" s="130">
        <v>-50</v>
      </c>
      <c r="U103" s="130"/>
      <c r="V103" s="130"/>
      <c r="W103" s="130">
        <v>-109669</v>
      </c>
      <c r="X103" s="130"/>
      <c r="Y103" s="130"/>
      <c r="Z103" s="130"/>
      <c r="AA103" s="130"/>
      <c r="AB103" s="130">
        <f t="shared" si="48"/>
        <v>-109719</v>
      </c>
      <c r="AC103" s="130"/>
      <c r="AD103" s="130"/>
      <c r="AE103" s="130"/>
      <c r="AF103" s="130"/>
      <c r="AG103" s="130"/>
      <c r="AH103" s="130"/>
      <c r="AI103" s="130"/>
      <c r="AJ103" s="130"/>
      <c r="AK103" s="130"/>
      <c r="AL103" s="130"/>
      <c r="AM103" s="130"/>
      <c r="AN103" s="130">
        <f t="shared" si="49"/>
        <v>0</v>
      </c>
      <c r="AO103" s="130"/>
      <c r="AP103" s="130">
        <f t="shared" si="50"/>
        <v>0</v>
      </c>
      <c r="AQ103" s="130">
        <f t="shared" si="51"/>
        <v>0</v>
      </c>
      <c r="AR103" s="130">
        <f t="shared" si="52"/>
        <v>-50</v>
      </c>
      <c r="AS103" s="130">
        <f t="shared" si="53"/>
        <v>0</v>
      </c>
      <c r="AT103" s="130">
        <f t="shared" si="54"/>
        <v>0</v>
      </c>
      <c r="AU103" s="130">
        <f t="shared" si="55"/>
        <v>-109669</v>
      </c>
      <c r="AV103" s="130">
        <f t="shared" si="56"/>
        <v>0</v>
      </c>
      <c r="AW103" s="130">
        <f t="shared" si="57"/>
        <v>0</v>
      </c>
      <c r="AX103" s="130">
        <f t="shared" si="58"/>
        <v>0</v>
      </c>
      <c r="AY103" s="130">
        <f t="shared" si="59"/>
        <v>0</v>
      </c>
      <c r="AZ103" s="130">
        <f t="shared" si="60"/>
        <v>-109719</v>
      </c>
      <c r="BB103" s="109">
        <f t="shared" si="61"/>
        <v>0</v>
      </c>
    </row>
    <row r="104" spans="1:54" x14ac:dyDescent="0.25">
      <c r="A104" s="132"/>
      <c r="B104" s="540" t="s">
        <v>946</v>
      </c>
      <c r="C104" s="129"/>
      <c r="D104" s="130"/>
      <c r="E104" s="130"/>
      <c r="F104" s="130"/>
      <c r="G104" s="140"/>
      <c r="H104" s="124">
        <f t="shared" ref="H104:H126" si="76">SUM(C104:G104)</f>
        <v>0</v>
      </c>
      <c r="I104" s="349">
        <v>-25900</v>
      </c>
      <c r="J104" s="349"/>
      <c r="K104" s="352"/>
      <c r="L104" s="127">
        <f t="shared" ref="L104:L126" si="77">SUM(I104:K104)</f>
        <v>-25900</v>
      </c>
      <c r="M104" s="349"/>
      <c r="N104" s="352"/>
      <c r="O104" s="350"/>
      <c r="P104" s="542">
        <f t="shared" ref="P104:P126" si="78">O104+L104+H104</f>
        <v>-25900</v>
      </c>
      <c r="R104" s="130"/>
      <c r="S104" s="130"/>
      <c r="T104" s="130"/>
      <c r="U104" s="130"/>
      <c r="V104" s="130"/>
      <c r="W104" s="130">
        <v>-25900</v>
      </c>
      <c r="X104" s="130"/>
      <c r="Y104" s="130"/>
      <c r="Z104" s="130"/>
      <c r="AA104" s="130"/>
      <c r="AB104" s="130">
        <f t="shared" si="48"/>
        <v>-25900</v>
      </c>
      <c r="AC104" s="130"/>
      <c r="AD104" s="130"/>
      <c r="AE104" s="130"/>
      <c r="AF104" s="130"/>
      <c r="AG104" s="130"/>
      <c r="AH104" s="130"/>
      <c r="AI104" s="130"/>
      <c r="AJ104" s="130"/>
      <c r="AK104" s="130"/>
      <c r="AL104" s="130"/>
      <c r="AM104" s="130"/>
      <c r="AN104" s="130">
        <f t="shared" si="49"/>
        <v>0</v>
      </c>
      <c r="AO104" s="130"/>
      <c r="AP104" s="130">
        <f t="shared" si="50"/>
        <v>0</v>
      </c>
      <c r="AQ104" s="130">
        <f t="shared" si="51"/>
        <v>0</v>
      </c>
      <c r="AR104" s="130">
        <f t="shared" si="52"/>
        <v>0</v>
      </c>
      <c r="AS104" s="130">
        <f t="shared" si="53"/>
        <v>0</v>
      </c>
      <c r="AT104" s="130">
        <f t="shared" si="54"/>
        <v>0</v>
      </c>
      <c r="AU104" s="130">
        <f t="shared" si="55"/>
        <v>-25900</v>
      </c>
      <c r="AV104" s="130">
        <f t="shared" si="56"/>
        <v>0</v>
      </c>
      <c r="AW104" s="130">
        <f t="shared" si="57"/>
        <v>0</v>
      </c>
      <c r="AX104" s="130">
        <f t="shared" si="58"/>
        <v>0</v>
      </c>
      <c r="AY104" s="130">
        <f t="shared" si="59"/>
        <v>0</v>
      </c>
      <c r="AZ104" s="130">
        <f t="shared" si="60"/>
        <v>-25900</v>
      </c>
      <c r="BB104" s="109">
        <f t="shared" si="61"/>
        <v>0</v>
      </c>
    </row>
    <row r="105" spans="1:54" ht="46.5" customHeight="1" x14ac:dyDescent="0.25">
      <c r="A105" s="132"/>
      <c r="B105" s="540" t="s">
        <v>947</v>
      </c>
      <c r="C105" s="129"/>
      <c r="D105" s="130">
        <v>-9</v>
      </c>
      <c r="E105" s="130">
        <v>-102</v>
      </c>
      <c r="F105" s="130"/>
      <c r="G105" s="140"/>
      <c r="H105" s="124">
        <f t="shared" si="76"/>
        <v>-111</v>
      </c>
      <c r="I105" s="349"/>
      <c r="J105" s="349"/>
      <c r="K105" s="352"/>
      <c r="L105" s="127">
        <f t="shared" si="77"/>
        <v>0</v>
      </c>
      <c r="M105" s="349"/>
      <c r="N105" s="352"/>
      <c r="O105" s="350"/>
      <c r="P105" s="542">
        <f t="shared" si="78"/>
        <v>-111</v>
      </c>
      <c r="R105" s="130"/>
      <c r="S105" s="130">
        <v>-9</v>
      </c>
      <c r="T105" s="130">
        <v>-102</v>
      </c>
      <c r="U105" s="130"/>
      <c r="V105" s="130"/>
      <c r="W105" s="130"/>
      <c r="X105" s="130"/>
      <c r="Y105" s="130"/>
      <c r="Z105" s="130"/>
      <c r="AA105" s="130"/>
      <c r="AB105" s="130">
        <f t="shared" si="48"/>
        <v>-111</v>
      </c>
      <c r="AC105" s="130"/>
      <c r="AD105" s="130"/>
      <c r="AE105" s="130"/>
      <c r="AF105" s="130"/>
      <c r="AG105" s="130"/>
      <c r="AH105" s="130"/>
      <c r="AI105" s="130"/>
      <c r="AJ105" s="130"/>
      <c r="AK105" s="130"/>
      <c r="AL105" s="130"/>
      <c r="AM105" s="130"/>
      <c r="AN105" s="130">
        <f t="shared" si="49"/>
        <v>0</v>
      </c>
      <c r="AO105" s="130"/>
      <c r="AP105" s="130">
        <f t="shared" si="50"/>
        <v>0</v>
      </c>
      <c r="AQ105" s="130">
        <f t="shared" si="51"/>
        <v>-9</v>
      </c>
      <c r="AR105" s="130">
        <f t="shared" si="52"/>
        <v>-102</v>
      </c>
      <c r="AS105" s="130">
        <f t="shared" si="53"/>
        <v>0</v>
      </c>
      <c r="AT105" s="130">
        <f t="shared" si="54"/>
        <v>0</v>
      </c>
      <c r="AU105" s="130">
        <f t="shared" si="55"/>
        <v>0</v>
      </c>
      <c r="AV105" s="130">
        <f t="shared" si="56"/>
        <v>0</v>
      </c>
      <c r="AW105" s="130">
        <f t="shared" si="57"/>
        <v>0</v>
      </c>
      <c r="AX105" s="130">
        <f t="shared" si="58"/>
        <v>0</v>
      </c>
      <c r="AY105" s="130">
        <f t="shared" si="59"/>
        <v>0</v>
      </c>
      <c r="AZ105" s="130">
        <f t="shared" si="60"/>
        <v>-111</v>
      </c>
      <c r="BB105" s="109">
        <f t="shared" si="61"/>
        <v>0</v>
      </c>
    </row>
    <row r="106" spans="1:54" x14ac:dyDescent="0.25">
      <c r="A106" s="132"/>
      <c r="B106" s="540" t="s">
        <v>802</v>
      </c>
      <c r="C106" s="129"/>
      <c r="D106" s="130"/>
      <c r="E106" s="130">
        <v>-228083</v>
      </c>
      <c r="F106" s="130"/>
      <c r="G106" s="140"/>
      <c r="H106" s="124">
        <f t="shared" si="76"/>
        <v>-228083</v>
      </c>
      <c r="I106" s="349"/>
      <c r="J106" s="349"/>
      <c r="K106" s="352"/>
      <c r="L106" s="127">
        <f t="shared" si="77"/>
        <v>0</v>
      </c>
      <c r="M106" s="349"/>
      <c r="N106" s="352"/>
      <c r="O106" s="350"/>
      <c r="P106" s="542">
        <f t="shared" si="78"/>
        <v>-228083</v>
      </c>
      <c r="R106" s="130"/>
      <c r="S106" s="130"/>
      <c r="T106" s="130">
        <v>-228083</v>
      </c>
      <c r="U106" s="130"/>
      <c r="V106" s="130"/>
      <c r="W106" s="130"/>
      <c r="X106" s="130"/>
      <c r="Y106" s="130"/>
      <c r="Z106" s="130"/>
      <c r="AA106" s="130"/>
      <c r="AB106" s="130">
        <f t="shared" si="48"/>
        <v>-228083</v>
      </c>
      <c r="AC106" s="130"/>
      <c r="AD106" s="130"/>
      <c r="AE106" s="130"/>
      <c r="AF106" s="130"/>
      <c r="AG106" s="130"/>
      <c r="AH106" s="130"/>
      <c r="AI106" s="130"/>
      <c r="AJ106" s="130"/>
      <c r="AK106" s="130"/>
      <c r="AL106" s="130"/>
      <c r="AM106" s="130"/>
      <c r="AN106" s="130">
        <f t="shared" si="49"/>
        <v>0</v>
      </c>
      <c r="AO106" s="130"/>
      <c r="AP106" s="130">
        <f t="shared" si="50"/>
        <v>0</v>
      </c>
      <c r="AQ106" s="130">
        <f t="shared" si="51"/>
        <v>0</v>
      </c>
      <c r="AR106" s="130">
        <f t="shared" si="52"/>
        <v>-228083</v>
      </c>
      <c r="AS106" s="130">
        <f t="shared" si="53"/>
        <v>0</v>
      </c>
      <c r="AT106" s="130">
        <f t="shared" si="54"/>
        <v>0</v>
      </c>
      <c r="AU106" s="130">
        <f t="shared" si="55"/>
        <v>0</v>
      </c>
      <c r="AV106" s="130">
        <f t="shared" si="56"/>
        <v>0</v>
      </c>
      <c r="AW106" s="130">
        <f t="shared" si="57"/>
        <v>0</v>
      </c>
      <c r="AX106" s="130">
        <f t="shared" si="58"/>
        <v>0</v>
      </c>
      <c r="AY106" s="130">
        <f t="shared" si="59"/>
        <v>0</v>
      </c>
      <c r="AZ106" s="130">
        <f t="shared" si="60"/>
        <v>-228083</v>
      </c>
      <c r="BB106" s="109">
        <f t="shared" si="61"/>
        <v>0</v>
      </c>
    </row>
    <row r="107" spans="1:54" ht="47.25" x14ac:dyDescent="0.25">
      <c r="A107" s="132"/>
      <c r="B107" s="540" t="s">
        <v>837</v>
      </c>
      <c r="C107" s="129">
        <v>-11111</v>
      </c>
      <c r="D107" s="130">
        <v>-2445</v>
      </c>
      <c r="E107" s="130">
        <v>-56421</v>
      </c>
      <c r="F107" s="130"/>
      <c r="G107" s="140"/>
      <c r="H107" s="124">
        <f t="shared" si="76"/>
        <v>-69977</v>
      </c>
      <c r="I107" s="349">
        <v>-135946</v>
      </c>
      <c r="J107" s="349"/>
      <c r="K107" s="352"/>
      <c r="L107" s="127">
        <f t="shared" si="77"/>
        <v>-135946</v>
      </c>
      <c r="M107" s="349"/>
      <c r="N107" s="352"/>
      <c r="O107" s="350"/>
      <c r="P107" s="542">
        <f t="shared" si="78"/>
        <v>-205923</v>
      </c>
      <c r="R107" s="130">
        <v>-11111</v>
      </c>
      <c r="S107" s="130">
        <v>-2445</v>
      </c>
      <c r="T107" s="130">
        <v>-56421</v>
      </c>
      <c r="U107" s="130"/>
      <c r="V107" s="130"/>
      <c r="W107" s="130">
        <v>-135946</v>
      </c>
      <c r="X107" s="130"/>
      <c r="Y107" s="130"/>
      <c r="Z107" s="130"/>
      <c r="AA107" s="130"/>
      <c r="AB107" s="130">
        <f t="shared" si="48"/>
        <v>-205923</v>
      </c>
      <c r="AC107" s="130"/>
      <c r="AD107" s="130"/>
      <c r="AE107" s="130"/>
      <c r="AF107" s="130"/>
      <c r="AG107" s="130"/>
      <c r="AH107" s="130"/>
      <c r="AI107" s="130"/>
      <c r="AJ107" s="130"/>
      <c r="AK107" s="130"/>
      <c r="AL107" s="130"/>
      <c r="AM107" s="130"/>
      <c r="AN107" s="130">
        <f t="shared" si="49"/>
        <v>0</v>
      </c>
      <c r="AO107" s="130"/>
      <c r="AP107" s="130">
        <f t="shared" si="50"/>
        <v>-11111</v>
      </c>
      <c r="AQ107" s="130">
        <f t="shared" si="51"/>
        <v>-2445</v>
      </c>
      <c r="AR107" s="130">
        <f t="shared" si="52"/>
        <v>-56421</v>
      </c>
      <c r="AS107" s="130">
        <f t="shared" si="53"/>
        <v>0</v>
      </c>
      <c r="AT107" s="130">
        <f t="shared" si="54"/>
        <v>0</v>
      </c>
      <c r="AU107" s="130">
        <f t="shared" si="55"/>
        <v>-135946</v>
      </c>
      <c r="AV107" s="130">
        <f t="shared" si="56"/>
        <v>0</v>
      </c>
      <c r="AW107" s="130">
        <f t="shared" si="57"/>
        <v>0</v>
      </c>
      <c r="AX107" s="130">
        <f t="shared" si="58"/>
        <v>0</v>
      </c>
      <c r="AY107" s="130">
        <f t="shared" si="59"/>
        <v>0</v>
      </c>
      <c r="AZ107" s="130">
        <f t="shared" si="60"/>
        <v>-205923</v>
      </c>
      <c r="BB107" s="109">
        <f t="shared" si="61"/>
        <v>0</v>
      </c>
    </row>
    <row r="108" spans="1:54" ht="31.5" x14ac:dyDescent="0.25">
      <c r="A108" s="132"/>
      <c r="B108" s="540" t="s">
        <v>948</v>
      </c>
      <c r="C108" s="129"/>
      <c r="D108" s="130">
        <v>-815</v>
      </c>
      <c r="E108" s="130">
        <v>-16190</v>
      </c>
      <c r="F108" s="130"/>
      <c r="G108" s="140"/>
      <c r="H108" s="124">
        <f t="shared" si="76"/>
        <v>-17005</v>
      </c>
      <c r="I108" s="349"/>
      <c r="J108" s="349"/>
      <c r="K108" s="352"/>
      <c r="L108" s="127">
        <f t="shared" si="77"/>
        <v>0</v>
      </c>
      <c r="M108" s="349"/>
      <c r="N108" s="352"/>
      <c r="O108" s="350"/>
      <c r="P108" s="542">
        <f t="shared" si="78"/>
        <v>-17005</v>
      </c>
      <c r="R108" s="130"/>
      <c r="S108" s="130"/>
      <c r="T108" s="130"/>
      <c r="U108" s="130"/>
      <c r="V108" s="130"/>
      <c r="W108" s="130"/>
      <c r="X108" s="130"/>
      <c r="Y108" s="130"/>
      <c r="Z108" s="130"/>
      <c r="AA108" s="130"/>
      <c r="AB108" s="130">
        <f t="shared" si="48"/>
        <v>0</v>
      </c>
      <c r="AC108" s="130"/>
      <c r="AD108" s="130"/>
      <c r="AE108" s="130">
        <v>-815</v>
      </c>
      <c r="AF108" s="130">
        <v>-16190</v>
      </c>
      <c r="AG108" s="130"/>
      <c r="AH108" s="130"/>
      <c r="AI108" s="130"/>
      <c r="AJ108" s="130"/>
      <c r="AK108" s="130"/>
      <c r="AL108" s="130"/>
      <c r="AM108" s="130"/>
      <c r="AN108" s="130">
        <f t="shared" si="49"/>
        <v>-17005</v>
      </c>
      <c r="AO108" s="130"/>
      <c r="AP108" s="130">
        <f t="shared" si="50"/>
        <v>0</v>
      </c>
      <c r="AQ108" s="130">
        <f t="shared" si="51"/>
        <v>-815</v>
      </c>
      <c r="AR108" s="130">
        <f t="shared" si="52"/>
        <v>-16190</v>
      </c>
      <c r="AS108" s="130">
        <f t="shared" si="53"/>
        <v>0</v>
      </c>
      <c r="AT108" s="130">
        <f t="shared" si="54"/>
        <v>0</v>
      </c>
      <c r="AU108" s="130">
        <f t="shared" si="55"/>
        <v>0</v>
      </c>
      <c r="AV108" s="130">
        <f t="shared" si="56"/>
        <v>0</v>
      </c>
      <c r="AW108" s="130">
        <f t="shared" si="57"/>
        <v>0</v>
      </c>
      <c r="AX108" s="130">
        <f t="shared" si="58"/>
        <v>0</v>
      </c>
      <c r="AY108" s="130">
        <f t="shared" si="59"/>
        <v>0</v>
      </c>
      <c r="AZ108" s="130">
        <f t="shared" si="60"/>
        <v>-17005</v>
      </c>
      <c r="BB108" s="109">
        <f t="shared" si="61"/>
        <v>0</v>
      </c>
    </row>
    <row r="109" spans="1:54" x14ac:dyDescent="0.25">
      <c r="A109" s="132"/>
      <c r="B109" s="540" t="s">
        <v>949</v>
      </c>
      <c r="C109" s="129"/>
      <c r="D109" s="130">
        <v>-491</v>
      </c>
      <c r="E109" s="130">
        <v>-5637</v>
      </c>
      <c r="F109" s="130"/>
      <c r="G109" s="140"/>
      <c r="H109" s="124">
        <f t="shared" si="76"/>
        <v>-6128</v>
      </c>
      <c r="I109" s="349">
        <v>-8599</v>
      </c>
      <c r="J109" s="349"/>
      <c r="K109" s="352"/>
      <c r="L109" s="127">
        <f t="shared" si="77"/>
        <v>-8599</v>
      </c>
      <c r="M109" s="349"/>
      <c r="N109" s="352"/>
      <c r="O109" s="350"/>
      <c r="P109" s="542">
        <f t="shared" si="78"/>
        <v>-14727</v>
      </c>
      <c r="R109" s="130"/>
      <c r="S109" s="130">
        <v>-491</v>
      </c>
      <c r="T109" s="130">
        <v>-5637</v>
      </c>
      <c r="U109" s="130"/>
      <c r="V109" s="130"/>
      <c r="W109" s="130">
        <v>-8599</v>
      </c>
      <c r="X109" s="130"/>
      <c r="Y109" s="130"/>
      <c r="Z109" s="130"/>
      <c r="AA109" s="130"/>
      <c r="AB109" s="130">
        <f t="shared" si="48"/>
        <v>-14727</v>
      </c>
      <c r="AC109" s="130"/>
      <c r="AD109" s="130"/>
      <c r="AE109" s="130"/>
      <c r="AF109" s="130"/>
      <c r="AG109" s="130"/>
      <c r="AH109" s="130"/>
      <c r="AI109" s="130"/>
      <c r="AJ109" s="130"/>
      <c r="AK109" s="130"/>
      <c r="AL109" s="130"/>
      <c r="AM109" s="130"/>
      <c r="AN109" s="130">
        <f t="shared" si="49"/>
        <v>0</v>
      </c>
      <c r="AO109" s="130"/>
      <c r="AP109" s="130">
        <f t="shared" si="50"/>
        <v>0</v>
      </c>
      <c r="AQ109" s="130">
        <f t="shared" si="51"/>
        <v>-491</v>
      </c>
      <c r="AR109" s="130">
        <f t="shared" si="52"/>
        <v>-5637</v>
      </c>
      <c r="AS109" s="130">
        <f t="shared" si="53"/>
        <v>0</v>
      </c>
      <c r="AT109" s="130">
        <f t="shared" si="54"/>
        <v>0</v>
      </c>
      <c r="AU109" s="130">
        <f t="shared" si="55"/>
        <v>-8599</v>
      </c>
      <c r="AV109" s="130">
        <f t="shared" si="56"/>
        <v>0</v>
      </c>
      <c r="AW109" s="130">
        <f t="shared" si="57"/>
        <v>0</v>
      </c>
      <c r="AX109" s="130">
        <f t="shared" si="58"/>
        <v>0</v>
      </c>
      <c r="AY109" s="130">
        <f t="shared" si="59"/>
        <v>0</v>
      </c>
      <c r="AZ109" s="130">
        <f t="shared" si="60"/>
        <v>-14727</v>
      </c>
      <c r="BB109" s="109">
        <f t="shared" si="61"/>
        <v>0</v>
      </c>
    </row>
    <row r="110" spans="1:54" x14ac:dyDescent="0.25">
      <c r="A110" s="132"/>
      <c r="B110" s="540" t="s">
        <v>950</v>
      </c>
      <c r="C110" s="129"/>
      <c r="D110" s="130">
        <v>-495</v>
      </c>
      <c r="E110" s="130">
        <v>-3955</v>
      </c>
      <c r="F110" s="130"/>
      <c r="G110" s="140"/>
      <c r="H110" s="124">
        <f t="shared" si="76"/>
        <v>-4450</v>
      </c>
      <c r="I110" s="349">
        <v>-8097</v>
      </c>
      <c r="J110" s="349"/>
      <c r="K110" s="352"/>
      <c r="L110" s="127">
        <f t="shared" si="77"/>
        <v>-8097</v>
      </c>
      <c r="M110" s="349"/>
      <c r="N110" s="352"/>
      <c r="O110" s="350"/>
      <c r="P110" s="542">
        <f t="shared" si="78"/>
        <v>-12547</v>
      </c>
      <c r="R110" s="130"/>
      <c r="S110" s="130">
        <v>-495</v>
      </c>
      <c r="T110" s="130">
        <v>-3955</v>
      </c>
      <c r="U110" s="130"/>
      <c r="V110" s="130"/>
      <c r="W110" s="130">
        <v>-8097</v>
      </c>
      <c r="X110" s="130"/>
      <c r="Y110" s="130"/>
      <c r="Z110" s="130"/>
      <c r="AA110" s="130"/>
      <c r="AB110" s="130">
        <f t="shared" si="48"/>
        <v>-12547</v>
      </c>
      <c r="AC110" s="130"/>
      <c r="AD110" s="130"/>
      <c r="AE110" s="130"/>
      <c r="AF110" s="130"/>
      <c r="AG110" s="130"/>
      <c r="AH110" s="130"/>
      <c r="AI110" s="130"/>
      <c r="AJ110" s="130"/>
      <c r="AK110" s="130"/>
      <c r="AL110" s="130"/>
      <c r="AM110" s="130"/>
      <c r="AN110" s="130">
        <f t="shared" si="49"/>
        <v>0</v>
      </c>
      <c r="AO110" s="130"/>
      <c r="AP110" s="130">
        <f t="shared" si="50"/>
        <v>0</v>
      </c>
      <c r="AQ110" s="130">
        <f t="shared" si="51"/>
        <v>-495</v>
      </c>
      <c r="AR110" s="130">
        <f t="shared" si="52"/>
        <v>-3955</v>
      </c>
      <c r="AS110" s="130">
        <f t="shared" si="53"/>
        <v>0</v>
      </c>
      <c r="AT110" s="130">
        <f t="shared" si="54"/>
        <v>0</v>
      </c>
      <c r="AU110" s="130">
        <f t="shared" si="55"/>
        <v>-8097</v>
      </c>
      <c r="AV110" s="130">
        <f t="shared" si="56"/>
        <v>0</v>
      </c>
      <c r="AW110" s="130">
        <f t="shared" si="57"/>
        <v>0</v>
      </c>
      <c r="AX110" s="130">
        <f t="shared" si="58"/>
        <v>0</v>
      </c>
      <c r="AY110" s="130">
        <f t="shared" si="59"/>
        <v>0</v>
      </c>
      <c r="AZ110" s="130">
        <f t="shared" si="60"/>
        <v>-12547</v>
      </c>
      <c r="BB110" s="109">
        <f t="shared" si="61"/>
        <v>0</v>
      </c>
    </row>
    <row r="111" spans="1:54" x14ac:dyDescent="0.25">
      <c r="A111" s="132"/>
      <c r="B111" s="540" t="s">
        <v>799</v>
      </c>
      <c r="C111" s="129">
        <v>-88</v>
      </c>
      <c r="D111" s="130">
        <v>-521</v>
      </c>
      <c r="E111" s="130">
        <v>-7165</v>
      </c>
      <c r="F111" s="130"/>
      <c r="G111" s="140"/>
      <c r="H111" s="124">
        <f t="shared" si="76"/>
        <v>-7774</v>
      </c>
      <c r="I111" s="349">
        <v>-135528</v>
      </c>
      <c r="J111" s="349"/>
      <c r="K111" s="352"/>
      <c r="L111" s="127">
        <f t="shared" si="77"/>
        <v>-135528</v>
      </c>
      <c r="M111" s="349"/>
      <c r="N111" s="352"/>
      <c r="O111" s="350"/>
      <c r="P111" s="542">
        <f t="shared" si="78"/>
        <v>-143302</v>
      </c>
      <c r="R111" s="130">
        <v>-88</v>
      </c>
      <c r="S111" s="130">
        <v>-521</v>
      </c>
      <c r="T111" s="130">
        <v>-7165</v>
      </c>
      <c r="U111" s="130"/>
      <c r="V111" s="130"/>
      <c r="W111" s="130">
        <v>-135528</v>
      </c>
      <c r="X111" s="130"/>
      <c r="Y111" s="130"/>
      <c r="Z111" s="130"/>
      <c r="AA111" s="130"/>
      <c r="AB111" s="130">
        <f t="shared" si="48"/>
        <v>-143302</v>
      </c>
      <c r="AC111" s="130"/>
      <c r="AD111" s="130"/>
      <c r="AE111" s="130"/>
      <c r="AF111" s="130"/>
      <c r="AG111" s="130"/>
      <c r="AH111" s="130"/>
      <c r="AI111" s="130"/>
      <c r="AJ111" s="130"/>
      <c r="AK111" s="130"/>
      <c r="AL111" s="130"/>
      <c r="AM111" s="130"/>
      <c r="AN111" s="130">
        <f t="shared" si="49"/>
        <v>0</v>
      </c>
      <c r="AO111" s="130"/>
      <c r="AP111" s="130">
        <f t="shared" si="50"/>
        <v>-88</v>
      </c>
      <c r="AQ111" s="130">
        <f t="shared" si="51"/>
        <v>-521</v>
      </c>
      <c r="AR111" s="130">
        <f t="shared" si="52"/>
        <v>-7165</v>
      </c>
      <c r="AS111" s="130">
        <f t="shared" si="53"/>
        <v>0</v>
      </c>
      <c r="AT111" s="130">
        <f t="shared" si="54"/>
        <v>0</v>
      </c>
      <c r="AU111" s="130">
        <f t="shared" si="55"/>
        <v>-135528</v>
      </c>
      <c r="AV111" s="130">
        <f t="shared" si="56"/>
        <v>0</v>
      </c>
      <c r="AW111" s="130">
        <f t="shared" si="57"/>
        <v>0</v>
      </c>
      <c r="AX111" s="130">
        <f t="shared" si="58"/>
        <v>0</v>
      </c>
      <c r="AY111" s="130">
        <f t="shared" si="59"/>
        <v>0</v>
      </c>
      <c r="AZ111" s="130">
        <f t="shared" si="60"/>
        <v>-143302</v>
      </c>
      <c r="BB111" s="109">
        <f t="shared" si="61"/>
        <v>0</v>
      </c>
    </row>
    <row r="112" spans="1:54" x14ac:dyDescent="0.25">
      <c r="A112" s="132"/>
      <c r="B112" s="540" t="s">
        <v>951</v>
      </c>
      <c r="C112" s="129"/>
      <c r="D112" s="130"/>
      <c r="E112" s="130"/>
      <c r="F112" s="130"/>
      <c r="G112" s="140"/>
      <c r="H112" s="124">
        <f t="shared" si="76"/>
        <v>0</v>
      </c>
      <c r="I112" s="349">
        <v>-5715</v>
      </c>
      <c r="J112" s="349"/>
      <c r="K112" s="352"/>
      <c r="L112" s="127">
        <f t="shared" si="77"/>
        <v>-5715</v>
      </c>
      <c r="M112" s="349"/>
      <c r="N112" s="352"/>
      <c r="O112" s="350"/>
      <c r="P112" s="542">
        <f t="shared" si="78"/>
        <v>-5715</v>
      </c>
      <c r="R112" s="130"/>
      <c r="S112" s="130"/>
      <c r="T112" s="130"/>
      <c r="U112" s="130"/>
      <c r="V112" s="130"/>
      <c r="W112" s="130">
        <v>-5715</v>
      </c>
      <c r="X112" s="130"/>
      <c r="Y112" s="130"/>
      <c r="Z112" s="130"/>
      <c r="AA112" s="130"/>
      <c r="AB112" s="130">
        <f t="shared" si="48"/>
        <v>-5715</v>
      </c>
      <c r="AC112" s="130"/>
      <c r="AD112" s="130"/>
      <c r="AE112" s="130"/>
      <c r="AF112" s="130"/>
      <c r="AG112" s="130"/>
      <c r="AH112" s="130"/>
      <c r="AI112" s="130"/>
      <c r="AJ112" s="130"/>
      <c r="AK112" s="130"/>
      <c r="AL112" s="130"/>
      <c r="AM112" s="130"/>
      <c r="AN112" s="130">
        <f t="shared" si="49"/>
        <v>0</v>
      </c>
      <c r="AO112" s="130"/>
      <c r="AP112" s="130">
        <f t="shared" si="50"/>
        <v>0</v>
      </c>
      <c r="AQ112" s="130">
        <f t="shared" si="51"/>
        <v>0</v>
      </c>
      <c r="AR112" s="130">
        <f t="shared" si="52"/>
        <v>0</v>
      </c>
      <c r="AS112" s="130">
        <f t="shared" si="53"/>
        <v>0</v>
      </c>
      <c r="AT112" s="130">
        <f t="shared" si="54"/>
        <v>0</v>
      </c>
      <c r="AU112" s="130">
        <f t="shared" si="55"/>
        <v>-5715</v>
      </c>
      <c r="AV112" s="130">
        <f t="shared" si="56"/>
        <v>0</v>
      </c>
      <c r="AW112" s="130">
        <f t="shared" si="57"/>
        <v>0</v>
      </c>
      <c r="AX112" s="130">
        <f t="shared" si="58"/>
        <v>0</v>
      </c>
      <c r="AY112" s="130">
        <f t="shared" si="59"/>
        <v>0</v>
      </c>
      <c r="AZ112" s="130">
        <f t="shared" si="60"/>
        <v>-5715</v>
      </c>
      <c r="BB112" s="109">
        <f t="shared" si="61"/>
        <v>0</v>
      </c>
    </row>
    <row r="113" spans="1:54" ht="31.5" x14ac:dyDescent="0.25">
      <c r="A113" s="132"/>
      <c r="B113" s="540" t="s">
        <v>952</v>
      </c>
      <c r="C113" s="129"/>
      <c r="D113" s="130"/>
      <c r="E113" s="130"/>
      <c r="F113" s="130"/>
      <c r="G113" s="140"/>
      <c r="H113" s="124">
        <f t="shared" si="76"/>
        <v>0</v>
      </c>
      <c r="I113" s="349">
        <v>-19744</v>
      </c>
      <c r="J113" s="349"/>
      <c r="K113" s="352"/>
      <c r="L113" s="127">
        <f t="shared" si="77"/>
        <v>-19744</v>
      </c>
      <c r="M113" s="349"/>
      <c r="N113" s="352"/>
      <c r="O113" s="350"/>
      <c r="P113" s="542">
        <f t="shared" si="78"/>
        <v>-19744</v>
      </c>
      <c r="R113" s="130"/>
      <c r="S113" s="130"/>
      <c r="T113" s="130"/>
      <c r="U113" s="130"/>
      <c r="V113" s="130"/>
      <c r="W113" s="130">
        <v>-19744</v>
      </c>
      <c r="X113" s="130"/>
      <c r="Y113" s="130"/>
      <c r="Z113" s="130"/>
      <c r="AA113" s="130"/>
      <c r="AB113" s="130">
        <f t="shared" si="48"/>
        <v>-19744</v>
      </c>
      <c r="AC113" s="130"/>
      <c r="AD113" s="130"/>
      <c r="AE113" s="130"/>
      <c r="AF113" s="130"/>
      <c r="AG113" s="130"/>
      <c r="AH113" s="130"/>
      <c r="AI113" s="130"/>
      <c r="AJ113" s="130"/>
      <c r="AK113" s="130"/>
      <c r="AL113" s="130"/>
      <c r="AM113" s="130"/>
      <c r="AN113" s="130">
        <f t="shared" si="49"/>
        <v>0</v>
      </c>
      <c r="AO113" s="130"/>
      <c r="AP113" s="130">
        <f t="shared" si="50"/>
        <v>0</v>
      </c>
      <c r="AQ113" s="130">
        <f t="shared" si="51"/>
        <v>0</v>
      </c>
      <c r="AR113" s="130">
        <f t="shared" si="52"/>
        <v>0</v>
      </c>
      <c r="AS113" s="130">
        <f t="shared" si="53"/>
        <v>0</v>
      </c>
      <c r="AT113" s="130">
        <f t="shared" si="54"/>
        <v>0</v>
      </c>
      <c r="AU113" s="130">
        <f t="shared" si="55"/>
        <v>-19744</v>
      </c>
      <c r="AV113" s="130">
        <f t="shared" si="56"/>
        <v>0</v>
      </c>
      <c r="AW113" s="130">
        <f t="shared" si="57"/>
        <v>0</v>
      </c>
      <c r="AX113" s="130">
        <f t="shared" si="58"/>
        <v>0</v>
      </c>
      <c r="AY113" s="130">
        <f t="shared" si="59"/>
        <v>0</v>
      </c>
      <c r="AZ113" s="130">
        <f t="shared" si="60"/>
        <v>-19744</v>
      </c>
      <c r="BB113" s="109">
        <f t="shared" si="61"/>
        <v>0</v>
      </c>
    </row>
    <row r="114" spans="1:54" x14ac:dyDescent="0.25">
      <c r="A114" s="132"/>
      <c r="B114" s="540" t="s">
        <v>800</v>
      </c>
      <c r="C114" s="129"/>
      <c r="D114" s="130"/>
      <c r="E114" s="130"/>
      <c r="F114" s="130"/>
      <c r="G114" s="140"/>
      <c r="H114" s="124">
        <f t="shared" si="76"/>
        <v>0</v>
      </c>
      <c r="I114" s="349">
        <v>-10657</v>
      </c>
      <c r="J114" s="349"/>
      <c r="K114" s="352"/>
      <c r="L114" s="127">
        <f t="shared" si="77"/>
        <v>-10657</v>
      </c>
      <c r="M114" s="349"/>
      <c r="N114" s="352"/>
      <c r="O114" s="350"/>
      <c r="P114" s="542">
        <f t="shared" si="78"/>
        <v>-10657</v>
      </c>
      <c r="R114" s="130"/>
      <c r="S114" s="130"/>
      <c r="T114" s="130"/>
      <c r="U114" s="130"/>
      <c r="V114" s="130"/>
      <c r="W114" s="130">
        <v>-10657</v>
      </c>
      <c r="X114" s="130"/>
      <c r="Y114" s="130"/>
      <c r="Z114" s="130"/>
      <c r="AA114" s="130"/>
      <c r="AB114" s="130">
        <f t="shared" si="48"/>
        <v>-10657</v>
      </c>
      <c r="AC114" s="130"/>
      <c r="AD114" s="130"/>
      <c r="AE114" s="130"/>
      <c r="AF114" s="130"/>
      <c r="AG114" s="130"/>
      <c r="AH114" s="130"/>
      <c r="AI114" s="130"/>
      <c r="AJ114" s="130"/>
      <c r="AK114" s="130"/>
      <c r="AL114" s="130"/>
      <c r="AM114" s="130"/>
      <c r="AN114" s="130">
        <f t="shared" si="49"/>
        <v>0</v>
      </c>
      <c r="AO114" s="130"/>
      <c r="AP114" s="130">
        <f t="shared" si="50"/>
        <v>0</v>
      </c>
      <c r="AQ114" s="130">
        <f t="shared" si="51"/>
        <v>0</v>
      </c>
      <c r="AR114" s="130">
        <f t="shared" si="52"/>
        <v>0</v>
      </c>
      <c r="AS114" s="130">
        <f t="shared" si="53"/>
        <v>0</v>
      </c>
      <c r="AT114" s="130">
        <f t="shared" si="54"/>
        <v>0</v>
      </c>
      <c r="AU114" s="130">
        <f t="shared" si="55"/>
        <v>-10657</v>
      </c>
      <c r="AV114" s="130">
        <f t="shared" si="56"/>
        <v>0</v>
      </c>
      <c r="AW114" s="130">
        <f t="shared" si="57"/>
        <v>0</v>
      </c>
      <c r="AX114" s="130">
        <f t="shared" si="58"/>
        <v>0</v>
      </c>
      <c r="AY114" s="130">
        <f t="shared" si="59"/>
        <v>0</v>
      </c>
      <c r="AZ114" s="130">
        <f t="shared" si="60"/>
        <v>-10657</v>
      </c>
      <c r="BB114" s="109">
        <f t="shared" si="61"/>
        <v>0</v>
      </c>
    </row>
    <row r="115" spans="1:54" x14ac:dyDescent="0.25">
      <c r="A115" s="132"/>
      <c r="B115" s="540" t="s">
        <v>953</v>
      </c>
      <c r="C115" s="129"/>
      <c r="D115" s="130"/>
      <c r="E115" s="130"/>
      <c r="F115" s="130"/>
      <c r="G115" s="140"/>
      <c r="H115" s="124">
        <f t="shared" si="76"/>
        <v>0</v>
      </c>
      <c r="I115" s="349">
        <v>-29612</v>
      </c>
      <c r="J115" s="349"/>
      <c r="K115" s="352"/>
      <c r="L115" s="127">
        <f t="shared" si="77"/>
        <v>-29612</v>
      </c>
      <c r="M115" s="349"/>
      <c r="N115" s="352"/>
      <c r="O115" s="350"/>
      <c r="P115" s="542">
        <f t="shared" si="78"/>
        <v>-29612</v>
      </c>
      <c r="R115" s="130"/>
      <c r="S115" s="130"/>
      <c r="T115" s="130"/>
      <c r="U115" s="130"/>
      <c r="V115" s="130"/>
      <c r="W115" s="130">
        <v>-29612</v>
      </c>
      <c r="X115" s="130"/>
      <c r="Y115" s="130"/>
      <c r="Z115" s="130"/>
      <c r="AA115" s="130"/>
      <c r="AB115" s="130">
        <f t="shared" si="48"/>
        <v>-29612</v>
      </c>
      <c r="AC115" s="130"/>
      <c r="AD115" s="130"/>
      <c r="AE115" s="130"/>
      <c r="AF115" s="130"/>
      <c r="AG115" s="130"/>
      <c r="AH115" s="130"/>
      <c r="AI115" s="130"/>
      <c r="AJ115" s="130"/>
      <c r="AK115" s="130"/>
      <c r="AL115" s="130"/>
      <c r="AM115" s="130"/>
      <c r="AN115" s="130">
        <f t="shared" si="49"/>
        <v>0</v>
      </c>
      <c r="AO115" s="130"/>
      <c r="AP115" s="130">
        <f t="shared" si="50"/>
        <v>0</v>
      </c>
      <c r="AQ115" s="130">
        <f t="shared" si="51"/>
        <v>0</v>
      </c>
      <c r="AR115" s="130">
        <f t="shared" si="52"/>
        <v>0</v>
      </c>
      <c r="AS115" s="130">
        <f t="shared" si="53"/>
        <v>0</v>
      </c>
      <c r="AT115" s="130">
        <f t="shared" si="54"/>
        <v>0</v>
      </c>
      <c r="AU115" s="130">
        <f t="shared" si="55"/>
        <v>-29612</v>
      </c>
      <c r="AV115" s="130">
        <f t="shared" si="56"/>
        <v>0</v>
      </c>
      <c r="AW115" s="130">
        <f t="shared" si="57"/>
        <v>0</v>
      </c>
      <c r="AX115" s="130">
        <f t="shared" si="58"/>
        <v>0</v>
      </c>
      <c r="AY115" s="130">
        <f t="shared" si="59"/>
        <v>0</v>
      </c>
      <c r="AZ115" s="130">
        <f t="shared" si="60"/>
        <v>-29612</v>
      </c>
      <c r="BB115" s="109">
        <f t="shared" si="61"/>
        <v>0</v>
      </c>
    </row>
    <row r="116" spans="1:54" x14ac:dyDescent="0.25">
      <c r="A116" s="132"/>
      <c r="B116" s="540" t="s">
        <v>838</v>
      </c>
      <c r="C116" s="129">
        <v>-2000</v>
      </c>
      <c r="D116" s="130">
        <v>-540</v>
      </c>
      <c r="E116" s="130">
        <v>-8324</v>
      </c>
      <c r="F116" s="130"/>
      <c r="G116" s="140"/>
      <c r="H116" s="124">
        <f t="shared" si="76"/>
        <v>-10864</v>
      </c>
      <c r="I116" s="349">
        <v>-2540</v>
      </c>
      <c r="J116" s="349">
        <v>-138317</v>
      </c>
      <c r="K116" s="352"/>
      <c r="L116" s="127">
        <f t="shared" si="77"/>
        <v>-140857</v>
      </c>
      <c r="M116" s="349"/>
      <c r="N116" s="352"/>
      <c r="O116" s="350"/>
      <c r="P116" s="542">
        <f t="shared" si="78"/>
        <v>-151721</v>
      </c>
      <c r="R116" s="130">
        <v>-2000</v>
      </c>
      <c r="S116" s="130">
        <v>-540</v>
      </c>
      <c r="T116" s="130">
        <v>-8324</v>
      </c>
      <c r="U116" s="130"/>
      <c r="V116" s="130"/>
      <c r="W116" s="130">
        <v>-2540</v>
      </c>
      <c r="X116" s="130">
        <v>-138317</v>
      </c>
      <c r="Y116" s="130"/>
      <c r="Z116" s="130"/>
      <c r="AA116" s="130"/>
      <c r="AB116" s="130">
        <f t="shared" si="48"/>
        <v>-151721</v>
      </c>
      <c r="AC116" s="130"/>
      <c r="AD116" s="130"/>
      <c r="AE116" s="130"/>
      <c r="AF116" s="130"/>
      <c r="AG116" s="130"/>
      <c r="AH116" s="130"/>
      <c r="AI116" s="130"/>
      <c r="AJ116" s="130"/>
      <c r="AK116" s="130"/>
      <c r="AL116" s="130"/>
      <c r="AM116" s="130"/>
      <c r="AN116" s="130">
        <f t="shared" si="49"/>
        <v>0</v>
      </c>
      <c r="AO116" s="130"/>
      <c r="AP116" s="130">
        <f t="shared" si="50"/>
        <v>-2000</v>
      </c>
      <c r="AQ116" s="130">
        <f t="shared" si="51"/>
        <v>-540</v>
      </c>
      <c r="AR116" s="130">
        <f t="shared" si="52"/>
        <v>-8324</v>
      </c>
      <c r="AS116" s="130">
        <f t="shared" si="53"/>
        <v>0</v>
      </c>
      <c r="AT116" s="130">
        <f t="shared" si="54"/>
        <v>0</v>
      </c>
      <c r="AU116" s="130">
        <f t="shared" si="55"/>
        <v>-2540</v>
      </c>
      <c r="AV116" s="130">
        <f t="shared" si="56"/>
        <v>-138317</v>
      </c>
      <c r="AW116" s="130">
        <f t="shared" si="57"/>
        <v>0</v>
      </c>
      <c r="AX116" s="130">
        <f t="shared" si="58"/>
        <v>0</v>
      </c>
      <c r="AY116" s="130">
        <f t="shared" si="59"/>
        <v>0</v>
      </c>
      <c r="AZ116" s="130">
        <f t="shared" si="60"/>
        <v>-151721</v>
      </c>
      <c r="BB116" s="109">
        <f t="shared" si="61"/>
        <v>0</v>
      </c>
    </row>
    <row r="117" spans="1:54" x14ac:dyDescent="0.25">
      <c r="A117" s="132"/>
      <c r="B117" s="540" t="s">
        <v>954</v>
      </c>
      <c r="C117" s="129"/>
      <c r="D117" s="130"/>
      <c r="E117" s="130">
        <v>-1905</v>
      </c>
      <c r="F117" s="130"/>
      <c r="G117" s="140"/>
      <c r="H117" s="124">
        <f t="shared" si="76"/>
        <v>-1905</v>
      </c>
      <c r="I117" s="349">
        <v>-17780</v>
      </c>
      <c r="J117" s="349"/>
      <c r="K117" s="352"/>
      <c r="L117" s="127">
        <f t="shared" si="77"/>
        <v>-17780</v>
      </c>
      <c r="M117" s="349"/>
      <c r="N117" s="352"/>
      <c r="O117" s="350"/>
      <c r="P117" s="542">
        <f t="shared" si="78"/>
        <v>-19685</v>
      </c>
      <c r="R117" s="130"/>
      <c r="S117" s="130"/>
      <c r="T117" s="130">
        <v>-1905</v>
      </c>
      <c r="U117" s="130"/>
      <c r="V117" s="130"/>
      <c r="W117" s="130">
        <v>-17780</v>
      </c>
      <c r="X117" s="130"/>
      <c r="Y117" s="130"/>
      <c r="Z117" s="130"/>
      <c r="AA117" s="130"/>
      <c r="AB117" s="130">
        <f t="shared" si="48"/>
        <v>-19685</v>
      </c>
      <c r="AC117" s="130"/>
      <c r="AD117" s="130"/>
      <c r="AE117" s="130"/>
      <c r="AF117" s="130"/>
      <c r="AG117" s="130"/>
      <c r="AH117" s="130"/>
      <c r="AI117" s="130"/>
      <c r="AJ117" s="130"/>
      <c r="AK117" s="130"/>
      <c r="AL117" s="130"/>
      <c r="AM117" s="130"/>
      <c r="AN117" s="130">
        <f t="shared" si="49"/>
        <v>0</v>
      </c>
      <c r="AO117" s="130"/>
      <c r="AP117" s="130">
        <f t="shared" si="50"/>
        <v>0</v>
      </c>
      <c r="AQ117" s="130">
        <f t="shared" si="51"/>
        <v>0</v>
      </c>
      <c r="AR117" s="130">
        <f t="shared" si="52"/>
        <v>-1905</v>
      </c>
      <c r="AS117" s="130">
        <f t="shared" si="53"/>
        <v>0</v>
      </c>
      <c r="AT117" s="130">
        <f t="shared" si="54"/>
        <v>0</v>
      </c>
      <c r="AU117" s="130">
        <f t="shared" si="55"/>
        <v>-17780</v>
      </c>
      <c r="AV117" s="130">
        <f t="shared" si="56"/>
        <v>0</v>
      </c>
      <c r="AW117" s="130">
        <f t="shared" si="57"/>
        <v>0</v>
      </c>
      <c r="AX117" s="130">
        <f t="shared" si="58"/>
        <v>0</v>
      </c>
      <c r="AY117" s="130">
        <f t="shared" si="59"/>
        <v>0</v>
      </c>
      <c r="AZ117" s="130">
        <f t="shared" si="60"/>
        <v>-19685</v>
      </c>
      <c r="BB117" s="109">
        <f t="shared" si="61"/>
        <v>0</v>
      </c>
    </row>
    <row r="118" spans="1:54" ht="31.5" x14ac:dyDescent="0.25">
      <c r="A118" s="132"/>
      <c r="B118" s="540" t="s">
        <v>801</v>
      </c>
      <c r="C118" s="129"/>
      <c r="D118" s="130"/>
      <c r="E118" s="130"/>
      <c r="F118" s="130"/>
      <c r="G118" s="140"/>
      <c r="H118" s="124">
        <f t="shared" si="76"/>
        <v>0</v>
      </c>
      <c r="I118" s="349">
        <v>-244130</v>
      </c>
      <c r="J118" s="349"/>
      <c r="K118" s="352"/>
      <c r="L118" s="127">
        <f t="shared" si="77"/>
        <v>-244130</v>
      </c>
      <c r="M118" s="349"/>
      <c r="N118" s="352"/>
      <c r="O118" s="350"/>
      <c r="P118" s="542">
        <f t="shared" si="78"/>
        <v>-244130</v>
      </c>
      <c r="R118" s="130"/>
      <c r="S118" s="130"/>
      <c r="T118" s="130"/>
      <c r="U118" s="130"/>
      <c r="V118" s="130"/>
      <c r="W118" s="130"/>
      <c r="X118" s="130"/>
      <c r="Y118" s="130"/>
      <c r="Z118" s="130"/>
      <c r="AA118" s="130"/>
      <c r="AB118" s="130">
        <f t="shared" si="48"/>
        <v>0</v>
      </c>
      <c r="AC118" s="130"/>
      <c r="AD118" s="130"/>
      <c r="AE118" s="130"/>
      <c r="AF118" s="130"/>
      <c r="AG118" s="130"/>
      <c r="AH118" s="130"/>
      <c r="AI118" s="130">
        <v>-244130</v>
      </c>
      <c r="AJ118" s="130"/>
      <c r="AK118" s="130"/>
      <c r="AL118" s="130"/>
      <c r="AM118" s="130"/>
      <c r="AN118" s="130">
        <f t="shared" si="49"/>
        <v>-244130</v>
      </c>
      <c r="AO118" s="130"/>
      <c r="AP118" s="130">
        <f t="shared" si="50"/>
        <v>0</v>
      </c>
      <c r="AQ118" s="130">
        <f t="shared" si="51"/>
        <v>0</v>
      </c>
      <c r="AR118" s="130">
        <f t="shared" si="52"/>
        <v>0</v>
      </c>
      <c r="AS118" s="130">
        <f t="shared" si="53"/>
        <v>0</v>
      </c>
      <c r="AT118" s="130">
        <f t="shared" si="54"/>
        <v>0</v>
      </c>
      <c r="AU118" s="130">
        <f t="shared" si="55"/>
        <v>-244130</v>
      </c>
      <c r="AV118" s="130">
        <f t="shared" si="56"/>
        <v>0</v>
      </c>
      <c r="AW118" s="130">
        <f t="shared" si="57"/>
        <v>0</v>
      </c>
      <c r="AX118" s="130">
        <f t="shared" si="58"/>
        <v>0</v>
      </c>
      <c r="AY118" s="130">
        <f t="shared" si="59"/>
        <v>0</v>
      </c>
      <c r="AZ118" s="130">
        <f t="shared" si="60"/>
        <v>-244130</v>
      </c>
      <c r="BB118" s="109">
        <f t="shared" si="61"/>
        <v>0</v>
      </c>
    </row>
    <row r="119" spans="1:54" ht="31.5" x14ac:dyDescent="0.25">
      <c r="A119" s="132"/>
      <c r="B119" s="540" t="s">
        <v>955</v>
      </c>
      <c r="C119" s="129">
        <v>-3997</v>
      </c>
      <c r="D119" s="130">
        <v>-912</v>
      </c>
      <c r="E119" s="130">
        <v>-11284</v>
      </c>
      <c r="F119" s="130"/>
      <c r="G119" s="140">
        <v>-1</v>
      </c>
      <c r="H119" s="124">
        <f t="shared" si="76"/>
        <v>-16194</v>
      </c>
      <c r="I119" s="349">
        <v>-5000</v>
      </c>
      <c r="J119" s="349"/>
      <c r="K119" s="352"/>
      <c r="L119" s="127">
        <f t="shared" si="77"/>
        <v>-5000</v>
      </c>
      <c r="M119" s="349"/>
      <c r="N119" s="352"/>
      <c r="O119" s="350"/>
      <c r="P119" s="542">
        <f t="shared" si="78"/>
        <v>-21194</v>
      </c>
      <c r="R119" s="130"/>
      <c r="S119" s="130"/>
      <c r="T119" s="130"/>
      <c r="U119" s="130"/>
      <c r="V119" s="130"/>
      <c r="W119" s="130"/>
      <c r="X119" s="130"/>
      <c r="Y119" s="130"/>
      <c r="Z119" s="130"/>
      <c r="AA119" s="130"/>
      <c r="AB119" s="130">
        <f t="shared" si="48"/>
        <v>0</v>
      </c>
      <c r="AC119" s="130"/>
      <c r="AD119" s="130">
        <v>-3997</v>
      </c>
      <c r="AE119" s="130">
        <v>-912</v>
      </c>
      <c r="AF119" s="130">
        <v>-11284</v>
      </c>
      <c r="AG119" s="130"/>
      <c r="AH119" s="130">
        <v>-1</v>
      </c>
      <c r="AI119" s="130">
        <v>-5000</v>
      </c>
      <c r="AJ119" s="130"/>
      <c r="AK119" s="130"/>
      <c r="AL119" s="130"/>
      <c r="AM119" s="130"/>
      <c r="AN119" s="130">
        <f t="shared" si="49"/>
        <v>-21194</v>
      </c>
      <c r="AO119" s="130"/>
      <c r="AP119" s="130">
        <f t="shared" si="50"/>
        <v>-3997</v>
      </c>
      <c r="AQ119" s="130">
        <f t="shared" si="51"/>
        <v>-912</v>
      </c>
      <c r="AR119" s="130">
        <f t="shared" si="52"/>
        <v>-11284</v>
      </c>
      <c r="AS119" s="130">
        <f t="shared" si="53"/>
        <v>0</v>
      </c>
      <c r="AT119" s="130">
        <f t="shared" si="54"/>
        <v>-1</v>
      </c>
      <c r="AU119" s="130">
        <f t="shared" si="55"/>
        <v>-5000</v>
      </c>
      <c r="AV119" s="130">
        <f t="shared" si="56"/>
        <v>0</v>
      </c>
      <c r="AW119" s="130">
        <f t="shared" si="57"/>
        <v>0</v>
      </c>
      <c r="AX119" s="130">
        <f t="shared" si="58"/>
        <v>0</v>
      </c>
      <c r="AY119" s="130">
        <f t="shared" si="59"/>
        <v>0</v>
      </c>
      <c r="AZ119" s="130">
        <f t="shared" si="60"/>
        <v>-21194</v>
      </c>
      <c r="BB119" s="109">
        <f t="shared" si="61"/>
        <v>0</v>
      </c>
    </row>
    <row r="120" spans="1:54" ht="63" x14ac:dyDescent="0.25">
      <c r="A120" s="132"/>
      <c r="B120" s="540" t="s">
        <v>796</v>
      </c>
      <c r="C120" s="129"/>
      <c r="D120" s="130"/>
      <c r="E120" s="130"/>
      <c r="F120" s="130"/>
      <c r="G120" s="140"/>
      <c r="H120" s="124">
        <f t="shared" si="76"/>
        <v>0</v>
      </c>
      <c r="I120" s="554">
        <f>-1197135-907317</f>
        <v>-2104452</v>
      </c>
      <c r="J120" s="349"/>
      <c r="K120" s="352"/>
      <c r="L120" s="127">
        <f t="shared" si="77"/>
        <v>-2104452</v>
      </c>
      <c r="M120" s="349"/>
      <c r="N120" s="352"/>
      <c r="O120" s="350"/>
      <c r="P120" s="542">
        <f t="shared" si="78"/>
        <v>-2104452</v>
      </c>
      <c r="R120" s="130"/>
      <c r="S120" s="130"/>
      <c r="T120" s="130"/>
      <c r="U120" s="130"/>
      <c r="V120" s="130"/>
      <c r="W120" s="130"/>
      <c r="X120" s="130"/>
      <c r="Y120" s="130"/>
      <c r="Z120" s="130"/>
      <c r="AA120" s="130"/>
      <c r="AB120" s="130">
        <f t="shared" si="48"/>
        <v>0</v>
      </c>
      <c r="AC120" s="130"/>
      <c r="AD120" s="130"/>
      <c r="AE120" s="130"/>
      <c r="AF120" s="130"/>
      <c r="AG120" s="130"/>
      <c r="AH120" s="130"/>
      <c r="AI120" s="130">
        <v>-2104452</v>
      </c>
      <c r="AJ120" s="130"/>
      <c r="AK120" s="130"/>
      <c r="AL120" s="130"/>
      <c r="AM120" s="130"/>
      <c r="AN120" s="130">
        <f t="shared" si="49"/>
        <v>-2104452</v>
      </c>
      <c r="AO120" s="130"/>
      <c r="AP120" s="130">
        <f t="shared" si="50"/>
        <v>0</v>
      </c>
      <c r="AQ120" s="130">
        <f t="shared" si="51"/>
        <v>0</v>
      </c>
      <c r="AR120" s="130">
        <f t="shared" si="52"/>
        <v>0</v>
      </c>
      <c r="AS120" s="130">
        <f t="shared" si="53"/>
        <v>0</v>
      </c>
      <c r="AT120" s="130">
        <f t="shared" si="54"/>
        <v>0</v>
      </c>
      <c r="AU120" s="130">
        <f t="shared" si="55"/>
        <v>-2104452</v>
      </c>
      <c r="AV120" s="130">
        <f t="shared" si="56"/>
        <v>0</v>
      </c>
      <c r="AW120" s="130">
        <f t="shared" si="57"/>
        <v>0</v>
      </c>
      <c r="AX120" s="130">
        <f t="shared" si="58"/>
        <v>0</v>
      </c>
      <c r="AY120" s="130">
        <f t="shared" si="59"/>
        <v>0</v>
      </c>
      <c r="AZ120" s="130">
        <f t="shared" si="60"/>
        <v>-2104452</v>
      </c>
      <c r="BB120" s="109">
        <f t="shared" si="61"/>
        <v>0</v>
      </c>
    </row>
    <row r="121" spans="1:54" ht="80.25" customHeight="1" x14ac:dyDescent="0.25">
      <c r="A121" s="132"/>
      <c r="B121" s="540" t="s">
        <v>797</v>
      </c>
      <c r="C121" s="129"/>
      <c r="D121" s="130"/>
      <c r="E121" s="130">
        <v>-19861</v>
      </c>
      <c r="F121" s="130"/>
      <c r="G121" s="140"/>
      <c r="H121" s="124">
        <f t="shared" si="76"/>
        <v>-19861</v>
      </c>
      <c r="I121" s="349">
        <v>-1278309</v>
      </c>
      <c r="J121" s="349"/>
      <c r="K121" s="352"/>
      <c r="L121" s="127">
        <f t="shared" si="77"/>
        <v>-1278309</v>
      </c>
      <c r="M121" s="349"/>
      <c r="N121" s="352"/>
      <c r="O121" s="350"/>
      <c r="P121" s="542">
        <f t="shared" si="78"/>
        <v>-1298170</v>
      </c>
      <c r="R121" s="130"/>
      <c r="S121" s="130"/>
      <c r="T121" s="130"/>
      <c r="U121" s="130"/>
      <c r="V121" s="130"/>
      <c r="W121" s="130"/>
      <c r="X121" s="130"/>
      <c r="Y121" s="130"/>
      <c r="Z121" s="130"/>
      <c r="AA121" s="130"/>
      <c r="AB121" s="130">
        <f t="shared" si="48"/>
        <v>0</v>
      </c>
      <c r="AC121" s="130"/>
      <c r="AD121" s="130"/>
      <c r="AE121" s="130"/>
      <c r="AF121" s="130">
        <v>-19861</v>
      </c>
      <c r="AG121" s="130"/>
      <c r="AH121" s="130"/>
      <c r="AI121" s="130">
        <v>-1278309</v>
      </c>
      <c r="AJ121" s="130"/>
      <c r="AK121" s="130"/>
      <c r="AL121" s="130"/>
      <c r="AM121" s="130"/>
      <c r="AN121" s="130">
        <f t="shared" si="49"/>
        <v>-1298170</v>
      </c>
      <c r="AO121" s="130"/>
      <c r="AP121" s="130">
        <f t="shared" si="50"/>
        <v>0</v>
      </c>
      <c r="AQ121" s="130">
        <f t="shared" si="51"/>
        <v>0</v>
      </c>
      <c r="AR121" s="130">
        <f t="shared" si="52"/>
        <v>-19861</v>
      </c>
      <c r="AS121" s="130">
        <f t="shared" si="53"/>
        <v>0</v>
      </c>
      <c r="AT121" s="130">
        <f t="shared" si="54"/>
        <v>0</v>
      </c>
      <c r="AU121" s="130">
        <f t="shared" si="55"/>
        <v>-1278309</v>
      </c>
      <c r="AV121" s="130">
        <f t="shared" si="56"/>
        <v>0</v>
      </c>
      <c r="AW121" s="130">
        <f t="shared" si="57"/>
        <v>0</v>
      </c>
      <c r="AX121" s="130">
        <f t="shared" si="58"/>
        <v>0</v>
      </c>
      <c r="AY121" s="130">
        <f t="shared" si="59"/>
        <v>0</v>
      </c>
      <c r="AZ121" s="130">
        <f t="shared" si="60"/>
        <v>-1298170</v>
      </c>
      <c r="BB121" s="109">
        <f t="shared" si="61"/>
        <v>0</v>
      </c>
    </row>
    <row r="122" spans="1:54" ht="78.75" x14ac:dyDescent="0.25">
      <c r="A122" s="132"/>
      <c r="B122" s="540" t="s">
        <v>803</v>
      </c>
      <c r="C122" s="129"/>
      <c r="D122" s="130"/>
      <c r="E122" s="130"/>
      <c r="F122" s="130"/>
      <c r="G122" s="140"/>
      <c r="H122" s="124">
        <f t="shared" si="76"/>
        <v>0</v>
      </c>
      <c r="I122" s="349"/>
      <c r="J122" s="349">
        <v>-1550000</v>
      </c>
      <c r="K122" s="352"/>
      <c r="L122" s="127">
        <f t="shared" si="77"/>
        <v>-1550000</v>
      </c>
      <c r="M122" s="349"/>
      <c r="N122" s="352"/>
      <c r="O122" s="350"/>
      <c r="P122" s="542">
        <f t="shared" si="78"/>
        <v>-1550000</v>
      </c>
      <c r="R122" s="130"/>
      <c r="S122" s="130"/>
      <c r="T122" s="130"/>
      <c r="U122" s="130"/>
      <c r="V122" s="130"/>
      <c r="W122" s="130"/>
      <c r="X122" s="130"/>
      <c r="Y122" s="130"/>
      <c r="Z122" s="130"/>
      <c r="AA122" s="130"/>
      <c r="AB122" s="130">
        <f t="shared" si="48"/>
        <v>0</v>
      </c>
      <c r="AC122" s="130"/>
      <c r="AD122" s="130"/>
      <c r="AE122" s="130"/>
      <c r="AF122" s="130"/>
      <c r="AG122" s="130"/>
      <c r="AH122" s="130"/>
      <c r="AI122" s="130"/>
      <c r="AJ122" s="130">
        <v>-1550000</v>
      </c>
      <c r="AK122" s="130"/>
      <c r="AL122" s="130"/>
      <c r="AM122" s="130"/>
      <c r="AN122" s="130">
        <f t="shared" si="49"/>
        <v>-1550000</v>
      </c>
      <c r="AO122" s="130"/>
      <c r="AP122" s="130">
        <f t="shared" si="50"/>
        <v>0</v>
      </c>
      <c r="AQ122" s="130">
        <f t="shared" si="51"/>
        <v>0</v>
      </c>
      <c r="AR122" s="130">
        <f t="shared" si="52"/>
        <v>0</v>
      </c>
      <c r="AS122" s="130">
        <f t="shared" si="53"/>
        <v>0</v>
      </c>
      <c r="AT122" s="130">
        <f t="shared" si="54"/>
        <v>0</v>
      </c>
      <c r="AU122" s="130">
        <f t="shared" si="55"/>
        <v>0</v>
      </c>
      <c r="AV122" s="130">
        <f t="shared" si="56"/>
        <v>-1550000</v>
      </c>
      <c r="AW122" s="130">
        <f t="shared" si="57"/>
        <v>0</v>
      </c>
      <c r="AX122" s="130">
        <f t="shared" si="58"/>
        <v>0</v>
      </c>
      <c r="AY122" s="130">
        <f t="shared" si="59"/>
        <v>0</v>
      </c>
      <c r="AZ122" s="130">
        <f t="shared" si="60"/>
        <v>-1550000</v>
      </c>
      <c r="BB122" s="109">
        <f t="shared" si="61"/>
        <v>0</v>
      </c>
    </row>
    <row r="123" spans="1:54" ht="78.75" x14ac:dyDescent="0.25">
      <c r="A123" s="132"/>
      <c r="B123" s="540" t="s">
        <v>957</v>
      </c>
      <c r="C123" s="129"/>
      <c r="D123" s="130"/>
      <c r="E123" s="130">
        <v>-59971</v>
      </c>
      <c r="F123" s="130"/>
      <c r="G123" s="140"/>
      <c r="H123" s="124">
        <f t="shared" si="76"/>
        <v>-59971</v>
      </c>
      <c r="I123" s="349">
        <v>-5029</v>
      </c>
      <c r="J123" s="349"/>
      <c r="K123" s="352"/>
      <c r="L123" s="127">
        <f t="shared" si="77"/>
        <v>-5029</v>
      </c>
      <c r="M123" s="349"/>
      <c r="N123" s="352"/>
      <c r="O123" s="350"/>
      <c r="P123" s="542">
        <f t="shared" si="78"/>
        <v>-65000</v>
      </c>
      <c r="R123" s="130"/>
      <c r="S123" s="130"/>
      <c r="T123" s="130"/>
      <c r="U123" s="130"/>
      <c r="V123" s="130"/>
      <c r="W123" s="130"/>
      <c r="X123" s="130"/>
      <c r="Y123" s="130"/>
      <c r="Z123" s="130"/>
      <c r="AA123" s="130"/>
      <c r="AB123" s="130">
        <f t="shared" si="48"/>
        <v>0</v>
      </c>
      <c r="AC123" s="130"/>
      <c r="AD123" s="130"/>
      <c r="AE123" s="130"/>
      <c r="AF123" s="130">
        <v>-59971</v>
      </c>
      <c r="AG123" s="130"/>
      <c r="AH123" s="130"/>
      <c r="AI123" s="130">
        <v>-5029</v>
      </c>
      <c r="AJ123" s="130"/>
      <c r="AK123" s="130"/>
      <c r="AL123" s="130"/>
      <c r="AM123" s="130"/>
      <c r="AN123" s="130">
        <f t="shared" si="49"/>
        <v>-65000</v>
      </c>
      <c r="AO123" s="130"/>
      <c r="AP123" s="130">
        <f t="shared" si="50"/>
        <v>0</v>
      </c>
      <c r="AQ123" s="130">
        <f t="shared" si="51"/>
        <v>0</v>
      </c>
      <c r="AR123" s="130">
        <f t="shared" si="52"/>
        <v>-59971</v>
      </c>
      <c r="AS123" s="130">
        <f t="shared" si="53"/>
        <v>0</v>
      </c>
      <c r="AT123" s="130">
        <f t="shared" si="54"/>
        <v>0</v>
      </c>
      <c r="AU123" s="130">
        <f t="shared" si="55"/>
        <v>-5029</v>
      </c>
      <c r="AV123" s="130">
        <f t="shared" si="56"/>
        <v>0</v>
      </c>
      <c r="AW123" s="130">
        <f t="shared" si="57"/>
        <v>0</v>
      </c>
      <c r="AX123" s="130">
        <f t="shared" si="58"/>
        <v>0</v>
      </c>
      <c r="AY123" s="130">
        <f t="shared" si="59"/>
        <v>0</v>
      </c>
      <c r="AZ123" s="130">
        <f t="shared" si="60"/>
        <v>-65000</v>
      </c>
      <c r="BB123" s="109">
        <f t="shared" si="61"/>
        <v>0</v>
      </c>
    </row>
    <row r="124" spans="1:54" ht="47.25" x14ac:dyDescent="0.25">
      <c r="A124" s="132"/>
      <c r="B124" s="540" t="s">
        <v>958</v>
      </c>
      <c r="C124" s="129"/>
      <c r="D124" s="130"/>
      <c r="E124" s="130"/>
      <c r="F124" s="130"/>
      <c r="G124" s="140"/>
      <c r="H124" s="124">
        <f t="shared" si="76"/>
        <v>0</v>
      </c>
      <c r="I124" s="349">
        <v>-88509</v>
      </c>
      <c r="J124" s="349"/>
      <c r="K124" s="352"/>
      <c r="L124" s="127">
        <f t="shared" si="77"/>
        <v>-88509</v>
      </c>
      <c r="M124" s="349"/>
      <c r="N124" s="352"/>
      <c r="O124" s="350"/>
      <c r="P124" s="542">
        <f t="shared" si="78"/>
        <v>-88509</v>
      </c>
      <c r="R124" s="130"/>
      <c r="S124" s="130"/>
      <c r="T124" s="130"/>
      <c r="U124" s="130"/>
      <c r="V124" s="130"/>
      <c r="W124" s="130"/>
      <c r="X124" s="130"/>
      <c r="Y124" s="130"/>
      <c r="Z124" s="130"/>
      <c r="AA124" s="130"/>
      <c r="AB124" s="130">
        <f t="shared" si="48"/>
        <v>0</v>
      </c>
      <c r="AC124" s="130"/>
      <c r="AD124" s="130"/>
      <c r="AE124" s="130"/>
      <c r="AF124" s="130"/>
      <c r="AG124" s="130"/>
      <c r="AH124" s="130"/>
      <c r="AI124" s="130">
        <v>-88509</v>
      </c>
      <c r="AJ124" s="130"/>
      <c r="AK124" s="130"/>
      <c r="AL124" s="130"/>
      <c r="AM124" s="130"/>
      <c r="AN124" s="130">
        <f t="shared" si="49"/>
        <v>-88509</v>
      </c>
      <c r="AO124" s="130"/>
      <c r="AP124" s="130">
        <f t="shared" si="50"/>
        <v>0</v>
      </c>
      <c r="AQ124" s="130">
        <f t="shared" si="51"/>
        <v>0</v>
      </c>
      <c r="AR124" s="130">
        <f t="shared" si="52"/>
        <v>0</v>
      </c>
      <c r="AS124" s="130">
        <f t="shared" si="53"/>
        <v>0</v>
      </c>
      <c r="AT124" s="130">
        <f t="shared" si="54"/>
        <v>0</v>
      </c>
      <c r="AU124" s="130">
        <f t="shared" si="55"/>
        <v>-88509</v>
      </c>
      <c r="AV124" s="130">
        <f t="shared" si="56"/>
        <v>0</v>
      </c>
      <c r="AW124" s="130">
        <f t="shared" si="57"/>
        <v>0</v>
      </c>
      <c r="AX124" s="130">
        <f t="shared" si="58"/>
        <v>0</v>
      </c>
      <c r="AY124" s="130">
        <f t="shared" si="59"/>
        <v>0</v>
      </c>
      <c r="AZ124" s="130">
        <f t="shared" si="60"/>
        <v>-88509</v>
      </c>
      <c r="BB124" s="109">
        <f t="shared" si="61"/>
        <v>0</v>
      </c>
    </row>
    <row r="125" spans="1:54" x14ac:dyDescent="0.25">
      <c r="A125" s="132"/>
      <c r="B125" s="540" t="s">
        <v>959</v>
      </c>
      <c r="C125" s="129"/>
      <c r="D125" s="130"/>
      <c r="E125" s="130"/>
      <c r="F125" s="130"/>
      <c r="G125" s="140"/>
      <c r="H125" s="124">
        <f t="shared" si="76"/>
        <v>0</v>
      </c>
      <c r="I125" s="349"/>
      <c r="J125" s="349">
        <v>-164000</v>
      </c>
      <c r="K125" s="352"/>
      <c r="L125" s="127">
        <f t="shared" si="77"/>
        <v>-164000</v>
      </c>
      <c r="M125" s="349"/>
      <c r="N125" s="352"/>
      <c r="O125" s="350"/>
      <c r="P125" s="542">
        <f t="shared" si="78"/>
        <v>-164000</v>
      </c>
      <c r="R125" s="130"/>
      <c r="S125" s="130"/>
      <c r="T125" s="130"/>
      <c r="U125" s="130"/>
      <c r="V125" s="130"/>
      <c r="W125" s="130"/>
      <c r="X125" s="130"/>
      <c r="Y125" s="130"/>
      <c r="Z125" s="130"/>
      <c r="AA125" s="130"/>
      <c r="AB125" s="130">
        <f t="shared" si="48"/>
        <v>0</v>
      </c>
      <c r="AC125" s="130"/>
      <c r="AD125" s="130"/>
      <c r="AE125" s="130"/>
      <c r="AF125" s="130"/>
      <c r="AG125" s="130"/>
      <c r="AH125" s="130"/>
      <c r="AI125" s="130"/>
      <c r="AJ125" s="130">
        <v>-164000</v>
      </c>
      <c r="AK125" s="130"/>
      <c r="AL125" s="130"/>
      <c r="AM125" s="130"/>
      <c r="AN125" s="130">
        <f t="shared" si="49"/>
        <v>-164000</v>
      </c>
      <c r="AO125" s="130"/>
      <c r="AP125" s="130">
        <f t="shared" si="50"/>
        <v>0</v>
      </c>
      <c r="AQ125" s="130">
        <f t="shared" si="51"/>
        <v>0</v>
      </c>
      <c r="AR125" s="130">
        <f t="shared" si="52"/>
        <v>0</v>
      </c>
      <c r="AS125" s="130">
        <f t="shared" si="53"/>
        <v>0</v>
      </c>
      <c r="AT125" s="130">
        <f t="shared" si="54"/>
        <v>0</v>
      </c>
      <c r="AU125" s="130">
        <f t="shared" si="55"/>
        <v>0</v>
      </c>
      <c r="AV125" s="130">
        <f t="shared" si="56"/>
        <v>-164000</v>
      </c>
      <c r="AW125" s="130">
        <f t="shared" si="57"/>
        <v>0</v>
      </c>
      <c r="AX125" s="130">
        <f t="shared" si="58"/>
        <v>0</v>
      </c>
      <c r="AY125" s="130">
        <f t="shared" si="59"/>
        <v>0</v>
      </c>
      <c r="AZ125" s="130">
        <f t="shared" si="60"/>
        <v>-164000</v>
      </c>
      <c r="BB125" s="109">
        <f t="shared" si="61"/>
        <v>0</v>
      </c>
    </row>
    <row r="126" spans="1:54" x14ac:dyDescent="0.25">
      <c r="A126" s="132"/>
      <c r="B126" s="540" t="s">
        <v>960</v>
      </c>
      <c r="C126" s="129"/>
      <c r="D126" s="130"/>
      <c r="E126" s="130">
        <v>-7000</v>
      </c>
      <c r="F126" s="130"/>
      <c r="G126" s="140"/>
      <c r="H126" s="124">
        <f t="shared" si="76"/>
        <v>-7000</v>
      </c>
      <c r="I126" s="349">
        <v>-20000</v>
      </c>
      <c r="J126" s="349"/>
      <c r="K126" s="352"/>
      <c r="L126" s="127">
        <f t="shared" si="77"/>
        <v>-20000</v>
      </c>
      <c r="M126" s="349"/>
      <c r="N126" s="352"/>
      <c r="O126" s="350"/>
      <c r="P126" s="542">
        <f t="shared" si="78"/>
        <v>-27000</v>
      </c>
      <c r="R126" s="130"/>
      <c r="S126" s="130"/>
      <c r="T126" s="130">
        <v>-7000</v>
      </c>
      <c r="U126" s="130"/>
      <c r="V126" s="130"/>
      <c r="W126" s="130">
        <v>-20000</v>
      </c>
      <c r="X126" s="130"/>
      <c r="Y126" s="130"/>
      <c r="Z126" s="130"/>
      <c r="AA126" s="130"/>
      <c r="AB126" s="130">
        <f t="shared" si="48"/>
        <v>-27000</v>
      </c>
      <c r="AC126" s="130"/>
      <c r="AD126" s="130"/>
      <c r="AE126" s="130"/>
      <c r="AF126" s="130"/>
      <c r="AG126" s="130"/>
      <c r="AH126" s="130"/>
      <c r="AI126" s="130"/>
      <c r="AJ126" s="130"/>
      <c r="AK126" s="130"/>
      <c r="AL126" s="130"/>
      <c r="AM126" s="130"/>
      <c r="AN126" s="130">
        <f t="shared" si="49"/>
        <v>0</v>
      </c>
      <c r="AO126" s="130"/>
      <c r="AP126" s="130">
        <f t="shared" si="50"/>
        <v>0</v>
      </c>
      <c r="AQ126" s="130">
        <f t="shared" si="51"/>
        <v>0</v>
      </c>
      <c r="AR126" s="130">
        <f t="shared" si="52"/>
        <v>-7000</v>
      </c>
      <c r="AS126" s="130">
        <f t="shared" si="53"/>
        <v>0</v>
      </c>
      <c r="AT126" s="130">
        <f t="shared" si="54"/>
        <v>0</v>
      </c>
      <c r="AU126" s="130">
        <f t="shared" si="55"/>
        <v>-20000</v>
      </c>
      <c r="AV126" s="130">
        <f t="shared" si="56"/>
        <v>0</v>
      </c>
      <c r="AW126" s="130">
        <f t="shared" si="57"/>
        <v>0</v>
      </c>
      <c r="AX126" s="130">
        <f t="shared" si="58"/>
        <v>0</v>
      </c>
      <c r="AY126" s="130">
        <f t="shared" si="59"/>
        <v>0</v>
      </c>
      <c r="AZ126" s="130">
        <f t="shared" si="60"/>
        <v>-27000</v>
      </c>
      <c r="BB126" s="109">
        <f t="shared" si="61"/>
        <v>0</v>
      </c>
    </row>
    <row r="127" spans="1:54" x14ac:dyDescent="0.25">
      <c r="A127" s="132"/>
      <c r="B127" s="351"/>
      <c r="C127" s="129"/>
      <c r="D127" s="130"/>
      <c r="E127" s="130"/>
      <c r="F127" s="130"/>
      <c r="G127" s="140"/>
      <c r="H127" s="124"/>
      <c r="I127" s="129"/>
      <c r="J127" s="129"/>
      <c r="K127" s="131"/>
      <c r="L127" s="127"/>
      <c r="M127" s="129"/>
      <c r="N127" s="131"/>
      <c r="O127" s="262"/>
      <c r="P127" s="542"/>
      <c r="R127" s="130"/>
      <c r="S127" s="130"/>
      <c r="T127" s="130"/>
      <c r="U127" s="130"/>
      <c r="V127" s="130"/>
      <c r="W127" s="130"/>
      <c r="X127" s="130"/>
      <c r="Y127" s="130"/>
      <c r="Z127" s="130"/>
      <c r="AA127" s="130"/>
      <c r="AB127" s="130">
        <f t="shared" si="48"/>
        <v>0</v>
      </c>
      <c r="AC127" s="130"/>
      <c r="AD127" s="130"/>
      <c r="AE127" s="130"/>
      <c r="AF127" s="130"/>
      <c r="AG127" s="130"/>
      <c r="AH127" s="130"/>
      <c r="AI127" s="130"/>
      <c r="AJ127" s="130"/>
      <c r="AK127" s="130"/>
      <c r="AL127" s="130"/>
      <c r="AM127" s="130"/>
      <c r="AN127" s="130">
        <f t="shared" si="49"/>
        <v>0</v>
      </c>
      <c r="AO127" s="130"/>
      <c r="AP127" s="130">
        <f t="shared" si="50"/>
        <v>0</v>
      </c>
      <c r="AQ127" s="130">
        <f t="shared" si="51"/>
        <v>0</v>
      </c>
      <c r="AR127" s="130">
        <f t="shared" si="52"/>
        <v>0</v>
      </c>
      <c r="AS127" s="130">
        <f t="shared" si="53"/>
        <v>0</v>
      </c>
      <c r="AT127" s="130">
        <f t="shared" si="54"/>
        <v>0</v>
      </c>
      <c r="AU127" s="130">
        <f t="shared" si="55"/>
        <v>0</v>
      </c>
      <c r="AV127" s="130">
        <f t="shared" si="56"/>
        <v>0</v>
      </c>
      <c r="AW127" s="130">
        <f t="shared" si="57"/>
        <v>0</v>
      </c>
      <c r="AX127" s="130">
        <f t="shared" si="58"/>
        <v>0</v>
      </c>
      <c r="AY127" s="130">
        <f t="shared" si="59"/>
        <v>0</v>
      </c>
      <c r="AZ127" s="130">
        <f t="shared" si="60"/>
        <v>0</v>
      </c>
      <c r="BB127" s="109">
        <f t="shared" si="61"/>
        <v>0</v>
      </c>
    </row>
    <row r="128" spans="1:54" ht="47.25" x14ac:dyDescent="0.25">
      <c r="A128" s="132"/>
      <c r="B128" s="351" t="s">
        <v>924</v>
      </c>
      <c r="C128" s="129"/>
      <c r="D128" s="130"/>
      <c r="E128" s="130"/>
      <c r="F128" s="130"/>
      <c r="G128" s="140"/>
      <c r="H128" s="124"/>
      <c r="I128" s="129"/>
      <c r="J128" s="129"/>
      <c r="K128" s="131"/>
      <c r="L128" s="127"/>
      <c r="M128" s="129"/>
      <c r="N128" s="131"/>
      <c r="O128" s="262"/>
      <c r="P128" s="542"/>
      <c r="R128" s="130"/>
      <c r="S128" s="130"/>
      <c r="T128" s="130"/>
      <c r="U128" s="130"/>
      <c r="V128" s="130"/>
      <c r="W128" s="130"/>
      <c r="X128" s="130"/>
      <c r="Y128" s="130"/>
      <c r="Z128" s="130"/>
      <c r="AA128" s="130"/>
      <c r="AB128" s="130">
        <f t="shared" si="48"/>
        <v>0</v>
      </c>
      <c r="AC128" s="130"/>
      <c r="AD128" s="130"/>
      <c r="AE128" s="130"/>
      <c r="AF128" s="130"/>
      <c r="AG128" s="130"/>
      <c r="AH128" s="130"/>
      <c r="AI128" s="130"/>
      <c r="AJ128" s="130"/>
      <c r="AK128" s="130"/>
      <c r="AL128" s="130"/>
      <c r="AM128" s="130"/>
      <c r="AN128" s="130">
        <f t="shared" si="49"/>
        <v>0</v>
      </c>
      <c r="AO128" s="130"/>
      <c r="AP128" s="130">
        <f t="shared" si="50"/>
        <v>0</v>
      </c>
      <c r="AQ128" s="130">
        <f t="shared" si="51"/>
        <v>0</v>
      </c>
      <c r="AR128" s="130">
        <f t="shared" si="52"/>
        <v>0</v>
      </c>
      <c r="AS128" s="130">
        <f t="shared" si="53"/>
        <v>0</v>
      </c>
      <c r="AT128" s="130">
        <f t="shared" si="54"/>
        <v>0</v>
      </c>
      <c r="AU128" s="130">
        <f t="shared" si="55"/>
        <v>0</v>
      </c>
      <c r="AV128" s="130">
        <f t="shared" si="56"/>
        <v>0</v>
      </c>
      <c r="AW128" s="130">
        <f t="shared" si="57"/>
        <v>0</v>
      </c>
      <c r="AX128" s="130">
        <f t="shared" si="58"/>
        <v>0</v>
      </c>
      <c r="AY128" s="130">
        <f t="shared" si="59"/>
        <v>0</v>
      </c>
      <c r="AZ128" s="130">
        <f t="shared" si="60"/>
        <v>0</v>
      </c>
      <c r="BB128" s="109">
        <f t="shared" si="61"/>
        <v>0</v>
      </c>
    </row>
    <row r="129" spans="1:54" ht="47.25" x14ac:dyDescent="0.25">
      <c r="A129" s="132"/>
      <c r="B129" s="540" t="s">
        <v>945</v>
      </c>
      <c r="C129" s="129"/>
      <c r="D129" s="130"/>
      <c r="E129" s="130"/>
      <c r="F129" s="130"/>
      <c r="G129" s="140">
        <v>4266</v>
      </c>
      <c r="H129" s="124">
        <f t="shared" ref="H129" si="79">SUM(C129:G129)</f>
        <v>4266</v>
      </c>
      <c r="I129" s="349">
        <v>109669</v>
      </c>
      <c r="J129" s="349"/>
      <c r="K129" s="352"/>
      <c r="L129" s="127">
        <f t="shared" ref="L129" si="80">SUM(I129:K129)</f>
        <v>109669</v>
      </c>
      <c r="M129" s="349"/>
      <c r="N129" s="352"/>
      <c r="O129" s="350"/>
      <c r="P129" s="542">
        <f t="shared" ref="P129" si="81">O129+L129+H129</f>
        <v>113935</v>
      </c>
      <c r="R129" s="130"/>
      <c r="S129" s="130"/>
      <c r="T129" s="130"/>
      <c r="U129" s="130"/>
      <c r="V129" s="130">
        <v>4266</v>
      </c>
      <c r="W129" s="130">
        <v>109669</v>
      </c>
      <c r="X129" s="130"/>
      <c r="Y129" s="130"/>
      <c r="Z129" s="130"/>
      <c r="AA129" s="130"/>
      <c r="AB129" s="130">
        <f t="shared" si="48"/>
        <v>113935</v>
      </c>
      <c r="AC129" s="130"/>
      <c r="AD129" s="130"/>
      <c r="AE129" s="130"/>
      <c r="AF129" s="130"/>
      <c r="AG129" s="130"/>
      <c r="AH129" s="130"/>
      <c r="AI129" s="130"/>
      <c r="AJ129" s="130"/>
      <c r="AK129" s="130"/>
      <c r="AL129" s="130"/>
      <c r="AM129" s="130"/>
      <c r="AN129" s="130">
        <f t="shared" si="49"/>
        <v>0</v>
      </c>
      <c r="AO129" s="130"/>
      <c r="AP129" s="130">
        <f t="shared" si="50"/>
        <v>0</v>
      </c>
      <c r="AQ129" s="130">
        <f t="shared" si="51"/>
        <v>0</v>
      </c>
      <c r="AR129" s="130">
        <f t="shared" si="52"/>
        <v>0</v>
      </c>
      <c r="AS129" s="130">
        <f t="shared" si="53"/>
        <v>0</v>
      </c>
      <c r="AT129" s="130">
        <f t="shared" si="54"/>
        <v>4266</v>
      </c>
      <c r="AU129" s="130">
        <f t="shared" si="55"/>
        <v>109669</v>
      </c>
      <c r="AV129" s="130">
        <f t="shared" si="56"/>
        <v>0</v>
      </c>
      <c r="AW129" s="130">
        <f t="shared" si="57"/>
        <v>0</v>
      </c>
      <c r="AX129" s="130">
        <f t="shared" si="58"/>
        <v>0</v>
      </c>
      <c r="AY129" s="130">
        <f t="shared" si="59"/>
        <v>0</v>
      </c>
      <c r="AZ129" s="130">
        <f t="shared" si="60"/>
        <v>113935</v>
      </c>
      <c r="BB129" s="109">
        <f t="shared" si="61"/>
        <v>0</v>
      </c>
    </row>
    <row r="130" spans="1:54" x14ac:dyDescent="0.25">
      <c r="A130" s="132"/>
      <c r="B130" s="540" t="s">
        <v>946</v>
      </c>
      <c r="C130" s="129"/>
      <c r="D130" s="130"/>
      <c r="E130" s="130"/>
      <c r="F130" s="130"/>
      <c r="G130" s="140"/>
      <c r="H130" s="124">
        <f t="shared" ref="H130:H149" si="82">SUM(C130:G130)</f>
        <v>0</v>
      </c>
      <c r="I130" s="349">
        <v>2408</v>
      </c>
      <c r="J130" s="349"/>
      <c r="K130" s="352"/>
      <c r="L130" s="127">
        <f t="shared" ref="L130:L144" si="83">SUM(I130:K130)</f>
        <v>2408</v>
      </c>
      <c r="M130" s="349"/>
      <c r="N130" s="352"/>
      <c r="O130" s="350"/>
      <c r="P130" s="542">
        <f t="shared" ref="P130:P144" si="84">O130+L130+H130</f>
        <v>2408</v>
      </c>
      <c r="R130" s="130"/>
      <c r="S130" s="130"/>
      <c r="T130" s="130"/>
      <c r="U130" s="130"/>
      <c r="V130" s="130"/>
      <c r="W130" s="130">
        <v>2408</v>
      </c>
      <c r="X130" s="130"/>
      <c r="Y130" s="130"/>
      <c r="Z130" s="130"/>
      <c r="AA130" s="130"/>
      <c r="AB130" s="130">
        <f t="shared" si="48"/>
        <v>2408</v>
      </c>
      <c r="AC130" s="130"/>
      <c r="AD130" s="130"/>
      <c r="AE130" s="130"/>
      <c r="AF130" s="130"/>
      <c r="AG130" s="130"/>
      <c r="AH130" s="130"/>
      <c r="AI130" s="130"/>
      <c r="AJ130" s="130"/>
      <c r="AK130" s="130"/>
      <c r="AL130" s="130"/>
      <c r="AM130" s="130"/>
      <c r="AN130" s="130">
        <f t="shared" si="49"/>
        <v>0</v>
      </c>
      <c r="AO130" s="130"/>
      <c r="AP130" s="130">
        <f t="shared" si="50"/>
        <v>0</v>
      </c>
      <c r="AQ130" s="130">
        <f t="shared" si="51"/>
        <v>0</v>
      </c>
      <c r="AR130" s="130">
        <f t="shared" si="52"/>
        <v>0</v>
      </c>
      <c r="AS130" s="130">
        <f t="shared" si="53"/>
        <v>0</v>
      </c>
      <c r="AT130" s="130">
        <f t="shared" si="54"/>
        <v>0</v>
      </c>
      <c r="AU130" s="130">
        <f t="shared" si="55"/>
        <v>2408</v>
      </c>
      <c r="AV130" s="130">
        <f t="shared" si="56"/>
        <v>0</v>
      </c>
      <c r="AW130" s="130">
        <f t="shared" si="57"/>
        <v>0</v>
      </c>
      <c r="AX130" s="130">
        <f t="shared" si="58"/>
        <v>0</v>
      </c>
      <c r="AY130" s="130">
        <f t="shared" si="59"/>
        <v>0</v>
      </c>
      <c r="AZ130" s="130">
        <f t="shared" si="60"/>
        <v>2408</v>
      </c>
      <c r="BB130" s="109">
        <f t="shared" si="61"/>
        <v>0</v>
      </c>
    </row>
    <row r="131" spans="1:54" ht="31.5" x14ac:dyDescent="0.25">
      <c r="A131" s="132"/>
      <c r="B131" s="540" t="s">
        <v>947</v>
      </c>
      <c r="C131" s="129"/>
      <c r="D131" s="130"/>
      <c r="E131" s="130">
        <v>17</v>
      </c>
      <c r="F131" s="130"/>
      <c r="G131" s="140"/>
      <c r="H131" s="124">
        <f t="shared" si="82"/>
        <v>17</v>
      </c>
      <c r="I131" s="349"/>
      <c r="J131" s="349"/>
      <c r="K131" s="352"/>
      <c r="L131" s="127">
        <f t="shared" si="83"/>
        <v>0</v>
      </c>
      <c r="M131" s="349"/>
      <c r="N131" s="352"/>
      <c r="O131" s="350"/>
      <c r="P131" s="542">
        <f t="shared" si="84"/>
        <v>17</v>
      </c>
      <c r="R131" s="130"/>
      <c r="S131" s="130"/>
      <c r="T131" s="130">
        <v>17</v>
      </c>
      <c r="U131" s="130"/>
      <c r="V131" s="130"/>
      <c r="W131" s="130"/>
      <c r="X131" s="130"/>
      <c r="Y131" s="130"/>
      <c r="Z131" s="130"/>
      <c r="AA131" s="130"/>
      <c r="AB131" s="130">
        <f t="shared" si="48"/>
        <v>17</v>
      </c>
      <c r="AC131" s="130"/>
      <c r="AD131" s="130"/>
      <c r="AE131" s="130"/>
      <c r="AF131" s="130"/>
      <c r="AG131" s="130"/>
      <c r="AH131" s="130"/>
      <c r="AI131" s="130"/>
      <c r="AJ131" s="130"/>
      <c r="AK131" s="130"/>
      <c r="AL131" s="130"/>
      <c r="AM131" s="130"/>
      <c r="AN131" s="130">
        <f t="shared" si="49"/>
        <v>0</v>
      </c>
      <c r="AO131" s="130"/>
      <c r="AP131" s="130">
        <f t="shared" si="50"/>
        <v>0</v>
      </c>
      <c r="AQ131" s="130">
        <f t="shared" si="51"/>
        <v>0</v>
      </c>
      <c r="AR131" s="130">
        <f t="shared" si="52"/>
        <v>17</v>
      </c>
      <c r="AS131" s="130">
        <f t="shared" si="53"/>
        <v>0</v>
      </c>
      <c r="AT131" s="130">
        <f t="shared" si="54"/>
        <v>0</v>
      </c>
      <c r="AU131" s="130">
        <f t="shared" si="55"/>
        <v>0</v>
      </c>
      <c r="AV131" s="130">
        <f t="shared" si="56"/>
        <v>0</v>
      </c>
      <c r="AW131" s="130">
        <f t="shared" si="57"/>
        <v>0</v>
      </c>
      <c r="AX131" s="130">
        <f t="shared" si="58"/>
        <v>0</v>
      </c>
      <c r="AY131" s="130">
        <f t="shared" si="59"/>
        <v>0</v>
      </c>
      <c r="AZ131" s="130">
        <f t="shared" si="60"/>
        <v>17</v>
      </c>
      <c r="BB131" s="109">
        <f t="shared" si="61"/>
        <v>0</v>
      </c>
    </row>
    <row r="132" spans="1:54" ht="47.25" x14ac:dyDescent="0.25">
      <c r="A132" s="132"/>
      <c r="B132" s="540" t="s">
        <v>837</v>
      </c>
      <c r="C132" s="129"/>
      <c r="D132" s="130"/>
      <c r="E132" s="130"/>
      <c r="F132" s="130"/>
      <c r="G132" s="140"/>
      <c r="H132" s="124">
        <f t="shared" si="82"/>
        <v>0</v>
      </c>
      <c r="I132" s="349">
        <v>2</v>
      </c>
      <c r="J132" s="349"/>
      <c r="K132" s="352"/>
      <c r="L132" s="127">
        <f t="shared" si="83"/>
        <v>2</v>
      </c>
      <c r="M132" s="349"/>
      <c r="N132" s="352"/>
      <c r="O132" s="350"/>
      <c r="P132" s="542">
        <f t="shared" si="84"/>
        <v>2</v>
      </c>
      <c r="R132" s="130"/>
      <c r="S132" s="130"/>
      <c r="T132" s="130"/>
      <c r="U132" s="130"/>
      <c r="V132" s="130"/>
      <c r="W132" s="130">
        <v>2</v>
      </c>
      <c r="X132" s="130"/>
      <c r="Y132" s="130"/>
      <c r="Z132" s="130"/>
      <c r="AA132" s="130"/>
      <c r="AB132" s="130">
        <f t="shared" si="48"/>
        <v>2</v>
      </c>
      <c r="AC132" s="130"/>
      <c r="AD132" s="130"/>
      <c r="AE132" s="130"/>
      <c r="AF132" s="130"/>
      <c r="AG132" s="130"/>
      <c r="AH132" s="130"/>
      <c r="AI132" s="130"/>
      <c r="AJ132" s="130"/>
      <c r="AK132" s="130"/>
      <c r="AL132" s="130"/>
      <c r="AM132" s="130"/>
      <c r="AN132" s="130">
        <f t="shared" si="49"/>
        <v>0</v>
      </c>
      <c r="AO132" s="130"/>
      <c r="AP132" s="130">
        <f t="shared" si="50"/>
        <v>0</v>
      </c>
      <c r="AQ132" s="130">
        <f t="shared" si="51"/>
        <v>0</v>
      </c>
      <c r="AR132" s="130">
        <f t="shared" si="52"/>
        <v>0</v>
      </c>
      <c r="AS132" s="130">
        <f t="shared" si="53"/>
        <v>0</v>
      </c>
      <c r="AT132" s="130">
        <f t="shared" si="54"/>
        <v>0</v>
      </c>
      <c r="AU132" s="130">
        <f t="shared" si="55"/>
        <v>2</v>
      </c>
      <c r="AV132" s="130">
        <f t="shared" si="56"/>
        <v>0</v>
      </c>
      <c r="AW132" s="130">
        <f t="shared" si="57"/>
        <v>0</v>
      </c>
      <c r="AX132" s="130">
        <f t="shared" si="58"/>
        <v>0</v>
      </c>
      <c r="AY132" s="130">
        <f t="shared" si="59"/>
        <v>0</v>
      </c>
      <c r="AZ132" s="130">
        <f t="shared" si="60"/>
        <v>2</v>
      </c>
      <c r="BB132" s="109">
        <f t="shared" si="61"/>
        <v>0</v>
      </c>
    </row>
    <row r="133" spans="1:54" x14ac:dyDescent="0.25">
      <c r="A133" s="132"/>
      <c r="B133" s="540" t="s">
        <v>949</v>
      </c>
      <c r="C133" s="129"/>
      <c r="D133" s="130"/>
      <c r="E133" s="130"/>
      <c r="F133" s="130"/>
      <c r="G133" s="140"/>
      <c r="H133" s="124">
        <f t="shared" si="82"/>
        <v>0</v>
      </c>
      <c r="I133" s="349">
        <v>637</v>
      </c>
      <c r="J133" s="349"/>
      <c r="K133" s="352"/>
      <c r="L133" s="127">
        <f t="shared" si="83"/>
        <v>637</v>
      </c>
      <c r="M133" s="349"/>
      <c r="N133" s="352"/>
      <c r="O133" s="350"/>
      <c r="P133" s="542">
        <f t="shared" si="84"/>
        <v>637</v>
      </c>
      <c r="R133" s="130"/>
      <c r="S133" s="130"/>
      <c r="T133" s="130"/>
      <c r="U133" s="130"/>
      <c r="V133" s="130"/>
      <c r="W133" s="130">
        <v>637</v>
      </c>
      <c r="X133" s="130"/>
      <c r="Y133" s="130"/>
      <c r="Z133" s="130"/>
      <c r="AA133" s="130"/>
      <c r="AB133" s="130">
        <f t="shared" si="48"/>
        <v>637</v>
      </c>
      <c r="AC133" s="130"/>
      <c r="AD133" s="130"/>
      <c r="AE133" s="130"/>
      <c r="AF133" s="130"/>
      <c r="AG133" s="130"/>
      <c r="AH133" s="130"/>
      <c r="AI133" s="130"/>
      <c r="AJ133" s="130"/>
      <c r="AK133" s="130"/>
      <c r="AL133" s="130"/>
      <c r="AM133" s="130"/>
      <c r="AN133" s="130">
        <f t="shared" si="49"/>
        <v>0</v>
      </c>
      <c r="AO133" s="130"/>
      <c r="AP133" s="130">
        <f t="shared" si="50"/>
        <v>0</v>
      </c>
      <c r="AQ133" s="130">
        <f t="shared" si="51"/>
        <v>0</v>
      </c>
      <c r="AR133" s="130">
        <f t="shared" si="52"/>
        <v>0</v>
      </c>
      <c r="AS133" s="130">
        <f t="shared" si="53"/>
        <v>0</v>
      </c>
      <c r="AT133" s="130">
        <f t="shared" si="54"/>
        <v>0</v>
      </c>
      <c r="AU133" s="130">
        <f t="shared" si="55"/>
        <v>637</v>
      </c>
      <c r="AV133" s="130">
        <f t="shared" si="56"/>
        <v>0</v>
      </c>
      <c r="AW133" s="130">
        <f t="shared" si="57"/>
        <v>0</v>
      </c>
      <c r="AX133" s="130">
        <f t="shared" si="58"/>
        <v>0</v>
      </c>
      <c r="AY133" s="130">
        <f t="shared" si="59"/>
        <v>0</v>
      </c>
      <c r="AZ133" s="130">
        <f t="shared" si="60"/>
        <v>637</v>
      </c>
      <c r="BB133" s="109">
        <f t="shared" si="61"/>
        <v>0</v>
      </c>
    </row>
    <row r="134" spans="1:54" x14ac:dyDescent="0.25">
      <c r="A134" s="132"/>
      <c r="B134" s="540" t="s">
        <v>950</v>
      </c>
      <c r="C134" s="129"/>
      <c r="D134" s="130"/>
      <c r="E134" s="130"/>
      <c r="F134" s="130"/>
      <c r="G134" s="140"/>
      <c r="H134" s="124">
        <f t="shared" si="82"/>
        <v>0</v>
      </c>
      <c r="I134" s="349">
        <v>262</v>
      </c>
      <c r="J134" s="349"/>
      <c r="K134" s="352"/>
      <c r="L134" s="127">
        <f t="shared" si="83"/>
        <v>262</v>
      </c>
      <c r="M134" s="349"/>
      <c r="N134" s="352"/>
      <c r="O134" s="350"/>
      <c r="P134" s="542">
        <f t="shared" si="84"/>
        <v>262</v>
      </c>
      <c r="R134" s="130"/>
      <c r="S134" s="130"/>
      <c r="T134" s="130"/>
      <c r="U134" s="130"/>
      <c r="V134" s="130"/>
      <c r="W134" s="130">
        <v>262</v>
      </c>
      <c r="X134" s="130"/>
      <c r="Y134" s="130"/>
      <c r="Z134" s="130"/>
      <c r="AA134" s="130"/>
      <c r="AB134" s="130">
        <f t="shared" si="48"/>
        <v>262</v>
      </c>
      <c r="AC134" s="130"/>
      <c r="AD134" s="130"/>
      <c r="AE134" s="130"/>
      <c r="AF134" s="130"/>
      <c r="AG134" s="130"/>
      <c r="AH134" s="130"/>
      <c r="AI134" s="130"/>
      <c r="AJ134" s="130"/>
      <c r="AK134" s="130"/>
      <c r="AL134" s="130"/>
      <c r="AM134" s="130"/>
      <c r="AN134" s="130">
        <f t="shared" si="49"/>
        <v>0</v>
      </c>
      <c r="AO134" s="130"/>
      <c r="AP134" s="130">
        <f t="shared" si="50"/>
        <v>0</v>
      </c>
      <c r="AQ134" s="130">
        <f t="shared" si="51"/>
        <v>0</v>
      </c>
      <c r="AR134" s="130">
        <f t="shared" si="52"/>
        <v>0</v>
      </c>
      <c r="AS134" s="130">
        <f t="shared" si="53"/>
        <v>0</v>
      </c>
      <c r="AT134" s="130">
        <f t="shared" si="54"/>
        <v>0</v>
      </c>
      <c r="AU134" s="130">
        <f t="shared" si="55"/>
        <v>262</v>
      </c>
      <c r="AV134" s="130">
        <f t="shared" si="56"/>
        <v>0</v>
      </c>
      <c r="AW134" s="130">
        <f t="shared" si="57"/>
        <v>0</v>
      </c>
      <c r="AX134" s="130">
        <f t="shared" si="58"/>
        <v>0</v>
      </c>
      <c r="AY134" s="130">
        <f t="shared" si="59"/>
        <v>0</v>
      </c>
      <c r="AZ134" s="130">
        <f t="shared" si="60"/>
        <v>262</v>
      </c>
      <c r="BB134" s="109">
        <f t="shared" si="61"/>
        <v>0</v>
      </c>
    </row>
    <row r="135" spans="1:54" x14ac:dyDescent="0.25">
      <c r="A135" s="132"/>
      <c r="B135" s="540" t="s">
        <v>799</v>
      </c>
      <c r="C135" s="129"/>
      <c r="D135" s="130"/>
      <c r="E135" s="130"/>
      <c r="F135" s="130"/>
      <c r="G135" s="140"/>
      <c r="H135" s="124">
        <f t="shared" si="82"/>
        <v>0</v>
      </c>
      <c r="I135" s="349">
        <v>7925</v>
      </c>
      <c r="J135" s="349"/>
      <c r="K135" s="352"/>
      <c r="L135" s="127">
        <f t="shared" si="83"/>
        <v>7925</v>
      </c>
      <c r="M135" s="349"/>
      <c r="N135" s="352"/>
      <c r="O135" s="350"/>
      <c r="P135" s="542">
        <f t="shared" si="84"/>
        <v>7925</v>
      </c>
      <c r="R135" s="130"/>
      <c r="S135" s="130"/>
      <c r="T135" s="130"/>
      <c r="U135" s="130"/>
      <c r="V135" s="130"/>
      <c r="W135" s="130">
        <v>7925</v>
      </c>
      <c r="X135" s="130"/>
      <c r="Y135" s="130"/>
      <c r="Z135" s="130"/>
      <c r="AA135" s="130"/>
      <c r="AB135" s="130">
        <f t="shared" si="48"/>
        <v>7925</v>
      </c>
      <c r="AC135" s="130"/>
      <c r="AD135" s="130"/>
      <c r="AE135" s="130"/>
      <c r="AF135" s="130"/>
      <c r="AG135" s="130"/>
      <c r="AH135" s="130"/>
      <c r="AI135" s="130"/>
      <c r="AJ135" s="130"/>
      <c r="AK135" s="130"/>
      <c r="AL135" s="130"/>
      <c r="AM135" s="130"/>
      <c r="AN135" s="130">
        <f t="shared" si="49"/>
        <v>0</v>
      </c>
      <c r="AO135" s="130"/>
      <c r="AP135" s="130">
        <f t="shared" si="50"/>
        <v>0</v>
      </c>
      <c r="AQ135" s="130">
        <f t="shared" si="51"/>
        <v>0</v>
      </c>
      <c r="AR135" s="130">
        <f t="shared" si="52"/>
        <v>0</v>
      </c>
      <c r="AS135" s="130">
        <f t="shared" si="53"/>
        <v>0</v>
      </c>
      <c r="AT135" s="130">
        <f t="shared" si="54"/>
        <v>0</v>
      </c>
      <c r="AU135" s="130">
        <f t="shared" si="55"/>
        <v>7925</v>
      </c>
      <c r="AV135" s="130">
        <f t="shared" si="56"/>
        <v>0</v>
      </c>
      <c r="AW135" s="130">
        <f t="shared" si="57"/>
        <v>0</v>
      </c>
      <c r="AX135" s="130">
        <f t="shared" si="58"/>
        <v>0</v>
      </c>
      <c r="AY135" s="130">
        <f t="shared" si="59"/>
        <v>0</v>
      </c>
      <c r="AZ135" s="130">
        <f t="shared" si="60"/>
        <v>7925</v>
      </c>
      <c r="BB135" s="109">
        <f t="shared" si="61"/>
        <v>0</v>
      </c>
    </row>
    <row r="136" spans="1:54" x14ac:dyDescent="0.25">
      <c r="A136" s="132"/>
      <c r="B136" s="540" t="s">
        <v>800</v>
      </c>
      <c r="C136" s="129"/>
      <c r="D136" s="130"/>
      <c r="E136" s="130"/>
      <c r="F136" s="130"/>
      <c r="G136" s="140"/>
      <c r="H136" s="124">
        <f t="shared" si="82"/>
        <v>0</v>
      </c>
      <c r="I136" s="349">
        <v>1106</v>
      </c>
      <c r="J136" s="349"/>
      <c r="K136" s="352"/>
      <c r="L136" s="127">
        <f t="shared" si="83"/>
        <v>1106</v>
      </c>
      <c r="M136" s="349"/>
      <c r="N136" s="352"/>
      <c r="O136" s="350"/>
      <c r="P136" s="542">
        <f t="shared" si="84"/>
        <v>1106</v>
      </c>
      <c r="R136" s="130"/>
      <c r="S136" s="130"/>
      <c r="T136" s="130"/>
      <c r="U136" s="130"/>
      <c r="V136" s="130"/>
      <c r="W136" s="130">
        <v>1106</v>
      </c>
      <c r="X136" s="130"/>
      <c r="Y136" s="130"/>
      <c r="Z136" s="130"/>
      <c r="AA136" s="130"/>
      <c r="AB136" s="130">
        <f t="shared" si="48"/>
        <v>1106</v>
      </c>
      <c r="AC136" s="130"/>
      <c r="AD136" s="130"/>
      <c r="AE136" s="130"/>
      <c r="AF136" s="130"/>
      <c r="AG136" s="130"/>
      <c r="AH136" s="130"/>
      <c r="AI136" s="130"/>
      <c r="AJ136" s="130"/>
      <c r="AK136" s="130"/>
      <c r="AL136" s="130"/>
      <c r="AM136" s="130"/>
      <c r="AN136" s="130">
        <f t="shared" si="49"/>
        <v>0</v>
      </c>
      <c r="AO136" s="130"/>
      <c r="AP136" s="130">
        <f t="shared" si="50"/>
        <v>0</v>
      </c>
      <c r="AQ136" s="130">
        <f t="shared" si="51"/>
        <v>0</v>
      </c>
      <c r="AR136" s="130">
        <f t="shared" si="52"/>
        <v>0</v>
      </c>
      <c r="AS136" s="130">
        <f t="shared" si="53"/>
        <v>0</v>
      </c>
      <c r="AT136" s="130">
        <f t="shared" si="54"/>
        <v>0</v>
      </c>
      <c r="AU136" s="130">
        <f t="shared" si="55"/>
        <v>1106</v>
      </c>
      <c r="AV136" s="130">
        <f t="shared" si="56"/>
        <v>0</v>
      </c>
      <c r="AW136" s="130">
        <f t="shared" si="57"/>
        <v>0</v>
      </c>
      <c r="AX136" s="130">
        <f t="shared" si="58"/>
        <v>0</v>
      </c>
      <c r="AY136" s="130">
        <f t="shared" si="59"/>
        <v>0</v>
      </c>
      <c r="AZ136" s="130">
        <f t="shared" si="60"/>
        <v>1106</v>
      </c>
      <c r="BB136" s="109">
        <f t="shared" si="61"/>
        <v>0</v>
      </c>
    </row>
    <row r="137" spans="1:54" x14ac:dyDescent="0.25">
      <c r="A137" s="132"/>
      <c r="B137" s="540" t="s">
        <v>838</v>
      </c>
      <c r="C137" s="129"/>
      <c r="D137" s="130"/>
      <c r="E137" s="130">
        <v>5798</v>
      </c>
      <c r="F137" s="130"/>
      <c r="G137" s="140"/>
      <c r="H137" s="124">
        <f t="shared" si="82"/>
        <v>5798</v>
      </c>
      <c r="I137" s="349"/>
      <c r="J137" s="349"/>
      <c r="K137" s="352"/>
      <c r="L137" s="127">
        <f t="shared" si="83"/>
        <v>0</v>
      </c>
      <c r="M137" s="349"/>
      <c r="N137" s="352"/>
      <c r="O137" s="350"/>
      <c r="P137" s="542">
        <f t="shared" si="84"/>
        <v>5798</v>
      </c>
      <c r="R137" s="130"/>
      <c r="S137" s="130"/>
      <c r="T137" s="130">
        <v>5798</v>
      </c>
      <c r="U137" s="130"/>
      <c r="V137" s="130"/>
      <c r="W137" s="130"/>
      <c r="X137" s="130"/>
      <c r="Y137" s="130"/>
      <c r="Z137" s="130"/>
      <c r="AA137" s="130"/>
      <c r="AB137" s="130">
        <f t="shared" si="48"/>
        <v>5798</v>
      </c>
      <c r="AC137" s="130"/>
      <c r="AD137" s="130"/>
      <c r="AE137" s="130"/>
      <c r="AF137" s="130"/>
      <c r="AG137" s="130"/>
      <c r="AH137" s="130"/>
      <c r="AI137" s="130"/>
      <c r="AJ137" s="130"/>
      <c r="AK137" s="130"/>
      <c r="AL137" s="130"/>
      <c r="AM137" s="130"/>
      <c r="AN137" s="130">
        <f t="shared" si="49"/>
        <v>0</v>
      </c>
      <c r="AO137" s="130"/>
      <c r="AP137" s="130">
        <f t="shared" si="50"/>
        <v>0</v>
      </c>
      <c r="AQ137" s="130">
        <f t="shared" si="51"/>
        <v>0</v>
      </c>
      <c r="AR137" s="130">
        <f t="shared" si="52"/>
        <v>5798</v>
      </c>
      <c r="AS137" s="130">
        <f t="shared" si="53"/>
        <v>0</v>
      </c>
      <c r="AT137" s="130">
        <f t="shared" si="54"/>
        <v>0</v>
      </c>
      <c r="AU137" s="130">
        <f t="shared" si="55"/>
        <v>0</v>
      </c>
      <c r="AV137" s="130">
        <f t="shared" si="56"/>
        <v>0</v>
      </c>
      <c r="AW137" s="130">
        <f t="shared" si="57"/>
        <v>0</v>
      </c>
      <c r="AX137" s="130">
        <f t="shared" si="58"/>
        <v>0</v>
      </c>
      <c r="AY137" s="130">
        <f t="shared" si="59"/>
        <v>0</v>
      </c>
      <c r="AZ137" s="130">
        <f t="shared" si="60"/>
        <v>5798</v>
      </c>
      <c r="BB137" s="109">
        <f t="shared" si="61"/>
        <v>0</v>
      </c>
    </row>
    <row r="138" spans="1:54" ht="31.5" x14ac:dyDescent="0.25">
      <c r="A138" s="132"/>
      <c r="B138" s="540" t="s">
        <v>955</v>
      </c>
      <c r="C138" s="129"/>
      <c r="D138" s="130"/>
      <c r="E138" s="130"/>
      <c r="F138" s="130"/>
      <c r="G138" s="140">
        <v>1</v>
      </c>
      <c r="H138" s="124">
        <f t="shared" si="82"/>
        <v>1</v>
      </c>
      <c r="I138" s="349"/>
      <c r="J138" s="349"/>
      <c r="K138" s="352"/>
      <c r="L138" s="127">
        <f t="shared" si="83"/>
        <v>0</v>
      </c>
      <c r="M138" s="349"/>
      <c r="N138" s="352"/>
      <c r="O138" s="350"/>
      <c r="P138" s="542">
        <f t="shared" si="84"/>
        <v>1</v>
      </c>
      <c r="R138" s="130"/>
      <c r="S138" s="130"/>
      <c r="T138" s="130"/>
      <c r="U138" s="130"/>
      <c r="V138" s="130"/>
      <c r="W138" s="130"/>
      <c r="X138" s="130"/>
      <c r="Y138" s="130"/>
      <c r="Z138" s="130"/>
      <c r="AA138" s="130"/>
      <c r="AB138" s="130">
        <f t="shared" si="48"/>
        <v>0</v>
      </c>
      <c r="AC138" s="130"/>
      <c r="AD138" s="130"/>
      <c r="AE138" s="130"/>
      <c r="AF138" s="130"/>
      <c r="AG138" s="130"/>
      <c r="AH138" s="130">
        <v>1</v>
      </c>
      <c r="AI138" s="130"/>
      <c r="AJ138" s="130"/>
      <c r="AK138" s="130"/>
      <c r="AL138" s="130"/>
      <c r="AM138" s="130"/>
      <c r="AN138" s="130">
        <f t="shared" si="49"/>
        <v>1</v>
      </c>
      <c r="AO138" s="130"/>
      <c r="AP138" s="130">
        <f t="shared" si="50"/>
        <v>0</v>
      </c>
      <c r="AQ138" s="130">
        <f t="shared" si="51"/>
        <v>0</v>
      </c>
      <c r="AR138" s="130">
        <f t="shared" si="52"/>
        <v>0</v>
      </c>
      <c r="AS138" s="130">
        <f t="shared" si="53"/>
        <v>0</v>
      </c>
      <c r="AT138" s="130">
        <f t="shared" si="54"/>
        <v>1</v>
      </c>
      <c r="AU138" s="130">
        <f t="shared" si="55"/>
        <v>0</v>
      </c>
      <c r="AV138" s="130">
        <f t="shared" si="56"/>
        <v>0</v>
      </c>
      <c r="AW138" s="130">
        <f t="shared" si="57"/>
        <v>0</v>
      </c>
      <c r="AX138" s="130">
        <f t="shared" si="58"/>
        <v>0</v>
      </c>
      <c r="AY138" s="130">
        <f t="shared" si="59"/>
        <v>0</v>
      </c>
      <c r="AZ138" s="130">
        <f t="shared" si="60"/>
        <v>1</v>
      </c>
      <c r="BB138" s="109">
        <f t="shared" si="61"/>
        <v>0</v>
      </c>
    </row>
    <row r="139" spans="1:54" ht="78.75" x14ac:dyDescent="0.25">
      <c r="A139" s="132"/>
      <c r="B139" s="540" t="s">
        <v>957</v>
      </c>
      <c r="C139" s="129"/>
      <c r="D139" s="130"/>
      <c r="E139" s="130"/>
      <c r="F139" s="130"/>
      <c r="G139" s="140"/>
      <c r="H139" s="124">
        <f t="shared" si="82"/>
        <v>0</v>
      </c>
      <c r="I139" s="349">
        <v>5029</v>
      </c>
      <c r="J139" s="349"/>
      <c r="K139" s="352"/>
      <c r="L139" s="127">
        <f t="shared" si="83"/>
        <v>5029</v>
      </c>
      <c r="M139" s="349"/>
      <c r="N139" s="352"/>
      <c r="O139" s="350"/>
      <c r="P139" s="542">
        <f t="shared" si="84"/>
        <v>5029</v>
      </c>
      <c r="R139" s="130"/>
      <c r="S139" s="130"/>
      <c r="T139" s="130"/>
      <c r="U139" s="130"/>
      <c r="V139" s="130"/>
      <c r="W139" s="130"/>
      <c r="X139" s="130"/>
      <c r="Y139" s="130"/>
      <c r="Z139" s="130"/>
      <c r="AA139" s="130"/>
      <c r="AB139" s="130">
        <f t="shared" si="48"/>
        <v>0</v>
      </c>
      <c r="AC139" s="130"/>
      <c r="AD139" s="130"/>
      <c r="AE139" s="130"/>
      <c r="AF139" s="130"/>
      <c r="AG139" s="130"/>
      <c r="AH139" s="130"/>
      <c r="AI139" s="130">
        <v>5029</v>
      </c>
      <c r="AJ139" s="130"/>
      <c r="AK139" s="130"/>
      <c r="AL139" s="130"/>
      <c r="AM139" s="130"/>
      <c r="AN139" s="130">
        <f t="shared" si="49"/>
        <v>5029</v>
      </c>
      <c r="AO139" s="130"/>
      <c r="AP139" s="130">
        <f t="shared" si="50"/>
        <v>0</v>
      </c>
      <c r="AQ139" s="130">
        <f t="shared" si="51"/>
        <v>0</v>
      </c>
      <c r="AR139" s="130">
        <f t="shared" si="52"/>
        <v>0</v>
      </c>
      <c r="AS139" s="130">
        <f t="shared" si="53"/>
        <v>0</v>
      </c>
      <c r="AT139" s="130">
        <f t="shared" si="54"/>
        <v>0</v>
      </c>
      <c r="AU139" s="130">
        <f t="shared" si="55"/>
        <v>5029</v>
      </c>
      <c r="AV139" s="130">
        <f t="shared" si="56"/>
        <v>0</v>
      </c>
      <c r="AW139" s="130">
        <f t="shared" si="57"/>
        <v>0</v>
      </c>
      <c r="AX139" s="130">
        <f t="shared" si="58"/>
        <v>0</v>
      </c>
      <c r="AY139" s="130">
        <f t="shared" si="59"/>
        <v>0</v>
      </c>
      <c r="AZ139" s="130">
        <f t="shared" si="60"/>
        <v>5029</v>
      </c>
      <c r="BB139" s="109">
        <f t="shared" si="61"/>
        <v>0</v>
      </c>
    </row>
    <row r="140" spans="1:54" ht="78" customHeight="1" x14ac:dyDescent="0.25">
      <c r="A140" s="132"/>
      <c r="B140" s="540" t="s">
        <v>797</v>
      </c>
      <c r="C140" s="541"/>
      <c r="D140" s="139"/>
      <c r="E140" s="139"/>
      <c r="F140" s="139"/>
      <c r="G140" s="263"/>
      <c r="H140" s="542">
        <f>SUM(C140:G140)</f>
        <v>0</v>
      </c>
      <c r="I140" s="541">
        <v>579349</v>
      </c>
      <c r="J140" s="541"/>
      <c r="K140" s="543"/>
      <c r="L140" s="544">
        <f>SUM(I140:K140)</f>
        <v>579349</v>
      </c>
      <c r="M140" s="554"/>
      <c r="N140" s="555"/>
      <c r="O140" s="556"/>
      <c r="P140" s="542">
        <f>O140+L140+H140</f>
        <v>579349</v>
      </c>
      <c r="R140" s="130"/>
      <c r="S140" s="130"/>
      <c r="T140" s="130"/>
      <c r="U140" s="130"/>
      <c r="V140" s="130"/>
      <c r="W140" s="130"/>
      <c r="X140" s="130"/>
      <c r="Y140" s="130"/>
      <c r="Z140" s="130"/>
      <c r="AA140" s="130"/>
      <c r="AB140" s="130">
        <f t="shared" si="48"/>
        <v>0</v>
      </c>
      <c r="AC140" s="130"/>
      <c r="AD140" s="130"/>
      <c r="AE140" s="130"/>
      <c r="AF140" s="130"/>
      <c r="AG140" s="130"/>
      <c r="AH140" s="130"/>
      <c r="AI140" s="130">
        <v>579349</v>
      </c>
      <c r="AJ140" s="130"/>
      <c r="AK140" s="130"/>
      <c r="AL140" s="130"/>
      <c r="AM140" s="130"/>
      <c r="AN140" s="130">
        <f t="shared" si="49"/>
        <v>579349</v>
      </c>
      <c r="AO140" s="130"/>
      <c r="AP140" s="130">
        <f t="shared" si="50"/>
        <v>0</v>
      </c>
      <c r="AQ140" s="130">
        <f t="shared" si="51"/>
        <v>0</v>
      </c>
      <c r="AR140" s="130">
        <f t="shared" si="52"/>
        <v>0</v>
      </c>
      <c r="AS140" s="130">
        <f t="shared" si="53"/>
        <v>0</v>
      </c>
      <c r="AT140" s="130">
        <f t="shared" si="54"/>
        <v>0</v>
      </c>
      <c r="AU140" s="130">
        <f t="shared" si="55"/>
        <v>579349</v>
      </c>
      <c r="AV140" s="130">
        <f t="shared" si="56"/>
        <v>0</v>
      </c>
      <c r="AW140" s="130">
        <f t="shared" si="57"/>
        <v>0</v>
      </c>
      <c r="AX140" s="130">
        <f t="shared" si="58"/>
        <v>0</v>
      </c>
      <c r="AY140" s="130">
        <f t="shared" si="59"/>
        <v>0</v>
      </c>
      <c r="AZ140" s="130">
        <f t="shared" si="60"/>
        <v>579349</v>
      </c>
      <c r="BB140" s="109">
        <f t="shared" si="61"/>
        <v>0</v>
      </c>
    </row>
    <row r="141" spans="1:54" x14ac:dyDescent="0.25">
      <c r="A141" s="132"/>
      <c r="B141" s="540"/>
      <c r="C141" s="129"/>
      <c r="D141" s="130"/>
      <c r="E141" s="130"/>
      <c r="F141" s="130"/>
      <c r="G141" s="140"/>
      <c r="H141" s="124"/>
      <c r="I141" s="349"/>
      <c r="J141" s="349"/>
      <c r="K141" s="352"/>
      <c r="L141" s="127"/>
      <c r="M141" s="349"/>
      <c r="N141" s="352"/>
      <c r="O141" s="350"/>
      <c r="P141" s="542"/>
      <c r="R141" s="130"/>
      <c r="S141" s="130"/>
      <c r="T141" s="130"/>
      <c r="U141" s="130"/>
      <c r="V141" s="130"/>
      <c r="W141" s="130"/>
      <c r="X141" s="130"/>
      <c r="Y141" s="130"/>
      <c r="Z141" s="130"/>
      <c r="AA141" s="130"/>
      <c r="AB141" s="130">
        <f t="shared" si="48"/>
        <v>0</v>
      </c>
      <c r="AC141" s="130"/>
      <c r="AD141" s="130"/>
      <c r="AE141" s="130"/>
      <c r="AF141" s="130"/>
      <c r="AG141" s="130"/>
      <c r="AH141" s="130"/>
      <c r="AI141" s="130"/>
      <c r="AJ141" s="130"/>
      <c r="AK141" s="130"/>
      <c r="AL141" s="130"/>
      <c r="AM141" s="130"/>
      <c r="AN141" s="130">
        <f t="shared" si="49"/>
        <v>0</v>
      </c>
      <c r="AO141" s="130"/>
      <c r="AP141" s="130">
        <f t="shared" si="50"/>
        <v>0</v>
      </c>
      <c r="AQ141" s="130">
        <f t="shared" si="51"/>
        <v>0</v>
      </c>
      <c r="AR141" s="130">
        <f t="shared" si="52"/>
        <v>0</v>
      </c>
      <c r="AS141" s="130">
        <f t="shared" si="53"/>
        <v>0</v>
      </c>
      <c r="AT141" s="130">
        <f t="shared" si="54"/>
        <v>0</v>
      </c>
      <c r="AU141" s="130">
        <f t="shared" si="55"/>
        <v>0</v>
      </c>
      <c r="AV141" s="130">
        <f t="shared" si="56"/>
        <v>0</v>
      </c>
      <c r="AW141" s="130">
        <f t="shared" si="57"/>
        <v>0</v>
      </c>
      <c r="AX141" s="130">
        <f t="shared" si="58"/>
        <v>0</v>
      </c>
      <c r="AY141" s="130">
        <f t="shared" si="59"/>
        <v>0</v>
      </c>
      <c r="AZ141" s="130">
        <f t="shared" si="60"/>
        <v>0</v>
      </c>
      <c r="BB141" s="109">
        <f t="shared" si="61"/>
        <v>0</v>
      </c>
    </row>
    <row r="142" spans="1:54" ht="47.25" x14ac:dyDescent="0.25">
      <c r="A142" s="132"/>
      <c r="B142" s="351" t="s">
        <v>969</v>
      </c>
      <c r="C142" s="129"/>
      <c r="D142" s="130"/>
      <c r="E142" s="130"/>
      <c r="F142" s="130"/>
      <c r="G142" s="140"/>
      <c r="H142" s="124"/>
      <c r="I142" s="349"/>
      <c r="J142" s="349"/>
      <c r="K142" s="352"/>
      <c r="L142" s="127"/>
      <c r="M142" s="349"/>
      <c r="N142" s="352"/>
      <c r="O142" s="350"/>
      <c r="P142" s="542"/>
      <c r="R142" s="130"/>
      <c r="S142" s="130"/>
      <c r="T142" s="130"/>
      <c r="U142" s="130"/>
      <c r="V142" s="130"/>
      <c r="W142" s="130"/>
      <c r="X142" s="130"/>
      <c r="Y142" s="130"/>
      <c r="Z142" s="130"/>
      <c r="AA142" s="130"/>
      <c r="AB142" s="130">
        <f t="shared" si="48"/>
        <v>0</v>
      </c>
      <c r="AC142" s="130"/>
      <c r="AD142" s="130"/>
      <c r="AE142" s="130"/>
      <c r="AF142" s="130"/>
      <c r="AG142" s="130"/>
      <c r="AH142" s="130"/>
      <c r="AI142" s="130"/>
      <c r="AJ142" s="130"/>
      <c r="AK142" s="130"/>
      <c r="AL142" s="130"/>
      <c r="AM142" s="130"/>
      <c r="AN142" s="130">
        <f t="shared" si="49"/>
        <v>0</v>
      </c>
      <c r="AO142" s="130"/>
      <c r="AP142" s="130">
        <f t="shared" si="50"/>
        <v>0</v>
      </c>
      <c r="AQ142" s="130">
        <f t="shared" si="51"/>
        <v>0</v>
      </c>
      <c r="AR142" s="130">
        <f t="shared" si="52"/>
        <v>0</v>
      </c>
      <c r="AS142" s="130">
        <f t="shared" si="53"/>
        <v>0</v>
      </c>
      <c r="AT142" s="130">
        <f t="shared" si="54"/>
        <v>0</v>
      </c>
      <c r="AU142" s="130">
        <f t="shared" si="55"/>
        <v>0</v>
      </c>
      <c r="AV142" s="130">
        <f t="shared" si="56"/>
        <v>0</v>
      </c>
      <c r="AW142" s="130">
        <f t="shared" si="57"/>
        <v>0</v>
      </c>
      <c r="AX142" s="130">
        <f t="shared" si="58"/>
        <v>0</v>
      </c>
      <c r="AY142" s="130">
        <f t="shared" si="59"/>
        <v>0</v>
      </c>
      <c r="AZ142" s="130">
        <f t="shared" si="60"/>
        <v>0</v>
      </c>
      <c r="BB142" s="109">
        <f t="shared" si="61"/>
        <v>0</v>
      </c>
    </row>
    <row r="143" spans="1:54" ht="63" x14ac:dyDescent="0.25">
      <c r="A143" s="132"/>
      <c r="B143" s="540" t="s">
        <v>796</v>
      </c>
      <c r="C143" s="129"/>
      <c r="D143" s="130"/>
      <c r="E143" s="130">
        <v>-571626</v>
      </c>
      <c r="F143" s="130"/>
      <c r="G143" s="140"/>
      <c r="H143" s="124">
        <f>SUM(C143:G143)</f>
        <v>-571626</v>
      </c>
      <c r="I143" s="349">
        <v>-135770</v>
      </c>
      <c r="J143" s="349"/>
      <c r="K143" s="352"/>
      <c r="L143" s="127">
        <f>SUM(I143:K143)</f>
        <v>-135770</v>
      </c>
      <c r="M143" s="349"/>
      <c r="N143" s="352"/>
      <c r="O143" s="350"/>
      <c r="P143" s="542">
        <f>O143+L143+H143</f>
        <v>-707396</v>
      </c>
      <c r="R143" s="130"/>
      <c r="S143" s="130"/>
      <c r="T143" s="130"/>
      <c r="U143" s="130"/>
      <c r="V143" s="130"/>
      <c r="W143" s="130"/>
      <c r="X143" s="130"/>
      <c r="Y143" s="130"/>
      <c r="Z143" s="130"/>
      <c r="AA143" s="130"/>
      <c r="AB143" s="130">
        <f t="shared" ref="AB143:AB207" si="85">SUM(R143:AA143)</f>
        <v>0</v>
      </c>
      <c r="AC143" s="130"/>
      <c r="AD143" s="130"/>
      <c r="AE143" s="130"/>
      <c r="AF143" s="130">
        <v>-571626</v>
      </c>
      <c r="AG143" s="130"/>
      <c r="AH143" s="130"/>
      <c r="AI143" s="130">
        <v>-135770</v>
      </c>
      <c r="AJ143" s="130"/>
      <c r="AK143" s="130"/>
      <c r="AL143" s="130"/>
      <c r="AM143" s="130"/>
      <c r="AN143" s="130">
        <f t="shared" ref="AN143:AN207" si="86">SUM(AD143:AM143)</f>
        <v>-707396</v>
      </c>
      <c r="AO143" s="130"/>
      <c r="AP143" s="130">
        <f t="shared" ref="AP143:AP207" si="87">SUM(R143,AD143)</f>
        <v>0</v>
      </c>
      <c r="AQ143" s="130">
        <f t="shared" ref="AQ143:AQ207" si="88">SUM(S143,AE143)</f>
        <v>0</v>
      </c>
      <c r="AR143" s="130">
        <f t="shared" ref="AR143:AR207" si="89">SUM(T143,AF143)</f>
        <v>-571626</v>
      </c>
      <c r="AS143" s="130">
        <f t="shared" ref="AS143:AS207" si="90">SUM(U143,AG143)</f>
        <v>0</v>
      </c>
      <c r="AT143" s="130">
        <f t="shared" ref="AT143:AT207" si="91">SUM(V143,AH143)</f>
        <v>0</v>
      </c>
      <c r="AU143" s="130">
        <f t="shared" ref="AU143:AU207" si="92">SUM(W143,AI143)</f>
        <v>-135770</v>
      </c>
      <c r="AV143" s="130">
        <f t="shared" ref="AV143:AV207" si="93">SUM(X143,AJ143)</f>
        <v>0</v>
      </c>
      <c r="AW143" s="130">
        <f t="shared" ref="AW143:AW207" si="94">SUM(Y143,AK143)</f>
        <v>0</v>
      </c>
      <c r="AX143" s="130">
        <f t="shared" ref="AX143:AX207" si="95">SUM(Z143,AL143)</f>
        <v>0</v>
      </c>
      <c r="AY143" s="130">
        <f t="shared" ref="AY143:AY207" si="96">SUM(AA143,AM143)</f>
        <v>0</v>
      </c>
      <c r="AZ143" s="130">
        <f t="shared" ref="AZ143:AZ207" si="97">SUM(AB143,AN143)</f>
        <v>-707396</v>
      </c>
      <c r="BB143" s="109">
        <f t="shared" si="61"/>
        <v>0</v>
      </c>
    </row>
    <row r="144" spans="1:54" s="546" customFormat="1" x14ac:dyDescent="0.25">
      <c r="A144" s="539"/>
      <c r="B144" s="540" t="s">
        <v>802</v>
      </c>
      <c r="C144" s="541"/>
      <c r="D144" s="139"/>
      <c r="E144" s="139"/>
      <c r="F144" s="139"/>
      <c r="G144" s="263"/>
      <c r="H144" s="542">
        <f t="shared" si="82"/>
        <v>0</v>
      </c>
      <c r="I144" s="554">
        <v>-160858</v>
      </c>
      <c r="J144" s="554"/>
      <c r="K144" s="555"/>
      <c r="L144" s="544">
        <f t="shared" si="83"/>
        <v>-160858</v>
      </c>
      <c r="M144" s="554"/>
      <c r="N144" s="555"/>
      <c r="O144" s="556"/>
      <c r="P144" s="542">
        <f t="shared" si="84"/>
        <v>-160858</v>
      </c>
      <c r="R144" s="139"/>
      <c r="S144" s="139"/>
      <c r="T144" s="139"/>
      <c r="U144" s="139"/>
      <c r="V144" s="139"/>
      <c r="W144" s="139">
        <v>-160858</v>
      </c>
      <c r="X144" s="139"/>
      <c r="Y144" s="139"/>
      <c r="Z144" s="139"/>
      <c r="AA144" s="139"/>
      <c r="AB144" s="130">
        <f t="shared" si="85"/>
        <v>-160858</v>
      </c>
      <c r="AC144" s="130"/>
      <c r="AD144" s="130"/>
      <c r="AE144" s="130"/>
      <c r="AF144" s="130"/>
      <c r="AG144" s="130"/>
      <c r="AH144" s="130"/>
      <c r="AI144" s="130"/>
      <c r="AJ144" s="130"/>
      <c r="AK144" s="130"/>
      <c r="AL144" s="130"/>
      <c r="AM144" s="130"/>
      <c r="AN144" s="130">
        <f t="shared" si="86"/>
        <v>0</v>
      </c>
      <c r="AO144" s="139"/>
      <c r="AP144" s="130">
        <f t="shared" si="87"/>
        <v>0</v>
      </c>
      <c r="AQ144" s="130">
        <f t="shared" si="88"/>
        <v>0</v>
      </c>
      <c r="AR144" s="130">
        <f t="shared" si="89"/>
        <v>0</v>
      </c>
      <c r="AS144" s="130">
        <f t="shared" si="90"/>
        <v>0</v>
      </c>
      <c r="AT144" s="130">
        <f t="shared" si="91"/>
        <v>0</v>
      </c>
      <c r="AU144" s="130">
        <f t="shared" si="92"/>
        <v>-160858</v>
      </c>
      <c r="AV144" s="130">
        <f t="shared" si="93"/>
        <v>0</v>
      </c>
      <c r="AW144" s="130">
        <f t="shared" si="94"/>
        <v>0</v>
      </c>
      <c r="AX144" s="130">
        <f t="shared" si="95"/>
        <v>0</v>
      </c>
      <c r="AY144" s="130">
        <f t="shared" si="96"/>
        <v>0</v>
      </c>
      <c r="AZ144" s="130">
        <f t="shared" si="97"/>
        <v>-160858</v>
      </c>
      <c r="BB144" s="109">
        <f t="shared" si="61"/>
        <v>0</v>
      </c>
    </row>
    <row r="145" spans="1:54" ht="31.5" x14ac:dyDescent="0.25">
      <c r="A145" s="132"/>
      <c r="B145" s="540" t="s">
        <v>948</v>
      </c>
      <c r="C145" s="129"/>
      <c r="D145" s="130"/>
      <c r="E145" s="130">
        <v>-929</v>
      </c>
      <c r="F145" s="130"/>
      <c r="G145" s="140"/>
      <c r="H145" s="124">
        <f t="shared" si="82"/>
        <v>-929</v>
      </c>
      <c r="I145" s="554"/>
      <c r="J145" s="349"/>
      <c r="K145" s="352"/>
      <c r="L145" s="127">
        <f>SUM(I145:K145)</f>
        <v>0</v>
      </c>
      <c r="M145" s="349"/>
      <c r="N145" s="352"/>
      <c r="O145" s="350"/>
      <c r="P145" s="542">
        <f>O145+L145+H145</f>
        <v>-929</v>
      </c>
      <c r="R145" s="130"/>
      <c r="S145" s="130"/>
      <c r="T145" s="130"/>
      <c r="U145" s="130"/>
      <c r="V145" s="130"/>
      <c r="W145" s="130"/>
      <c r="X145" s="130"/>
      <c r="Y145" s="130"/>
      <c r="Z145" s="130"/>
      <c r="AA145" s="130"/>
      <c r="AB145" s="130">
        <f t="shared" si="85"/>
        <v>0</v>
      </c>
      <c r="AC145" s="130"/>
      <c r="AD145" s="130"/>
      <c r="AE145" s="130"/>
      <c r="AF145" s="130">
        <v>-929</v>
      </c>
      <c r="AG145" s="130"/>
      <c r="AH145" s="130"/>
      <c r="AI145" s="130"/>
      <c r="AJ145" s="130"/>
      <c r="AK145" s="130"/>
      <c r="AL145" s="130"/>
      <c r="AM145" s="130"/>
      <c r="AN145" s="130">
        <f t="shared" si="86"/>
        <v>-929</v>
      </c>
      <c r="AO145" s="130"/>
      <c r="AP145" s="130">
        <f t="shared" si="87"/>
        <v>0</v>
      </c>
      <c r="AQ145" s="130">
        <f t="shared" si="88"/>
        <v>0</v>
      </c>
      <c r="AR145" s="130">
        <f t="shared" si="89"/>
        <v>-929</v>
      </c>
      <c r="AS145" s="130">
        <f t="shared" si="90"/>
        <v>0</v>
      </c>
      <c r="AT145" s="130">
        <f t="shared" si="91"/>
        <v>0</v>
      </c>
      <c r="AU145" s="130">
        <f t="shared" si="92"/>
        <v>0</v>
      </c>
      <c r="AV145" s="130">
        <f t="shared" si="93"/>
        <v>0</v>
      </c>
      <c r="AW145" s="130">
        <f t="shared" si="94"/>
        <v>0</v>
      </c>
      <c r="AX145" s="130">
        <f t="shared" si="95"/>
        <v>0</v>
      </c>
      <c r="AY145" s="130">
        <f t="shared" si="96"/>
        <v>0</v>
      </c>
      <c r="AZ145" s="130">
        <f t="shared" si="97"/>
        <v>-929</v>
      </c>
      <c r="BB145" s="109">
        <f t="shared" ref="BB145:BB209" si="98">+P145-AZ145</f>
        <v>0</v>
      </c>
    </row>
    <row r="146" spans="1:54" x14ac:dyDescent="0.25">
      <c r="A146" s="132"/>
      <c r="B146" s="540" t="s">
        <v>951</v>
      </c>
      <c r="C146" s="129"/>
      <c r="D146" s="130"/>
      <c r="E146" s="130"/>
      <c r="F146" s="130"/>
      <c r="G146" s="140"/>
      <c r="H146" s="124">
        <f t="shared" si="82"/>
        <v>0</v>
      </c>
      <c r="I146" s="541">
        <v>-3523</v>
      </c>
      <c r="J146" s="129"/>
      <c r="K146" s="131"/>
      <c r="L146" s="127">
        <f t="shared" ref="L146:L149" si="99">SUM(I146:K146)</f>
        <v>-3523</v>
      </c>
      <c r="M146" s="349"/>
      <c r="N146" s="352"/>
      <c r="O146" s="350"/>
      <c r="P146" s="542">
        <f t="shared" ref="P146:P149" si="100">O146+L146+H146</f>
        <v>-3523</v>
      </c>
      <c r="R146" s="130"/>
      <c r="S146" s="130"/>
      <c r="T146" s="130"/>
      <c r="U146" s="130"/>
      <c r="V146" s="130"/>
      <c r="W146" s="130">
        <v>-3523</v>
      </c>
      <c r="X146" s="130"/>
      <c r="Y146" s="130"/>
      <c r="Z146" s="130"/>
      <c r="AA146" s="130"/>
      <c r="AB146" s="130">
        <f t="shared" si="85"/>
        <v>-3523</v>
      </c>
      <c r="AC146" s="130"/>
      <c r="AD146" s="130"/>
      <c r="AE146" s="130"/>
      <c r="AF146" s="130"/>
      <c r="AG146" s="130"/>
      <c r="AH146" s="130"/>
      <c r="AI146" s="130"/>
      <c r="AJ146" s="130"/>
      <c r="AK146" s="130"/>
      <c r="AL146" s="130"/>
      <c r="AM146" s="130"/>
      <c r="AN146" s="130">
        <f t="shared" si="86"/>
        <v>0</v>
      </c>
      <c r="AO146" s="130"/>
      <c r="AP146" s="130">
        <f t="shared" si="87"/>
        <v>0</v>
      </c>
      <c r="AQ146" s="130">
        <f t="shared" si="88"/>
        <v>0</v>
      </c>
      <c r="AR146" s="130">
        <f t="shared" si="89"/>
        <v>0</v>
      </c>
      <c r="AS146" s="130">
        <f t="shared" si="90"/>
        <v>0</v>
      </c>
      <c r="AT146" s="130">
        <f t="shared" si="91"/>
        <v>0</v>
      </c>
      <c r="AU146" s="130">
        <f t="shared" si="92"/>
        <v>-3523</v>
      </c>
      <c r="AV146" s="130">
        <f t="shared" si="93"/>
        <v>0</v>
      </c>
      <c r="AW146" s="130">
        <f t="shared" si="94"/>
        <v>0</v>
      </c>
      <c r="AX146" s="130">
        <f t="shared" si="95"/>
        <v>0</v>
      </c>
      <c r="AY146" s="130">
        <f t="shared" si="96"/>
        <v>0</v>
      </c>
      <c r="AZ146" s="130">
        <f t="shared" si="97"/>
        <v>-3523</v>
      </c>
      <c r="BB146" s="109">
        <f t="shared" si="98"/>
        <v>0</v>
      </c>
    </row>
    <row r="147" spans="1:54" ht="31.5" x14ac:dyDescent="0.25">
      <c r="A147" s="132"/>
      <c r="B147" s="540" t="s">
        <v>798</v>
      </c>
      <c r="C147" s="129"/>
      <c r="D147" s="130">
        <v>-489</v>
      </c>
      <c r="E147" s="130">
        <v>-796</v>
      </c>
      <c r="F147" s="130"/>
      <c r="G147" s="140"/>
      <c r="H147" s="124">
        <f t="shared" si="82"/>
        <v>-1285</v>
      </c>
      <c r="I147" s="541">
        <v>-29807</v>
      </c>
      <c r="J147" s="129"/>
      <c r="K147" s="131"/>
      <c r="L147" s="127">
        <f t="shared" si="99"/>
        <v>-29807</v>
      </c>
      <c r="M147" s="349"/>
      <c r="N147" s="352"/>
      <c r="O147" s="350"/>
      <c r="P147" s="542">
        <f t="shared" si="100"/>
        <v>-31092</v>
      </c>
      <c r="R147" s="130"/>
      <c r="S147" s="130">
        <v>-489</v>
      </c>
      <c r="T147" s="130">
        <v>-796</v>
      </c>
      <c r="U147" s="130"/>
      <c r="V147" s="130"/>
      <c r="W147" s="130">
        <v>-29807</v>
      </c>
      <c r="X147" s="130"/>
      <c r="Y147" s="130"/>
      <c r="Z147" s="130"/>
      <c r="AA147" s="130"/>
      <c r="AB147" s="130">
        <f t="shared" si="85"/>
        <v>-31092</v>
      </c>
      <c r="AC147" s="130"/>
      <c r="AD147" s="130"/>
      <c r="AE147" s="130"/>
      <c r="AF147" s="130"/>
      <c r="AG147" s="130"/>
      <c r="AH147" s="130"/>
      <c r="AI147" s="130"/>
      <c r="AJ147" s="130"/>
      <c r="AK147" s="130"/>
      <c r="AL147" s="130"/>
      <c r="AM147" s="130"/>
      <c r="AN147" s="130">
        <f t="shared" si="86"/>
        <v>0</v>
      </c>
      <c r="AO147" s="130"/>
      <c r="AP147" s="130">
        <f t="shared" si="87"/>
        <v>0</v>
      </c>
      <c r="AQ147" s="130">
        <f t="shared" si="88"/>
        <v>-489</v>
      </c>
      <c r="AR147" s="130">
        <f t="shared" si="89"/>
        <v>-796</v>
      </c>
      <c r="AS147" s="130">
        <f t="shared" si="90"/>
        <v>0</v>
      </c>
      <c r="AT147" s="130">
        <f t="shared" si="91"/>
        <v>0</v>
      </c>
      <c r="AU147" s="130">
        <f t="shared" si="92"/>
        <v>-29807</v>
      </c>
      <c r="AV147" s="130">
        <f t="shared" si="93"/>
        <v>0</v>
      </c>
      <c r="AW147" s="130">
        <f t="shared" si="94"/>
        <v>0</v>
      </c>
      <c r="AX147" s="130">
        <f t="shared" si="95"/>
        <v>0</v>
      </c>
      <c r="AY147" s="130">
        <f t="shared" si="96"/>
        <v>0</v>
      </c>
      <c r="AZ147" s="130">
        <f t="shared" si="97"/>
        <v>-31092</v>
      </c>
      <c r="BB147" s="109">
        <f t="shared" si="98"/>
        <v>0</v>
      </c>
    </row>
    <row r="148" spans="1:54" ht="31.5" x14ac:dyDescent="0.25">
      <c r="A148" s="132"/>
      <c r="B148" s="540" t="s">
        <v>956</v>
      </c>
      <c r="C148" s="129"/>
      <c r="D148" s="130"/>
      <c r="E148" s="139">
        <v>-29970</v>
      </c>
      <c r="F148" s="130"/>
      <c r="G148" s="140"/>
      <c r="H148" s="124">
        <f>SUM(C148:G148)</f>
        <v>-29970</v>
      </c>
      <c r="I148" s="349"/>
      <c r="J148" s="349"/>
      <c r="K148" s="352"/>
      <c r="L148" s="127">
        <f>SUM(I148:K148)</f>
        <v>0</v>
      </c>
      <c r="M148" s="349"/>
      <c r="N148" s="352"/>
      <c r="O148" s="350"/>
      <c r="P148" s="542">
        <f>O148+L148+H148</f>
        <v>-29970</v>
      </c>
      <c r="R148" s="130"/>
      <c r="S148" s="130"/>
      <c r="T148" s="130"/>
      <c r="U148" s="130"/>
      <c r="V148" s="130"/>
      <c r="W148" s="130"/>
      <c r="X148" s="130"/>
      <c r="Y148" s="130"/>
      <c r="Z148" s="130"/>
      <c r="AA148" s="130"/>
      <c r="AB148" s="130">
        <f t="shared" si="85"/>
        <v>0</v>
      </c>
      <c r="AC148" s="130"/>
      <c r="AD148" s="130"/>
      <c r="AE148" s="130"/>
      <c r="AF148" s="130">
        <v>-29970</v>
      </c>
      <c r="AG148" s="130"/>
      <c r="AH148" s="130"/>
      <c r="AI148" s="130"/>
      <c r="AJ148" s="130"/>
      <c r="AK148" s="130"/>
      <c r="AL148" s="130"/>
      <c r="AM148" s="130"/>
      <c r="AN148" s="130">
        <f t="shared" si="86"/>
        <v>-29970</v>
      </c>
      <c r="AO148" s="130"/>
      <c r="AP148" s="130">
        <f t="shared" si="87"/>
        <v>0</v>
      </c>
      <c r="AQ148" s="130">
        <f t="shared" si="88"/>
        <v>0</v>
      </c>
      <c r="AR148" s="130">
        <f t="shared" si="89"/>
        <v>-29970</v>
      </c>
      <c r="AS148" s="130">
        <f t="shared" si="90"/>
        <v>0</v>
      </c>
      <c r="AT148" s="130">
        <f t="shared" si="91"/>
        <v>0</v>
      </c>
      <c r="AU148" s="130">
        <f t="shared" si="92"/>
        <v>0</v>
      </c>
      <c r="AV148" s="130">
        <f t="shared" si="93"/>
        <v>0</v>
      </c>
      <c r="AW148" s="130">
        <f t="shared" si="94"/>
        <v>0</v>
      </c>
      <c r="AX148" s="130">
        <f t="shared" si="95"/>
        <v>0</v>
      </c>
      <c r="AY148" s="130">
        <f t="shared" si="96"/>
        <v>0</v>
      </c>
      <c r="AZ148" s="130">
        <f t="shared" si="97"/>
        <v>-29970</v>
      </c>
      <c r="BB148" s="109">
        <f t="shared" si="98"/>
        <v>0</v>
      </c>
    </row>
    <row r="149" spans="1:54" x14ac:dyDescent="0.25">
      <c r="A149" s="132"/>
      <c r="B149" s="540" t="s">
        <v>959</v>
      </c>
      <c r="C149" s="129"/>
      <c r="D149" s="130"/>
      <c r="E149" s="130"/>
      <c r="F149" s="130"/>
      <c r="G149" s="140"/>
      <c r="H149" s="124">
        <f t="shared" si="82"/>
        <v>0</v>
      </c>
      <c r="I149" s="129">
        <v>-35500</v>
      </c>
      <c r="J149" s="541"/>
      <c r="K149" s="131"/>
      <c r="L149" s="127">
        <f t="shared" si="99"/>
        <v>-35500</v>
      </c>
      <c r="M149" s="349"/>
      <c r="N149" s="352"/>
      <c r="O149" s="350"/>
      <c r="P149" s="542">
        <f t="shared" si="100"/>
        <v>-35500</v>
      </c>
      <c r="R149" s="130"/>
      <c r="S149" s="130"/>
      <c r="T149" s="130"/>
      <c r="U149" s="130"/>
      <c r="V149" s="130"/>
      <c r="W149" s="130"/>
      <c r="X149" s="130"/>
      <c r="Y149" s="130"/>
      <c r="Z149" s="130"/>
      <c r="AA149" s="130"/>
      <c r="AB149" s="130">
        <f t="shared" si="85"/>
        <v>0</v>
      </c>
      <c r="AC149" s="130"/>
      <c r="AD149" s="130"/>
      <c r="AE149" s="130"/>
      <c r="AF149" s="130"/>
      <c r="AG149" s="130"/>
      <c r="AH149" s="130"/>
      <c r="AI149" s="130">
        <v>-35500</v>
      </c>
      <c r="AJ149" s="130"/>
      <c r="AK149" s="130"/>
      <c r="AL149" s="130"/>
      <c r="AM149" s="130"/>
      <c r="AN149" s="130">
        <f t="shared" si="86"/>
        <v>-35500</v>
      </c>
      <c r="AO149" s="130"/>
      <c r="AP149" s="130">
        <f t="shared" si="87"/>
        <v>0</v>
      </c>
      <c r="AQ149" s="130">
        <f t="shared" si="88"/>
        <v>0</v>
      </c>
      <c r="AR149" s="130">
        <f t="shared" si="89"/>
        <v>0</v>
      </c>
      <c r="AS149" s="130">
        <f t="shared" si="90"/>
        <v>0</v>
      </c>
      <c r="AT149" s="130">
        <f t="shared" si="91"/>
        <v>0</v>
      </c>
      <c r="AU149" s="130">
        <f t="shared" si="92"/>
        <v>-35500</v>
      </c>
      <c r="AV149" s="130">
        <f t="shared" si="93"/>
        <v>0</v>
      </c>
      <c r="AW149" s="130">
        <f t="shared" si="94"/>
        <v>0</v>
      </c>
      <c r="AX149" s="130">
        <f t="shared" si="95"/>
        <v>0</v>
      </c>
      <c r="AY149" s="130">
        <f t="shared" si="96"/>
        <v>0</v>
      </c>
      <c r="AZ149" s="130">
        <f t="shared" si="97"/>
        <v>-35500</v>
      </c>
      <c r="BB149" s="109">
        <f t="shared" si="98"/>
        <v>0</v>
      </c>
    </row>
    <row r="150" spans="1:54" ht="47.25" x14ac:dyDescent="0.25">
      <c r="A150" s="132"/>
      <c r="B150" s="540" t="s">
        <v>961</v>
      </c>
      <c r="C150" s="129"/>
      <c r="D150" s="130"/>
      <c r="E150" s="130"/>
      <c r="F150" s="130"/>
      <c r="G150" s="140"/>
      <c r="H150" s="124">
        <f>SUM(C150:G150)</f>
        <v>0</v>
      </c>
      <c r="I150" s="554">
        <v>-10507</v>
      </c>
      <c r="J150" s="349"/>
      <c r="K150" s="352"/>
      <c r="L150" s="127">
        <f>SUM(I150:K150)</f>
        <v>-10507</v>
      </c>
      <c r="M150" s="349"/>
      <c r="N150" s="352"/>
      <c r="O150" s="350"/>
      <c r="P150" s="542">
        <f>O150+L150+H150</f>
        <v>-10507</v>
      </c>
      <c r="R150" s="130"/>
      <c r="S150" s="130"/>
      <c r="T150" s="130"/>
      <c r="U150" s="130"/>
      <c r="V150" s="130"/>
      <c r="W150" s="130"/>
      <c r="X150" s="130"/>
      <c r="Y150" s="130"/>
      <c r="Z150" s="130"/>
      <c r="AA150" s="130"/>
      <c r="AB150" s="130">
        <f t="shared" si="85"/>
        <v>0</v>
      </c>
      <c r="AC150" s="130"/>
      <c r="AD150" s="130"/>
      <c r="AE150" s="130"/>
      <c r="AF150" s="130"/>
      <c r="AG150" s="130"/>
      <c r="AH150" s="130"/>
      <c r="AI150" s="130">
        <v>-10507</v>
      </c>
      <c r="AJ150" s="130"/>
      <c r="AK150" s="130"/>
      <c r="AL150" s="130"/>
      <c r="AM150" s="130"/>
      <c r="AN150" s="130">
        <f t="shared" si="86"/>
        <v>-10507</v>
      </c>
      <c r="AO150" s="130"/>
      <c r="AP150" s="130">
        <f t="shared" si="87"/>
        <v>0</v>
      </c>
      <c r="AQ150" s="130">
        <f t="shared" si="88"/>
        <v>0</v>
      </c>
      <c r="AR150" s="130">
        <f t="shared" si="89"/>
        <v>0</v>
      </c>
      <c r="AS150" s="130">
        <f t="shared" si="90"/>
        <v>0</v>
      </c>
      <c r="AT150" s="130">
        <f t="shared" si="91"/>
        <v>0</v>
      </c>
      <c r="AU150" s="130">
        <f t="shared" si="92"/>
        <v>-10507</v>
      </c>
      <c r="AV150" s="130">
        <f t="shared" si="93"/>
        <v>0</v>
      </c>
      <c r="AW150" s="130">
        <f t="shared" si="94"/>
        <v>0</v>
      </c>
      <c r="AX150" s="130">
        <f t="shared" si="95"/>
        <v>0</v>
      </c>
      <c r="AY150" s="130">
        <f t="shared" si="96"/>
        <v>0</v>
      </c>
      <c r="AZ150" s="130">
        <f t="shared" si="97"/>
        <v>-10507</v>
      </c>
      <c r="BB150" s="109">
        <f t="shared" si="98"/>
        <v>0</v>
      </c>
    </row>
    <row r="151" spans="1:54" x14ac:dyDescent="0.25">
      <c r="A151" s="132"/>
      <c r="B151" s="351"/>
      <c r="C151" s="129"/>
      <c r="D151" s="130"/>
      <c r="E151" s="130"/>
      <c r="F151" s="130"/>
      <c r="G151" s="140"/>
      <c r="H151" s="124"/>
      <c r="I151" s="129"/>
      <c r="J151" s="129"/>
      <c r="K151" s="131"/>
      <c r="L151" s="127"/>
      <c r="M151" s="349"/>
      <c r="N151" s="352"/>
      <c r="O151" s="350"/>
      <c r="P151" s="542"/>
      <c r="R151" s="130"/>
      <c r="S151" s="130"/>
      <c r="T151" s="130"/>
      <c r="U151" s="130"/>
      <c r="V151" s="130"/>
      <c r="W151" s="130"/>
      <c r="X151" s="130"/>
      <c r="Y151" s="130"/>
      <c r="Z151" s="130"/>
      <c r="AA151" s="130"/>
      <c r="AB151" s="130">
        <f t="shared" si="85"/>
        <v>0</v>
      </c>
      <c r="AC151" s="130"/>
      <c r="AD151" s="130"/>
      <c r="AE151" s="130"/>
      <c r="AF151" s="130"/>
      <c r="AG151" s="130"/>
      <c r="AH151" s="130"/>
      <c r="AI151" s="130"/>
      <c r="AJ151" s="130"/>
      <c r="AK151" s="130"/>
      <c r="AL151" s="130"/>
      <c r="AM151" s="130"/>
      <c r="AN151" s="130">
        <f t="shared" si="86"/>
        <v>0</v>
      </c>
      <c r="AO151" s="130"/>
      <c r="AP151" s="130">
        <f t="shared" si="87"/>
        <v>0</v>
      </c>
      <c r="AQ151" s="130">
        <f t="shared" si="88"/>
        <v>0</v>
      </c>
      <c r="AR151" s="130">
        <f t="shared" si="89"/>
        <v>0</v>
      </c>
      <c r="AS151" s="130">
        <f t="shared" si="90"/>
        <v>0</v>
      </c>
      <c r="AT151" s="130">
        <f t="shared" si="91"/>
        <v>0</v>
      </c>
      <c r="AU151" s="130">
        <f t="shared" si="92"/>
        <v>0</v>
      </c>
      <c r="AV151" s="130">
        <f t="shared" si="93"/>
        <v>0</v>
      </c>
      <c r="AW151" s="130">
        <f t="shared" si="94"/>
        <v>0</v>
      </c>
      <c r="AX151" s="130">
        <f t="shared" si="95"/>
        <v>0</v>
      </c>
      <c r="AY151" s="130">
        <f t="shared" si="96"/>
        <v>0</v>
      </c>
      <c r="AZ151" s="130">
        <f t="shared" si="97"/>
        <v>0</v>
      </c>
      <c r="BB151" s="109">
        <f t="shared" si="98"/>
        <v>0</v>
      </c>
    </row>
    <row r="152" spans="1:54" x14ac:dyDescent="0.25">
      <c r="A152" s="132"/>
      <c r="B152" s="351" t="s">
        <v>412</v>
      </c>
      <c r="C152" s="129"/>
      <c r="D152" s="130"/>
      <c r="E152" s="130"/>
      <c r="F152" s="130"/>
      <c r="G152" s="140"/>
      <c r="H152" s="127"/>
      <c r="I152" s="129"/>
      <c r="J152" s="129"/>
      <c r="K152" s="131"/>
      <c r="L152" s="127"/>
      <c r="M152" s="129"/>
      <c r="N152" s="131"/>
      <c r="O152" s="262"/>
      <c r="P152" s="544"/>
      <c r="R152" s="130"/>
      <c r="S152" s="130"/>
      <c r="T152" s="130"/>
      <c r="U152" s="130"/>
      <c r="V152" s="130"/>
      <c r="W152" s="130"/>
      <c r="X152" s="130"/>
      <c r="Y152" s="130"/>
      <c r="Z152" s="130"/>
      <c r="AA152" s="130"/>
      <c r="AB152" s="130">
        <f t="shared" si="85"/>
        <v>0</v>
      </c>
      <c r="AC152" s="130"/>
      <c r="AD152" s="130"/>
      <c r="AE152" s="130"/>
      <c r="AF152" s="130"/>
      <c r="AG152" s="130"/>
      <c r="AH152" s="130"/>
      <c r="AI152" s="130"/>
      <c r="AJ152" s="130"/>
      <c r="AK152" s="130"/>
      <c r="AL152" s="130"/>
      <c r="AM152" s="130"/>
      <c r="AN152" s="130">
        <f t="shared" si="86"/>
        <v>0</v>
      </c>
      <c r="AO152" s="130"/>
      <c r="AP152" s="130">
        <f t="shared" si="87"/>
        <v>0</v>
      </c>
      <c r="AQ152" s="130">
        <f t="shared" si="88"/>
        <v>0</v>
      </c>
      <c r="AR152" s="130">
        <f t="shared" si="89"/>
        <v>0</v>
      </c>
      <c r="AS152" s="130">
        <f t="shared" si="90"/>
        <v>0</v>
      </c>
      <c r="AT152" s="130">
        <f t="shared" si="91"/>
        <v>0</v>
      </c>
      <c r="AU152" s="130">
        <f t="shared" si="92"/>
        <v>0</v>
      </c>
      <c r="AV152" s="130">
        <f t="shared" si="93"/>
        <v>0</v>
      </c>
      <c r="AW152" s="130">
        <f t="shared" si="94"/>
        <v>0</v>
      </c>
      <c r="AX152" s="130">
        <f t="shared" si="95"/>
        <v>0</v>
      </c>
      <c r="AY152" s="130">
        <f t="shared" si="96"/>
        <v>0</v>
      </c>
      <c r="AZ152" s="130">
        <f t="shared" si="97"/>
        <v>0</v>
      </c>
      <c r="BB152" s="109">
        <f t="shared" si="98"/>
        <v>0</v>
      </c>
    </row>
    <row r="153" spans="1:54" ht="31.5" x14ac:dyDescent="0.25">
      <c r="A153" s="132"/>
      <c r="B153" s="540" t="s">
        <v>997</v>
      </c>
      <c r="C153" s="129"/>
      <c r="D153" s="130"/>
      <c r="E153" s="130">
        <v>-1024</v>
      </c>
      <c r="F153" s="130"/>
      <c r="G153" s="140"/>
      <c r="H153" s="124">
        <f t="shared" ref="H153" si="101">SUM(C153:G153)</f>
        <v>-1024</v>
      </c>
      <c r="I153" s="129">
        <v>1024</v>
      </c>
      <c r="J153" s="129"/>
      <c r="K153" s="131"/>
      <c r="L153" s="127">
        <f t="shared" ref="L153" si="102">SUM(I153:K153)</f>
        <v>1024</v>
      </c>
      <c r="M153" s="349"/>
      <c r="N153" s="352"/>
      <c r="O153" s="350"/>
      <c r="P153" s="542">
        <f t="shared" ref="P153" si="103">O153+L153+H153</f>
        <v>0</v>
      </c>
      <c r="R153" s="130"/>
      <c r="S153" s="130"/>
      <c r="T153" s="130">
        <v>-1024</v>
      </c>
      <c r="U153" s="130"/>
      <c r="V153" s="130"/>
      <c r="W153" s="130">
        <v>1024</v>
      </c>
      <c r="X153" s="130"/>
      <c r="Y153" s="130"/>
      <c r="Z153" s="130"/>
      <c r="AA153" s="130"/>
      <c r="AB153" s="130">
        <f t="shared" si="85"/>
        <v>0</v>
      </c>
      <c r="AC153" s="130"/>
      <c r="AD153" s="130"/>
      <c r="AE153" s="130"/>
      <c r="AF153" s="130"/>
      <c r="AG153" s="130"/>
      <c r="AH153" s="130"/>
      <c r="AI153" s="130"/>
      <c r="AJ153" s="130"/>
      <c r="AK153" s="130"/>
      <c r="AL153" s="130"/>
      <c r="AM153" s="130"/>
      <c r="AN153" s="130">
        <f t="shared" si="86"/>
        <v>0</v>
      </c>
      <c r="AO153" s="130"/>
      <c r="AP153" s="130">
        <f t="shared" si="87"/>
        <v>0</v>
      </c>
      <c r="AQ153" s="130">
        <f t="shared" si="88"/>
        <v>0</v>
      </c>
      <c r="AR153" s="130">
        <f t="shared" si="89"/>
        <v>-1024</v>
      </c>
      <c r="AS153" s="130">
        <f t="shared" si="90"/>
        <v>0</v>
      </c>
      <c r="AT153" s="130">
        <f t="shared" si="91"/>
        <v>0</v>
      </c>
      <c r="AU153" s="130">
        <f t="shared" si="92"/>
        <v>1024</v>
      </c>
      <c r="AV153" s="130">
        <f t="shared" si="93"/>
        <v>0</v>
      </c>
      <c r="AW153" s="130">
        <f t="shared" si="94"/>
        <v>0</v>
      </c>
      <c r="AX153" s="130">
        <f t="shared" si="95"/>
        <v>0</v>
      </c>
      <c r="AY153" s="130">
        <f t="shared" si="96"/>
        <v>0</v>
      </c>
      <c r="AZ153" s="130">
        <f t="shared" si="97"/>
        <v>0</v>
      </c>
      <c r="BB153" s="109">
        <f t="shared" si="98"/>
        <v>0</v>
      </c>
    </row>
    <row r="154" spans="1:54" x14ac:dyDescent="0.25">
      <c r="A154" s="132"/>
      <c r="B154" s="540" t="s">
        <v>795</v>
      </c>
      <c r="C154" s="129"/>
      <c r="D154" s="130"/>
      <c r="E154" s="130">
        <v>-3265</v>
      </c>
      <c r="F154" s="130"/>
      <c r="G154" s="140"/>
      <c r="H154" s="124">
        <f t="shared" ref="H154:H166" si="104">SUM(C154:G154)</f>
        <v>-3265</v>
      </c>
      <c r="I154" s="129">
        <v>3265</v>
      </c>
      <c r="J154" s="129"/>
      <c r="K154" s="131"/>
      <c r="L154" s="127">
        <f t="shared" ref="L154:L166" si="105">SUM(I154:K154)</f>
        <v>3265</v>
      </c>
      <c r="M154" s="349"/>
      <c r="N154" s="352"/>
      <c r="O154" s="350"/>
      <c r="P154" s="542">
        <f t="shared" ref="P154:P166" si="106">O154+L154+H154</f>
        <v>0</v>
      </c>
      <c r="R154" s="130"/>
      <c r="S154" s="130"/>
      <c r="T154" s="130">
        <v>-3265</v>
      </c>
      <c r="U154" s="130"/>
      <c r="V154" s="130"/>
      <c r="W154" s="130">
        <v>3265</v>
      </c>
      <c r="X154" s="130"/>
      <c r="Y154" s="130"/>
      <c r="Z154" s="130"/>
      <c r="AA154" s="130"/>
      <c r="AB154" s="130">
        <f t="shared" si="85"/>
        <v>0</v>
      </c>
      <c r="AC154" s="130"/>
      <c r="AD154" s="130"/>
      <c r="AE154" s="130"/>
      <c r="AF154" s="130"/>
      <c r="AG154" s="130"/>
      <c r="AH154" s="130"/>
      <c r="AI154" s="130"/>
      <c r="AJ154" s="130"/>
      <c r="AK154" s="130"/>
      <c r="AL154" s="130"/>
      <c r="AM154" s="130"/>
      <c r="AN154" s="130">
        <f t="shared" si="86"/>
        <v>0</v>
      </c>
      <c r="AO154" s="130"/>
      <c r="AP154" s="130">
        <f t="shared" si="87"/>
        <v>0</v>
      </c>
      <c r="AQ154" s="130">
        <f t="shared" si="88"/>
        <v>0</v>
      </c>
      <c r="AR154" s="130">
        <f t="shared" si="89"/>
        <v>-3265</v>
      </c>
      <c r="AS154" s="130">
        <f t="shared" si="90"/>
        <v>0</v>
      </c>
      <c r="AT154" s="130">
        <f t="shared" si="91"/>
        <v>0</v>
      </c>
      <c r="AU154" s="130">
        <f t="shared" si="92"/>
        <v>3265</v>
      </c>
      <c r="AV154" s="130">
        <f t="shared" si="93"/>
        <v>0</v>
      </c>
      <c r="AW154" s="130">
        <f t="shared" si="94"/>
        <v>0</v>
      </c>
      <c r="AX154" s="130">
        <f t="shared" si="95"/>
        <v>0</v>
      </c>
      <c r="AY154" s="130">
        <f t="shared" si="96"/>
        <v>0</v>
      </c>
      <c r="AZ154" s="130">
        <f t="shared" si="97"/>
        <v>0</v>
      </c>
      <c r="BB154" s="109">
        <f t="shared" si="98"/>
        <v>0</v>
      </c>
    </row>
    <row r="155" spans="1:54" x14ac:dyDescent="0.25">
      <c r="A155" s="132"/>
      <c r="B155" s="540" t="s">
        <v>794</v>
      </c>
      <c r="C155" s="129"/>
      <c r="D155" s="130"/>
      <c r="E155" s="130">
        <v>843</v>
      </c>
      <c r="F155" s="130"/>
      <c r="G155" s="140"/>
      <c r="H155" s="124">
        <f t="shared" si="104"/>
        <v>843</v>
      </c>
      <c r="I155" s="129">
        <v>-843</v>
      </c>
      <c r="J155" s="129"/>
      <c r="K155" s="131"/>
      <c r="L155" s="127">
        <f t="shared" si="105"/>
        <v>-843</v>
      </c>
      <c r="M155" s="349"/>
      <c r="N155" s="352"/>
      <c r="O155" s="350"/>
      <c r="P155" s="542">
        <f t="shared" si="106"/>
        <v>0</v>
      </c>
      <c r="R155" s="130"/>
      <c r="S155" s="130"/>
      <c r="T155" s="130">
        <v>843</v>
      </c>
      <c r="U155" s="130"/>
      <c r="V155" s="130"/>
      <c r="W155" s="130">
        <v>-843</v>
      </c>
      <c r="X155" s="130"/>
      <c r="Y155" s="130"/>
      <c r="Z155" s="130"/>
      <c r="AA155" s="130"/>
      <c r="AB155" s="130">
        <f t="shared" si="85"/>
        <v>0</v>
      </c>
      <c r="AC155" s="130"/>
      <c r="AD155" s="130"/>
      <c r="AE155" s="130"/>
      <c r="AF155" s="130"/>
      <c r="AG155" s="130"/>
      <c r="AH155" s="130"/>
      <c r="AI155" s="130"/>
      <c r="AJ155" s="130"/>
      <c r="AK155" s="130"/>
      <c r="AL155" s="130"/>
      <c r="AM155" s="130"/>
      <c r="AN155" s="130">
        <f t="shared" si="86"/>
        <v>0</v>
      </c>
      <c r="AO155" s="130"/>
      <c r="AP155" s="130">
        <f t="shared" si="87"/>
        <v>0</v>
      </c>
      <c r="AQ155" s="130">
        <f t="shared" si="88"/>
        <v>0</v>
      </c>
      <c r="AR155" s="130">
        <f t="shared" si="89"/>
        <v>843</v>
      </c>
      <c r="AS155" s="130">
        <f t="shared" si="90"/>
        <v>0</v>
      </c>
      <c r="AT155" s="130">
        <f t="shared" si="91"/>
        <v>0</v>
      </c>
      <c r="AU155" s="130">
        <f t="shared" si="92"/>
        <v>-843</v>
      </c>
      <c r="AV155" s="130">
        <f t="shared" si="93"/>
        <v>0</v>
      </c>
      <c r="AW155" s="130">
        <f t="shared" si="94"/>
        <v>0</v>
      </c>
      <c r="AX155" s="130">
        <f t="shared" si="95"/>
        <v>0</v>
      </c>
      <c r="AY155" s="130">
        <f t="shared" si="96"/>
        <v>0</v>
      </c>
      <c r="AZ155" s="130">
        <f t="shared" si="97"/>
        <v>0</v>
      </c>
      <c r="BB155" s="109">
        <f t="shared" si="98"/>
        <v>0</v>
      </c>
    </row>
    <row r="156" spans="1:54" ht="47.25" x14ac:dyDescent="0.25">
      <c r="A156" s="132"/>
      <c r="B156" s="540" t="s">
        <v>839</v>
      </c>
      <c r="C156" s="129"/>
      <c r="D156" s="130"/>
      <c r="E156" s="130">
        <v>-2035</v>
      </c>
      <c r="F156" s="130"/>
      <c r="G156" s="140">
        <v>2945</v>
      </c>
      <c r="H156" s="124">
        <f t="shared" si="104"/>
        <v>910</v>
      </c>
      <c r="I156" s="129"/>
      <c r="J156" s="129">
        <v>-910</v>
      </c>
      <c r="K156" s="131"/>
      <c r="L156" s="127">
        <f t="shared" si="105"/>
        <v>-910</v>
      </c>
      <c r="M156" s="349"/>
      <c r="N156" s="352"/>
      <c r="O156" s="350"/>
      <c r="P156" s="542">
        <f t="shared" si="106"/>
        <v>0</v>
      </c>
      <c r="R156" s="130"/>
      <c r="S156" s="130"/>
      <c r="T156" s="130"/>
      <c r="U156" s="130"/>
      <c r="V156" s="130"/>
      <c r="W156" s="130"/>
      <c r="X156" s="130"/>
      <c r="Y156" s="130"/>
      <c r="Z156" s="130"/>
      <c r="AA156" s="130"/>
      <c r="AB156" s="130">
        <f t="shared" si="85"/>
        <v>0</v>
      </c>
      <c r="AC156" s="130"/>
      <c r="AD156" s="130"/>
      <c r="AE156" s="130"/>
      <c r="AF156" s="130">
        <v>-2035</v>
      </c>
      <c r="AG156" s="130"/>
      <c r="AH156" s="130">
        <v>2945</v>
      </c>
      <c r="AI156" s="130"/>
      <c r="AJ156" s="130">
        <v>-910</v>
      </c>
      <c r="AK156" s="130"/>
      <c r="AL156" s="130"/>
      <c r="AM156" s="130"/>
      <c r="AN156" s="130">
        <f t="shared" si="86"/>
        <v>0</v>
      </c>
      <c r="AO156" s="130"/>
      <c r="AP156" s="130">
        <f t="shared" si="87"/>
        <v>0</v>
      </c>
      <c r="AQ156" s="130">
        <f t="shared" si="88"/>
        <v>0</v>
      </c>
      <c r="AR156" s="130">
        <f t="shared" si="89"/>
        <v>-2035</v>
      </c>
      <c r="AS156" s="130">
        <f t="shared" si="90"/>
        <v>0</v>
      </c>
      <c r="AT156" s="130">
        <f t="shared" si="91"/>
        <v>2945</v>
      </c>
      <c r="AU156" s="130">
        <f t="shared" si="92"/>
        <v>0</v>
      </c>
      <c r="AV156" s="130">
        <f t="shared" si="93"/>
        <v>-910</v>
      </c>
      <c r="AW156" s="130">
        <f t="shared" si="94"/>
        <v>0</v>
      </c>
      <c r="AX156" s="130">
        <f t="shared" si="95"/>
        <v>0</v>
      </c>
      <c r="AY156" s="130">
        <f t="shared" si="96"/>
        <v>0</v>
      </c>
      <c r="AZ156" s="130">
        <f t="shared" si="97"/>
        <v>0</v>
      </c>
      <c r="BB156" s="109">
        <f t="shared" si="98"/>
        <v>0</v>
      </c>
    </row>
    <row r="157" spans="1:54" x14ac:dyDescent="0.25">
      <c r="A157" s="132"/>
      <c r="B157" s="540" t="s">
        <v>998</v>
      </c>
      <c r="C157" s="129"/>
      <c r="D157" s="130"/>
      <c r="E157" s="130">
        <v>28</v>
      </c>
      <c r="F157" s="130"/>
      <c r="G157" s="140"/>
      <c r="H157" s="124">
        <f t="shared" si="104"/>
        <v>28</v>
      </c>
      <c r="I157" s="129">
        <v>-28</v>
      </c>
      <c r="J157" s="129"/>
      <c r="K157" s="131"/>
      <c r="L157" s="127">
        <f t="shared" si="105"/>
        <v>-28</v>
      </c>
      <c r="M157" s="349"/>
      <c r="N157" s="352"/>
      <c r="O157" s="350"/>
      <c r="P157" s="542">
        <f t="shared" si="106"/>
        <v>0</v>
      </c>
      <c r="R157" s="130"/>
      <c r="S157" s="130"/>
      <c r="T157" s="130">
        <v>28</v>
      </c>
      <c r="U157" s="130"/>
      <c r="V157" s="130"/>
      <c r="W157" s="130">
        <v>-28</v>
      </c>
      <c r="X157" s="130"/>
      <c r="Y157" s="130"/>
      <c r="Z157" s="130"/>
      <c r="AA157" s="130"/>
      <c r="AB157" s="130">
        <f t="shared" si="85"/>
        <v>0</v>
      </c>
      <c r="AC157" s="130"/>
      <c r="AD157" s="130"/>
      <c r="AE157" s="130"/>
      <c r="AF157" s="130"/>
      <c r="AG157" s="130"/>
      <c r="AH157" s="130"/>
      <c r="AI157" s="130"/>
      <c r="AJ157" s="130"/>
      <c r="AK157" s="130"/>
      <c r="AL157" s="130"/>
      <c r="AM157" s="130"/>
      <c r="AN157" s="130">
        <f t="shared" si="86"/>
        <v>0</v>
      </c>
      <c r="AO157" s="130"/>
      <c r="AP157" s="130">
        <f t="shared" si="87"/>
        <v>0</v>
      </c>
      <c r="AQ157" s="130">
        <f t="shared" si="88"/>
        <v>0</v>
      </c>
      <c r="AR157" s="130">
        <f t="shared" si="89"/>
        <v>28</v>
      </c>
      <c r="AS157" s="130">
        <f t="shared" si="90"/>
        <v>0</v>
      </c>
      <c r="AT157" s="130">
        <f t="shared" si="91"/>
        <v>0</v>
      </c>
      <c r="AU157" s="130">
        <f t="shared" si="92"/>
        <v>-28</v>
      </c>
      <c r="AV157" s="130">
        <f t="shared" si="93"/>
        <v>0</v>
      </c>
      <c r="AW157" s="130">
        <f t="shared" si="94"/>
        <v>0</v>
      </c>
      <c r="AX157" s="130">
        <f t="shared" si="95"/>
        <v>0</v>
      </c>
      <c r="AY157" s="130">
        <f t="shared" si="96"/>
        <v>0</v>
      </c>
      <c r="AZ157" s="130">
        <f t="shared" si="97"/>
        <v>0</v>
      </c>
      <c r="BB157" s="109">
        <f t="shared" si="98"/>
        <v>0</v>
      </c>
    </row>
    <row r="158" spans="1:54" ht="63" x14ac:dyDescent="0.25">
      <c r="A158" s="132"/>
      <c r="B158" s="540" t="s">
        <v>797</v>
      </c>
      <c r="C158" s="129">
        <v>128</v>
      </c>
      <c r="D158" s="130"/>
      <c r="E158" s="130"/>
      <c r="F158" s="130"/>
      <c r="G158" s="140"/>
      <c r="H158" s="124">
        <f t="shared" si="104"/>
        <v>128</v>
      </c>
      <c r="I158" s="129">
        <v>-128</v>
      </c>
      <c r="J158" s="129"/>
      <c r="K158" s="131"/>
      <c r="L158" s="127">
        <f t="shared" si="105"/>
        <v>-128</v>
      </c>
      <c r="M158" s="349"/>
      <c r="N158" s="352"/>
      <c r="O158" s="350"/>
      <c r="P158" s="542">
        <f t="shared" si="106"/>
        <v>0</v>
      </c>
      <c r="R158" s="130"/>
      <c r="S158" s="130"/>
      <c r="T158" s="130"/>
      <c r="U158" s="130"/>
      <c r="V158" s="130"/>
      <c r="W158" s="130"/>
      <c r="X158" s="130"/>
      <c r="Y158" s="130"/>
      <c r="Z158" s="130"/>
      <c r="AA158" s="130"/>
      <c r="AB158" s="130">
        <f t="shared" si="85"/>
        <v>0</v>
      </c>
      <c r="AC158" s="130"/>
      <c r="AD158" s="130">
        <v>128</v>
      </c>
      <c r="AE158" s="130"/>
      <c r="AF158" s="130"/>
      <c r="AG158" s="130"/>
      <c r="AH158" s="130"/>
      <c r="AI158" s="130">
        <v>-128</v>
      </c>
      <c r="AJ158" s="130"/>
      <c r="AK158" s="130"/>
      <c r="AL158" s="130"/>
      <c r="AM158" s="130"/>
      <c r="AN158" s="130">
        <f t="shared" si="86"/>
        <v>0</v>
      </c>
      <c r="AO158" s="130"/>
      <c r="AP158" s="130">
        <f t="shared" si="87"/>
        <v>128</v>
      </c>
      <c r="AQ158" s="130">
        <f t="shared" si="88"/>
        <v>0</v>
      </c>
      <c r="AR158" s="130">
        <f t="shared" si="89"/>
        <v>0</v>
      </c>
      <c r="AS158" s="130">
        <f t="shared" si="90"/>
        <v>0</v>
      </c>
      <c r="AT158" s="130">
        <f t="shared" si="91"/>
        <v>0</v>
      </c>
      <c r="AU158" s="130">
        <f t="shared" si="92"/>
        <v>-128</v>
      </c>
      <c r="AV158" s="130">
        <f t="shared" si="93"/>
        <v>0</v>
      </c>
      <c r="AW158" s="130">
        <f t="shared" si="94"/>
        <v>0</v>
      </c>
      <c r="AX158" s="130">
        <f t="shared" si="95"/>
        <v>0</v>
      </c>
      <c r="AY158" s="130">
        <f t="shared" si="96"/>
        <v>0</v>
      </c>
      <c r="AZ158" s="130">
        <f t="shared" si="97"/>
        <v>0</v>
      </c>
      <c r="BB158" s="109">
        <f t="shared" si="98"/>
        <v>0</v>
      </c>
    </row>
    <row r="159" spans="1:54" ht="31.5" x14ac:dyDescent="0.25">
      <c r="A159" s="132"/>
      <c r="B159" s="540" t="s">
        <v>955</v>
      </c>
      <c r="C159" s="129"/>
      <c r="D159" s="130"/>
      <c r="E159" s="130">
        <v>-1419</v>
      </c>
      <c r="F159" s="130"/>
      <c r="G159" s="140">
        <v>1419</v>
      </c>
      <c r="H159" s="124">
        <f t="shared" si="104"/>
        <v>0</v>
      </c>
      <c r="I159" s="129"/>
      <c r="J159" s="129"/>
      <c r="K159" s="131"/>
      <c r="L159" s="127">
        <f t="shared" si="105"/>
        <v>0</v>
      </c>
      <c r="M159" s="349"/>
      <c r="N159" s="352"/>
      <c r="O159" s="350"/>
      <c r="P159" s="542">
        <f t="shared" si="106"/>
        <v>0</v>
      </c>
      <c r="R159" s="130"/>
      <c r="S159" s="130"/>
      <c r="T159" s="130"/>
      <c r="U159" s="130"/>
      <c r="V159" s="130"/>
      <c r="W159" s="130"/>
      <c r="X159" s="130"/>
      <c r="Y159" s="130"/>
      <c r="Z159" s="130"/>
      <c r="AA159" s="130"/>
      <c r="AB159" s="130">
        <f t="shared" si="85"/>
        <v>0</v>
      </c>
      <c r="AC159" s="130"/>
      <c r="AD159" s="130"/>
      <c r="AE159" s="130"/>
      <c r="AF159" s="130">
        <v>-1419</v>
      </c>
      <c r="AG159" s="130"/>
      <c r="AH159" s="130">
        <v>1419</v>
      </c>
      <c r="AI159" s="130"/>
      <c r="AJ159" s="130"/>
      <c r="AK159" s="130"/>
      <c r="AL159" s="130"/>
      <c r="AM159" s="130"/>
      <c r="AN159" s="130">
        <f t="shared" si="86"/>
        <v>0</v>
      </c>
      <c r="AO159" s="130"/>
      <c r="AP159" s="130">
        <f t="shared" si="87"/>
        <v>0</v>
      </c>
      <c r="AQ159" s="130">
        <f t="shared" si="88"/>
        <v>0</v>
      </c>
      <c r="AR159" s="130">
        <f t="shared" si="89"/>
        <v>-1419</v>
      </c>
      <c r="AS159" s="130">
        <f t="shared" si="90"/>
        <v>0</v>
      </c>
      <c r="AT159" s="130">
        <f t="shared" si="91"/>
        <v>1419</v>
      </c>
      <c r="AU159" s="130">
        <f t="shared" si="92"/>
        <v>0</v>
      </c>
      <c r="AV159" s="130">
        <f t="shared" si="93"/>
        <v>0</v>
      </c>
      <c r="AW159" s="130">
        <f t="shared" si="94"/>
        <v>0</v>
      </c>
      <c r="AX159" s="130">
        <f t="shared" si="95"/>
        <v>0</v>
      </c>
      <c r="AY159" s="130">
        <f t="shared" si="96"/>
        <v>0</v>
      </c>
      <c r="AZ159" s="130">
        <f t="shared" si="97"/>
        <v>0</v>
      </c>
      <c r="BB159" s="109">
        <f t="shared" si="98"/>
        <v>0</v>
      </c>
    </row>
    <row r="160" spans="1:54" x14ac:dyDescent="0.25">
      <c r="A160" s="132"/>
      <c r="B160" s="540" t="s">
        <v>838</v>
      </c>
      <c r="C160" s="129"/>
      <c r="D160" s="130"/>
      <c r="E160" s="130">
        <v>-605</v>
      </c>
      <c r="F160" s="130"/>
      <c r="G160" s="140">
        <v>605</v>
      </c>
      <c r="H160" s="124">
        <f t="shared" si="104"/>
        <v>0</v>
      </c>
      <c r="I160" s="129"/>
      <c r="J160" s="129"/>
      <c r="K160" s="131"/>
      <c r="L160" s="127">
        <f t="shared" si="105"/>
        <v>0</v>
      </c>
      <c r="M160" s="349"/>
      <c r="N160" s="352"/>
      <c r="O160" s="350"/>
      <c r="P160" s="542">
        <f t="shared" si="106"/>
        <v>0</v>
      </c>
      <c r="R160" s="130"/>
      <c r="S160" s="130"/>
      <c r="T160" s="130">
        <v>-605</v>
      </c>
      <c r="U160" s="130"/>
      <c r="V160" s="130">
        <v>605</v>
      </c>
      <c r="W160" s="130"/>
      <c r="X160" s="130"/>
      <c r="Y160" s="130"/>
      <c r="Z160" s="130"/>
      <c r="AA160" s="130"/>
      <c r="AB160" s="130">
        <f t="shared" si="85"/>
        <v>0</v>
      </c>
      <c r="AC160" s="130"/>
      <c r="AD160" s="130"/>
      <c r="AE160" s="130"/>
      <c r="AF160" s="130"/>
      <c r="AG160" s="130"/>
      <c r="AH160" s="130"/>
      <c r="AI160" s="130"/>
      <c r="AJ160" s="130"/>
      <c r="AK160" s="130"/>
      <c r="AL160" s="130"/>
      <c r="AM160" s="130"/>
      <c r="AN160" s="130">
        <f t="shared" si="86"/>
        <v>0</v>
      </c>
      <c r="AO160" s="130"/>
      <c r="AP160" s="130">
        <f t="shared" si="87"/>
        <v>0</v>
      </c>
      <c r="AQ160" s="130">
        <f t="shared" si="88"/>
        <v>0</v>
      </c>
      <c r="AR160" s="130">
        <f t="shared" si="89"/>
        <v>-605</v>
      </c>
      <c r="AS160" s="130">
        <f t="shared" si="90"/>
        <v>0</v>
      </c>
      <c r="AT160" s="130">
        <f t="shared" si="91"/>
        <v>605</v>
      </c>
      <c r="AU160" s="130">
        <f t="shared" si="92"/>
        <v>0</v>
      </c>
      <c r="AV160" s="130">
        <f t="shared" si="93"/>
        <v>0</v>
      </c>
      <c r="AW160" s="130">
        <f t="shared" si="94"/>
        <v>0</v>
      </c>
      <c r="AX160" s="130">
        <f t="shared" si="95"/>
        <v>0</v>
      </c>
      <c r="AY160" s="130">
        <f t="shared" si="96"/>
        <v>0</v>
      </c>
      <c r="AZ160" s="130">
        <f t="shared" si="97"/>
        <v>0</v>
      </c>
      <c r="BB160" s="109">
        <f t="shared" si="98"/>
        <v>0</v>
      </c>
    </row>
    <row r="161" spans="1:54" ht="31.5" x14ac:dyDescent="0.25">
      <c r="A161" s="132"/>
      <c r="B161" s="540" t="s">
        <v>948</v>
      </c>
      <c r="C161" s="129">
        <v>-6036</v>
      </c>
      <c r="D161" s="130">
        <v>-604</v>
      </c>
      <c r="E161" s="130"/>
      <c r="F161" s="130"/>
      <c r="G161" s="140">
        <v>6640</v>
      </c>
      <c r="H161" s="124">
        <f t="shared" si="104"/>
        <v>0</v>
      </c>
      <c r="I161" s="129"/>
      <c r="J161" s="129"/>
      <c r="K161" s="131"/>
      <c r="L161" s="127">
        <f t="shared" si="105"/>
        <v>0</v>
      </c>
      <c r="M161" s="349"/>
      <c r="N161" s="352"/>
      <c r="O161" s="350"/>
      <c r="P161" s="542">
        <f t="shared" si="106"/>
        <v>0</v>
      </c>
      <c r="R161" s="130"/>
      <c r="S161" s="130"/>
      <c r="T161" s="130"/>
      <c r="U161" s="130"/>
      <c r="V161" s="130"/>
      <c r="W161" s="130"/>
      <c r="X161" s="130"/>
      <c r="Y161" s="130"/>
      <c r="Z161" s="130"/>
      <c r="AA161" s="130"/>
      <c r="AB161" s="130">
        <f t="shared" si="85"/>
        <v>0</v>
      </c>
      <c r="AC161" s="130"/>
      <c r="AD161" s="130">
        <v>-6036</v>
      </c>
      <c r="AE161" s="130">
        <v>-604</v>
      </c>
      <c r="AF161" s="130"/>
      <c r="AG161" s="130"/>
      <c r="AH161" s="130">
        <v>6640</v>
      </c>
      <c r="AI161" s="130"/>
      <c r="AJ161" s="130"/>
      <c r="AK161" s="130"/>
      <c r="AL161" s="130"/>
      <c r="AM161" s="130"/>
      <c r="AN161" s="130">
        <f t="shared" si="86"/>
        <v>0</v>
      </c>
      <c r="AO161" s="130"/>
      <c r="AP161" s="130">
        <f t="shared" si="87"/>
        <v>-6036</v>
      </c>
      <c r="AQ161" s="130">
        <f t="shared" si="88"/>
        <v>-604</v>
      </c>
      <c r="AR161" s="130">
        <f t="shared" si="89"/>
        <v>0</v>
      </c>
      <c r="AS161" s="130">
        <f t="shared" si="90"/>
        <v>0</v>
      </c>
      <c r="AT161" s="130">
        <f t="shared" si="91"/>
        <v>6640</v>
      </c>
      <c r="AU161" s="130">
        <f t="shared" si="92"/>
        <v>0</v>
      </c>
      <c r="AV161" s="130">
        <f t="shared" si="93"/>
        <v>0</v>
      </c>
      <c r="AW161" s="130">
        <f t="shared" si="94"/>
        <v>0</v>
      </c>
      <c r="AX161" s="130">
        <f t="shared" si="95"/>
        <v>0</v>
      </c>
      <c r="AY161" s="130">
        <f t="shared" si="96"/>
        <v>0</v>
      </c>
      <c r="AZ161" s="130">
        <f t="shared" si="97"/>
        <v>0</v>
      </c>
      <c r="BB161" s="109">
        <f t="shared" si="98"/>
        <v>0</v>
      </c>
    </row>
    <row r="162" spans="1:54" x14ac:dyDescent="0.25">
      <c r="A162" s="132"/>
      <c r="B162" s="540" t="s">
        <v>949</v>
      </c>
      <c r="C162" s="129">
        <v>-5517</v>
      </c>
      <c r="D162" s="130">
        <v>-922</v>
      </c>
      <c r="E162" s="130"/>
      <c r="F162" s="130"/>
      <c r="G162" s="140">
        <v>6439</v>
      </c>
      <c r="H162" s="124">
        <f t="shared" si="104"/>
        <v>0</v>
      </c>
      <c r="I162" s="129"/>
      <c r="J162" s="129"/>
      <c r="K162" s="131"/>
      <c r="L162" s="127">
        <f t="shared" si="105"/>
        <v>0</v>
      </c>
      <c r="M162" s="349"/>
      <c r="N162" s="352"/>
      <c r="O162" s="350"/>
      <c r="P162" s="542">
        <f t="shared" si="106"/>
        <v>0</v>
      </c>
      <c r="R162" s="130">
        <v>-5517</v>
      </c>
      <c r="S162" s="130">
        <v>-922</v>
      </c>
      <c r="T162" s="130"/>
      <c r="U162" s="130"/>
      <c r="V162" s="130">
        <v>6439</v>
      </c>
      <c r="W162" s="130"/>
      <c r="X162" s="130"/>
      <c r="Y162" s="130"/>
      <c r="Z162" s="130"/>
      <c r="AA162" s="130"/>
      <c r="AB162" s="130">
        <f t="shared" si="85"/>
        <v>0</v>
      </c>
      <c r="AC162" s="130"/>
      <c r="AD162" s="130"/>
      <c r="AE162" s="130"/>
      <c r="AF162" s="130"/>
      <c r="AG162" s="130"/>
      <c r="AH162" s="130"/>
      <c r="AI162" s="130"/>
      <c r="AJ162" s="130"/>
      <c r="AK162" s="130"/>
      <c r="AL162" s="130"/>
      <c r="AM162" s="130"/>
      <c r="AN162" s="130">
        <f t="shared" si="86"/>
        <v>0</v>
      </c>
      <c r="AO162" s="130"/>
      <c r="AP162" s="130">
        <f t="shared" si="87"/>
        <v>-5517</v>
      </c>
      <c r="AQ162" s="130">
        <f t="shared" si="88"/>
        <v>-922</v>
      </c>
      <c r="AR162" s="130">
        <f t="shared" si="89"/>
        <v>0</v>
      </c>
      <c r="AS162" s="130">
        <f t="shared" si="90"/>
        <v>0</v>
      </c>
      <c r="AT162" s="130">
        <f t="shared" si="91"/>
        <v>6439</v>
      </c>
      <c r="AU162" s="130">
        <f t="shared" si="92"/>
        <v>0</v>
      </c>
      <c r="AV162" s="130">
        <f t="shared" si="93"/>
        <v>0</v>
      </c>
      <c r="AW162" s="130">
        <f t="shared" si="94"/>
        <v>0</v>
      </c>
      <c r="AX162" s="130">
        <f t="shared" si="95"/>
        <v>0</v>
      </c>
      <c r="AY162" s="130">
        <f t="shared" si="96"/>
        <v>0</v>
      </c>
      <c r="AZ162" s="130">
        <f t="shared" si="97"/>
        <v>0</v>
      </c>
      <c r="BB162" s="109">
        <f t="shared" si="98"/>
        <v>0</v>
      </c>
    </row>
    <row r="163" spans="1:54" ht="31.5" x14ac:dyDescent="0.25">
      <c r="A163" s="132"/>
      <c r="B163" s="540" t="s">
        <v>947</v>
      </c>
      <c r="C163" s="129">
        <v>-7836</v>
      </c>
      <c r="D163" s="130">
        <v>-1812</v>
      </c>
      <c r="E163" s="130"/>
      <c r="F163" s="130"/>
      <c r="G163" s="140">
        <v>9648</v>
      </c>
      <c r="H163" s="124">
        <f t="shared" si="104"/>
        <v>0</v>
      </c>
      <c r="I163" s="129"/>
      <c r="J163" s="129"/>
      <c r="K163" s="131"/>
      <c r="L163" s="127">
        <f t="shared" si="105"/>
        <v>0</v>
      </c>
      <c r="M163" s="349"/>
      <c r="N163" s="352"/>
      <c r="O163" s="350"/>
      <c r="P163" s="542">
        <f t="shared" si="106"/>
        <v>0</v>
      </c>
      <c r="R163" s="130">
        <v>-7836</v>
      </c>
      <c r="S163" s="130">
        <v>-1812</v>
      </c>
      <c r="T163" s="130"/>
      <c r="U163" s="130"/>
      <c r="V163" s="130">
        <v>9648</v>
      </c>
      <c r="W163" s="130"/>
      <c r="X163" s="130"/>
      <c r="Y163" s="130"/>
      <c r="Z163" s="130"/>
      <c r="AA163" s="130"/>
      <c r="AB163" s="130">
        <f t="shared" si="85"/>
        <v>0</v>
      </c>
      <c r="AC163" s="130"/>
      <c r="AD163" s="130"/>
      <c r="AE163" s="130"/>
      <c r="AF163" s="130"/>
      <c r="AG163" s="130"/>
      <c r="AH163" s="130"/>
      <c r="AI163" s="130"/>
      <c r="AJ163" s="130"/>
      <c r="AK163" s="130"/>
      <c r="AL163" s="130"/>
      <c r="AM163" s="130"/>
      <c r="AN163" s="130">
        <f t="shared" si="86"/>
        <v>0</v>
      </c>
      <c r="AO163" s="130"/>
      <c r="AP163" s="130">
        <f t="shared" si="87"/>
        <v>-7836</v>
      </c>
      <c r="AQ163" s="130">
        <f t="shared" si="88"/>
        <v>-1812</v>
      </c>
      <c r="AR163" s="130">
        <f t="shared" si="89"/>
        <v>0</v>
      </c>
      <c r="AS163" s="130">
        <f t="shared" si="90"/>
        <v>0</v>
      </c>
      <c r="AT163" s="130">
        <f t="shared" si="91"/>
        <v>9648</v>
      </c>
      <c r="AU163" s="130">
        <f t="shared" si="92"/>
        <v>0</v>
      </c>
      <c r="AV163" s="130">
        <f t="shared" si="93"/>
        <v>0</v>
      </c>
      <c r="AW163" s="130">
        <f t="shared" si="94"/>
        <v>0</v>
      </c>
      <c r="AX163" s="130">
        <f t="shared" si="95"/>
        <v>0</v>
      </c>
      <c r="AY163" s="130">
        <f t="shared" si="96"/>
        <v>0</v>
      </c>
      <c r="AZ163" s="130">
        <f t="shared" si="97"/>
        <v>0</v>
      </c>
      <c r="BB163" s="109">
        <f t="shared" si="98"/>
        <v>0</v>
      </c>
    </row>
    <row r="164" spans="1:54" ht="31.5" x14ac:dyDescent="0.25">
      <c r="A164" s="132"/>
      <c r="B164" s="540" t="s">
        <v>999</v>
      </c>
      <c r="C164" s="129"/>
      <c r="D164" s="130"/>
      <c r="E164" s="130">
        <v>-14886</v>
      </c>
      <c r="F164" s="130"/>
      <c r="G164" s="140">
        <v>17489</v>
      </c>
      <c r="H164" s="124">
        <f t="shared" si="104"/>
        <v>2603</v>
      </c>
      <c r="I164" s="129">
        <v>-2603</v>
      </c>
      <c r="J164" s="129"/>
      <c r="K164" s="131"/>
      <c r="L164" s="127">
        <f t="shared" si="105"/>
        <v>-2603</v>
      </c>
      <c r="M164" s="349"/>
      <c r="N164" s="352"/>
      <c r="O164" s="350"/>
      <c r="P164" s="542">
        <f t="shared" si="106"/>
        <v>0</v>
      </c>
      <c r="R164" s="130"/>
      <c r="S164" s="130"/>
      <c r="T164" s="130"/>
      <c r="U164" s="130"/>
      <c r="V164" s="130"/>
      <c r="W164" s="130"/>
      <c r="X164" s="130"/>
      <c r="Y164" s="130"/>
      <c r="Z164" s="130"/>
      <c r="AA164" s="130"/>
      <c r="AB164" s="130">
        <f t="shared" si="85"/>
        <v>0</v>
      </c>
      <c r="AC164" s="130"/>
      <c r="AD164" s="130"/>
      <c r="AE164" s="130"/>
      <c r="AF164" s="130">
        <v>-14886</v>
      </c>
      <c r="AG164" s="130"/>
      <c r="AH164" s="130">
        <v>17489</v>
      </c>
      <c r="AI164" s="130">
        <v>-2603</v>
      </c>
      <c r="AJ164" s="130"/>
      <c r="AK164" s="130"/>
      <c r="AL164" s="130"/>
      <c r="AM164" s="130"/>
      <c r="AN164" s="130">
        <f t="shared" si="86"/>
        <v>0</v>
      </c>
      <c r="AO164" s="130"/>
      <c r="AP164" s="130">
        <f t="shared" si="87"/>
        <v>0</v>
      </c>
      <c r="AQ164" s="130">
        <f t="shared" si="88"/>
        <v>0</v>
      </c>
      <c r="AR164" s="130">
        <f t="shared" si="89"/>
        <v>-14886</v>
      </c>
      <c r="AS164" s="130">
        <f t="shared" si="90"/>
        <v>0</v>
      </c>
      <c r="AT164" s="130">
        <f t="shared" si="91"/>
        <v>17489</v>
      </c>
      <c r="AU164" s="130">
        <f t="shared" si="92"/>
        <v>-2603</v>
      </c>
      <c r="AV164" s="130">
        <f t="shared" si="93"/>
        <v>0</v>
      </c>
      <c r="AW164" s="130">
        <f t="shared" si="94"/>
        <v>0</v>
      </c>
      <c r="AX164" s="130">
        <f t="shared" si="95"/>
        <v>0</v>
      </c>
      <c r="AY164" s="130">
        <f t="shared" si="96"/>
        <v>0</v>
      </c>
      <c r="AZ164" s="130">
        <f t="shared" si="97"/>
        <v>0</v>
      </c>
      <c r="BB164" s="109">
        <f t="shared" si="98"/>
        <v>0</v>
      </c>
    </row>
    <row r="165" spans="1:54" x14ac:dyDescent="0.25">
      <c r="A165" s="132"/>
      <c r="B165" s="540" t="s">
        <v>1000</v>
      </c>
      <c r="C165" s="129">
        <v>-5452</v>
      </c>
      <c r="D165" s="130">
        <v>-902</v>
      </c>
      <c r="E165" s="130"/>
      <c r="F165" s="130"/>
      <c r="G165" s="140">
        <v>6354</v>
      </c>
      <c r="H165" s="124">
        <f t="shared" si="104"/>
        <v>0</v>
      </c>
      <c r="I165" s="129"/>
      <c r="J165" s="129"/>
      <c r="K165" s="131"/>
      <c r="L165" s="127">
        <f t="shared" si="105"/>
        <v>0</v>
      </c>
      <c r="M165" s="349"/>
      <c r="N165" s="352"/>
      <c r="O165" s="350"/>
      <c r="P165" s="542">
        <f t="shared" si="106"/>
        <v>0</v>
      </c>
      <c r="R165" s="130">
        <v>-5452</v>
      </c>
      <c r="S165" s="130">
        <v>-902</v>
      </c>
      <c r="T165" s="130"/>
      <c r="U165" s="130"/>
      <c r="V165" s="130">
        <v>6354</v>
      </c>
      <c r="W165" s="130"/>
      <c r="X165" s="130"/>
      <c r="Y165" s="130"/>
      <c r="Z165" s="130"/>
      <c r="AA165" s="130"/>
      <c r="AB165" s="130">
        <f t="shared" si="85"/>
        <v>0</v>
      </c>
      <c r="AC165" s="130"/>
      <c r="AD165" s="130"/>
      <c r="AE165" s="130"/>
      <c r="AF165" s="130"/>
      <c r="AG165" s="130"/>
      <c r="AH165" s="130"/>
      <c r="AI165" s="130"/>
      <c r="AJ165" s="130"/>
      <c r="AK165" s="130"/>
      <c r="AL165" s="130"/>
      <c r="AM165" s="130"/>
      <c r="AN165" s="130">
        <f t="shared" si="86"/>
        <v>0</v>
      </c>
      <c r="AO165" s="130"/>
      <c r="AP165" s="130">
        <f t="shared" si="87"/>
        <v>-5452</v>
      </c>
      <c r="AQ165" s="130">
        <f t="shared" si="88"/>
        <v>-902</v>
      </c>
      <c r="AR165" s="130">
        <f t="shared" si="89"/>
        <v>0</v>
      </c>
      <c r="AS165" s="130">
        <f t="shared" si="90"/>
        <v>0</v>
      </c>
      <c r="AT165" s="130">
        <f t="shared" si="91"/>
        <v>6354</v>
      </c>
      <c r="AU165" s="130">
        <f t="shared" si="92"/>
        <v>0</v>
      </c>
      <c r="AV165" s="130">
        <f t="shared" si="93"/>
        <v>0</v>
      </c>
      <c r="AW165" s="130">
        <f t="shared" si="94"/>
        <v>0</v>
      </c>
      <c r="AX165" s="130">
        <f t="shared" si="95"/>
        <v>0</v>
      </c>
      <c r="AY165" s="130">
        <f t="shared" si="96"/>
        <v>0</v>
      </c>
      <c r="AZ165" s="130">
        <f t="shared" si="97"/>
        <v>0</v>
      </c>
      <c r="BB165" s="109">
        <f t="shared" si="98"/>
        <v>0</v>
      </c>
    </row>
    <row r="166" spans="1:54" ht="31.5" x14ac:dyDescent="0.25">
      <c r="A166" s="132"/>
      <c r="B166" s="540" t="s">
        <v>798</v>
      </c>
      <c r="C166" s="129">
        <v>-4630</v>
      </c>
      <c r="D166" s="130">
        <v>-529</v>
      </c>
      <c r="E166" s="130"/>
      <c r="F166" s="130"/>
      <c r="G166" s="140">
        <v>5159</v>
      </c>
      <c r="H166" s="124">
        <f t="shared" si="104"/>
        <v>0</v>
      </c>
      <c r="I166" s="129"/>
      <c r="J166" s="129"/>
      <c r="K166" s="131"/>
      <c r="L166" s="127">
        <f t="shared" si="105"/>
        <v>0</v>
      </c>
      <c r="M166" s="349"/>
      <c r="N166" s="352"/>
      <c r="O166" s="350"/>
      <c r="P166" s="542">
        <f t="shared" si="106"/>
        <v>0</v>
      </c>
      <c r="R166" s="130">
        <v>-4630</v>
      </c>
      <c r="S166" s="130">
        <v>-529</v>
      </c>
      <c r="T166" s="130"/>
      <c r="U166" s="130"/>
      <c r="V166" s="130">
        <v>5159</v>
      </c>
      <c r="W166" s="130"/>
      <c r="X166" s="130"/>
      <c r="Y166" s="130"/>
      <c r="Z166" s="130"/>
      <c r="AA166" s="130"/>
      <c r="AB166" s="130">
        <f t="shared" si="85"/>
        <v>0</v>
      </c>
      <c r="AC166" s="130"/>
      <c r="AD166" s="130"/>
      <c r="AE166" s="130"/>
      <c r="AF166" s="130"/>
      <c r="AG166" s="130"/>
      <c r="AH166" s="130"/>
      <c r="AI166" s="130"/>
      <c r="AJ166" s="130"/>
      <c r="AK166" s="130"/>
      <c r="AL166" s="130"/>
      <c r="AM166" s="130"/>
      <c r="AN166" s="130">
        <f t="shared" si="86"/>
        <v>0</v>
      </c>
      <c r="AO166" s="130"/>
      <c r="AP166" s="130">
        <f t="shared" si="87"/>
        <v>-4630</v>
      </c>
      <c r="AQ166" s="130">
        <f t="shared" si="88"/>
        <v>-529</v>
      </c>
      <c r="AR166" s="130">
        <f t="shared" si="89"/>
        <v>0</v>
      </c>
      <c r="AS166" s="130">
        <f t="shared" si="90"/>
        <v>0</v>
      </c>
      <c r="AT166" s="130">
        <f t="shared" si="91"/>
        <v>5159</v>
      </c>
      <c r="AU166" s="130">
        <f t="shared" si="92"/>
        <v>0</v>
      </c>
      <c r="AV166" s="130">
        <f t="shared" si="93"/>
        <v>0</v>
      </c>
      <c r="AW166" s="130">
        <f t="shared" si="94"/>
        <v>0</v>
      </c>
      <c r="AX166" s="130">
        <f t="shared" si="95"/>
        <v>0</v>
      </c>
      <c r="AY166" s="130">
        <f t="shared" si="96"/>
        <v>0</v>
      </c>
      <c r="AZ166" s="130">
        <f t="shared" si="97"/>
        <v>0</v>
      </c>
      <c r="BB166" s="109">
        <f t="shared" si="98"/>
        <v>0</v>
      </c>
    </row>
    <row r="167" spans="1:54" x14ac:dyDescent="0.25">
      <c r="A167" s="132"/>
      <c r="B167" s="540" t="s">
        <v>802</v>
      </c>
      <c r="C167" s="129">
        <v>-7200</v>
      </c>
      <c r="D167" s="130">
        <v>-1584</v>
      </c>
      <c r="E167" s="130">
        <v>-3936</v>
      </c>
      <c r="F167" s="130"/>
      <c r="G167" s="140"/>
      <c r="H167" s="124">
        <f t="shared" ref="H167" si="107">SUM(C167:G167)</f>
        <v>-12720</v>
      </c>
      <c r="I167" s="129">
        <v>12720</v>
      </c>
      <c r="J167" s="129"/>
      <c r="K167" s="131"/>
      <c r="L167" s="127">
        <f t="shared" ref="L167" si="108">SUM(I167:K167)</f>
        <v>12720</v>
      </c>
      <c r="M167" s="349"/>
      <c r="N167" s="352"/>
      <c r="O167" s="350"/>
      <c r="P167" s="542">
        <f t="shared" ref="P167" si="109">O167+L167+H167</f>
        <v>0</v>
      </c>
      <c r="R167" s="130">
        <v>-7200</v>
      </c>
      <c r="S167" s="130">
        <v>-1584</v>
      </c>
      <c r="T167" s="130">
        <v>-3936</v>
      </c>
      <c r="U167" s="130"/>
      <c r="V167" s="130"/>
      <c r="W167" s="130">
        <v>12720</v>
      </c>
      <c r="X167" s="130"/>
      <c r="Y167" s="130"/>
      <c r="Z167" s="130"/>
      <c r="AA167" s="130"/>
      <c r="AB167" s="130">
        <f t="shared" ref="AB167" si="110">SUM(R167:AA167)</f>
        <v>0</v>
      </c>
      <c r="AC167" s="130"/>
      <c r="AD167" s="130"/>
      <c r="AE167" s="130"/>
      <c r="AF167" s="130"/>
      <c r="AG167" s="130"/>
      <c r="AH167" s="130"/>
      <c r="AI167" s="130"/>
      <c r="AJ167" s="130"/>
      <c r="AK167" s="130"/>
      <c r="AL167" s="130"/>
      <c r="AM167" s="130"/>
      <c r="AN167" s="130">
        <f t="shared" ref="AN167" si="111">SUM(AD167:AM167)</f>
        <v>0</v>
      </c>
      <c r="AO167" s="130"/>
      <c r="AP167" s="130">
        <f t="shared" ref="AP167" si="112">SUM(R167,AD167)</f>
        <v>-7200</v>
      </c>
      <c r="AQ167" s="130">
        <f t="shared" ref="AQ167" si="113">SUM(S167,AE167)</f>
        <v>-1584</v>
      </c>
      <c r="AR167" s="130">
        <f t="shared" ref="AR167" si="114">SUM(T167,AF167)</f>
        <v>-3936</v>
      </c>
      <c r="AS167" s="130">
        <f t="shared" ref="AS167" si="115">SUM(U167,AG167)</f>
        <v>0</v>
      </c>
      <c r="AT167" s="130">
        <f t="shared" ref="AT167" si="116">SUM(V167,AH167)</f>
        <v>0</v>
      </c>
      <c r="AU167" s="130">
        <f t="shared" ref="AU167" si="117">SUM(W167,AI167)</f>
        <v>12720</v>
      </c>
      <c r="AV167" s="130">
        <f t="shared" ref="AV167" si="118">SUM(X167,AJ167)</f>
        <v>0</v>
      </c>
      <c r="AW167" s="130">
        <f t="shared" ref="AW167" si="119">SUM(Y167,AK167)</f>
        <v>0</v>
      </c>
      <c r="AX167" s="130">
        <f t="shared" ref="AX167" si="120">SUM(Z167,AL167)</f>
        <v>0</v>
      </c>
      <c r="AY167" s="130">
        <f t="shared" ref="AY167" si="121">SUM(AA167,AM167)</f>
        <v>0</v>
      </c>
      <c r="AZ167" s="130">
        <f t="shared" ref="AZ167" si="122">SUM(AB167,AN167)</f>
        <v>0</v>
      </c>
      <c r="BB167" s="109">
        <f t="shared" ref="BB167" si="123">+P167-AZ167</f>
        <v>0</v>
      </c>
    </row>
    <row r="168" spans="1:54" x14ac:dyDescent="0.25">
      <c r="A168" s="132"/>
      <c r="B168" s="351"/>
      <c r="C168" s="129"/>
      <c r="D168" s="130"/>
      <c r="E168" s="130"/>
      <c r="F168" s="130"/>
      <c r="G168" s="140"/>
      <c r="H168" s="124"/>
      <c r="I168" s="129"/>
      <c r="J168" s="129"/>
      <c r="K168" s="131"/>
      <c r="L168" s="127"/>
      <c r="M168" s="129"/>
      <c r="N168" s="131"/>
      <c r="O168" s="262"/>
      <c r="P168" s="542"/>
      <c r="R168" s="130"/>
      <c r="S168" s="130"/>
      <c r="T168" s="130"/>
      <c r="U168" s="130"/>
      <c r="V168" s="130"/>
      <c r="W168" s="130"/>
      <c r="X168" s="130"/>
      <c r="Y168" s="130"/>
      <c r="Z168" s="130"/>
      <c r="AA168" s="130"/>
      <c r="AB168" s="130">
        <f t="shared" si="85"/>
        <v>0</v>
      </c>
      <c r="AC168" s="130"/>
      <c r="AD168" s="130"/>
      <c r="AE168" s="130"/>
      <c r="AF168" s="130"/>
      <c r="AG168" s="130"/>
      <c r="AH168" s="130"/>
      <c r="AI168" s="130"/>
      <c r="AJ168" s="130"/>
      <c r="AK168" s="130"/>
      <c r="AL168" s="130"/>
      <c r="AM168" s="130"/>
      <c r="AN168" s="130">
        <f t="shared" si="86"/>
        <v>0</v>
      </c>
      <c r="AO168" s="130"/>
      <c r="AP168" s="130">
        <f t="shared" si="87"/>
        <v>0</v>
      </c>
      <c r="AQ168" s="130">
        <f t="shared" si="88"/>
        <v>0</v>
      </c>
      <c r="AR168" s="130">
        <f t="shared" si="89"/>
        <v>0</v>
      </c>
      <c r="AS168" s="130">
        <f t="shared" si="90"/>
        <v>0</v>
      </c>
      <c r="AT168" s="130">
        <f t="shared" si="91"/>
        <v>0</v>
      </c>
      <c r="AU168" s="130">
        <f t="shared" si="92"/>
        <v>0</v>
      </c>
      <c r="AV168" s="130">
        <f t="shared" si="93"/>
        <v>0</v>
      </c>
      <c r="AW168" s="130">
        <f t="shared" si="94"/>
        <v>0</v>
      </c>
      <c r="AX168" s="130">
        <f t="shared" si="95"/>
        <v>0</v>
      </c>
      <c r="AY168" s="130">
        <f t="shared" si="96"/>
        <v>0</v>
      </c>
      <c r="AZ168" s="130">
        <f t="shared" si="97"/>
        <v>0</v>
      </c>
      <c r="BB168" s="109">
        <f t="shared" si="98"/>
        <v>0</v>
      </c>
    </row>
    <row r="169" spans="1:54" x14ac:dyDescent="0.25">
      <c r="A169" s="132"/>
      <c r="B169" s="136" t="s">
        <v>522</v>
      </c>
      <c r="C169" s="129"/>
      <c r="D169" s="130"/>
      <c r="E169" s="130"/>
      <c r="F169" s="130"/>
      <c r="G169" s="140"/>
      <c r="H169" s="127"/>
      <c r="I169" s="129"/>
      <c r="J169" s="129"/>
      <c r="K169" s="131"/>
      <c r="L169" s="127"/>
      <c r="M169" s="129"/>
      <c r="N169" s="131"/>
      <c r="O169" s="262"/>
      <c r="P169" s="544"/>
      <c r="R169" s="130"/>
      <c r="S169" s="130"/>
      <c r="T169" s="130"/>
      <c r="U169" s="130"/>
      <c r="V169" s="130"/>
      <c r="W169" s="130"/>
      <c r="X169" s="130"/>
      <c r="Y169" s="130"/>
      <c r="Z169" s="130"/>
      <c r="AA169" s="130"/>
      <c r="AB169" s="130">
        <f t="shared" si="85"/>
        <v>0</v>
      </c>
      <c r="AC169" s="130"/>
      <c r="AD169" s="130"/>
      <c r="AE169" s="130"/>
      <c r="AF169" s="130"/>
      <c r="AG169" s="130"/>
      <c r="AH169" s="130"/>
      <c r="AI169" s="130"/>
      <c r="AJ169" s="130"/>
      <c r="AK169" s="130"/>
      <c r="AL169" s="130"/>
      <c r="AM169" s="130"/>
      <c r="AN169" s="130">
        <f t="shared" si="86"/>
        <v>0</v>
      </c>
      <c r="AO169" s="130"/>
      <c r="AP169" s="130">
        <f t="shared" si="87"/>
        <v>0</v>
      </c>
      <c r="AQ169" s="130">
        <f t="shared" si="88"/>
        <v>0</v>
      </c>
      <c r="AR169" s="130">
        <f t="shared" si="89"/>
        <v>0</v>
      </c>
      <c r="AS169" s="130">
        <f t="shared" si="90"/>
        <v>0</v>
      </c>
      <c r="AT169" s="130">
        <f t="shared" si="91"/>
        <v>0</v>
      </c>
      <c r="AU169" s="130">
        <f t="shared" si="92"/>
        <v>0</v>
      </c>
      <c r="AV169" s="130">
        <f t="shared" si="93"/>
        <v>0</v>
      </c>
      <c r="AW169" s="130">
        <f t="shared" si="94"/>
        <v>0</v>
      </c>
      <c r="AX169" s="130">
        <f t="shared" si="95"/>
        <v>0</v>
      </c>
      <c r="AY169" s="130">
        <f t="shared" si="96"/>
        <v>0</v>
      </c>
      <c r="AZ169" s="130">
        <f t="shared" si="97"/>
        <v>0</v>
      </c>
      <c r="BB169" s="109">
        <f t="shared" si="98"/>
        <v>0</v>
      </c>
    </row>
    <row r="170" spans="1:54" x14ac:dyDescent="0.25">
      <c r="A170" s="132"/>
      <c r="B170" s="351" t="s">
        <v>493</v>
      </c>
      <c r="C170" s="129"/>
      <c r="D170" s="130"/>
      <c r="E170" s="130"/>
      <c r="F170" s="130"/>
      <c r="G170" s="140"/>
      <c r="H170" s="124"/>
      <c r="I170" s="129"/>
      <c r="J170" s="129"/>
      <c r="K170" s="131"/>
      <c r="L170" s="127"/>
      <c r="M170" s="129"/>
      <c r="N170" s="131"/>
      <c r="O170" s="262"/>
      <c r="P170" s="542"/>
      <c r="R170" s="130"/>
      <c r="S170" s="130"/>
      <c r="T170" s="130"/>
      <c r="U170" s="130"/>
      <c r="V170" s="130"/>
      <c r="W170" s="130"/>
      <c r="X170" s="130"/>
      <c r="Y170" s="130"/>
      <c r="Z170" s="130"/>
      <c r="AA170" s="130"/>
      <c r="AB170" s="130">
        <f t="shared" si="85"/>
        <v>0</v>
      </c>
      <c r="AC170" s="130"/>
      <c r="AD170" s="130"/>
      <c r="AE170" s="130"/>
      <c r="AF170" s="130"/>
      <c r="AG170" s="130"/>
      <c r="AH170" s="130"/>
      <c r="AI170" s="130"/>
      <c r="AJ170" s="130"/>
      <c r="AK170" s="130"/>
      <c r="AL170" s="130"/>
      <c r="AM170" s="130"/>
      <c r="AN170" s="130">
        <f t="shared" si="86"/>
        <v>0</v>
      </c>
      <c r="AO170" s="130"/>
      <c r="AP170" s="130">
        <f t="shared" si="87"/>
        <v>0</v>
      </c>
      <c r="AQ170" s="130">
        <f t="shared" si="88"/>
        <v>0</v>
      </c>
      <c r="AR170" s="130">
        <f t="shared" si="89"/>
        <v>0</v>
      </c>
      <c r="AS170" s="130">
        <f t="shared" si="90"/>
        <v>0</v>
      </c>
      <c r="AT170" s="130">
        <f t="shared" si="91"/>
        <v>0</v>
      </c>
      <c r="AU170" s="130">
        <f t="shared" si="92"/>
        <v>0</v>
      </c>
      <c r="AV170" s="130">
        <f t="shared" si="93"/>
        <v>0</v>
      </c>
      <c r="AW170" s="130">
        <f t="shared" si="94"/>
        <v>0</v>
      </c>
      <c r="AX170" s="130">
        <f t="shared" si="95"/>
        <v>0</v>
      </c>
      <c r="AY170" s="130">
        <f t="shared" si="96"/>
        <v>0</v>
      </c>
      <c r="AZ170" s="130">
        <f t="shared" si="97"/>
        <v>0</v>
      </c>
      <c r="BB170" s="109">
        <f t="shared" si="98"/>
        <v>0</v>
      </c>
    </row>
    <row r="171" spans="1:54" x14ac:dyDescent="0.25">
      <c r="A171" s="132"/>
      <c r="B171" s="540" t="s">
        <v>971</v>
      </c>
      <c r="C171" s="129"/>
      <c r="D171" s="130"/>
      <c r="E171" s="130">
        <v>3053</v>
      </c>
      <c r="F171" s="130"/>
      <c r="G171" s="140"/>
      <c r="H171" s="124">
        <f>SUM(C171:G171)</f>
        <v>3053</v>
      </c>
      <c r="I171" s="349"/>
      <c r="J171" s="349"/>
      <c r="K171" s="352"/>
      <c r="L171" s="127">
        <f>SUM(I171:K171)</f>
        <v>0</v>
      </c>
      <c r="M171" s="349"/>
      <c r="N171" s="352"/>
      <c r="O171" s="350"/>
      <c r="P171" s="542">
        <f>O171+L171+H171</f>
        <v>3053</v>
      </c>
      <c r="R171" s="130"/>
      <c r="S171" s="130"/>
      <c r="T171" s="130">
        <v>3053</v>
      </c>
      <c r="U171" s="130"/>
      <c r="V171" s="130"/>
      <c r="W171" s="130"/>
      <c r="X171" s="130"/>
      <c r="Y171" s="130"/>
      <c r="Z171" s="130"/>
      <c r="AA171" s="130"/>
      <c r="AB171" s="130">
        <f t="shared" si="85"/>
        <v>3053</v>
      </c>
      <c r="AC171" s="130"/>
      <c r="AD171" s="130"/>
      <c r="AE171" s="130"/>
      <c r="AF171" s="130"/>
      <c r="AG171" s="130"/>
      <c r="AH171" s="130"/>
      <c r="AI171" s="130"/>
      <c r="AJ171" s="130"/>
      <c r="AK171" s="130"/>
      <c r="AL171" s="130"/>
      <c r="AM171" s="130"/>
      <c r="AN171" s="130">
        <f t="shared" si="86"/>
        <v>0</v>
      </c>
      <c r="AO171" s="130"/>
      <c r="AP171" s="130">
        <f t="shared" si="87"/>
        <v>0</v>
      </c>
      <c r="AQ171" s="130">
        <f t="shared" si="88"/>
        <v>0</v>
      </c>
      <c r="AR171" s="130">
        <f t="shared" si="89"/>
        <v>3053</v>
      </c>
      <c r="AS171" s="130">
        <f t="shared" si="90"/>
        <v>0</v>
      </c>
      <c r="AT171" s="130">
        <f t="shared" si="91"/>
        <v>0</v>
      </c>
      <c r="AU171" s="130">
        <f t="shared" si="92"/>
        <v>0</v>
      </c>
      <c r="AV171" s="130">
        <f t="shared" si="93"/>
        <v>0</v>
      </c>
      <c r="AW171" s="130">
        <f t="shared" si="94"/>
        <v>0</v>
      </c>
      <c r="AX171" s="130">
        <f t="shared" si="95"/>
        <v>0</v>
      </c>
      <c r="AY171" s="130">
        <f t="shared" si="96"/>
        <v>0</v>
      </c>
      <c r="AZ171" s="130">
        <f t="shared" si="97"/>
        <v>3053</v>
      </c>
      <c r="BB171" s="109">
        <f t="shared" si="98"/>
        <v>0</v>
      </c>
    </row>
    <row r="172" spans="1:54" x14ac:dyDescent="0.25">
      <c r="A172" s="132"/>
      <c r="B172" s="540" t="s">
        <v>972</v>
      </c>
      <c r="C172" s="129"/>
      <c r="D172" s="130"/>
      <c r="E172" s="130">
        <v>1540</v>
      </c>
      <c r="F172" s="130"/>
      <c r="G172" s="140"/>
      <c r="H172" s="124">
        <f>SUM(C172:G172)</f>
        <v>1540</v>
      </c>
      <c r="I172" s="349"/>
      <c r="J172" s="349"/>
      <c r="K172" s="352"/>
      <c r="L172" s="127">
        <f>SUM(I172:K172)</f>
        <v>0</v>
      </c>
      <c r="M172" s="349"/>
      <c r="N172" s="352"/>
      <c r="O172" s="350"/>
      <c r="P172" s="542">
        <f>O172+L172+H172</f>
        <v>1540</v>
      </c>
      <c r="R172" s="130"/>
      <c r="S172" s="130"/>
      <c r="T172" s="130">
        <v>1540</v>
      </c>
      <c r="U172" s="130"/>
      <c r="V172" s="130"/>
      <c r="W172" s="130"/>
      <c r="X172" s="130"/>
      <c r="Y172" s="130"/>
      <c r="Z172" s="130"/>
      <c r="AA172" s="130"/>
      <c r="AB172" s="130">
        <f t="shared" si="85"/>
        <v>1540</v>
      </c>
      <c r="AC172" s="130"/>
      <c r="AD172" s="130"/>
      <c r="AE172" s="130"/>
      <c r="AF172" s="130"/>
      <c r="AG172" s="130"/>
      <c r="AH172" s="130"/>
      <c r="AI172" s="130"/>
      <c r="AJ172" s="130"/>
      <c r="AK172" s="130"/>
      <c r="AL172" s="130"/>
      <c r="AM172" s="130"/>
      <c r="AN172" s="130">
        <f t="shared" si="86"/>
        <v>0</v>
      </c>
      <c r="AO172" s="130"/>
      <c r="AP172" s="130">
        <f t="shared" si="87"/>
        <v>0</v>
      </c>
      <c r="AQ172" s="130">
        <f t="shared" si="88"/>
        <v>0</v>
      </c>
      <c r="AR172" s="130">
        <f t="shared" si="89"/>
        <v>1540</v>
      </c>
      <c r="AS172" s="130">
        <f t="shared" si="90"/>
        <v>0</v>
      </c>
      <c r="AT172" s="130">
        <f t="shared" si="91"/>
        <v>0</v>
      </c>
      <c r="AU172" s="130">
        <f t="shared" si="92"/>
        <v>0</v>
      </c>
      <c r="AV172" s="130">
        <f t="shared" si="93"/>
        <v>0</v>
      </c>
      <c r="AW172" s="130">
        <f t="shared" si="94"/>
        <v>0</v>
      </c>
      <c r="AX172" s="130">
        <f t="shared" si="95"/>
        <v>0</v>
      </c>
      <c r="AY172" s="130">
        <f t="shared" si="96"/>
        <v>0</v>
      </c>
      <c r="AZ172" s="130">
        <f t="shared" si="97"/>
        <v>1540</v>
      </c>
      <c r="BB172" s="109">
        <f t="shared" si="98"/>
        <v>0</v>
      </c>
    </row>
    <row r="173" spans="1:54" x14ac:dyDescent="0.25">
      <c r="A173" s="132"/>
      <c r="B173" s="540" t="s">
        <v>973</v>
      </c>
      <c r="C173" s="129"/>
      <c r="D173" s="130"/>
      <c r="E173" s="130">
        <v>117057</v>
      </c>
      <c r="F173" s="130"/>
      <c r="G173" s="140"/>
      <c r="H173" s="124">
        <f>SUM(C173:G173)</f>
        <v>117057</v>
      </c>
      <c r="I173" s="349"/>
      <c r="J173" s="349"/>
      <c r="K173" s="352"/>
      <c r="L173" s="127">
        <f>SUM(I173:K173)</f>
        <v>0</v>
      </c>
      <c r="M173" s="349"/>
      <c r="N173" s="352"/>
      <c r="O173" s="350"/>
      <c r="P173" s="542">
        <f>O173+L173+H173</f>
        <v>117057</v>
      </c>
      <c r="R173" s="130"/>
      <c r="S173" s="130"/>
      <c r="T173" s="130">
        <v>117057</v>
      </c>
      <c r="U173" s="130"/>
      <c r="V173" s="130"/>
      <c r="W173" s="130"/>
      <c r="X173" s="130"/>
      <c r="Y173" s="130"/>
      <c r="Z173" s="130"/>
      <c r="AA173" s="130"/>
      <c r="AB173" s="130">
        <f t="shared" si="85"/>
        <v>117057</v>
      </c>
      <c r="AC173" s="130"/>
      <c r="AD173" s="130"/>
      <c r="AE173" s="130"/>
      <c r="AF173" s="130"/>
      <c r="AG173" s="130"/>
      <c r="AH173" s="130"/>
      <c r="AI173" s="130"/>
      <c r="AJ173" s="130"/>
      <c r="AK173" s="130"/>
      <c r="AL173" s="130"/>
      <c r="AM173" s="130"/>
      <c r="AN173" s="130">
        <f t="shared" si="86"/>
        <v>0</v>
      </c>
      <c r="AO173" s="130"/>
      <c r="AP173" s="130">
        <f t="shared" si="87"/>
        <v>0</v>
      </c>
      <c r="AQ173" s="130">
        <f t="shared" si="88"/>
        <v>0</v>
      </c>
      <c r="AR173" s="130">
        <f t="shared" si="89"/>
        <v>117057</v>
      </c>
      <c r="AS173" s="130">
        <f t="shared" si="90"/>
        <v>0</v>
      </c>
      <c r="AT173" s="130">
        <f t="shared" si="91"/>
        <v>0</v>
      </c>
      <c r="AU173" s="130">
        <f t="shared" si="92"/>
        <v>0</v>
      </c>
      <c r="AV173" s="130">
        <f t="shared" si="93"/>
        <v>0</v>
      </c>
      <c r="AW173" s="130">
        <f t="shared" si="94"/>
        <v>0</v>
      </c>
      <c r="AX173" s="130">
        <f t="shared" si="95"/>
        <v>0</v>
      </c>
      <c r="AY173" s="130">
        <f t="shared" si="96"/>
        <v>0</v>
      </c>
      <c r="AZ173" s="130">
        <f t="shared" si="97"/>
        <v>117057</v>
      </c>
      <c r="BB173" s="109">
        <f t="shared" si="98"/>
        <v>0</v>
      </c>
    </row>
    <row r="174" spans="1:54" x14ac:dyDescent="0.25">
      <c r="A174" s="132"/>
      <c r="B174" s="540"/>
      <c r="C174" s="129"/>
      <c r="D174" s="129"/>
      <c r="E174" s="129"/>
      <c r="F174" s="129"/>
      <c r="G174" s="140"/>
      <c r="H174" s="124"/>
      <c r="I174" s="349"/>
      <c r="J174" s="349"/>
      <c r="K174" s="591"/>
      <c r="L174" s="127"/>
      <c r="M174" s="349"/>
      <c r="N174" s="591"/>
      <c r="O174" s="350"/>
      <c r="P174" s="542"/>
      <c r="R174" s="130"/>
      <c r="S174" s="130"/>
      <c r="T174" s="130"/>
      <c r="U174" s="130"/>
      <c r="V174" s="130"/>
      <c r="W174" s="130"/>
      <c r="X174" s="130"/>
      <c r="Y174" s="130"/>
      <c r="Z174" s="130"/>
      <c r="AA174" s="130"/>
      <c r="AB174" s="130">
        <f t="shared" si="85"/>
        <v>0</v>
      </c>
      <c r="AC174" s="130"/>
      <c r="AD174" s="130"/>
      <c r="AE174" s="130"/>
      <c r="AF174" s="130"/>
      <c r="AG174" s="130"/>
      <c r="AH174" s="130"/>
      <c r="AI174" s="130"/>
      <c r="AJ174" s="130"/>
      <c r="AK174" s="130"/>
      <c r="AL174" s="130"/>
      <c r="AM174" s="130"/>
      <c r="AN174" s="130">
        <f t="shared" si="86"/>
        <v>0</v>
      </c>
      <c r="AO174" s="130"/>
      <c r="AP174" s="130">
        <f t="shared" si="87"/>
        <v>0</v>
      </c>
      <c r="AQ174" s="130">
        <f t="shared" si="88"/>
        <v>0</v>
      </c>
      <c r="AR174" s="130">
        <f t="shared" si="89"/>
        <v>0</v>
      </c>
      <c r="AS174" s="130">
        <f t="shared" si="90"/>
        <v>0</v>
      </c>
      <c r="AT174" s="130">
        <f t="shared" si="91"/>
        <v>0</v>
      </c>
      <c r="AU174" s="130">
        <f t="shared" si="92"/>
        <v>0</v>
      </c>
      <c r="AV174" s="130">
        <f t="shared" si="93"/>
        <v>0</v>
      </c>
      <c r="AW174" s="130">
        <f t="shared" si="94"/>
        <v>0</v>
      </c>
      <c r="AX174" s="130">
        <f t="shared" si="95"/>
        <v>0</v>
      </c>
      <c r="AY174" s="130">
        <f t="shared" si="96"/>
        <v>0</v>
      </c>
      <c r="AZ174" s="130">
        <f t="shared" si="97"/>
        <v>0</v>
      </c>
      <c r="BB174" s="109">
        <f t="shared" si="98"/>
        <v>0</v>
      </c>
    </row>
    <row r="175" spans="1:54" s="122" customFormat="1" ht="31.5" x14ac:dyDescent="0.25">
      <c r="A175" s="132"/>
      <c r="B175" s="619" t="s">
        <v>385</v>
      </c>
      <c r="C175" s="133"/>
      <c r="D175" s="133"/>
      <c r="E175" s="133"/>
      <c r="F175" s="133"/>
      <c r="G175" s="135"/>
      <c r="H175" s="127"/>
      <c r="I175" s="133"/>
      <c r="J175" s="133"/>
      <c r="K175" s="135"/>
      <c r="L175" s="127"/>
      <c r="M175" s="133"/>
      <c r="N175" s="135"/>
      <c r="O175" s="127"/>
      <c r="P175" s="542"/>
      <c r="R175" s="819"/>
      <c r="S175" s="819"/>
      <c r="T175" s="819"/>
      <c r="U175" s="819"/>
      <c r="V175" s="819"/>
      <c r="W175" s="819"/>
      <c r="X175" s="819"/>
      <c r="Y175" s="819"/>
      <c r="Z175" s="819"/>
      <c r="AA175" s="819"/>
      <c r="AB175" s="130">
        <f t="shared" si="85"/>
        <v>0</v>
      </c>
      <c r="AC175" s="130"/>
      <c r="AD175" s="130"/>
      <c r="AE175" s="130"/>
      <c r="AF175" s="130"/>
      <c r="AG175" s="130"/>
      <c r="AH175" s="130"/>
      <c r="AI175" s="130"/>
      <c r="AJ175" s="130"/>
      <c r="AK175" s="130"/>
      <c r="AL175" s="130"/>
      <c r="AM175" s="130"/>
      <c r="AN175" s="130">
        <f t="shared" si="86"/>
        <v>0</v>
      </c>
      <c r="AO175" s="819"/>
      <c r="AP175" s="130">
        <f t="shared" si="87"/>
        <v>0</v>
      </c>
      <c r="AQ175" s="130">
        <f t="shared" si="88"/>
        <v>0</v>
      </c>
      <c r="AR175" s="130">
        <f t="shared" si="89"/>
        <v>0</v>
      </c>
      <c r="AS175" s="130">
        <f t="shared" si="90"/>
        <v>0</v>
      </c>
      <c r="AT175" s="130">
        <f t="shared" si="91"/>
        <v>0</v>
      </c>
      <c r="AU175" s="130">
        <f t="shared" si="92"/>
        <v>0</v>
      </c>
      <c r="AV175" s="130">
        <f t="shared" si="93"/>
        <v>0</v>
      </c>
      <c r="AW175" s="130">
        <f t="shared" si="94"/>
        <v>0</v>
      </c>
      <c r="AX175" s="130">
        <f t="shared" si="95"/>
        <v>0</v>
      </c>
      <c r="AY175" s="130">
        <f t="shared" si="96"/>
        <v>0</v>
      </c>
      <c r="AZ175" s="130">
        <f t="shared" si="97"/>
        <v>0</v>
      </c>
      <c r="BB175" s="109">
        <f t="shared" si="98"/>
        <v>0</v>
      </c>
    </row>
    <row r="176" spans="1:54" x14ac:dyDescent="0.25">
      <c r="A176" s="132"/>
      <c r="B176" s="540" t="s">
        <v>974</v>
      </c>
      <c r="C176" s="129"/>
      <c r="D176" s="130"/>
      <c r="E176" s="130">
        <v>5026</v>
      </c>
      <c r="F176" s="130"/>
      <c r="G176" s="140"/>
      <c r="H176" s="124">
        <f>SUM(C176:G176)</f>
        <v>5026</v>
      </c>
      <c r="I176" s="349"/>
      <c r="J176" s="349"/>
      <c r="K176" s="352"/>
      <c r="L176" s="127">
        <f>SUM(I176:K176)</f>
        <v>0</v>
      </c>
      <c r="M176" s="349"/>
      <c r="N176" s="352"/>
      <c r="O176" s="350"/>
      <c r="P176" s="542">
        <f>O176+L176+H176</f>
        <v>5026</v>
      </c>
      <c r="R176" s="130"/>
      <c r="S176" s="130"/>
      <c r="T176" s="130">
        <v>5026</v>
      </c>
      <c r="U176" s="130"/>
      <c r="V176" s="130"/>
      <c r="W176" s="130"/>
      <c r="X176" s="130"/>
      <c r="Y176" s="130"/>
      <c r="Z176" s="130"/>
      <c r="AA176" s="130"/>
      <c r="AB176" s="130">
        <f t="shared" si="85"/>
        <v>5026</v>
      </c>
      <c r="AC176" s="130"/>
      <c r="AD176" s="130"/>
      <c r="AE176" s="130"/>
      <c r="AF176" s="130"/>
      <c r="AG176" s="130"/>
      <c r="AH176" s="130"/>
      <c r="AI176" s="130"/>
      <c r="AJ176" s="130"/>
      <c r="AK176" s="130"/>
      <c r="AL176" s="130"/>
      <c r="AM176" s="130"/>
      <c r="AN176" s="130">
        <f t="shared" si="86"/>
        <v>0</v>
      </c>
      <c r="AO176" s="130"/>
      <c r="AP176" s="130">
        <f t="shared" si="87"/>
        <v>0</v>
      </c>
      <c r="AQ176" s="130">
        <f t="shared" si="88"/>
        <v>0</v>
      </c>
      <c r="AR176" s="130">
        <f t="shared" si="89"/>
        <v>5026</v>
      </c>
      <c r="AS176" s="130">
        <f t="shared" si="90"/>
        <v>0</v>
      </c>
      <c r="AT176" s="130">
        <f t="shared" si="91"/>
        <v>0</v>
      </c>
      <c r="AU176" s="130">
        <f t="shared" si="92"/>
        <v>0</v>
      </c>
      <c r="AV176" s="130">
        <f t="shared" si="93"/>
        <v>0</v>
      </c>
      <c r="AW176" s="130">
        <f t="shared" si="94"/>
        <v>0</v>
      </c>
      <c r="AX176" s="130">
        <f t="shared" si="95"/>
        <v>0</v>
      </c>
      <c r="AY176" s="130">
        <f t="shared" si="96"/>
        <v>0</v>
      </c>
      <c r="AZ176" s="130">
        <f t="shared" si="97"/>
        <v>5026</v>
      </c>
      <c r="BB176" s="109">
        <f t="shared" si="98"/>
        <v>0</v>
      </c>
    </row>
    <row r="177" spans="1:54" x14ac:dyDescent="0.25">
      <c r="A177" s="132"/>
      <c r="B177" s="540"/>
      <c r="C177" s="129"/>
      <c r="D177" s="129"/>
      <c r="E177" s="129"/>
      <c r="F177" s="129"/>
      <c r="G177" s="140"/>
      <c r="H177" s="124"/>
      <c r="I177" s="349"/>
      <c r="J177" s="349"/>
      <c r="K177" s="591"/>
      <c r="L177" s="127"/>
      <c r="M177" s="349"/>
      <c r="N177" s="591"/>
      <c r="O177" s="350"/>
      <c r="P177" s="542"/>
      <c r="R177" s="130"/>
      <c r="S177" s="130"/>
      <c r="T177" s="130"/>
      <c r="U177" s="130"/>
      <c r="V177" s="130"/>
      <c r="W177" s="130"/>
      <c r="X177" s="130"/>
      <c r="Y177" s="130"/>
      <c r="Z177" s="130"/>
      <c r="AA177" s="130"/>
      <c r="AB177" s="130">
        <f t="shared" si="85"/>
        <v>0</v>
      </c>
      <c r="AC177" s="130"/>
      <c r="AD177" s="130"/>
      <c r="AE177" s="130"/>
      <c r="AF177" s="130"/>
      <c r="AG177" s="130"/>
      <c r="AH177" s="130"/>
      <c r="AI177" s="130"/>
      <c r="AJ177" s="130"/>
      <c r="AK177" s="130"/>
      <c r="AL177" s="130"/>
      <c r="AM177" s="130"/>
      <c r="AN177" s="130">
        <f t="shared" si="86"/>
        <v>0</v>
      </c>
      <c r="AO177" s="130"/>
      <c r="AP177" s="130">
        <f t="shared" si="87"/>
        <v>0</v>
      </c>
      <c r="AQ177" s="130">
        <f t="shared" si="88"/>
        <v>0</v>
      </c>
      <c r="AR177" s="130">
        <f t="shared" si="89"/>
        <v>0</v>
      </c>
      <c r="AS177" s="130">
        <f t="shared" si="90"/>
        <v>0</v>
      </c>
      <c r="AT177" s="130">
        <f t="shared" si="91"/>
        <v>0</v>
      </c>
      <c r="AU177" s="130">
        <f t="shared" si="92"/>
        <v>0</v>
      </c>
      <c r="AV177" s="130">
        <f t="shared" si="93"/>
        <v>0</v>
      </c>
      <c r="AW177" s="130">
        <f t="shared" si="94"/>
        <v>0</v>
      </c>
      <c r="AX177" s="130">
        <f t="shared" si="95"/>
        <v>0</v>
      </c>
      <c r="AY177" s="130">
        <f t="shared" si="96"/>
        <v>0</v>
      </c>
      <c r="AZ177" s="130">
        <f t="shared" si="97"/>
        <v>0</v>
      </c>
      <c r="BB177" s="109">
        <f t="shared" si="98"/>
        <v>0</v>
      </c>
    </row>
    <row r="178" spans="1:54" s="122" customFormat="1" ht="31.5" x14ac:dyDescent="0.25">
      <c r="A178" s="132"/>
      <c r="B178" s="619" t="s">
        <v>975</v>
      </c>
      <c r="C178" s="133"/>
      <c r="D178" s="133"/>
      <c r="E178" s="349">
        <v>-3988</v>
      </c>
      <c r="F178" s="349"/>
      <c r="G178" s="135"/>
      <c r="H178" s="124">
        <f>SUM(C178:G178)</f>
        <v>-3988</v>
      </c>
      <c r="I178" s="133"/>
      <c r="J178" s="133"/>
      <c r="K178" s="135"/>
      <c r="L178" s="127">
        <f>SUM(I178:K178)</f>
        <v>0</v>
      </c>
      <c r="M178" s="349"/>
      <c r="N178" s="352"/>
      <c r="O178" s="350"/>
      <c r="P178" s="542">
        <f>O178+L178+H178</f>
        <v>-3988</v>
      </c>
      <c r="R178" s="819"/>
      <c r="S178" s="819"/>
      <c r="T178" s="892">
        <v>-3988</v>
      </c>
      <c r="U178" s="819"/>
      <c r="V178" s="819"/>
      <c r="W178" s="819"/>
      <c r="X178" s="819"/>
      <c r="Y178" s="819"/>
      <c r="Z178" s="819"/>
      <c r="AA178" s="819"/>
      <c r="AB178" s="130">
        <f t="shared" si="85"/>
        <v>-3988</v>
      </c>
      <c r="AC178" s="130"/>
      <c r="AD178" s="130"/>
      <c r="AE178" s="130"/>
      <c r="AF178" s="130"/>
      <c r="AG178" s="130"/>
      <c r="AH178" s="130"/>
      <c r="AI178" s="130"/>
      <c r="AJ178" s="130"/>
      <c r="AK178" s="130"/>
      <c r="AL178" s="130"/>
      <c r="AM178" s="130"/>
      <c r="AN178" s="130">
        <f t="shared" si="86"/>
        <v>0</v>
      </c>
      <c r="AO178" s="819"/>
      <c r="AP178" s="130">
        <f t="shared" si="87"/>
        <v>0</v>
      </c>
      <c r="AQ178" s="130">
        <f t="shared" si="88"/>
        <v>0</v>
      </c>
      <c r="AR178" s="130">
        <f t="shared" si="89"/>
        <v>-3988</v>
      </c>
      <c r="AS178" s="130">
        <f t="shared" si="90"/>
        <v>0</v>
      </c>
      <c r="AT178" s="130">
        <f t="shared" si="91"/>
        <v>0</v>
      </c>
      <c r="AU178" s="130">
        <f t="shared" si="92"/>
        <v>0</v>
      </c>
      <c r="AV178" s="130">
        <f t="shared" si="93"/>
        <v>0</v>
      </c>
      <c r="AW178" s="130">
        <f t="shared" si="94"/>
        <v>0</v>
      </c>
      <c r="AX178" s="130">
        <f t="shared" si="95"/>
        <v>0</v>
      </c>
      <c r="AY178" s="130">
        <f t="shared" si="96"/>
        <v>0</v>
      </c>
      <c r="AZ178" s="130">
        <f t="shared" si="97"/>
        <v>-3988</v>
      </c>
      <c r="BB178" s="109">
        <f t="shared" si="98"/>
        <v>0</v>
      </c>
    </row>
    <row r="179" spans="1:54" s="122" customFormat="1" x14ac:dyDescent="0.25">
      <c r="A179" s="132"/>
      <c r="B179" s="619"/>
      <c r="C179" s="133"/>
      <c r="D179" s="133"/>
      <c r="E179" s="349"/>
      <c r="F179" s="349"/>
      <c r="G179" s="135"/>
      <c r="H179" s="124"/>
      <c r="I179" s="133"/>
      <c r="J179" s="133"/>
      <c r="K179" s="135"/>
      <c r="L179" s="127"/>
      <c r="M179" s="349"/>
      <c r="N179" s="352"/>
      <c r="O179" s="350"/>
      <c r="P179" s="542"/>
      <c r="R179" s="819"/>
      <c r="S179" s="819"/>
      <c r="T179" s="819"/>
      <c r="U179" s="819"/>
      <c r="V179" s="819"/>
      <c r="W179" s="819"/>
      <c r="X179" s="819"/>
      <c r="Y179" s="819"/>
      <c r="Z179" s="819"/>
      <c r="AA179" s="819"/>
      <c r="AB179" s="130">
        <f t="shared" si="85"/>
        <v>0</v>
      </c>
      <c r="AC179" s="130"/>
      <c r="AD179" s="130"/>
      <c r="AE179" s="130"/>
      <c r="AF179" s="130"/>
      <c r="AG179" s="130"/>
      <c r="AH179" s="130"/>
      <c r="AI179" s="130"/>
      <c r="AJ179" s="130"/>
      <c r="AK179" s="130"/>
      <c r="AL179" s="130"/>
      <c r="AM179" s="130"/>
      <c r="AN179" s="130">
        <f t="shared" si="86"/>
        <v>0</v>
      </c>
      <c r="AO179" s="819"/>
      <c r="AP179" s="130">
        <f t="shared" si="87"/>
        <v>0</v>
      </c>
      <c r="AQ179" s="130">
        <f t="shared" si="88"/>
        <v>0</v>
      </c>
      <c r="AR179" s="130">
        <f t="shared" si="89"/>
        <v>0</v>
      </c>
      <c r="AS179" s="130">
        <f t="shared" si="90"/>
        <v>0</v>
      </c>
      <c r="AT179" s="130">
        <f t="shared" si="91"/>
        <v>0</v>
      </c>
      <c r="AU179" s="130">
        <f t="shared" si="92"/>
        <v>0</v>
      </c>
      <c r="AV179" s="130">
        <f t="shared" si="93"/>
        <v>0</v>
      </c>
      <c r="AW179" s="130">
        <f t="shared" si="94"/>
        <v>0</v>
      </c>
      <c r="AX179" s="130">
        <f t="shared" si="95"/>
        <v>0</v>
      </c>
      <c r="AY179" s="130">
        <f t="shared" si="96"/>
        <v>0</v>
      </c>
      <c r="AZ179" s="130">
        <f t="shared" si="97"/>
        <v>0</v>
      </c>
      <c r="BB179" s="109">
        <f t="shared" si="98"/>
        <v>0</v>
      </c>
    </row>
    <row r="180" spans="1:54" s="122" customFormat="1" ht="31.5" x14ac:dyDescent="0.25">
      <c r="A180" s="132"/>
      <c r="B180" s="136" t="s">
        <v>114</v>
      </c>
      <c r="C180" s="133"/>
      <c r="D180" s="133"/>
      <c r="E180" s="349"/>
      <c r="F180" s="349"/>
      <c r="G180" s="135"/>
      <c r="H180" s="124"/>
      <c r="I180" s="133"/>
      <c r="J180" s="133"/>
      <c r="K180" s="135"/>
      <c r="L180" s="127"/>
      <c r="M180" s="349"/>
      <c r="N180" s="352"/>
      <c r="O180" s="350"/>
      <c r="P180" s="542"/>
      <c r="R180" s="819"/>
      <c r="S180" s="819"/>
      <c r="T180" s="819"/>
      <c r="U180" s="819"/>
      <c r="V180" s="819"/>
      <c r="W180" s="819"/>
      <c r="X180" s="819"/>
      <c r="Y180" s="819"/>
      <c r="Z180" s="819"/>
      <c r="AA180" s="819"/>
      <c r="AB180" s="130">
        <f t="shared" si="85"/>
        <v>0</v>
      </c>
      <c r="AC180" s="130"/>
      <c r="AD180" s="130"/>
      <c r="AE180" s="130"/>
      <c r="AF180" s="130"/>
      <c r="AG180" s="130"/>
      <c r="AH180" s="130"/>
      <c r="AI180" s="130"/>
      <c r="AJ180" s="130"/>
      <c r="AK180" s="130"/>
      <c r="AL180" s="130"/>
      <c r="AM180" s="130"/>
      <c r="AN180" s="130">
        <f t="shared" si="86"/>
        <v>0</v>
      </c>
      <c r="AO180" s="819"/>
      <c r="AP180" s="130">
        <f t="shared" si="87"/>
        <v>0</v>
      </c>
      <c r="AQ180" s="130">
        <f t="shared" si="88"/>
        <v>0</v>
      </c>
      <c r="AR180" s="130">
        <f t="shared" si="89"/>
        <v>0</v>
      </c>
      <c r="AS180" s="130">
        <f t="shared" si="90"/>
        <v>0</v>
      </c>
      <c r="AT180" s="130">
        <f t="shared" si="91"/>
        <v>0</v>
      </c>
      <c r="AU180" s="130">
        <f t="shared" si="92"/>
        <v>0</v>
      </c>
      <c r="AV180" s="130">
        <f t="shared" si="93"/>
        <v>0</v>
      </c>
      <c r="AW180" s="130">
        <f t="shared" si="94"/>
        <v>0</v>
      </c>
      <c r="AX180" s="130">
        <f t="shared" si="95"/>
        <v>0</v>
      </c>
      <c r="AY180" s="130">
        <f t="shared" si="96"/>
        <v>0</v>
      </c>
      <c r="AZ180" s="130">
        <f t="shared" si="97"/>
        <v>0</v>
      </c>
      <c r="BB180" s="109">
        <f t="shared" si="98"/>
        <v>0</v>
      </c>
    </row>
    <row r="181" spans="1:54" s="122" customFormat="1" ht="31.5" x14ac:dyDescent="0.25">
      <c r="A181" s="132"/>
      <c r="B181" s="619" t="s">
        <v>385</v>
      </c>
      <c r="C181" s="133"/>
      <c r="D181" s="133"/>
      <c r="E181" s="133"/>
      <c r="F181" s="133"/>
      <c r="G181" s="135"/>
      <c r="H181" s="127"/>
      <c r="I181" s="133"/>
      <c r="J181" s="133"/>
      <c r="K181" s="135"/>
      <c r="L181" s="127"/>
      <c r="M181" s="133"/>
      <c r="N181" s="135"/>
      <c r="O181" s="127"/>
      <c r="P181" s="542"/>
      <c r="R181" s="819"/>
      <c r="S181" s="819"/>
      <c r="T181" s="819"/>
      <c r="U181" s="819"/>
      <c r="V181" s="819"/>
      <c r="W181" s="819"/>
      <c r="X181" s="819"/>
      <c r="Y181" s="819"/>
      <c r="Z181" s="819"/>
      <c r="AA181" s="819"/>
      <c r="AB181" s="130">
        <f t="shared" si="85"/>
        <v>0</v>
      </c>
      <c r="AC181" s="130"/>
      <c r="AD181" s="130"/>
      <c r="AE181" s="130"/>
      <c r="AF181" s="130"/>
      <c r="AG181" s="130"/>
      <c r="AH181" s="130"/>
      <c r="AI181" s="130"/>
      <c r="AJ181" s="130"/>
      <c r="AK181" s="130"/>
      <c r="AL181" s="130"/>
      <c r="AM181" s="130"/>
      <c r="AN181" s="130">
        <f t="shared" si="86"/>
        <v>0</v>
      </c>
      <c r="AO181" s="819"/>
      <c r="AP181" s="130">
        <f t="shared" si="87"/>
        <v>0</v>
      </c>
      <c r="AQ181" s="130">
        <f t="shared" si="88"/>
        <v>0</v>
      </c>
      <c r="AR181" s="130">
        <f t="shared" si="89"/>
        <v>0</v>
      </c>
      <c r="AS181" s="130">
        <f t="shared" si="90"/>
        <v>0</v>
      </c>
      <c r="AT181" s="130">
        <f t="shared" si="91"/>
        <v>0</v>
      </c>
      <c r="AU181" s="130">
        <f t="shared" si="92"/>
        <v>0</v>
      </c>
      <c r="AV181" s="130">
        <f t="shared" si="93"/>
        <v>0</v>
      </c>
      <c r="AW181" s="130">
        <f t="shared" si="94"/>
        <v>0</v>
      </c>
      <c r="AX181" s="130">
        <f t="shared" si="95"/>
        <v>0</v>
      </c>
      <c r="AY181" s="130">
        <f t="shared" si="96"/>
        <v>0</v>
      </c>
      <c r="AZ181" s="130">
        <f t="shared" si="97"/>
        <v>0</v>
      </c>
      <c r="BB181" s="109">
        <f t="shared" si="98"/>
        <v>0</v>
      </c>
    </row>
    <row r="182" spans="1:54" x14ac:dyDescent="0.25">
      <c r="A182" s="132"/>
      <c r="B182" s="540" t="s">
        <v>1001</v>
      </c>
      <c r="C182" s="129"/>
      <c r="D182" s="130"/>
      <c r="E182" s="130">
        <v>18</v>
      </c>
      <c r="F182" s="130"/>
      <c r="G182" s="140"/>
      <c r="H182" s="124">
        <f>SUM(C182:G182)</f>
        <v>18</v>
      </c>
      <c r="I182" s="349"/>
      <c r="J182" s="349"/>
      <c r="K182" s="352"/>
      <c r="L182" s="127">
        <f>SUM(I182:K182)</f>
        <v>0</v>
      </c>
      <c r="M182" s="349"/>
      <c r="N182" s="352"/>
      <c r="O182" s="350"/>
      <c r="P182" s="542">
        <f>O182+L182+H182</f>
        <v>18</v>
      </c>
      <c r="R182" s="130"/>
      <c r="S182" s="130"/>
      <c r="T182" s="130">
        <v>18</v>
      </c>
      <c r="U182" s="130"/>
      <c r="V182" s="130"/>
      <c r="W182" s="130"/>
      <c r="X182" s="130"/>
      <c r="Y182" s="130"/>
      <c r="Z182" s="130"/>
      <c r="AA182" s="130"/>
      <c r="AB182" s="130">
        <f t="shared" si="85"/>
        <v>18</v>
      </c>
      <c r="AC182" s="130"/>
      <c r="AD182" s="130"/>
      <c r="AE182" s="130"/>
      <c r="AF182" s="130"/>
      <c r="AG182" s="130"/>
      <c r="AH182" s="130"/>
      <c r="AI182" s="130"/>
      <c r="AJ182" s="130"/>
      <c r="AK182" s="130"/>
      <c r="AL182" s="130"/>
      <c r="AM182" s="130"/>
      <c r="AN182" s="130">
        <f t="shared" si="86"/>
        <v>0</v>
      </c>
      <c r="AO182" s="130"/>
      <c r="AP182" s="130">
        <f t="shared" si="87"/>
        <v>0</v>
      </c>
      <c r="AQ182" s="130">
        <f t="shared" si="88"/>
        <v>0</v>
      </c>
      <c r="AR182" s="130">
        <f t="shared" si="89"/>
        <v>18</v>
      </c>
      <c r="AS182" s="130">
        <f t="shared" si="90"/>
        <v>0</v>
      </c>
      <c r="AT182" s="130">
        <f t="shared" si="91"/>
        <v>0</v>
      </c>
      <c r="AU182" s="130">
        <f t="shared" si="92"/>
        <v>0</v>
      </c>
      <c r="AV182" s="130">
        <f t="shared" si="93"/>
        <v>0</v>
      </c>
      <c r="AW182" s="130">
        <f t="shared" si="94"/>
        <v>0</v>
      </c>
      <c r="AX182" s="130">
        <f t="shared" si="95"/>
        <v>0</v>
      </c>
      <c r="AY182" s="130">
        <f t="shared" si="96"/>
        <v>0</v>
      </c>
      <c r="AZ182" s="130">
        <f t="shared" si="97"/>
        <v>18</v>
      </c>
      <c r="BB182" s="109">
        <f t="shared" si="98"/>
        <v>0</v>
      </c>
    </row>
    <row r="183" spans="1:54" s="122" customFormat="1" x14ac:dyDescent="0.25">
      <c r="A183" s="132"/>
      <c r="B183" s="619"/>
      <c r="C183" s="133"/>
      <c r="D183" s="133"/>
      <c r="E183" s="349"/>
      <c r="F183" s="349"/>
      <c r="G183" s="135"/>
      <c r="H183" s="124"/>
      <c r="I183" s="133"/>
      <c r="J183" s="133"/>
      <c r="K183" s="135"/>
      <c r="L183" s="127"/>
      <c r="M183" s="349"/>
      <c r="N183" s="352"/>
      <c r="O183" s="350"/>
      <c r="P183" s="542"/>
      <c r="R183" s="819"/>
      <c r="S183" s="819"/>
      <c r="T183" s="819"/>
      <c r="U183" s="819"/>
      <c r="V183" s="819"/>
      <c r="W183" s="819"/>
      <c r="X183" s="819"/>
      <c r="Y183" s="819"/>
      <c r="Z183" s="819"/>
      <c r="AA183" s="819"/>
      <c r="AB183" s="130">
        <f t="shared" si="85"/>
        <v>0</v>
      </c>
      <c r="AC183" s="130"/>
      <c r="AD183" s="130"/>
      <c r="AE183" s="130"/>
      <c r="AF183" s="130"/>
      <c r="AG183" s="130"/>
      <c r="AH183" s="130"/>
      <c r="AI183" s="130"/>
      <c r="AJ183" s="130"/>
      <c r="AK183" s="130"/>
      <c r="AL183" s="130"/>
      <c r="AM183" s="130"/>
      <c r="AN183" s="130">
        <f t="shared" si="86"/>
        <v>0</v>
      </c>
      <c r="AO183" s="819"/>
      <c r="AP183" s="130">
        <f t="shared" si="87"/>
        <v>0</v>
      </c>
      <c r="AQ183" s="130">
        <f t="shared" si="88"/>
        <v>0</v>
      </c>
      <c r="AR183" s="130">
        <f t="shared" si="89"/>
        <v>0</v>
      </c>
      <c r="AS183" s="130">
        <f t="shared" si="90"/>
        <v>0</v>
      </c>
      <c r="AT183" s="130">
        <f t="shared" si="91"/>
        <v>0</v>
      </c>
      <c r="AU183" s="130">
        <f t="shared" si="92"/>
        <v>0</v>
      </c>
      <c r="AV183" s="130">
        <f t="shared" si="93"/>
        <v>0</v>
      </c>
      <c r="AW183" s="130">
        <f t="shared" si="94"/>
        <v>0</v>
      </c>
      <c r="AX183" s="130">
        <f t="shared" si="95"/>
        <v>0</v>
      </c>
      <c r="AY183" s="130">
        <f t="shared" si="96"/>
        <v>0</v>
      </c>
      <c r="AZ183" s="130">
        <f t="shared" si="97"/>
        <v>0</v>
      </c>
      <c r="BB183" s="109">
        <f t="shared" si="98"/>
        <v>0</v>
      </c>
    </row>
    <row r="184" spans="1:54" s="122" customFormat="1" x14ac:dyDescent="0.25">
      <c r="A184" s="132" t="s">
        <v>88</v>
      </c>
      <c r="B184" s="123" t="s">
        <v>1002</v>
      </c>
      <c r="C184" s="133"/>
      <c r="D184" s="133"/>
      <c r="E184" s="133"/>
      <c r="F184" s="133"/>
      <c r="G184" s="133"/>
      <c r="H184" s="127"/>
      <c r="I184" s="133"/>
      <c r="J184" s="133"/>
      <c r="K184" s="133"/>
      <c r="L184" s="127"/>
      <c r="M184" s="133"/>
      <c r="N184" s="133"/>
      <c r="O184" s="127"/>
      <c r="P184" s="542"/>
      <c r="R184" s="819"/>
      <c r="S184" s="819"/>
      <c r="T184" s="819"/>
      <c r="U184" s="819"/>
      <c r="V184" s="819"/>
      <c r="W184" s="819"/>
      <c r="X184" s="819"/>
      <c r="Y184" s="819"/>
      <c r="Z184" s="819"/>
      <c r="AA184" s="819"/>
      <c r="AB184" s="130">
        <f t="shared" si="85"/>
        <v>0</v>
      </c>
      <c r="AC184" s="130"/>
      <c r="AD184" s="130"/>
      <c r="AE184" s="130"/>
      <c r="AF184" s="130"/>
      <c r="AG184" s="130"/>
      <c r="AH184" s="130"/>
      <c r="AI184" s="130"/>
      <c r="AJ184" s="130"/>
      <c r="AK184" s="130"/>
      <c r="AL184" s="130"/>
      <c r="AM184" s="130"/>
      <c r="AN184" s="130">
        <f t="shared" si="86"/>
        <v>0</v>
      </c>
      <c r="AO184" s="819"/>
      <c r="AP184" s="130">
        <f t="shared" si="87"/>
        <v>0</v>
      </c>
      <c r="AQ184" s="130">
        <f t="shared" si="88"/>
        <v>0</v>
      </c>
      <c r="AR184" s="130">
        <f t="shared" si="89"/>
        <v>0</v>
      </c>
      <c r="AS184" s="130">
        <f t="shared" si="90"/>
        <v>0</v>
      </c>
      <c r="AT184" s="130">
        <f t="shared" si="91"/>
        <v>0</v>
      </c>
      <c r="AU184" s="130">
        <f t="shared" si="92"/>
        <v>0</v>
      </c>
      <c r="AV184" s="130">
        <f t="shared" si="93"/>
        <v>0</v>
      </c>
      <c r="AW184" s="130">
        <f t="shared" si="94"/>
        <v>0</v>
      </c>
      <c r="AX184" s="130">
        <f t="shared" si="95"/>
        <v>0</v>
      </c>
      <c r="AY184" s="130">
        <f t="shared" si="96"/>
        <v>0</v>
      </c>
      <c r="AZ184" s="130">
        <f t="shared" si="97"/>
        <v>0</v>
      </c>
      <c r="BB184" s="109">
        <f t="shared" si="98"/>
        <v>0</v>
      </c>
    </row>
    <row r="185" spans="1:54" s="122" customFormat="1" x14ac:dyDescent="0.25">
      <c r="A185" s="132"/>
      <c r="B185" s="136" t="s">
        <v>89</v>
      </c>
      <c r="C185" s="133"/>
      <c r="D185" s="133"/>
      <c r="E185" s="349"/>
      <c r="F185" s="349"/>
      <c r="G185" s="135"/>
      <c r="H185" s="124"/>
      <c r="I185" s="133"/>
      <c r="J185" s="133"/>
      <c r="K185" s="135"/>
      <c r="L185" s="127"/>
      <c r="M185" s="349"/>
      <c r="N185" s="352"/>
      <c r="O185" s="350"/>
      <c r="P185" s="542"/>
      <c r="R185" s="819"/>
      <c r="S185" s="819"/>
      <c r="T185" s="819"/>
      <c r="U185" s="819"/>
      <c r="V185" s="819"/>
      <c r="W185" s="819"/>
      <c r="X185" s="819"/>
      <c r="Y185" s="819"/>
      <c r="Z185" s="819"/>
      <c r="AA185" s="819"/>
      <c r="AB185" s="130">
        <f t="shared" si="85"/>
        <v>0</v>
      </c>
      <c r="AC185" s="130"/>
      <c r="AD185" s="130"/>
      <c r="AE185" s="130"/>
      <c r="AF185" s="130"/>
      <c r="AG185" s="130"/>
      <c r="AH185" s="130"/>
      <c r="AI185" s="130"/>
      <c r="AJ185" s="130"/>
      <c r="AK185" s="130"/>
      <c r="AL185" s="130"/>
      <c r="AM185" s="130"/>
      <c r="AN185" s="130">
        <f t="shared" si="86"/>
        <v>0</v>
      </c>
      <c r="AO185" s="819"/>
      <c r="AP185" s="130">
        <f t="shared" si="87"/>
        <v>0</v>
      </c>
      <c r="AQ185" s="130">
        <f t="shared" si="88"/>
        <v>0</v>
      </c>
      <c r="AR185" s="130">
        <f t="shared" si="89"/>
        <v>0</v>
      </c>
      <c r="AS185" s="130">
        <f t="shared" si="90"/>
        <v>0</v>
      </c>
      <c r="AT185" s="130">
        <f t="shared" si="91"/>
        <v>0</v>
      </c>
      <c r="AU185" s="130">
        <f t="shared" si="92"/>
        <v>0</v>
      </c>
      <c r="AV185" s="130">
        <f t="shared" si="93"/>
        <v>0</v>
      </c>
      <c r="AW185" s="130">
        <f t="shared" si="94"/>
        <v>0</v>
      </c>
      <c r="AX185" s="130">
        <f t="shared" si="95"/>
        <v>0</v>
      </c>
      <c r="AY185" s="130">
        <f t="shared" si="96"/>
        <v>0</v>
      </c>
      <c r="AZ185" s="130">
        <f t="shared" si="97"/>
        <v>0</v>
      </c>
      <c r="BB185" s="109">
        <f t="shared" si="98"/>
        <v>0</v>
      </c>
    </row>
    <row r="186" spans="1:54" s="122" customFormat="1" ht="31.5" x14ac:dyDescent="0.25">
      <c r="A186" s="132"/>
      <c r="B186" s="619" t="s">
        <v>385</v>
      </c>
      <c r="C186" s="133"/>
      <c r="D186" s="133"/>
      <c r="E186" s="133"/>
      <c r="F186" s="133"/>
      <c r="G186" s="135"/>
      <c r="H186" s="127"/>
      <c r="I186" s="133"/>
      <c r="J186" s="133"/>
      <c r="K186" s="135"/>
      <c r="L186" s="127"/>
      <c r="M186" s="133"/>
      <c r="N186" s="135"/>
      <c r="O186" s="127"/>
      <c r="P186" s="542"/>
      <c r="R186" s="819"/>
      <c r="S186" s="819"/>
      <c r="T186" s="819"/>
      <c r="U186" s="819"/>
      <c r="V186" s="819"/>
      <c r="W186" s="819"/>
      <c r="X186" s="819"/>
      <c r="Y186" s="819"/>
      <c r="Z186" s="819"/>
      <c r="AA186" s="819"/>
      <c r="AB186" s="130">
        <f t="shared" si="85"/>
        <v>0</v>
      </c>
      <c r="AC186" s="130"/>
      <c r="AD186" s="130"/>
      <c r="AE186" s="130"/>
      <c r="AF186" s="130"/>
      <c r="AG186" s="130"/>
      <c r="AH186" s="130"/>
      <c r="AI186" s="130"/>
      <c r="AJ186" s="130"/>
      <c r="AK186" s="130"/>
      <c r="AL186" s="130"/>
      <c r="AM186" s="130"/>
      <c r="AN186" s="130">
        <f t="shared" si="86"/>
        <v>0</v>
      </c>
      <c r="AO186" s="819"/>
      <c r="AP186" s="130">
        <f t="shared" si="87"/>
        <v>0</v>
      </c>
      <c r="AQ186" s="130">
        <f t="shared" si="88"/>
        <v>0</v>
      </c>
      <c r="AR186" s="130">
        <f t="shared" si="89"/>
        <v>0</v>
      </c>
      <c r="AS186" s="130">
        <f t="shared" si="90"/>
        <v>0</v>
      </c>
      <c r="AT186" s="130">
        <f t="shared" si="91"/>
        <v>0</v>
      </c>
      <c r="AU186" s="130">
        <f t="shared" si="92"/>
        <v>0</v>
      </c>
      <c r="AV186" s="130">
        <f t="shared" si="93"/>
        <v>0</v>
      </c>
      <c r="AW186" s="130">
        <f t="shared" si="94"/>
        <v>0</v>
      </c>
      <c r="AX186" s="130">
        <f t="shared" si="95"/>
        <v>0</v>
      </c>
      <c r="AY186" s="130">
        <f t="shared" si="96"/>
        <v>0</v>
      </c>
      <c r="AZ186" s="130">
        <f t="shared" si="97"/>
        <v>0</v>
      </c>
      <c r="BB186" s="109">
        <f t="shared" si="98"/>
        <v>0</v>
      </c>
    </row>
    <row r="187" spans="1:54" s="122" customFormat="1" x14ac:dyDescent="0.25">
      <c r="A187" s="132"/>
      <c r="B187" s="557" t="s">
        <v>1003</v>
      </c>
      <c r="C187" s="133"/>
      <c r="D187" s="133"/>
      <c r="E187" s="133">
        <v>2</v>
      </c>
      <c r="F187" s="133"/>
      <c r="G187" s="135"/>
      <c r="H187" s="124">
        <f t="shared" ref="H187:H189" si="124">SUM(C187:G187)</f>
        <v>2</v>
      </c>
      <c r="I187" s="349"/>
      <c r="J187" s="349"/>
      <c r="K187" s="352"/>
      <c r="L187" s="127">
        <f t="shared" ref="L187:L189" si="125">SUM(I187:K187)</f>
        <v>0</v>
      </c>
      <c r="M187" s="349"/>
      <c r="N187" s="352"/>
      <c r="O187" s="350"/>
      <c r="P187" s="542">
        <f t="shared" ref="P187:P189" si="126">O187+L187+H187</f>
        <v>2</v>
      </c>
      <c r="R187" s="819"/>
      <c r="S187" s="819"/>
      <c r="T187" s="819"/>
      <c r="U187" s="819"/>
      <c r="V187" s="819"/>
      <c r="W187" s="819"/>
      <c r="X187" s="819"/>
      <c r="Y187" s="819"/>
      <c r="Z187" s="819"/>
      <c r="AA187" s="819"/>
      <c r="AB187" s="130">
        <f t="shared" si="85"/>
        <v>0</v>
      </c>
      <c r="AC187" s="130"/>
      <c r="AD187" s="130"/>
      <c r="AE187" s="130"/>
      <c r="AF187" s="130">
        <v>2</v>
      </c>
      <c r="AG187" s="130"/>
      <c r="AH187" s="130"/>
      <c r="AI187" s="130"/>
      <c r="AJ187" s="130"/>
      <c r="AK187" s="130"/>
      <c r="AL187" s="130"/>
      <c r="AM187" s="130"/>
      <c r="AN187" s="130">
        <f t="shared" si="86"/>
        <v>2</v>
      </c>
      <c r="AO187" s="819"/>
      <c r="AP187" s="130">
        <f t="shared" si="87"/>
        <v>0</v>
      </c>
      <c r="AQ187" s="130">
        <f t="shared" si="88"/>
        <v>0</v>
      </c>
      <c r="AR187" s="130">
        <f t="shared" si="89"/>
        <v>2</v>
      </c>
      <c r="AS187" s="130">
        <f t="shared" si="90"/>
        <v>0</v>
      </c>
      <c r="AT187" s="130">
        <f t="shared" si="91"/>
        <v>0</v>
      </c>
      <c r="AU187" s="130">
        <f t="shared" si="92"/>
        <v>0</v>
      </c>
      <c r="AV187" s="130">
        <f t="shared" si="93"/>
        <v>0</v>
      </c>
      <c r="AW187" s="130">
        <f t="shared" si="94"/>
        <v>0</v>
      </c>
      <c r="AX187" s="130">
        <f t="shared" si="95"/>
        <v>0</v>
      </c>
      <c r="AY187" s="130">
        <f t="shared" si="96"/>
        <v>0</v>
      </c>
      <c r="AZ187" s="130">
        <f t="shared" si="97"/>
        <v>2</v>
      </c>
      <c r="BB187" s="109">
        <f t="shared" si="98"/>
        <v>0</v>
      </c>
    </row>
    <row r="188" spans="1:54" s="122" customFormat="1" x14ac:dyDescent="0.25">
      <c r="A188" s="132"/>
      <c r="B188" s="557" t="s">
        <v>1004</v>
      </c>
      <c r="C188" s="133"/>
      <c r="D188" s="133"/>
      <c r="E188" s="133">
        <v>40</v>
      </c>
      <c r="F188" s="133"/>
      <c r="G188" s="135"/>
      <c r="H188" s="124">
        <f t="shared" si="124"/>
        <v>40</v>
      </c>
      <c r="I188" s="349"/>
      <c r="J188" s="349"/>
      <c r="K188" s="352"/>
      <c r="L188" s="127">
        <f t="shared" si="125"/>
        <v>0</v>
      </c>
      <c r="M188" s="349"/>
      <c r="N188" s="352"/>
      <c r="O188" s="350"/>
      <c r="P188" s="542">
        <f t="shared" si="126"/>
        <v>40</v>
      </c>
      <c r="R188" s="819"/>
      <c r="S188" s="819"/>
      <c r="T188" s="892">
        <v>40</v>
      </c>
      <c r="U188" s="819"/>
      <c r="V188" s="819"/>
      <c r="W188" s="819"/>
      <c r="X188" s="819"/>
      <c r="Y188" s="819"/>
      <c r="Z188" s="819"/>
      <c r="AA188" s="819"/>
      <c r="AB188" s="130">
        <f t="shared" si="85"/>
        <v>40</v>
      </c>
      <c r="AC188" s="130"/>
      <c r="AD188" s="130"/>
      <c r="AE188" s="130"/>
      <c r="AF188" s="130"/>
      <c r="AG188" s="130"/>
      <c r="AH188" s="130"/>
      <c r="AI188" s="130"/>
      <c r="AJ188" s="130"/>
      <c r="AK188" s="130"/>
      <c r="AL188" s="130"/>
      <c r="AM188" s="130"/>
      <c r="AN188" s="130">
        <f t="shared" si="86"/>
        <v>0</v>
      </c>
      <c r="AO188" s="819"/>
      <c r="AP188" s="130">
        <f t="shared" si="87"/>
        <v>0</v>
      </c>
      <c r="AQ188" s="130">
        <f t="shared" si="88"/>
        <v>0</v>
      </c>
      <c r="AR188" s="130">
        <f t="shared" si="89"/>
        <v>40</v>
      </c>
      <c r="AS188" s="130">
        <f t="shared" si="90"/>
        <v>0</v>
      </c>
      <c r="AT188" s="130">
        <f t="shared" si="91"/>
        <v>0</v>
      </c>
      <c r="AU188" s="130">
        <f t="shared" si="92"/>
        <v>0</v>
      </c>
      <c r="AV188" s="130">
        <f t="shared" si="93"/>
        <v>0</v>
      </c>
      <c r="AW188" s="130">
        <f t="shared" si="94"/>
        <v>0</v>
      </c>
      <c r="AX188" s="130">
        <f t="shared" si="95"/>
        <v>0</v>
      </c>
      <c r="AY188" s="130">
        <f t="shared" si="96"/>
        <v>0</v>
      </c>
      <c r="AZ188" s="130">
        <f t="shared" si="97"/>
        <v>40</v>
      </c>
      <c r="BB188" s="109">
        <f t="shared" si="98"/>
        <v>0</v>
      </c>
    </row>
    <row r="189" spans="1:54" s="122" customFormat="1" x14ac:dyDescent="0.25">
      <c r="A189" s="132"/>
      <c r="B189" s="557" t="s">
        <v>1005</v>
      </c>
      <c r="C189" s="133"/>
      <c r="D189" s="133"/>
      <c r="E189" s="133">
        <v>14</v>
      </c>
      <c r="F189" s="133"/>
      <c r="G189" s="135"/>
      <c r="H189" s="124">
        <f t="shared" si="124"/>
        <v>14</v>
      </c>
      <c r="I189" s="349"/>
      <c r="J189" s="349"/>
      <c r="K189" s="352"/>
      <c r="L189" s="127">
        <f t="shared" si="125"/>
        <v>0</v>
      </c>
      <c r="M189" s="349"/>
      <c r="N189" s="352"/>
      <c r="O189" s="350"/>
      <c r="P189" s="542">
        <f t="shared" si="126"/>
        <v>14</v>
      </c>
      <c r="R189" s="819"/>
      <c r="S189" s="819"/>
      <c r="T189" s="819"/>
      <c r="U189" s="819"/>
      <c r="V189" s="819"/>
      <c r="W189" s="819"/>
      <c r="X189" s="819"/>
      <c r="Y189" s="819"/>
      <c r="Z189" s="819"/>
      <c r="AA189" s="819"/>
      <c r="AB189" s="130">
        <f t="shared" si="85"/>
        <v>0</v>
      </c>
      <c r="AC189" s="130"/>
      <c r="AD189" s="130"/>
      <c r="AE189" s="130"/>
      <c r="AF189" s="130">
        <v>14</v>
      </c>
      <c r="AG189" s="130"/>
      <c r="AH189" s="130"/>
      <c r="AI189" s="130"/>
      <c r="AJ189" s="130"/>
      <c r="AK189" s="130"/>
      <c r="AL189" s="130"/>
      <c r="AM189" s="130"/>
      <c r="AN189" s="130">
        <f t="shared" si="86"/>
        <v>14</v>
      </c>
      <c r="AO189" s="819"/>
      <c r="AP189" s="130">
        <f t="shared" si="87"/>
        <v>0</v>
      </c>
      <c r="AQ189" s="130">
        <f t="shared" si="88"/>
        <v>0</v>
      </c>
      <c r="AR189" s="130">
        <f t="shared" si="89"/>
        <v>14</v>
      </c>
      <c r="AS189" s="130">
        <f t="shared" si="90"/>
        <v>0</v>
      </c>
      <c r="AT189" s="130">
        <f t="shared" si="91"/>
        <v>0</v>
      </c>
      <c r="AU189" s="130">
        <f t="shared" si="92"/>
        <v>0</v>
      </c>
      <c r="AV189" s="130">
        <f t="shared" si="93"/>
        <v>0</v>
      </c>
      <c r="AW189" s="130">
        <f t="shared" si="94"/>
        <v>0</v>
      </c>
      <c r="AX189" s="130">
        <f t="shared" si="95"/>
        <v>0</v>
      </c>
      <c r="AY189" s="130">
        <f t="shared" si="96"/>
        <v>0</v>
      </c>
      <c r="AZ189" s="130">
        <f t="shared" si="97"/>
        <v>14</v>
      </c>
      <c r="BB189" s="109">
        <f t="shared" si="98"/>
        <v>0</v>
      </c>
    </row>
    <row r="190" spans="1:54" s="122" customFormat="1" x14ac:dyDescent="0.25">
      <c r="A190" s="132"/>
      <c r="B190" s="557"/>
      <c r="C190" s="133"/>
      <c r="D190" s="133"/>
      <c r="E190" s="133"/>
      <c r="F190" s="133"/>
      <c r="G190" s="135"/>
      <c r="H190" s="124"/>
      <c r="I190" s="349"/>
      <c r="J190" s="349"/>
      <c r="K190" s="352"/>
      <c r="L190" s="127"/>
      <c r="M190" s="349"/>
      <c r="N190" s="352"/>
      <c r="O190" s="350"/>
      <c r="P190" s="542"/>
      <c r="R190" s="819"/>
      <c r="S190" s="819"/>
      <c r="T190" s="819"/>
      <c r="U190" s="819"/>
      <c r="V190" s="819"/>
      <c r="W190" s="819"/>
      <c r="X190" s="819"/>
      <c r="Y190" s="819"/>
      <c r="Z190" s="819"/>
      <c r="AA190" s="819"/>
      <c r="AB190" s="130">
        <f t="shared" si="85"/>
        <v>0</v>
      </c>
      <c r="AC190" s="130"/>
      <c r="AD190" s="130"/>
      <c r="AE190" s="130"/>
      <c r="AF190" s="130"/>
      <c r="AG190" s="130"/>
      <c r="AH190" s="130"/>
      <c r="AI190" s="130"/>
      <c r="AJ190" s="130"/>
      <c r="AK190" s="130"/>
      <c r="AL190" s="130"/>
      <c r="AM190" s="130"/>
      <c r="AN190" s="130">
        <f t="shared" si="86"/>
        <v>0</v>
      </c>
      <c r="AO190" s="819"/>
      <c r="AP190" s="130">
        <f t="shared" si="87"/>
        <v>0</v>
      </c>
      <c r="AQ190" s="130">
        <f t="shared" si="88"/>
        <v>0</v>
      </c>
      <c r="AR190" s="130">
        <f t="shared" si="89"/>
        <v>0</v>
      </c>
      <c r="AS190" s="130">
        <f t="shared" si="90"/>
        <v>0</v>
      </c>
      <c r="AT190" s="130">
        <f t="shared" si="91"/>
        <v>0</v>
      </c>
      <c r="AU190" s="130">
        <f t="shared" si="92"/>
        <v>0</v>
      </c>
      <c r="AV190" s="130">
        <f t="shared" si="93"/>
        <v>0</v>
      </c>
      <c r="AW190" s="130">
        <f t="shared" si="94"/>
        <v>0</v>
      </c>
      <c r="AX190" s="130">
        <f t="shared" si="95"/>
        <v>0</v>
      </c>
      <c r="AY190" s="130">
        <f t="shared" si="96"/>
        <v>0</v>
      </c>
      <c r="AZ190" s="130">
        <f t="shared" si="97"/>
        <v>0</v>
      </c>
      <c r="BB190" s="109">
        <f t="shared" si="98"/>
        <v>0</v>
      </c>
    </row>
    <row r="191" spans="1:54" x14ac:dyDescent="0.25">
      <c r="A191" s="132"/>
      <c r="B191" s="351" t="s">
        <v>412</v>
      </c>
      <c r="C191" s="129"/>
      <c r="D191" s="130"/>
      <c r="E191" s="130"/>
      <c r="F191" s="130"/>
      <c r="G191" s="140"/>
      <c r="H191" s="127"/>
      <c r="I191" s="129"/>
      <c r="J191" s="129"/>
      <c r="K191" s="131"/>
      <c r="L191" s="127"/>
      <c r="M191" s="129"/>
      <c r="N191" s="131"/>
      <c r="O191" s="262"/>
      <c r="P191" s="544"/>
      <c r="R191" s="130"/>
      <c r="S191" s="130"/>
      <c r="T191" s="130"/>
      <c r="U191" s="130"/>
      <c r="V191" s="130"/>
      <c r="W191" s="130"/>
      <c r="X191" s="130"/>
      <c r="Y191" s="130"/>
      <c r="Z191" s="130"/>
      <c r="AA191" s="130"/>
      <c r="AB191" s="130">
        <f t="shared" si="85"/>
        <v>0</v>
      </c>
      <c r="AC191" s="130"/>
      <c r="AD191" s="130"/>
      <c r="AE191" s="130"/>
      <c r="AF191" s="130"/>
      <c r="AG191" s="130"/>
      <c r="AH191" s="130"/>
      <c r="AI191" s="130"/>
      <c r="AJ191" s="130"/>
      <c r="AK191" s="130"/>
      <c r="AL191" s="130"/>
      <c r="AM191" s="130"/>
      <c r="AN191" s="130">
        <f t="shared" si="86"/>
        <v>0</v>
      </c>
      <c r="AO191" s="130"/>
      <c r="AP191" s="130">
        <f t="shared" si="87"/>
        <v>0</v>
      </c>
      <c r="AQ191" s="130">
        <f t="shared" si="88"/>
        <v>0</v>
      </c>
      <c r="AR191" s="130">
        <f t="shared" si="89"/>
        <v>0</v>
      </c>
      <c r="AS191" s="130">
        <f t="shared" si="90"/>
        <v>0</v>
      </c>
      <c r="AT191" s="130">
        <f t="shared" si="91"/>
        <v>0</v>
      </c>
      <c r="AU191" s="130">
        <f t="shared" si="92"/>
        <v>0</v>
      </c>
      <c r="AV191" s="130">
        <f t="shared" si="93"/>
        <v>0</v>
      </c>
      <c r="AW191" s="130">
        <f t="shared" si="94"/>
        <v>0</v>
      </c>
      <c r="AX191" s="130">
        <f t="shared" si="95"/>
        <v>0</v>
      </c>
      <c r="AY191" s="130">
        <f t="shared" si="96"/>
        <v>0</v>
      </c>
      <c r="AZ191" s="130">
        <f t="shared" si="97"/>
        <v>0</v>
      </c>
      <c r="BB191" s="109">
        <f t="shared" si="98"/>
        <v>0</v>
      </c>
    </row>
    <row r="192" spans="1:54" x14ac:dyDescent="0.25">
      <c r="A192" s="132"/>
      <c r="B192" s="540" t="s">
        <v>1006</v>
      </c>
      <c r="C192" s="129"/>
      <c r="D192" s="130"/>
      <c r="E192" s="819">
        <v>-3235</v>
      </c>
      <c r="F192" s="819">
        <v>3235</v>
      </c>
      <c r="G192" s="140"/>
      <c r="H192" s="124">
        <f>SUM(C192:G192)</f>
        <v>0</v>
      </c>
      <c r="I192" s="349"/>
      <c r="J192" s="349"/>
      <c r="K192" s="352"/>
      <c r="L192" s="127">
        <f>SUM(I192:K192)</f>
        <v>0</v>
      </c>
      <c r="M192" s="349"/>
      <c r="N192" s="352"/>
      <c r="O192" s="350"/>
      <c r="P192" s="542">
        <f>O192+L192+H192</f>
        <v>0</v>
      </c>
      <c r="R192" s="130"/>
      <c r="S192" s="130"/>
      <c r="T192" s="130">
        <v>-3235</v>
      </c>
      <c r="U192" s="130">
        <v>3235</v>
      </c>
      <c r="V192" s="130"/>
      <c r="W192" s="130"/>
      <c r="X192" s="130"/>
      <c r="Y192" s="130"/>
      <c r="Z192" s="130"/>
      <c r="AA192" s="130"/>
      <c r="AB192" s="130">
        <f t="shared" si="85"/>
        <v>0</v>
      </c>
      <c r="AC192" s="130"/>
      <c r="AD192" s="130"/>
      <c r="AE192" s="130"/>
      <c r="AF192" s="130"/>
      <c r="AG192" s="130"/>
      <c r="AH192" s="130"/>
      <c r="AI192" s="130"/>
      <c r="AJ192" s="130"/>
      <c r="AK192" s="130"/>
      <c r="AL192" s="130"/>
      <c r="AM192" s="130"/>
      <c r="AN192" s="130">
        <f t="shared" si="86"/>
        <v>0</v>
      </c>
      <c r="AO192" s="130"/>
      <c r="AP192" s="130">
        <f t="shared" si="87"/>
        <v>0</v>
      </c>
      <c r="AQ192" s="130">
        <f t="shared" si="88"/>
        <v>0</v>
      </c>
      <c r="AR192" s="130">
        <f t="shared" si="89"/>
        <v>-3235</v>
      </c>
      <c r="AS192" s="130">
        <f t="shared" si="90"/>
        <v>3235</v>
      </c>
      <c r="AT192" s="130">
        <f t="shared" si="91"/>
        <v>0</v>
      </c>
      <c r="AU192" s="130">
        <f t="shared" si="92"/>
        <v>0</v>
      </c>
      <c r="AV192" s="130">
        <f t="shared" si="93"/>
        <v>0</v>
      </c>
      <c r="AW192" s="130">
        <f t="shared" si="94"/>
        <v>0</v>
      </c>
      <c r="AX192" s="130">
        <f t="shared" si="95"/>
        <v>0</v>
      </c>
      <c r="AY192" s="130">
        <f t="shared" si="96"/>
        <v>0</v>
      </c>
      <c r="AZ192" s="130">
        <f t="shared" si="97"/>
        <v>0</v>
      </c>
      <c r="BB192" s="109">
        <f t="shared" si="98"/>
        <v>0</v>
      </c>
    </row>
    <row r="193" spans="1:54" x14ac:dyDescent="0.25">
      <c r="A193" s="132"/>
      <c r="B193" s="540"/>
      <c r="C193" s="129"/>
      <c r="D193" s="129"/>
      <c r="E193" s="129"/>
      <c r="F193" s="129"/>
      <c r="G193" s="140"/>
      <c r="H193" s="124"/>
      <c r="I193" s="349"/>
      <c r="J193" s="349"/>
      <c r="K193" s="591"/>
      <c r="L193" s="127"/>
      <c r="M193" s="349"/>
      <c r="N193" s="591"/>
      <c r="O193" s="350"/>
      <c r="P193" s="542"/>
      <c r="R193" s="130"/>
      <c r="S193" s="130"/>
      <c r="T193" s="130"/>
      <c r="U193" s="130"/>
      <c r="V193" s="130"/>
      <c r="W193" s="130"/>
      <c r="X193" s="130"/>
      <c r="Y193" s="130"/>
      <c r="Z193" s="130"/>
      <c r="AA193" s="130"/>
      <c r="AB193" s="130">
        <f t="shared" si="85"/>
        <v>0</v>
      </c>
      <c r="AC193" s="130"/>
      <c r="AD193" s="130"/>
      <c r="AE193" s="130"/>
      <c r="AF193" s="130"/>
      <c r="AG193" s="130"/>
      <c r="AH193" s="130"/>
      <c r="AI193" s="130"/>
      <c r="AJ193" s="130"/>
      <c r="AK193" s="130"/>
      <c r="AL193" s="130"/>
      <c r="AM193" s="130"/>
      <c r="AN193" s="130">
        <f t="shared" si="86"/>
        <v>0</v>
      </c>
      <c r="AO193" s="130"/>
      <c r="AP193" s="130">
        <f t="shared" si="87"/>
        <v>0</v>
      </c>
      <c r="AQ193" s="130">
        <f t="shared" si="88"/>
        <v>0</v>
      </c>
      <c r="AR193" s="130">
        <f t="shared" si="89"/>
        <v>0</v>
      </c>
      <c r="AS193" s="130">
        <f t="shared" si="90"/>
        <v>0</v>
      </c>
      <c r="AT193" s="130">
        <f t="shared" si="91"/>
        <v>0</v>
      </c>
      <c r="AU193" s="130">
        <f t="shared" si="92"/>
        <v>0</v>
      </c>
      <c r="AV193" s="130">
        <f t="shared" si="93"/>
        <v>0</v>
      </c>
      <c r="AW193" s="130">
        <f t="shared" si="94"/>
        <v>0</v>
      </c>
      <c r="AX193" s="130">
        <f t="shared" si="95"/>
        <v>0</v>
      </c>
      <c r="AY193" s="130">
        <f t="shared" si="96"/>
        <v>0</v>
      </c>
      <c r="AZ193" s="130">
        <f t="shared" si="97"/>
        <v>0</v>
      </c>
      <c r="BB193" s="109">
        <f t="shared" si="98"/>
        <v>0</v>
      </c>
    </row>
    <row r="194" spans="1:54" s="122" customFormat="1" x14ac:dyDescent="0.25">
      <c r="A194" s="132" t="s">
        <v>90</v>
      </c>
      <c r="B194" s="123" t="s">
        <v>789</v>
      </c>
      <c r="C194" s="133"/>
      <c r="D194" s="133"/>
      <c r="E194" s="133"/>
      <c r="F194" s="133"/>
      <c r="G194" s="133"/>
      <c r="H194" s="127"/>
      <c r="I194" s="133"/>
      <c r="J194" s="133"/>
      <c r="K194" s="133"/>
      <c r="L194" s="127"/>
      <c r="M194" s="133"/>
      <c r="N194" s="133"/>
      <c r="O194" s="127"/>
      <c r="P194" s="542"/>
      <c r="R194" s="819"/>
      <c r="S194" s="819"/>
      <c r="T194" s="819"/>
      <c r="U194" s="819"/>
      <c r="V194" s="819"/>
      <c r="W194" s="819"/>
      <c r="X194" s="819"/>
      <c r="Y194" s="819"/>
      <c r="Z194" s="819"/>
      <c r="AA194" s="819"/>
      <c r="AB194" s="130">
        <f t="shared" si="85"/>
        <v>0</v>
      </c>
      <c r="AC194" s="130"/>
      <c r="AD194" s="130"/>
      <c r="AE194" s="130"/>
      <c r="AF194" s="130"/>
      <c r="AG194" s="130"/>
      <c r="AH194" s="130"/>
      <c r="AI194" s="130"/>
      <c r="AJ194" s="130"/>
      <c r="AK194" s="130"/>
      <c r="AL194" s="130"/>
      <c r="AM194" s="130"/>
      <c r="AN194" s="130">
        <f t="shared" si="86"/>
        <v>0</v>
      </c>
      <c r="AO194" s="819"/>
      <c r="AP194" s="130">
        <f t="shared" si="87"/>
        <v>0</v>
      </c>
      <c r="AQ194" s="130">
        <f t="shared" si="88"/>
        <v>0</v>
      </c>
      <c r="AR194" s="130">
        <f t="shared" si="89"/>
        <v>0</v>
      </c>
      <c r="AS194" s="130">
        <f t="shared" si="90"/>
        <v>0</v>
      </c>
      <c r="AT194" s="130">
        <f t="shared" si="91"/>
        <v>0</v>
      </c>
      <c r="AU194" s="130">
        <f t="shared" si="92"/>
        <v>0</v>
      </c>
      <c r="AV194" s="130">
        <f t="shared" si="93"/>
        <v>0</v>
      </c>
      <c r="AW194" s="130">
        <f t="shared" si="94"/>
        <v>0</v>
      </c>
      <c r="AX194" s="130">
        <f t="shared" si="95"/>
        <v>0</v>
      </c>
      <c r="AY194" s="130">
        <f t="shared" si="96"/>
        <v>0</v>
      </c>
      <c r="AZ194" s="130">
        <f t="shared" si="97"/>
        <v>0</v>
      </c>
      <c r="BB194" s="109">
        <f t="shared" si="98"/>
        <v>0</v>
      </c>
    </row>
    <row r="195" spans="1:54" x14ac:dyDescent="0.25">
      <c r="A195" s="132"/>
      <c r="B195" s="136" t="s">
        <v>627</v>
      </c>
      <c r="C195" s="129"/>
      <c r="D195" s="130"/>
      <c r="E195" s="130"/>
      <c r="F195" s="130"/>
      <c r="G195" s="140"/>
      <c r="H195" s="127"/>
      <c r="I195" s="129"/>
      <c r="J195" s="129"/>
      <c r="K195" s="131"/>
      <c r="L195" s="127"/>
      <c r="M195" s="129"/>
      <c r="N195" s="131"/>
      <c r="O195" s="262"/>
      <c r="P195" s="544"/>
      <c r="R195" s="130"/>
      <c r="S195" s="130"/>
      <c r="T195" s="130"/>
      <c r="U195" s="130"/>
      <c r="V195" s="130"/>
      <c r="W195" s="130"/>
      <c r="X195" s="130"/>
      <c r="Y195" s="130"/>
      <c r="Z195" s="130"/>
      <c r="AA195" s="130"/>
      <c r="AB195" s="130">
        <f t="shared" si="85"/>
        <v>0</v>
      </c>
      <c r="AC195" s="130"/>
      <c r="AD195" s="130"/>
      <c r="AE195" s="130"/>
      <c r="AF195" s="130"/>
      <c r="AG195" s="130"/>
      <c r="AH195" s="130"/>
      <c r="AI195" s="130"/>
      <c r="AJ195" s="130"/>
      <c r="AK195" s="130"/>
      <c r="AL195" s="130"/>
      <c r="AM195" s="130"/>
      <c r="AN195" s="130">
        <f t="shared" si="86"/>
        <v>0</v>
      </c>
      <c r="AO195" s="130"/>
      <c r="AP195" s="130">
        <f t="shared" si="87"/>
        <v>0</v>
      </c>
      <c r="AQ195" s="130">
        <f t="shared" si="88"/>
        <v>0</v>
      </c>
      <c r="AR195" s="130">
        <f t="shared" si="89"/>
        <v>0</v>
      </c>
      <c r="AS195" s="130">
        <f t="shared" si="90"/>
        <v>0</v>
      </c>
      <c r="AT195" s="130">
        <f t="shared" si="91"/>
        <v>0</v>
      </c>
      <c r="AU195" s="130">
        <f t="shared" si="92"/>
        <v>0</v>
      </c>
      <c r="AV195" s="130">
        <f t="shared" si="93"/>
        <v>0</v>
      </c>
      <c r="AW195" s="130">
        <f t="shared" si="94"/>
        <v>0</v>
      </c>
      <c r="AX195" s="130">
        <f t="shared" si="95"/>
        <v>0</v>
      </c>
      <c r="AY195" s="130">
        <f t="shared" si="96"/>
        <v>0</v>
      </c>
      <c r="AZ195" s="130">
        <f t="shared" si="97"/>
        <v>0</v>
      </c>
      <c r="BB195" s="109">
        <f t="shared" si="98"/>
        <v>0</v>
      </c>
    </row>
    <row r="196" spans="1:54" ht="31.5" x14ac:dyDescent="0.25">
      <c r="A196" s="132"/>
      <c r="B196" s="619" t="s">
        <v>385</v>
      </c>
      <c r="C196" s="129"/>
      <c r="D196" s="130"/>
      <c r="E196" s="130"/>
      <c r="F196" s="130"/>
      <c r="G196" s="140"/>
      <c r="H196" s="127"/>
      <c r="I196" s="129"/>
      <c r="J196" s="129"/>
      <c r="K196" s="131"/>
      <c r="L196" s="127"/>
      <c r="M196" s="129"/>
      <c r="N196" s="131"/>
      <c r="O196" s="262"/>
      <c r="P196" s="544"/>
      <c r="R196" s="130"/>
      <c r="S196" s="130"/>
      <c r="T196" s="130"/>
      <c r="U196" s="130"/>
      <c r="V196" s="130"/>
      <c r="W196" s="130"/>
      <c r="X196" s="130"/>
      <c r="Y196" s="130"/>
      <c r="Z196" s="130"/>
      <c r="AA196" s="130"/>
      <c r="AB196" s="130">
        <f t="shared" si="85"/>
        <v>0</v>
      </c>
      <c r="AC196" s="130"/>
      <c r="AD196" s="130"/>
      <c r="AE196" s="130"/>
      <c r="AF196" s="130"/>
      <c r="AG196" s="130"/>
      <c r="AH196" s="130"/>
      <c r="AI196" s="130"/>
      <c r="AJ196" s="130"/>
      <c r="AK196" s="130"/>
      <c r="AL196" s="130"/>
      <c r="AM196" s="130"/>
      <c r="AN196" s="130">
        <f t="shared" si="86"/>
        <v>0</v>
      </c>
      <c r="AO196" s="130"/>
      <c r="AP196" s="130">
        <f t="shared" si="87"/>
        <v>0</v>
      </c>
      <c r="AQ196" s="130">
        <f t="shared" si="88"/>
        <v>0</v>
      </c>
      <c r="AR196" s="130">
        <f t="shared" si="89"/>
        <v>0</v>
      </c>
      <c r="AS196" s="130">
        <f t="shared" si="90"/>
        <v>0</v>
      </c>
      <c r="AT196" s="130">
        <f t="shared" si="91"/>
        <v>0</v>
      </c>
      <c r="AU196" s="130">
        <f t="shared" si="92"/>
        <v>0</v>
      </c>
      <c r="AV196" s="130">
        <f t="shared" si="93"/>
        <v>0</v>
      </c>
      <c r="AW196" s="130">
        <f t="shared" si="94"/>
        <v>0</v>
      </c>
      <c r="AX196" s="130">
        <f t="shared" si="95"/>
        <v>0</v>
      </c>
      <c r="AY196" s="130">
        <f t="shared" si="96"/>
        <v>0</v>
      </c>
      <c r="AZ196" s="130">
        <f t="shared" si="97"/>
        <v>0</v>
      </c>
      <c r="BB196" s="109">
        <f t="shared" si="98"/>
        <v>0</v>
      </c>
    </row>
    <row r="197" spans="1:54" x14ac:dyDescent="0.25">
      <c r="A197" s="132"/>
      <c r="B197" s="769" t="s">
        <v>1007</v>
      </c>
      <c r="C197" s="129"/>
      <c r="D197" s="130"/>
      <c r="E197" s="130">
        <v>1363</v>
      </c>
      <c r="F197" s="130"/>
      <c r="G197" s="140"/>
      <c r="H197" s="124">
        <f>SUM(C197:G197)</f>
        <v>1363</v>
      </c>
      <c r="I197" s="129"/>
      <c r="J197" s="129"/>
      <c r="K197" s="131"/>
      <c r="L197" s="127">
        <f>SUM(I197:K197)</f>
        <v>0</v>
      </c>
      <c r="M197" s="129"/>
      <c r="N197" s="131"/>
      <c r="O197" s="262"/>
      <c r="P197" s="542">
        <f>O197+L197+H197</f>
        <v>1363</v>
      </c>
      <c r="R197" s="130"/>
      <c r="S197" s="130"/>
      <c r="T197" s="130">
        <v>1363</v>
      </c>
      <c r="U197" s="130"/>
      <c r="V197" s="130"/>
      <c r="W197" s="130"/>
      <c r="X197" s="130"/>
      <c r="Y197" s="130"/>
      <c r="Z197" s="130"/>
      <c r="AA197" s="130"/>
      <c r="AB197" s="130">
        <f t="shared" si="85"/>
        <v>1363</v>
      </c>
      <c r="AC197" s="130"/>
      <c r="AD197" s="130"/>
      <c r="AE197" s="130"/>
      <c r="AF197" s="130"/>
      <c r="AG197" s="130"/>
      <c r="AH197" s="130"/>
      <c r="AI197" s="130"/>
      <c r="AJ197" s="130"/>
      <c r="AK197" s="130"/>
      <c r="AL197" s="130"/>
      <c r="AM197" s="130"/>
      <c r="AN197" s="130">
        <f t="shared" si="86"/>
        <v>0</v>
      </c>
      <c r="AO197" s="130"/>
      <c r="AP197" s="130">
        <f t="shared" si="87"/>
        <v>0</v>
      </c>
      <c r="AQ197" s="130">
        <f t="shared" si="88"/>
        <v>0</v>
      </c>
      <c r="AR197" s="130">
        <f t="shared" si="89"/>
        <v>1363</v>
      </c>
      <c r="AS197" s="130">
        <f t="shared" si="90"/>
        <v>0</v>
      </c>
      <c r="AT197" s="130">
        <f t="shared" si="91"/>
        <v>0</v>
      </c>
      <c r="AU197" s="130">
        <f t="shared" si="92"/>
        <v>0</v>
      </c>
      <c r="AV197" s="130">
        <f t="shared" si="93"/>
        <v>0</v>
      </c>
      <c r="AW197" s="130">
        <f t="shared" si="94"/>
        <v>0</v>
      </c>
      <c r="AX197" s="130">
        <f t="shared" si="95"/>
        <v>0</v>
      </c>
      <c r="AY197" s="130">
        <f t="shared" si="96"/>
        <v>0</v>
      </c>
      <c r="AZ197" s="130">
        <f t="shared" si="97"/>
        <v>1363</v>
      </c>
      <c r="BB197" s="109">
        <f t="shared" si="98"/>
        <v>0</v>
      </c>
    </row>
    <row r="198" spans="1:54" x14ac:dyDescent="0.25">
      <c r="A198" s="132"/>
      <c r="B198" s="138"/>
      <c r="C198" s="129"/>
      <c r="D198" s="130"/>
      <c r="E198" s="130"/>
      <c r="F198" s="130"/>
      <c r="G198" s="140"/>
      <c r="H198" s="124"/>
      <c r="I198" s="129"/>
      <c r="J198" s="129"/>
      <c r="K198" s="131"/>
      <c r="L198" s="127"/>
      <c r="M198" s="129"/>
      <c r="N198" s="131"/>
      <c r="O198" s="262"/>
      <c r="P198" s="542"/>
      <c r="R198" s="130"/>
      <c r="S198" s="130"/>
      <c r="T198" s="130"/>
      <c r="U198" s="130"/>
      <c r="V198" s="130"/>
      <c r="W198" s="130"/>
      <c r="X198" s="130"/>
      <c r="Y198" s="130"/>
      <c r="Z198" s="130"/>
      <c r="AA198" s="130"/>
      <c r="AB198" s="130">
        <f t="shared" si="85"/>
        <v>0</v>
      </c>
      <c r="AC198" s="130"/>
      <c r="AD198" s="130"/>
      <c r="AE198" s="130"/>
      <c r="AF198" s="130"/>
      <c r="AG198" s="130"/>
      <c r="AH198" s="130"/>
      <c r="AI198" s="130"/>
      <c r="AJ198" s="130"/>
      <c r="AK198" s="130"/>
      <c r="AL198" s="130"/>
      <c r="AM198" s="130"/>
      <c r="AN198" s="130">
        <f t="shared" si="86"/>
        <v>0</v>
      </c>
      <c r="AO198" s="130"/>
      <c r="AP198" s="130">
        <f t="shared" si="87"/>
        <v>0</v>
      </c>
      <c r="AQ198" s="130">
        <f t="shared" si="88"/>
        <v>0</v>
      </c>
      <c r="AR198" s="130">
        <f t="shared" si="89"/>
        <v>0</v>
      </c>
      <c r="AS198" s="130">
        <f t="shared" si="90"/>
        <v>0</v>
      </c>
      <c r="AT198" s="130">
        <f t="shared" si="91"/>
        <v>0</v>
      </c>
      <c r="AU198" s="130">
        <f t="shared" si="92"/>
        <v>0</v>
      </c>
      <c r="AV198" s="130">
        <f t="shared" si="93"/>
        <v>0</v>
      </c>
      <c r="AW198" s="130">
        <f t="shared" si="94"/>
        <v>0</v>
      </c>
      <c r="AX198" s="130">
        <f t="shared" si="95"/>
        <v>0</v>
      </c>
      <c r="AY198" s="130">
        <f t="shared" si="96"/>
        <v>0</v>
      </c>
      <c r="AZ198" s="130">
        <f t="shared" si="97"/>
        <v>0</v>
      </c>
      <c r="BB198" s="109">
        <f t="shared" si="98"/>
        <v>0</v>
      </c>
    </row>
    <row r="199" spans="1:54" s="122" customFormat="1" x14ac:dyDescent="0.25">
      <c r="A199" s="132" t="s">
        <v>94</v>
      </c>
      <c r="B199" s="123" t="s">
        <v>42</v>
      </c>
      <c r="C199" s="133"/>
      <c r="D199" s="133"/>
      <c r="E199" s="133"/>
      <c r="F199" s="133"/>
      <c r="G199" s="133"/>
      <c r="H199" s="127"/>
      <c r="I199" s="133"/>
      <c r="J199" s="133"/>
      <c r="K199" s="133"/>
      <c r="L199" s="127"/>
      <c r="M199" s="133"/>
      <c r="N199" s="133"/>
      <c r="O199" s="127"/>
      <c r="P199" s="542"/>
      <c r="R199" s="819"/>
      <c r="S199" s="819"/>
      <c r="T199" s="819"/>
      <c r="U199" s="819"/>
      <c r="V199" s="819"/>
      <c r="W199" s="819"/>
      <c r="X199" s="819"/>
      <c r="Y199" s="819"/>
      <c r="Z199" s="819"/>
      <c r="AA199" s="819"/>
      <c r="AB199" s="130">
        <f t="shared" si="85"/>
        <v>0</v>
      </c>
      <c r="AC199" s="130"/>
      <c r="AD199" s="130"/>
      <c r="AE199" s="130"/>
      <c r="AF199" s="130"/>
      <c r="AG199" s="130"/>
      <c r="AH199" s="130"/>
      <c r="AI199" s="130"/>
      <c r="AJ199" s="130"/>
      <c r="AK199" s="130"/>
      <c r="AL199" s="130"/>
      <c r="AM199" s="130"/>
      <c r="AN199" s="130">
        <f t="shared" si="86"/>
        <v>0</v>
      </c>
      <c r="AO199" s="819"/>
      <c r="AP199" s="130">
        <f t="shared" si="87"/>
        <v>0</v>
      </c>
      <c r="AQ199" s="130">
        <f t="shared" si="88"/>
        <v>0</v>
      </c>
      <c r="AR199" s="130">
        <f t="shared" si="89"/>
        <v>0</v>
      </c>
      <c r="AS199" s="130">
        <f t="shared" si="90"/>
        <v>0</v>
      </c>
      <c r="AT199" s="130">
        <f t="shared" si="91"/>
        <v>0</v>
      </c>
      <c r="AU199" s="130">
        <f t="shared" si="92"/>
        <v>0</v>
      </c>
      <c r="AV199" s="130">
        <f t="shared" si="93"/>
        <v>0</v>
      </c>
      <c r="AW199" s="130">
        <f t="shared" si="94"/>
        <v>0</v>
      </c>
      <c r="AX199" s="130">
        <f t="shared" si="95"/>
        <v>0</v>
      </c>
      <c r="AY199" s="130">
        <f t="shared" si="96"/>
        <v>0</v>
      </c>
      <c r="AZ199" s="130">
        <f t="shared" si="97"/>
        <v>0</v>
      </c>
      <c r="BB199" s="109">
        <f t="shared" si="98"/>
        <v>0</v>
      </c>
    </row>
    <row r="200" spans="1:54" x14ac:dyDescent="0.25">
      <c r="A200" s="132"/>
      <c r="B200" s="136" t="s">
        <v>95</v>
      </c>
      <c r="C200" s="129"/>
      <c r="D200" s="130"/>
      <c r="E200" s="130"/>
      <c r="F200" s="130"/>
      <c r="G200" s="140"/>
      <c r="H200" s="127"/>
      <c r="I200" s="129"/>
      <c r="J200" s="129"/>
      <c r="K200" s="131"/>
      <c r="L200" s="127"/>
      <c r="M200" s="129"/>
      <c r="N200" s="131"/>
      <c r="O200" s="262"/>
      <c r="P200" s="544"/>
      <c r="R200" s="130"/>
      <c r="S200" s="130"/>
      <c r="T200" s="130"/>
      <c r="U200" s="130"/>
      <c r="V200" s="130"/>
      <c r="W200" s="130"/>
      <c r="X200" s="130"/>
      <c r="Y200" s="130"/>
      <c r="Z200" s="130"/>
      <c r="AA200" s="130"/>
      <c r="AB200" s="130">
        <f t="shared" si="85"/>
        <v>0</v>
      </c>
      <c r="AC200" s="130"/>
      <c r="AD200" s="130"/>
      <c r="AE200" s="130"/>
      <c r="AF200" s="130"/>
      <c r="AG200" s="130"/>
      <c r="AH200" s="130"/>
      <c r="AI200" s="130"/>
      <c r="AJ200" s="130"/>
      <c r="AK200" s="130"/>
      <c r="AL200" s="130"/>
      <c r="AM200" s="130"/>
      <c r="AN200" s="130">
        <f t="shared" si="86"/>
        <v>0</v>
      </c>
      <c r="AO200" s="130"/>
      <c r="AP200" s="130">
        <f t="shared" si="87"/>
        <v>0</v>
      </c>
      <c r="AQ200" s="130">
        <f t="shared" si="88"/>
        <v>0</v>
      </c>
      <c r="AR200" s="130">
        <f t="shared" si="89"/>
        <v>0</v>
      </c>
      <c r="AS200" s="130">
        <f t="shared" si="90"/>
        <v>0</v>
      </c>
      <c r="AT200" s="130">
        <f t="shared" si="91"/>
        <v>0</v>
      </c>
      <c r="AU200" s="130">
        <f t="shared" si="92"/>
        <v>0</v>
      </c>
      <c r="AV200" s="130">
        <f t="shared" si="93"/>
        <v>0</v>
      </c>
      <c r="AW200" s="130">
        <f t="shared" si="94"/>
        <v>0</v>
      </c>
      <c r="AX200" s="130">
        <f t="shared" si="95"/>
        <v>0</v>
      </c>
      <c r="AY200" s="130">
        <f t="shared" si="96"/>
        <v>0</v>
      </c>
      <c r="AZ200" s="130">
        <f t="shared" si="97"/>
        <v>0</v>
      </c>
      <c r="BB200" s="109">
        <f t="shared" si="98"/>
        <v>0</v>
      </c>
    </row>
    <row r="201" spans="1:54" x14ac:dyDescent="0.25">
      <c r="A201" s="132"/>
      <c r="B201" s="351" t="s">
        <v>412</v>
      </c>
      <c r="C201" s="129"/>
      <c r="D201" s="130"/>
      <c r="E201" s="130"/>
      <c r="F201" s="130"/>
      <c r="G201" s="140"/>
      <c r="H201" s="127"/>
      <c r="I201" s="129"/>
      <c r="J201" s="129"/>
      <c r="K201" s="131"/>
      <c r="L201" s="127"/>
      <c r="M201" s="129"/>
      <c r="N201" s="131"/>
      <c r="O201" s="262"/>
      <c r="P201" s="544"/>
      <c r="R201" s="130"/>
      <c r="S201" s="130"/>
      <c r="T201" s="130"/>
      <c r="U201" s="130"/>
      <c r="V201" s="130"/>
      <c r="W201" s="130"/>
      <c r="X201" s="130"/>
      <c r="Y201" s="130"/>
      <c r="Z201" s="130"/>
      <c r="AA201" s="130"/>
      <c r="AB201" s="130">
        <f t="shared" si="85"/>
        <v>0</v>
      </c>
      <c r="AC201" s="130"/>
      <c r="AD201" s="130"/>
      <c r="AE201" s="130"/>
      <c r="AF201" s="130"/>
      <c r="AG201" s="130"/>
      <c r="AH201" s="130"/>
      <c r="AI201" s="130"/>
      <c r="AJ201" s="130"/>
      <c r="AK201" s="130"/>
      <c r="AL201" s="130"/>
      <c r="AM201" s="130"/>
      <c r="AN201" s="130">
        <f t="shared" si="86"/>
        <v>0</v>
      </c>
      <c r="AO201" s="130"/>
      <c r="AP201" s="130">
        <f t="shared" si="87"/>
        <v>0</v>
      </c>
      <c r="AQ201" s="130">
        <f t="shared" si="88"/>
        <v>0</v>
      </c>
      <c r="AR201" s="130">
        <f t="shared" si="89"/>
        <v>0</v>
      </c>
      <c r="AS201" s="130">
        <f t="shared" si="90"/>
        <v>0</v>
      </c>
      <c r="AT201" s="130">
        <f t="shared" si="91"/>
        <v>0</v>
      </c>
      <c r="AU201" s="130">
        <f t="shared" si="92"/>
        <v>0</v>
      </c>
      <c r="AV201" s="130">
        <f t="shared" si="93"/>
        <v>0</v>
      </c>
      <c r="AW201" s="130">
        <f t="shared" si="94"/>
        <v>0</v>
      </c>
      <c r="AX201" s="130">
        <f t="shared" si="95"/>
        <v>0</v>
      </c>
      <c r="AY201" s="130">
        <f t="shared" si="96"/>
        <v>0</v>
      </c>
      <c r="AZ201" s="130">
        <f t="shared" si="97"/>
        <v>0</v>
      </c>
      <c r="BB201" s="109">
        <f t="shared" si="98"/>
        <v>0</v>
      </c>
    </row>
    <row r="202" spans="1:54" ht="31.5" x14ac:dyDescent="0.25">
      <c r="A202" s="132"/>
      <c r="B202" s="540" t="s">
        <v>1008</v>
      </c>
      <c r="C202" s="129">
        <v>20</v>
      </c>
      <c r="D202" s="130">
        <v>-25</v>
      </c>
      <c r="E202" s="130">
        <v>5</v>
      </c>
      <c r="F202" s="130"/>
      <c r="G202" s="140"/>
      <c r="H202" s="124">
        <f t="shared" ref="H202" si="127">SUM(C202:G202)</f>
        <v>0</v>
      </c>
      <c r="I202" s="349"/>
      <c r="J202" s="349"/>
      <c r="K202" s="352"/>
      <c r="L202" s="127">
        <f t="shared" ref="L202" si="128">SUM(I202:K202)</f>
        <v>0</v>
      </c>
      <c r="M202" s="349"/>
      <c r="N202" s="352"/>
      <c r="O202" s="350"/>
      <c r="P202" s="542">
        <f t="shared" ref="P202" si="129">O202+L202+H202</f>
        <v>0</v>
      </c>
      <c r="R202" s="130"/>
      <c r="S202" s="130"/>
      <c r="T202" s="130"/>
      <c r="U202" s="130"/>
      <c r="V202" s="130"/>
      <c r="W202" s="130"/>
      <c r="X202" s="130"/>
      <c r="Y202" s="130"/>
      <c r="Z202" s="130"/>
      <c r="AA202" s="130"/>
      <c r="AB202" s="130">
        <f t="shared" si="85"/>
        <v>0</v>
      </c>
      <c r="AC202" s="130"/>
      <c r="AD202" s="130">
        <v>20</v>
      </c>
      <c r="AE202" s="130">
        <v>-25</v>
      </c>
      <c r="AF202" s="130">
        <v>5</v>
      </c>
      <c r="AG202" s="130"/>
      <c r="AH202" s="130"/>
      <c r="AI202" s="130"/>
      <c r="AJ202" s="130"/>
      <c r="AK202" s="130"/>
      <c r="AL202" s="130"/>
      <c r="AM202" s="130"/>
      <c r="AN202" s="130">
        <f t="shared" si="86"/>
        <v>0</v>
      </c>
      <c r="AO202" s="130"/>
      <c r="AP202" s="130">
        <f t="shared" si="87"/>
        <v>20</v>
      </c>
      <c r="AQ202" s="130">
        <f t="shared" si="88"/>
        <v>-25</v>
      </c>
      <c r="AR202" s="130">
        <f t="shared" si="89"/>
        <v>5</v>
      </c>
      <c r="AS202" s="130">
        <f t="shared" si="90"/>
        <v>0</v>
      </c>
      <c r="AT202" s="130">
        <f t="shared" si="91"/>
        <v>0</v>
      </c>
      <c r="AU202" s="130">
        <f t="shared" si="92"/>
        <v>0</v>
      </c>
      <c r="AV202" s="130">
        <f t="shared" si="93"/>
        <v>0</v>
      </c>
      <c r="AW202" s="130">
        <f t="shared" si="94"/>
        <v>0</v>
      </c>
      <c r="AX202" s="130">
        <f t="shared" si="95"/>
        <v>0</v>
      </c>
      <c r="AY202" s="130">
        <f t="shared" si="96"/>
        <v>0</v>
      </c>
      <c r="AZ202" s="130">
        <f t="shared" si="97"/>
        <v>0</v>
      </c>
      <c r="BB202" s="109">
        <f t="shared" si="98"/>
        <v>0</v>
      </c>
    </row>
    <row r="203" spans="1:54" x14ac:dyDescent="0.25">
      <c r="A203" s="132"/>
      <c r="B203" s="540" t="s">
        <v>1009</v>
      </c>
      <c r="C203" s="129">
        <v>-33</v>
      </c>
      <c r="D203" s="130">
        <v>33</v>
      </c>
      <c r="E203" s="130"/>
      <c r="F203" s="130"/>
      <c r="G203" s="140"/>
      <c r="H203" s="124">
        <f t="shared" ref="H203" si="130">SUM(C203:G203)</f>
        <v>0</v>
      </c>
      <c r="I203" s="349"/>
      <c r="J203" s="349"/>
      <c r="K203" s="352"/>
      <c r="L203" s="127">
        <f t="shared" ref="L203" si="131">SUM(I203:K203)</f>
        <v>0</v>
      </c>
      <c r="M203" s="349"/>
      <c r="N203" s="352"/>
      <c r="O203" s="350"/>
      <c r="P203" s="542">
        <f t="shared" ref="P203" si="132">O203+L203+H203</f>
        <v>0</v>
      </c>
      <c r="R203" s="130"/>
      <c r="S203" s="130"/>
      <c r="T203" s="130"/>
      <c r="U203" s="130"/>
      <c r="V203" s="130"/>
      <c r="W203" s="130"/>
      <c r="X203" s="130"/>
      <c r="Y203" s="130"/>
      <c r="Z203" s="130"/>
      <c r="AA203" s="130"/>
      <c r="AB203" s="130">
        <f t="shared" si="85"/>
        <v>0</v>
      </c>
      <c r="AC203" s="130"/>
      <c r="AD203" s="130">
        <v>-33</v>
      </c>
      <c r="AE203" s="130">
        <v>33</v>
      </c>
      <c r="AF203" s="130"/>
      <c r="AG203" s="130"/>
      <c r="AH203" s="130"/>
      <c r="AI203" s="130"/>
      <c r="AJ203" s="130"/>
      <c r="AK203" s="130"/>
      <c r="AL203" s="130"/>
      <c r="AM203" s="130"/>
      <c r="AN203" s="130">
        <f t="shared" si="86"/>
        <v>0</v>
      </c>
      <c r="AO203" s="130"/>
      <c r="AP203" s="130">
        <f t="shared" si="87"/>
        <v>-33</v>
      </c>
      <c r="AQ203" s="130">
        <f t="shared" si="88"/>
        <v>33</v>
      </c>
      <c r="AR203" s="130">
        <f t="shared" si="89"/>
        <v>0</v>
      </c>
      <c r="AS203" s="130">
        <f t="shared" si="90"/>
        <v>0</v>
      </c>
      <c r="AT203" s="130">
        <f t="shared" si="91"/>
        <v>0</v>
      </c>
      <c r="AU203" s="130">
        <f t="shared" si="92"/>
        <v>0</v>
      </c>
      <c r="AV203" s="130">
        <f t="shared" si="93"/>
        <v>0</v>
      </c>
      <c r="AW203" s="130">
        <f t="shared" si="94"/>
        <v>0</v>
      </c>
      <c r="AX203" s="130">
        <f t="shared" si="95"/>
        <v>0</v>
      </c>
      <c r="AY203" s="130">
        <f t="shared" si="96"/>
        <v>0</v>
      </c>
      <c r="AZ203" s="130">
        <f t="shared" si="97"/>
        <v>0</v>
      </c>
      <c r="BB203" s="109">
        <f t="shared" si="98"/>
        <v>0</v>
      </c>
    </row>
    <row r="204" spans="1:54" x14ac:dyDescent="0.25">
      <c r="A204" s="132"/>
      <c r="B204" s="540"/>
      <c r="C204" s="129"/>
      <c r="D204" s="130"/>
      <c r="E204" s="130"/>
      <c r="F204" s="130"/>
      <c r="G204" s="140"/>
      <c r="H204" s="124"/>
      <c r="I204" s="349"/>
      <c r="J204" s="349"/>
      <c r="K204" s="352"/>
      <c r="L204" s="127"/>
      <c r="M204" s="349"/>
      <c r="N204" s="352"/>
      <c r="O204" s="350"/>
      <c r="P204" s="542"/>
      <c r="R204" s="130"/>
      <c r="S204" s="130"/>
      <c r="T204" s="130"/>
      <c r="U204" s="130"/>
      <c r="V204" s="130"/>
      <c r="W204" s="130"/>
      <c r="X204" s="130"/>
      <c r="Y204" s="130"/>
      <c r="Z204" s="130"/>
      <c r="AA204" s="130"/>
      <c r="AB204" s="130">
        <f t="shared" si="85"/>
        <v>0</v>
      </c>
      <c r="AC204" s="130"/>
      <c r="AD204" s="130"/>
      <c r="AE204" s="130"/>
      <c r="AF204" s="130"/>
      <c r="AG204" s="130"/>
      <c r="AH204" s="130"/>
      <c r="AI204" s="130"/>
      <c r="AJ204" s="130"/>
      <c r="AK204" s="130"/>
      <c r="AL204" s="130"/>
      <c r="AM204" s="130"/>
      <c r="AN204" s="130">
        <f t="shared" si="86"/>
        <v>0</v>
      </c>
      <c r="AO204" s="130"/>
      <c r="AP204" s="130">
        <f t="shared" si="87"/>
        <v>0</v>
      </c>
      <c r="AQ204" s="130">
        <f t="shared" si="88"/>
        <v>0</v>
      </c>
      <c r="AR204" s="130">
        <f t="shared" si="89"/>
        <v>0</v>
      </c>
      <c r="AS204" s="130">
        <f t="shared" si="90"/>
        <v>0</v>
      </c>
      <c r="AT204" s="130">
        <f t="shared" si="91"/>
        <v>0</v>
      </c>
      <c r="AU204" s="130">
        <f t="shared" si="92"/>
        <v>0</v>
      </c>
      <c r="AV204" s="130">
        <f t="shared" si="93"/>
        <v>0</v>
      </c>
      <c r="AW204" s="130">
        <f t="shared" si="94"/>
        <v>0</v>
      </c>
      <c r="AX204" s="130">
        <f t="shared" si="95"/>
        <v>0</v>
      </c>
      <c r="AY204" s="130">
        <f t="shared" si="96"/>
        <v>0</v>
      </c>
      <c r="AZ204" s="130">
        <f t="shared" si="97"/>
        <v>0</v>
      </c>
      <c r="BB204" s="109">
        <f t="shared" si="98"/>
        <v>0</v>
      </c>
    </row>
    <row r="205" spans="1:54" ht="30.75" customHeight="1" x14ac:dyDescent="0.25">
      <c r="A205" s="132"/>
      <c r="B205" s="136" t="s">
        <v>96</v>
      </c>
      <c r="C205" s="129"/>
      <c r="D205" s="130"/>
      <c r="E205" s="130"/>
      <c r="F205" s="130"/>
      <c r="G205" s="140"/>
      <c r="H205" s="124"/>
      <c r="I205" s="129"/>
      <c r="J205" s="129"/>
      <c r="K205" s="131"/>
      <c r="L205" s="127"/>
      <c r="M205" s="129"/>
      <c r="N205" s="131"/>
      <c r="O205" s="262"/>
      <c r="P205" s="542"/>
      <c r="R205" s="130"/>
      <c r="S205" s="130"/>
      <c r="T205" s="130"/>
      <c r="U205" s="130"/>
      <c r="V205" s="130"/>
      <c r="W205" s="130"/>
      <c r="X205" s="130"/>
      <c r="Y205" s="130"/>
      <c r="Z205" s="130"/>
      <c r="AA205" s="130"/>
      <c r="AB205" s="130">
        <f t="shared" si="85"/>
        <v>0</v>
      </c>
      <c r="AC205" s="130"/>
      <c r="AD205" s="130"/>
      <c r="AE205" s="130"/>
      <c r="AF205" s="130"/>
      <c r="AG205" s="130"/>
      <c r="AH205" s="130"/>
      <c r="AI205" s="130"/>
      <c r="AJ205" s="130"/>
      <c r="AK205" s="130"/>
      <c r="AL205" s="130"/>
      <c r="AM205" s="130"/>
      <c r="AN205" s="130">
        <f t="shared" si="86"/>
        <v>0</v>
      </c>
      <c r="AO205" s="130"/>
      <c r="AP205" s="130">
        <f t="shared" si="87"/>
        <v>0</v>
      </c>
      <c r="AQ205" s="130">
        <f t="shared" si="88"/>
        <v>0</v>
      </c>
      <c r="AR205" s="130">
        <f t="shared" si="89"/>
        <v>0</v>
      </c>
      <c r="AS205" s="130">
        <f t="shared" si="90"/>
        <v>0</v>
      </c>
      <c r="AT205" s="130">
        <f t="shared" si="91"/>
        <v>0</v>
      </c>
      <c r="AU205" s="130">
        <f t="shared" si="92"/>
        <v>0</v>
      </c>
      <c r="AV205" s="130">
        <f t="shared" si="93"/>
        <v>0</v>
      </c>
      <c r="AW205" s="130">
        <f t="shared" si="94"/>
        <v>0</v>
      </c>
      <c r="AX205" s="130">
        <f t="shared" si="95"/>
        <v>0</v>
      </c>
      <c r="AY205" s="130">
        <f t="shared" si="96"/>
        <v>0</v>
      </c>
      <c r="AZ205" s="130">
        <f t="shared" si="97"/>
        <v>0</v>
      </c>
      <c r="BB205" s="109">
        <f t="shared" si="98"/>
        <v>0</v>
      </c>
    </row>
    <row r="206" spans="1:54" ht="31.5" x14ac:dyDescent="0.25">
      <c r="A206" s="119"/>
      <c r="B206" s="355" t="s">
        <v>923</v>
      </c>
      <c r="C206" s="126"/>
      <c r="D206" s="126"/>
      <c r="E206" s="126"/>
      <c r="F206" s="126"/>
      <c r="G206" s="348"/>
      <c r="H206" s="124"/>
      <c r="I206" s="126"/>
      <c r="J206" s="126"/>
      <c r="K206" s="348"/>
      <c r="L206" s="127"/>
      <c r="M206" s="126"/>
      <c r="N206" s="348"/>
      <c r="O206" s="261"/>
      <c r="P206" s="542"/>
      <c r="R206" s="130"/>
      <c r="S206" s="130"/>
      <c r="T206" s="130"/>
      <c r="U206" s="130"/>
      <c r="V206" s="130"/>
      <c r="W206" s="130"/>
      <c r="X206" s="130"/>
      <c r="Y206" s="130"/>
      <c r="Z206" s="130"/>
      <c r="AA206" s="130"/>
      <c r="AB206" s="130">
        <f t="shared" si="85"/>
        <v>0</v>
      </c>
      <c r="AC206" s="130"/>
      <c r="AD206" s="130"/>
      <c r="AE206" s="130"/>
      <c r="AF206" s="130"/>
      <c r="AG206" s="130"/>
      <c r="AH206" s="130"/>
      <c r="AI206" s="130"/>
      <c r="AJ206" s="130"/>
      <c r="AK206" s="130"/>
      <c r="AL206" s="130"/>
      <c r="AM206" s="130"/>
      <c r="AN206" s="130">
        <f t="shared" si="86"/>
        <v>0</v>
      </c>
      <c r="AO206" s="130"/>
      <c r="AP206" s="130">
        <f t="shared" si="87"/>
        <v>0</v>
      </c>
      <c r="AQ206" s="130">
        <f t="shared" si="88"/>
        <v>0</v>
      </c>
      <c r="AR206" s="130">
        <f t="shared" si="89"/>
        <v>0</v>
      </c>
      <c r="AS206" s="130">
        <f t="shared" si="90"/>
        <v>0</v>
      </c>
      <c r="AT206" s="130">
        <f t="shared" si="91"/>
        <v>0</v>
      </c>
      <c r="AU206" s="130">
        <f t="shared" si="92"/>
        <v>0</v>
      </c>
      <c r="AV206" s="130">
        <f t="shared" si="93"/>
        <v>0</v>
      </c>
      <c r="AW206" s="130">
        <f t="shared" si="94"/>
        <v>0</v>
      </c>
      <c r="AX206" s="130">
        <f t="shared" si="95"/>
        <v>0</v>
      </c>
      <c r="AY206" s="130">
        <f t="shared" si="96"/>
        <v>0</v>
      </c>
      <c r="AZ206" s="130">
        <f t="shared" si="97"/>
        <v>0</v>
      </c>
      <c r="BB206" s="109">
        <f t="shared" si="98"/>
        <v>0</v>
      </c>
    </row>
    <row r="207" spans="1:54" x14ac:dyDescent="0.25">
      <c r="A207" s="119"/>
      <c r="B207" s="813" t="s">
        <v>926</v>
      </c>
      <c r="C207" s="126"/>
      <c r="D207" s="126"/>
      <c r="E207" s="126">
        <v>-4151</v>
      </c>
      <c r="F207" s="126"/>
      <c r="G207" s="348"/>
      <c r="H207" s="124">
        <f t="shared" ref="H207" si="133">SUM(C207:G207)</f>
        <v>-4151</v>
      </c>
      <c r="I207" s="126"/>
      <c r="J207" s="126"/>
      <c r="K207" s="348"/>
      <c r="L207" s="127">
        <f t="shared" ref="L207" si="134">SUM(I207:K207)</f>
        <v>0</v>
      </c>
      <c r="M207" s="126"/>
      <c r="N207" s="348"/>
      <c r="O207" s="261"/>
      <c r="P207" s="542">
        <f t="shared" ref="P207" si="135">O207+L207+H207</f>
        <v>-4151</v>
      </c>
      <c r="R207" s="130"/>
      <c r="S207" s="130"/>
      <c r="T207" s="130"/>
      <c r="U207" s="130"/>
      <c r="V207" s="130"/>
      <c r="W207" s="130"/>
      <c r="X207" s="130"/>
      <c r="Y207" s="130"/>
      <c r="Z207" s="130"/>
      <c r="AA207" s="130"/>
      <c r="AB207" s="130">
        <f t="shared" si="85"/>
        <v>0</v>
      </c>
      <c r="AC207" s="130"/>
      <c r="AD207" s="130"/>
      <c r="AE207" s="130"/>
      <c r="AF207" s="130">
        <v>-4151</v>
      </c>
      <c r="AG207" s="130"/>
      <c r="AH207" s="130"/>
      <c r="AI207" s="130"/>
      <c r="AJ207" s="130"/>
      <c r="AK207" s="130"/>
      <c r="AL207" s="130"/>
      <c r="AM207" s="130"/>
      <c r="AN207" s="130">
        <f t="shared" si="86"/>
        <v>-4151</v>
      </c>
      <c r="AO207" s="130"/>
      <c r="AP207" s="130">
        <f t="shared" si="87"/>
        <v>0</v>
      </c>
      <c r="AQ207" s="130">
        <f t="shared" si="88"/>
        <v>0</v>
      </c>
      <c r="AR207" s="130">
        <f t="shared" si="89"/>
        <v>-4151</v>
      </c>
      <c r="AS207" s="130">
        <f t="shared" si="90"/>
        <v>0</v>
      </c>
      <c r="AT207" s="130">
        <f t="shared" si="91"/>
        <v>0</v>
      </c>
      <c r="AU207" s="130">
        <f t="shared" si="92"/>
        <v>0</v>
      </c>
      <c r="AV207" s="130">
        <f t="shared" si="93"/>
        <v>0</v>
      </c>
      <c r="AW207" s="130">
        <f t="shared" si="94"/>
        <v>0</v>
      </c>
      <c r="AX207" s="130">
        <f t="shared" si="95"/>
        <v>0</v>
      </c>
      <c r="AY207" s="130">
        <f t="shared" si="96"/>
        <v>0</v>
      </c>
      <c r="AZ207" s="130">
        <f t="shared" si="97"/>
        <v>-4151</v>
      </c>
      <c r="BB207" s="109">
        <f t="shared" si="98"/>
        <v>0</v>
      </c>
    </row>
    <row r="208" spans="1:54" x14ac:dyDescent="0.25">
      <c r="A208" s="119"/>
      <c r="B208" s="813"/>
      <c r="C208" s="126"/>
      <c r="D208" s="126"/>
      <c r="E208" s="126"/>
      <c r="F208" s="126"/>
      <c r="G208" s="348"/>
      <c r="H208" s="124"/>
      <c r="I208" s="126"/>
      <c r="J208" s="126"/>
      <c r="K208" s="348"/>
      <c r="L208" s="127"/>
      <c r="M208" s="126"/>
      <c r="N208" s="348"/>
      <c r="O208" s="261"/>
      <c r="P208" s="542"/>
      <c r="R208" s="130"/>
      <c r="S208" s="130"/>
      <c r="T208" s="130"/>
      <c r="U208" s="130"/>
      <c r="V208" s="130"/>
      <c r="W208" s="130"/>
      <c r="X208" s="130"/>
      <c r="Y208" s="130"/>
      <c r="Z208" s="130"/>
      <c r="AA208" s="130"/>
      <c r="AB208" s="130">
        <f t="shared" ref="AB208:AB271" si="136">SUM(R208:AA208)</f>
        <v>0</v>
      </c>
      <c r="AC208" s="130"/>
      <c r="AD208" s="130"/>
      <c r="AE208" s="130"/>
      <c r="AF208" s="130"/>
      <c r="AG208" s="130"/>
      <c r="AH208" s="130"/>
      <c r="AI208" s="130"/>
      <c r="AJ208" s="130"/>
      <c r="AK208" s="130"/>
      <c r="AL208" s="130"/>
      <c r="AM208" s="130"/>
      <c r="AN208" s="130">
        <f t="shared" ref="AN208:AN271" si="137">SUM(AD208:AM208)</f>
        <v>0</v>
      </c>
      <c r="AO208" s="130"/>
      <c r="AP208" s="130">
        <f t="shared" ref="AP208:AP271" si="138">SUM(R208,AD208)</f>
        <v>0</v>
      </c>
      <c r="AQ208" s="130">
        <f t="shared" ref="AQ208:AQ271" si="139">SUM(S208,AE208)</f>
        <v>0</v>
      </c>
      <c r="AR208" s="130">
        <f t="shared" ref="AR208:AR271" si="140">SUM(T208,AF208)</f>
        <v>0</v>
      </c>
      <c r="AS208" s="130">
        <f t="shared" ref="AS208:AS271" si="141">SUM(U208,AG208)</f>
        <v>0</v>
      </c>
      <c r="AT208" s="130">
        <f t="shared" ref="AT208:AT271" si="142">SUM(V208,AH208)</f>
        <v>0</v>
      </c>
      <c r="AU208" s="130">
        <f t="shared" ref="AU208:AU271" si="143">SUM(W208,AI208)</f>
        <v>0</v>
      </c>
      <c r="AV208" s="130">
        <f t="shared" ref="AV208:AV271" si="144">SUM(X208,AJ208)</f>
        <v>0</v>
      </c>
      <c r="AW208" s="130">
        <f t="shared" ref="AW208:AW271" si="145">SUM(Y208,AK208)</f>
        <v>0</v>
      </c>
      <c r="AX208" s="130">
        <f t="shared" ref="AX208:AX271" si="146">SUM(Z208,AL208)</f>
        <v>0</v>
      </c>
      <c r="AY208" s="130">
        <f t="shared" ref="AY208:AY271" si="147">SUM(AA208,AM208)</f>
        <v>0</v>
      </c>
      <c r="AZ208" s="130">
        <f t="shared" ref="AZ208:AZ271" si="148">SUM(AB208,AN208)</f>
        <v>0</v>
      </c>
      <c r="BB208" s="109">
        <f t="shared" si="98"/>
        <v>0</v>
      </c>
    </row>
    <row r="209" spans="1:54" ht="47.25" x14ac:dyDescent="0.25">
      <c r="A209" s="132"/>
      <c r="B209" s="351" t="s">
        <v>924</v>
      </c>
      <c r="C209" s="129"/>
      <c r="D209" s="130"/>
      <c r="E209" s="130"/>
      <c r="F209" s="130"/>
      <c r="G209" s="140"/>
      <c r="H209" s="124"/>
      <c r="I209" s="129"/>
      <c r="J209" s="129"/>
      <c r="K209" s="131"/>
      <c r="L209" s="127"/>
      <c r="M209" s="129"/>
      <c r="N209" s="131"/>
      <c r="O209" s="262"/>
      <c r="P209" s="542"/>
      <c r="R209" s="130"/>
      <c r="S209" s="130"/>
      <c r="T209" s="130"/>
      <c r="U209" s="130"/>
      <c r="V209" s="130"/>
      <c r="W209" s="130"/>
      <c r="X209" s="130"/>
      <c r="Y209" s="130"/>
      <c r="Z209" s="130"/>
      <c r="AA209" s="130"/>
      <c r="AB209" s="130">
        <f t="shared" si="136"/>
        <v>0</v>
      </c>
      <c r="AC209" s="130"/>
      <c r="AD209" s="130"/>
      <c r="AE209" s="130"/>
      <c r="AF209" s="130"/>
      <c r="AG209" s="130"/>
      <c r="AH209" s="130"/>
      <c r="AI209" s="130"/>
      <c r="AJ209" s="130"/>
      <c r="AK209" s="130"/>
      <c r="AL209" s="130"/>
      <c r="AM209" s="130"/>
      <c r="AN209" s="130">
        <f t="shared" si="137"/>
        <v>0</v>
      </c>
      <c r="AO209" s="130"/>
      <c r="AP209" s="130">
        <f t="shared" si="138"/>
        <v>0</v>
      </c>
      <c r="AQ209" s="130">
        <f t="shared" si="139"/>
        <v>0</v>
      </c>
      <c r="AR209" s="130">
        <f t="shared" si="140"/>
        <v>0</v>
      </c>
      <c r="AS209" s="130">
        <f t="shared" si="141"/>
        <v>0</v>
      </c>
      <c r="AT209" s="130">
        <f t="shared" si="142"/>
        <v>0</v>
      </c>
      <c r="AU209" s="130">
        <f t="shared" si="143"/>
        <v>0</v>
      </c>
      <c r="AV209" s="130">
        <f t="shared" si="144"/>
        <v>0</v>
      </c>
      <c r="AW209" s="130">
        <f t="shared" si="145"/>
        <v>0</v>
      </c>
      <c r="AX209" s="130">
        <f t="shared" si="146"/>
        <v>0</v>
      </c>
      <c r="AY209" s="130">
        <f t="shared" si="147"/>
        <v>0</v>
      </c>
      <c r="AZ209" s="130">
        <f t="shared" si="148"/>
        <v>0</v>
      </c>
      <c r="BB209" s="109">
        <f t="shared" si="98"/>
        <v>0</v>
      </c>
    </row>
    <row r="210" spans="1:54" x14ac:dyDescent="0.25">
      <c r="A210" s="132"/>
      <c r="B210" s="813" t="s">
        <v>926</v>
      </c>
      <c r="C210" s="129"/>
      <c r="D210" s="130"/>
      <c r="E210" s="130">
        <v>3249</v>
      </c>
      <c r="F210" s="130"/>
      <c r="G210" s="140"/>
      <c r="H210" s="124">
        <f t="shared" ref="H210" si="149">SUM(C210:G210)</f>
        <v>3249</v>
      </c>
      <c r="I210" s="349"/>
      <c r="J210" s="349"/>
      <c r="K210" s="352"/>
      <c r="L210" s="127">
        <f t="shared" ref="L210" si="150">SUM(I210:K210)</f>
        <v>0</v>
      </c>
      <c r="M210" s="349"/>
      <c r="N210" s="352"/>
      <c r="O210" s="350"/>
      <c r="P210" s="542">
        <f t="shared" ref="P210" si="151">O210+L210+H210</f>
        <v>3249</v>
      </c>
      <c r="R210" s="130"/>
      <c r="S210" s="130"/>
      <c r="T210" s="130"/>
      <c r="U210" s="130"/>
      <c r="V210" s="130"/>
      <c r="W210" s="130"/>
      <c r="X210" s="130"/>
      <c r="Y210" s="130"/>
      <c r="Z210" s="130"/>
      <c r="AA210" s="130"/>
      <c r="AB210" s="130">
        <f t="shared" si="136"/>
        <v>0</v>
      </c>
      <c r="AC210" s="130"/>
      <c r="AD210" s="130"/>
      <c r="AE210" s="130"/>
      <c r="AF210" s="130">
        <v>3249</v>
      </c>
      <c r="AG210" s="130"/>
      <c r="AH210" s="130"/>
      <c r="AI210" s="130"/>
      <c r="AJ210" s="130"/>
      <c r="AK210" s="130"/>
      <c r="AL210" s="130"/>
      <c r="AM210" s="130"/>
      <c r="AN210" s="130">
        <f t="shared" si="137"/>
        <v>3249</v>
      </c>
      <c r="AO210" s="130"/>
      <c r="AP210" s="130">
        <f t="shared" si="138"/>
        <v>0</v>
      </c>
      <c r="AQ210" s="130">
        <f t="shared" si="139"/>
        <v>0</v>
      </c>
      <c r="AR210" s="130">
        <f t="shared" si="140"/>
        <v>3249</v>
      </c>
      <c r="AS210" s="130">
        <f t="shared" si="141"/>
        <v>0</v>
      </c>
      <c r="AT210" s="130">
        <f t="shared" si="142"/>
        <v>0</v>
      </c>
      <c r="AU210" s="130">
        <f t="shared" si="143"/>
        <v>0</v>
      </c>
      <c r="AV210" s="130">
        <f t="shared" si="144"/>
        <v>0</v>
      </c>
      <c r="AW210" s="130">
        <f t="shared" si="145"/>
        <v>0</v>
      </c>
      <c r="AX210" s="130">
        <f t="shared" si="146"/>
        <v>0</v>
      </c>
      <c r="AY210" s="130">
        <f t="shared" si="147"/>
        <v>0</v>
      </c>
      <c r="AZ210" s="130">
        <f t="shared" si="148"/>
        <v>3249</v>
      </c>
      <c r="BB210" s="109">
        <f t="shared" ref="BB210:BB273" si="152">+P210-AZ210</f>
        <v>0</v>
      </c>
    </row>
    <row r="211" spans="1:54" x14ac:dyDescent="0.25">
      <c r="A211" s="132"/>
      <c r="B211" s="540"/>
      <c r="C211" s="129"/>
      <c r="D211" s="130"/>
      <c r="E211" s="130"/>
      <c r="F211" s="130"/>
      <c r="G211" s="140"/>
      <c r="H211" s="124"/>
      <c r="I211" s="349"/>
      <c r="J211" s="349"/>
      <c r="K211" s="352"/>
      <c r="L211" s="127"/>
      <c r="M211" s="349"/>
      <c r="N211" s="352"/>
      <c r="O211" s="350"/>
      <c r="P211" s="542"/>
      <c r="R211" s="130"/>
      <c r="S211" s="130"/>
      <c r="T211" s="130"/>
      <c r="U211" s="130"/>
      <c r="V211" s="130"/>
      <c r="W211" s="130"/>
      <c r="X211" s="130"/>
      <c r="Y211" s="130"/>
      <c r="Z211" s="130"/>
      <c r="AA211" s="130"/>
      <c r="AB211" s="130">
        <f t="shared" si="136"/>
        <v>0</v>
      </c>
      <c r="AC211" s="130"/>
      <c r="AD211" s="130"/>
      <c r="AE211" s="130"/>
      <c r="AF211" s="130"/>
      <c r="AG211" s="130"/>
      <c r="AH211" s="130"/>
      <c r="AI211" s="130"/>
      <c r="AJ211" s="130"/>
      <c r="AK211" s="130"/>
      <c r="AL211" s="130"/>
      <c r="AM211" s="130"/>
      <c r="AN211" s="130">
        <f t="shared" si="137"/>
        <v>0</v>
      </c>
      <c r="AO211" s="130"/>
      <c r="AP211" s="130">
        <f t="shared" si="138"/>
        <v>0</v>
      </c>
      <c r="AQ211" s="130">
        <f t="shared" si="139"/>
        <v>0</v>
      </c>
      <c r="AR211" s="130">
        <f t="shared" si="140"/>
        <v>0</v>
      </c>
      <c r="AS211" s="130">
        <f t="shared" si="141"/>
        <v>0</v>
      </c>
      <c r="AT211" s="130">
        <f t="shared" si="142"/>
        <v>0</v>
      </c>
      <c r="AU211" s="130">
        <f t="shared" si="143"/>
        <v>0</v>
      </c>
      <c r="AV211" s="130">
        <f t="shared" si="144"/>
        <v>0</v>
      </c>
      <c r="AW211" s="130">
        <f t="shared" si="145"/>
        <v>0</v>
      </c>
      <c r="AX211" s="130">
        <f t="shared" si="146"/>
        <v>0</v>
      </c>
      <c r="AY211" s="130">
        <f t="shared" si="147"/>
        <v>0</v>
      </c>
      <c r="AZ211" s="130">
        <f t="shared" si="148"/>
        <v>0</v>
      </c>
      <c r="BB211" s="109">
        <f t="shared" si="152"/>
        <v>0</v>
      </c>
    </row>
    <row r="212" spans="1:54" x14ac:dyDescent="0.25">
      <c r="A212" s="132"/>
      <c r="B212" s="351" t="s">
        <v>412</v>
      </c>
      <c r="C212" s="129"/>
      <c r="D212" s="130"/>
      <c r="E212" s="130"/>
      <c r="F212" s="130"/>
      <c r="G212" s="140"/>
      <c r="H212" s="127"/>
      <c r="I212" s="129"/>
      <c r="J212" s="129"/>
      <c r="K212" s="131"/>
      <c r="L212" s="127"/>
      <c r="M212" s="129"/>
      <c r="N212" s="131"/>
      <c r="O212" s="262"/>
      <c r="P212" s="544"/>
      <c r="R212" s="130"/>
      <c r="S212" s="130"/>
      <c r="T212" s="130"/>
      <c r="U212" s="130"/>
      <c r="V212" s="130"/>
      <c r="W212" s="130"/>
      <c r="X212" s="130"/>
      <c r="Y212" s="130"/>
      <c r="Z212" s="130"/>
      <c r="AA212" s="130"/>
      <c r="AB212" s="130">
        <f t="shared" si="136"/>
        <v>0</v>
      </c>
      <c r="AC212" s="130"/>
      <c r="AD212" s="130"/>
      <c r="AE212" s="130"/>
      <c r="AF212" s="130"/>
      <c r="AG212" s="130"/>
      <c r="AH212" s="130"/>
      <c r="AI212" s="130"/>
      <c r="AJ212" s="130"/>
      <c r="AK212" s="130"/>
      <c r="AL212" s="130"/>
      <c r="AM212" s="130"/>
      <c r="AN212" s="130">
        <f t="shared" si="137"/>
        <v>0</v>
      </c>
      <c r="AO212" s="130"/>
      <c r="AP212" s="130">
        <f t="shared" si="138"/>
        <v>0</v>
      </c>
      <c r="AQ212" s="130">
        <f t="shared" si="139"/>
        <v>0</v>
      </c>
      <c r="AR212" s="130">
        <f t="shared" si="140"/>
        <v>0</v>
      </c>
      <c r="AS212" s="130">
        <f t="shared" si="141"/>
        <v>0</v>
      </c>
      <c r="AT212" s="130">
        <f t="shared" si="142"/>
        <v>0</v>
      </c>
      <c r="AU212" s="130">
        <f t="shared" si="143"/>
        <v>0</v>
      </c>
      <c r="AV212" s="130">
        <f t="shared" si="144"/>
        <v>0</v>
      </c>
      <c r="AW212" s="130">
        <f t="shared" si="145"/>
        <v>0</v>
      </c>
      <c r="AX212" s="130">
        <f t="shared" si="146"/>
        <v>0</v>
      </c>
      <c r="AY212" s="130">
        <f t="shared" si="147"/>
        <v>0</v>
      </c>
      <c r="AZ212" s="130">
        <f t="shared" si="148"/>
        <v>0</v>
      </c>
      <c r="BB212" s="109">
        <f t="shared" si="152"/>
        <v>0</v>
      </c>
    </row>
    <row r="213" spans="1:54" x14ac:dyDescent="0.25">
      <c r="A213" s="132"/>
      <c r="B213" s="813" t="s">
        <v>926</v>
      </c>
      <c r="C213" s="129">
        <v>-2438</v>
      </c>
      <c r="D213" s="130">
        <v>-688</v>
      </c>
      <c r="E213" s="130">
        <v>-123</v>
      </c>
      <c r="F213" s="130"/>
      <c r="G213" s="140">
        <v>3249</v>
      </c>
      <c r="H213" s="124">
        <f t="shared" ref="H213" si="153">SUM(C213:G213)</f>
        <v>0</v>
      </c>
      <c r="I213" s="349"/>
      <c r="J213" s="349"/>
      <c r="K213" s="352"/>
      <c r="L213" s="127">
        <f t="shared" ref="L213" si="154">SUM(I213:K213)</f>
        <v>0</v>
      </c>
      <c r="M213" s="349"/>
      <c r="N213" s="352"/>
      <c r="O213" s="350"/>
      <c r="P213" s="542">
        <f t="shared" ref="P213" si="155">O213+L213+H213</f>
        <v>0</v>
      </c>
      <c r="R213" s="130"/>
      <c r="S213" s="130"/>
      <c r="T213" s="130"/>
      <c r="U213" s="130"/>
      <c r="V213" s="130"/>
      <c r="W213" s="130"/>
      <c r="X213" s="130"/>
      <c r="Y213" s="130"/>
      <c r="Z213" s="130"/>
      <c r="AA213" s="130"/>
      <c r="AB213" s="130">
        <f t="shared" si="136"/>
        <v>0</v>
      </c>
      <c r="AC213" s="130"/>
      <c r="AD213" s="130">
        <v>-2438</v>
      </c>
      <c r="AE213" s="130">
        <v>-688</v>
      </c>
      <c r="AF213" s="130">
        <v>-123</v>
      </c>
      <c r="AG213" s="130"/>
      <c r="AH213" s="130">
        <v>3249</v>
      </c>
      <c r="AI213" s="130"/>
      <c r="AJ213" s="130"/>
      <c r="AK213" s="130"/>
      <c r="AL213" s="130"/>
      <c r="AM213" s="130"/>
      <c r="AN213" s="130">
        <f t="shared" si="137"/>
        <v>0</v>
      </c>
      <c r="AO213" s="130"/>
      <c r="AP213" s="130">
        <f t="shared" si="138"/>
        <v>-2438</v>
      </c>
      <c r="AQ213" s="130">
        <f t="shared" si="139"/>
        <v>-688</v>
      </c>
      <c r="AR213" s="130">
        <f t="shared" si="140"/>
        <v>-123</v>
      </c>
      <c r="AS213" s="130">
        <f t="shared" si="141"/>
        <v>0</v>
      </c>
      <c r="AT213" s="130">
        <f t="shared" si="142"/>
        <v>3249</v>
      </c>
      <c r="AU213" s="130">
        <f t="shared" si="143"/>
        <v>0</v>
      </c>
      <c r="AV213" s="130">
        <f t="shared" si="144"/>
        <v>0</v>
      </c>
      <c r="AW213" s="130">
        <f t="shared" si="145"/>
        <v>0</v>
      </c>
      <c r="AX213" s="130">
        <f t="shared" si="146"/>
        <v>0</v>
      </c>
      <c r="AY213" s="130">
        <f t="shared" si="147"/>
        <v>0</v>
      </c>
      <c r="AZ213" s="130">
        <f t="shared" si="148"/>
        <v>0</v>
      </c>
      <c r="BB213" s="109">
        <f t="shared" si="152"/>
        <v>0</v>
      </c>
    </row>
    <row r="214" spans="1:54" x14ac:dyDescent="0.25">
      <c r="A214" s="132"/>
      <c r="B214" s="540"/>
      <c r="C214" s="129"/>
      <c r="D214" s="130"/>
      <c r="E214" s="130"/>
      <c r="F214" s="130"/>
      <c r="G214" s="140"/>
      <c r="H214" s="124"/>
      <c r="I214" s="349"/>
      <c r="J214" s="349"/>
      <c r="K214" s="352"/>
      <c r="L214" s="127"/>
      <c r="M214" s="349"/>
      <c r="N214" s="352"/>
      <c r="O214" s="350"/>
      <c r="P214" s="542"/>
      <c r="R214" s="130"/>
      <c r="S214" s="130"/>
      <c r="T214" s="130"/>
      <c r="U214" s="130"/>
      <c r="V214" s="130"/>
      <c r="W214" s="130"/>
      <c r="X214" s="130"/>
      <c r="Y214" s="130"/>
      <c r="Z214" s="130"/>
      <c r="AA214" s="130"/>
      <c r="AB214" s="130">
        <f t="shared" si="136"/>
        <v>0</v>
      </c>
      <c r="AC214" s="130"/>
      <c r="AD214" s="130"/>
      <c r="AE214" s="130"/>
      <c r="AF214" s="130"/>
      <c r="AG214" s="130"/>
      <c r="AH214" s="130"/>
      <c r="AI214" s="130"/>
      <c r="AJ214" s="130"/>
      <c r="AK214" s="130"/>
      <c r="AL214" s="130"/>
      <c r="AM214" s="130"/>
      <c r="AN214" s="130">
        <f t="shared" si="137"/>
        <v>0</v>
      </c>
      <c r="AO214" s="130"/>
      <c r="AP214" s="130">
        <f t="shared" si="138"/>
        <v>0</v>
      </c>
      <c r="AQ214" s="130">
        <f t="shared" si="139"/>
        <v>0</v>
      </c>
      <c r="AR214" s="130">
        <f t="shared" si="140"/>
        <v>0</v>
      </c>
      <c r="AS214" s="130">
        <f t="shared" si="141"/>
        <v>0</v>
      </c>
      <c r="AT214" s="130">
        <f t="shared" si="142"/>
        <v>0</v>
      </c>
      <c r="AU214" s="130">
        <f t="shared" si="143"/>
        <v>0</v>
      </c>
      <c r="AV214" s="130">
        <f t="shared" si="144"/>
        <v>0</v>
      </c>
      <c r="AW214" s="130">
        <f t="shared" si="145"/>
        <v>0</v>
      </c>
      <c r="AX214" s="130">
        <f t="shared" si="146"/>
        <v>0</v>
      </c>
      <c r="AY214" s="130">
        <f t="shared" si="147"/>
        <v>0</v>
      </c>
      <c r="AZ214" s="130">
        <f t="shared" si="148"/>
        <v>0</v>
      </c>
      <c r="BB214" s="109">
        <f t="shared" si="152"/>
        <v>0</v>
      </c>
    </row>
    <row r="215" spans="1:54" x14ac:dyDescent="0.25">
      <c r="A215" s="132"/>
      <c r="B215" s="136" t="s">
        <v>97</v>
      </c>
      <c r="C215" s="129"/>
      <c r="D215" s="130"/>
      <c r="E215" s="130"/>
      <c r="F215" s="130"/>
      <c r="G215" s="140"/>
      <c r="H215" s="124"/>
      <c r="I215" s="129"/>
      <c r="J215" s="129"/>
      <c r="K215" s="131"/>
      <c r="L215" s="127"/>
      <c r="M215" s="129"/>
      <c r="N215" s="131"/>
      <c r="O215" s="262"/>
      <c r="P215" s="542"/>
      <c r="R215" s="130"/>
      <c r="S215" s="130"/>
      <c r="T215" s="130"/>
      <c r="U215" s="130"/>
      <c r="V215" s="130"/>
      <c r="W215" s="130"/>
      <c r="X215" s="130"/>
      <c r="Y215" s="130"/>
      <c r="Z215" s="130"/>
      <c r="AA215" s="130"/>
      <c r="AB215" s="130">
        <f t="shared" si="136"/>
        <v>0</v>
      </c>
      <c r="AC215" s="130"/>
      <c r="AD215" s="130"/>
      <c r="AE215" s="130"/>
      <c r="AF215" s="130"/>
      <c r="AG215" s="130"/>
      <c r="AH215" s="130"/>
      <c r="AI215" s="130"/>
      <c r="AJ215" s="130"/>
      <c r="AK215" s="130"/>
      <c r="AL215" s="130"/>
      <c r="AM215" s="130"/>
      <c r="AN215" s="130">
        <f t="shared" si="137"/>
        <v>0</v>
      </c>
      <c r="AO215" s="130"/>
      <c r="AP215" s="130">
        <f t="shared" si="138"/>
        <v>0</v>
      </c>
      <c r="AQ215" s="130">
        <f t="shared" si="139"/>
        <v>0</v>
      </c>
      <c r="AR215" s="130">
        <f t="shared" si="140"/>
        <v>0</v>
      </c>
      <c r="AS215" s="130">
        <f t="shared" si="141"/>
        <v>0</v>
      </c>
      <c r="AT215" s="130">
        <f t="shared" si="142"/>
        <v>0</v>
      </c>
      <c r="AU215" s="130">
        <f t="shared" si="143"/>
        <v>0</v>
      </c>
      <c r="AV215" s="130">
        <f t="shared" si="144"/>
        <v>0</v>
      </c>
      <c r="AW215" s="130">
        <f t="shared" si="145"/>
        <v>0</v>
      </c>
      <c r="AX215" s="130">
        <f t="shared" si="146"/>
        <v>0</v>
      </c>
      <c r="AY215" s="130">
        <f t="shared" si="147"/>
        <v>0</v>
      </c>
      <c r="AZ215" s="130">
        <f t="shared" si="148"/>
        <v>0</v>
      </c>
      <c r="BB215" s="109">
        <f t="shared" si="152"/>
        <v>0</v>
      </c>
    </row>
    <row r="216" spans="1:54" ht="31.5" x14ac:dyDescent="0.25">
      <c r="A216" s="132"/>
      <c r="B216" s="351" t="s">
        <v>598</v>
      </c>
      <c r="C216" s="129"/>
      <c r="D216" s="130"/>
      <c r="E216" s="130"/>
      <c r="F216" s="139"/>
      <c r="G216" s="140"/>
      <c r="H216" s="124"/>
      <c r="I216" s="129"/>
      <c r="J216" s="129"/>
      <c r="K216" s="131"/>
      <c r="L216" s="127"/>
      <c r="M216" s="129"/>
      <c r="N216" s="131"/>
      <c r="O216" s="262"/>
      <c r="P216" s="542"/>
      <c r="R216" s="130"/>
      <c r="S216" s="130"/>
      <c r="T216" s="130"/>
      <c r="U216" s="130"/>
      <c r="V216" s="130"/>
      <c r="W216" s="130"/>
      <c r="X216" s="130"/>
      <c r="Y216" s="130"/>
      <c r="Z216" s="130"/>
      <c r="AA216" s="130"/>
      <c r="AB216" s="130">
        <f t="shared" si="136"/>
        <v>0</v>
      </c>
      <c r="AC216" s="130"/>
      <c r="AD216" s="130"/>
      <c r="AE216" s="130"/>
      <c r="AF216" s="130"/>
      <c r="AG216" s="130"/>
      <c r="AH216" s="130"/>
      <c r="AI216" s="130"/>
      <c r="AJ216" s="130"/>
      <c r="AK216" s="130"/>
      <c r="AL216" s="130"/>
      <c r="AM216" s="130"/>
      <c r="AN216" s="130">
        <f t="shared" si="137"/>
        <v>0</v>
      </c>
      <c r="AO216" s="130"/>
      <c r="AP216" s="130">
        <f t="shared" si="138"/>
        <v>0</v>
      </c>
      <c r="AQ216" s="130">
        <f t="shared" si="139"/>
        <v>0</v>
      </c>
      <c r="AR216" s="130">
        <f t="shared" si="140"/>
        <v>0</v>
      </c>
      <c r="AS216" s="130">
        <f t="shared" si="141"/>
        <v>0</v>
      </c>
      <c r="AT216" s="130">
        <f t="shared" si="142"/>
        <v>0</v>
      </c>
      <c r="AU216" s="130">
        <f t="shared" si="143"/>
        <v>0</v>
      </c>
      <c r="AV216" s="130">
        <f t="shared" si="144"/>
        <v>0</v>
      </c>
      <c r="AW216" s="130">
        <f t="shared" si="145"/>
        <v>0</v>
      </c>
      <c r="AX216" s="130">
        <f t="shared" si="146"/>
        <v>0</v>
      </c>
      <c r="AY216" s="130">
        <f t="shared" si="147"/>
        <v>0</v>
      </c>
      <c r="AZ216" s="130">
        <f t="shared" si="148"/>
        <v>0</v>
      </c>
      <c r="BB216" s="109">
        <f t="shared" si="152"/>
        <v>0</v>
      </c>
    </row>
    <row r="217" spans="1:54" ht="31.5" x14ac:dyDescent="0.25">
      <c r="A217" s="132"/>
      <c r="B217" s="137" t="s">
        <v>1014</v>
      </c>
      <c r="C217" s="129"/>
      <c r="D217" s="130"/>
      <c r="E217" s="130"/>
      <c r="F217" s="130"/>
      <c r="G217" s="140">
        <v>-2000</v>
      </c>
      <c r="H217" s="124">
        <f t="shared" ref="H217" si="156">SUM(C217:G217)</f>
        <v>-2000</v>
      </c>
      <c r="I217" s="129"/>
      <c r="J217" s="129"/>
      <c r="K217" s="131"/>
      <c r="L217" s="127">
        <f t="shared" ref="L217" si="157">SUM(I217:K217)</f>
        <v>0</v>
      </c>
      <c r="M217" s="129"/>
      <c r="N217" s="131"/>
      <c r="O217" s="262"/>
      <c r="P217" s="542">
        <f t="shared" ref="P217" si="158">O217+L217+H217</f>
        <v>-2000</v>
      </c>
      <c r="R217" s="130"/>
      <c r="S217" s="130"/>
      <c r="T217" s="130"/>
      <c r="U217" s="130"/>
      <c r="V217" s="130"/>
      <c r="W217" s="130"/>
      <c r="X217" s="130"/>
      <c r="Y217" s="130"/>
      <c r="Z217" s="130"/>
      <c r="AA217" s="130"/>
      <c r="AB217" s="130">
        <f t="shared" si="136"/>
        <v>0</v>
      </c>
      <c r="AC217" s="130"/>
      <c r="AD217" s="130"/>
      <c r="AE217" s="130"/>
      <c r="AF217" s="130"/>
      <c r="AG217" s="130"/>
      <c r="AH217" s="130">
        <v>-2000</v>
      </c>
      <c r="AI217" s="130"/>
      <c r="AJ217" s="130"/>
      <c r="AK217" s="130"/>
      <c r="AL217" s="130"/>
      <c r="AM217" s="130"/>
      <c r="AN217" s="130">
        <f t="shared" si="137"/>
        <v>-2000</v>
      </c>
      <c r="AO217" s="130"/>
      <c r="AP217" s="130">
        <f t="shared" si="138"/>
        <v>0</v>
      </c>
      <c r="AQ217" s="130">
        <f t="shared" si="139"/>
        <v>0</v>
      </c>
      <c r="AR217" s="130">
        <f t="shared" si="140"/>
        <v>0</v>
      </c>
      <c r="AS217" s="130">
        <f t="shared" si="141"/>
        <v>0</v>
      </c>
      <c r="AT217" s="130">
        <f t="shared" si="142"/>
        <v>-2000</v>
      </c>
      <c r="AU217" s="130">
        <f t="shared" si="143"/>
        <v>0</v>
      </c>
      <c r="AV217" s="130">
        <f t="shared" si="144"/>
        <v>0</v>
      </c>
      <c r="AW217" s="130">
        <f t="shared" si="145"/>
        <v>0</v>
      </c>
      <c r="AX217" s="130">
        <f t="shared" si="146"/>
        <v>0</v>
      </c>
      <c r="AY217" s="130">
        <f t="shared" si="147"/>
        <v>0</v>
      </c>
      <c r="AZ217" s="130">
        <f t="shared" si="148"/>
        <v>-2000</v>
      </c>
      <c r="BB217" s="109">
        <f t="shared" si="152"/>
        <v>0</v>
      </c>
    </row>
    <row r="218" spans="1:54" x14ac:dyDescent="0.25">
      <c r="A218" s="132"/>
      <c r="B218" s="138"/>
      <c r="C218" s="129"/>
      <c r="D218" s="130"/>
      <c r="E218" s="130"/>
      <c r="F218" s="130"/>
      <c r="G218" s="140"/>
      <c r="H218" s="124"/>
      <c r="I218" s="129"/>
      <c r="J218" s="129"/>
      <c r="K218" s="131"/>
      <c r="L218" s="127"/>
      <c r="M218" s="129"/>
      <c r="N218" s="131"/>
      <c r="O218" s="262"/>
      <c r="P218" s="542"/>
      <c r="R218" s="130"/>
      <c r="S218" s="130"/>
      <c r="T218" s="130"/>
      <c r="U218" s="130"/>
      <c r="V218" s="130"/>
      <c r="W218" s="130"/>
      <c r="X218" s="130"/>
      <c r="Y218" s="130"/>
      <c r="Z218" s="130"/>
      <c r="AA218" s="130"/>
      <c r="AB218" s="130">
        <f t="shared" si="136"/>
        <v>0</v>
      </c>
      <c r="AC218" s="130"/>
      <c r="AD218" s="130"/>
      <c r="AE218" s="130"/>
      <c r="AF218" s="130"/>
      <c r="AG218" s="130"/>
      <c r="AH218" s="130"/>
      <c r="AI218" s="130"/>
      <c r="AJ218" s="130"/>
      <c r="AK218" s="130"/>
      <c r="AL218" s="130"/>
      <c r="AM218" s="130"/>
      <c r="AN218" s="130">
        <f t="shared" si="137"/>
        <v>0</v>
      </c>
      <c r="AO218" s="130"/>
      <c r="AP218" s="130">
        <f t="shared" si="138"/>
        <v>0</v>
      </c>
      <c r="AQ218" s="130">
        <f t="shared" si="139"/>
        <v>0</v>
      </c>
      <c r="AR218" s="130">
        <f t="shared" si="140"/>
        <v>0</v>
      </c>
      <c r="AS218" s="130">
        <f t="shared" si="141"/>
        <v>0</v>
      </c>
      <c r="AT218" s="130">
        <f t="shared" si="142"/>
        <v>0</v>
      </c>
      <c r="AU218" s="130">
        <f t="shared" si="143"/>
        <v>0</v>
      </c>
      <c r="AV218" s="130">
        <f t="shared" si="144"/>
        <v>0</v>
      </c>
      <c r="AW218" s="130">
        <f t="shared" si="145"/>
        <v>0</v>
      </c>
      <c r="AX218" s="130">
        <f t="shared" si="146"/>
        <v>0</v>
      </c>
      <c r="AY218" s="130">
        <f t="shared" si="147"/>
        <v>0</v>
      </c>
      <c r="AZ218" s="130">
        <f t="shared" si="148"/>
        <v>0</v>
      </c>
      <c r="BB218" s="109">
        <f t="shared" si="152"/>
        <v>0</v>
      </c>
    </row>
    <row r="219" spans="1:54" x14ac:dyDescent="0.25">
      <c r="A219" s="132"/>
      <c r="B219" s="351" t="s">
        <v>412</v>
      </c>
      <c r="C219" s="129"/>
      <c r="D219" s="130"/>
      <c r="E219" s="130"/>
      <c r="F219" s="130"/>
      <c r="G219" s="140"/>
      <c r="H219" s="127"/>
      <c r="I219" s="129"/>
      <c r="J219" s="129"/>
      <c r="K219" s="131"/>
      <c r="L219" s="127"/>
      <c r="M219" s="129"/>
      <c r="N219" s="131"/>
      <c r="O219" s="262"/>
      <c r="P219" s="544"/>
      <c r="R219" s="130"/>
      <c r="S219" s="130"/>
      <c r="T219" s="130"/>
      <c r="U219" s="130"/>
      <c r="V219" s="130"/>
      <c r="W219" s="130"/>
      <c r="X219" s="130"/>
      <c r="Y219" s="130"/>
      <c r="Z219" s="130"/>
      <c r="AA219" s="130"/>
      <c r="AB219" s="130">
        <f t="shared" si="136"/>
        <v>0</v>
      </c>
      <c r="AC219" s="130"/>
      <c r="AD219" s="130"/>
      <c r="AE219" s="130"/>
      <c r="AF219" s="130"/>
      <c r="AG219" s="130"/>
      <c r="AH219" s="130"/>
      <c r="AI219" s="130"/>
      <c r="AJ219" s="130"/>
      <c r="AK219" s="130"/>
      <c r="AL219" s="130"/>
      <c r="AM219" s="130"/>
      <c r="AN219" s="130">
        <f t="shared" si="137"/>
        <v>0</v>
      </c>
      <c r="AO219" s="130"/>
      <c r="AP219" s="130">
        <f t="shared" si="138"/>
        <v>0</v>
      </c>
      <c r="AQ219" s="130">
        <f t="shared" si="139"/>
        <v>0</v>
      </c>
      <c r="AR219" s="130">
        <f t="shared" si="140"/>
        <v>0</v>
      </c>
      <c r="AS219" s="130">
        <f t="shared" si="141"/>
        <v>0</v>
      </c>
      <c r="AT219" s="130">
        <f t="shared" si="142"/>
        <v>0</v>
      </c>
      <c r="AU219" s="130">
        <f t="shared" si="143"/>
        <v>0</v>
      </c>
      <c r="AV219" s="130">
        <f t="shared" si="144"/>
        <v>0</v>
      </c>
      <c r="AW219" s="130">
        <f t="shared" si="145"/>
        <v>0</v>
      </c>
      <c r="AX219" s="130">
        <f t="shared" si="146"/>
        <v>0</v>
      </c>
      <c r="AY219" s="130">
        <f t="shared" si="147"/>
        <v>0</v>
      </c>
      <c r="AZ219" s="130">
        <f t="shared" si="148"/>
        <v>0</v>
      </c>
      <c r="BB219" s="109">
        <f t="shared" si="152"/>
        <v>0</v>
      </c>
    </row>
    <row r="220" spans="1:54" x14ac:dyDescent="0.25">
      <c r="A220" s="132"/>
      <c r="B220" s="813" t="s">
        <v>1010</v>
      </c>
      <c r="C220" s="129">
        <v>98</v>
      </c>
      <c r="D220" s="130">
        <v>26</v>
      </c>
      <c r="E220" s="130">
        <v>-124</v>
      </c>
      <c r="F220" s="130"/>
      <c r="G220" s="140"/>
      <c r="H220" s="124">
        <f t="shared" ref="H220" si="159">SUM(C220:G220)</f>
        <v>0</v>
      </c>
      <c r="I220" s="349"/>
      <c r="J220" s="349"/>
      <c r="K220" s="352"/>
      <c r="L220" s="127">
        <f t="shared" ref="L220" si="160">SUM(I220:K220)</f>
        <v>0</v>
      </c>
      <c r="M220" s="349"/>
      <c r="N220" s="352"/>
      <c r="O220" s="350"/>
      <c r="P220" s="542">
        <f t="shared" ref="P220" si="161">O220+L220+H220</f>
        <v>0</v>
      </c>
      <c r="R220" s="130">
        <v>98</v>
      </c>
      <c r="S220" s="130">
        <v>26</v>
      </c>
      <c r="T220" s="130">
        <v>-124</v>
      </c>
      <c r="U220" s="130"/>
      <c r="V220" s="130"/>
      <c r="W220" s="130"/>
      <c r="X220" s="130"/>
      <c r="Y220" s="130"/>
      <c r="Z220" s="130"/>
      <c r="AA220" s="130"/>
      <c r="AB220" s="130">
        <f t="shared" si="136"/>
        <v>0</v>
      </c>
      <c r="AC220" s="130"/>
      <c r="AD220" s="130"/>
      <c r="AE220" s="130"/>
      <c r="AF220" s="130"/>
      <c r="AG220" s="130"/>
      <c r="AH220" s="130"/>
      <c r="AI220" s="130"/>
      <c r="AJ220" s="130"/>
      <c r="AK220" s="130"/>
      <c r="AL220" s="130"/>
      <c r="AM220" s="130"/>
      <c r="AN220" s="130">
        <f t="shared" si="137"/>
        <v>0</v>
      </c>
      <c r="AO220" s="130"/>
      <c r="AP220" s="130">
        <f t="shared" si="138"/>
        <v>98</v>
      </c>
      <c r="AQ220" s="130">
        <f t="shared" si="139"/>
        <v>26</v>
      </c>
      <c r="AR220" s="130">
        <f t="shared" si="140"/>
        <v>-124</v>
      </c>
      <c r="AS220" s="130">
        <f t="shared" si="141"/>
        <v>0</v>
      </c>
      <c r="AT220" s="130">
        <f t="shared" si="142"/>
        <v>0</v>
      </c>
      <c r="AU220" s="130">
        <f t="shared" si="143"/>
        <v>0</v>
      </c>
      <c r="AV220" s="130">
        <f t="shared" si="144"/>
        <v>0</v>
      </c>
      <c r="AW220" s="130">
        <f t="shared" si="145"/>
        <v>0</v>
      </c>
      <c r="AX220" s="130">
        <f t="shared" si="146"/>
        <v>0</v>
      </c>
      <c r="AY220" s="130">
        <f t="shared" si="147"/>
        <v>0</v>
      </c>
      <c r="AZ220" s="130">
        <f t="shared" si="148"/>
        <v>0</v>
      </c>
      <c r="BB220" s="109">
        <f t="shared" si="152"/>
        <v>0</v>
      </c>
    </row>
    <row r="221" spans="1:54" x14ac:dyDescent="0.25">
      <c r="A221" s="132"/>
      <c r="B221" s="813" t="s">
        <v>1011</v>
      </c>
      <c r="C221" s="129">
        <v>99</v>
      </c>
      <c r="D221" s="130"/>
      <c r="E221" s="130"/>
      <c r="F221" s="130"/>
      <c r="G221" s="140">
        <v>-99</v>
      </c>
      <c r="H221" s="124">
        <f t="shared" ref="H221:H222" si="162">SUM(C221:G221)</f>
        <v>0</v>
      </c>
      <c r="I221" s="349"/>
      <c r="J221" s="349"/>
      <c r="K221" s="352"/>
      <c r="L221" s="127">
        <f t="shared" ref="L221:L222" si="163">SUM(I221:K221)</f>
        <v>0</v>
      </c>
      <c r="M221" s="349"/>
      <c r="N221" s="352"/>
      <c r="O221" s="350"/>
      <c r="P221" s="542">
        <f t="shared" ref="P221:P222" si="164">O221+L221+H221</f>
        <v>0</v>
      </c>
      <c r="R221" s="130"/>
      <c r="S221" s="130"/>
      <c r="T221" s="130"/>
      <c r="U221" s="130"/>
      <c r="V221" s="130"/>
      <c r="W221" s="130"/>
      <c r="X221" s="130"/>
      <c r="Y221" s="130"/>
      <c r="Z221" s="130"/>
      <c r="AA221" s="130"/>
      <c r="AB221" s="130">
        <f t="shared" si="136"/>
        <v>0</v>
      </c>
      <c r="AC221" s="130"/>
      <c r="AD221" s="130">
        <v>99</v>
      </c>
      <c r="AE221" s="130"/>
      <c r="AF221" s="130"/>
      <c r="AG221" s="130"/>
      <c r="AH221" s="130">
        <v>-99</v>
      </c>
      <c r="AI221" s="130"/>
      <c r="AJ221" s="130"/>
      <c r="AK221" s="130"/>
      <c r="AL221" s="130"/>
      <c r="AM221" s="130"/>
      <c r="AN221" s="130">
        <f t="shared" si="137"/>
        <v>0</v>
      </c>
      <c r="AO221" s="130"/>
      <c r="AP221" s="130">
        <f t="shared" si="138"/>
        <v>99</v>
      </c>
      <c r="AQ221" s="130">
        <f t="shared" si="139"/>
        <v>0</v>
      </c>
      <c r="AR221" s="130">
        <f t="shared" si="140"/>
        <v>0</v>
      </c>
      <c r="AS221" s="130">
        <f t="shared" si="141"/>
        <v>0</v>
      </c>
      <c r="AT221" s="130">
        <f t="shared" si="142"/>
        <v>-99</v>
      </c>
      <c r="AU221" s="130">
        <f t="shared" si="143"/>
        <v>0</v>
      </c>
      <c r="AV221" s="130">
        <f t="shared" si="144"/>
        <v>0</v>
      </c>
      <c r="AW221" s="130">
        <f t="shared" si="145"/>
        <v>0</v>
      </c>
      <c r="AX221" s="130">
        <f t="shared" si="146"/>
        <v>0</v>
      </c>
      <c r="AY221" s="130">
        <f t="shared" si="147"/>
        <v>0</v>
      </c>
      <c r="AZ221" s="130">
        <f t="shared" si="148"/>
        <v>0</v>
      </c>
      <c r="BB221" s="109">
        <f t="shared" si="152"/>
        <v>0</v>
      </c>
    </row>
    <row r="222" spans="1:54" x14ac:dyDescent="0.25">
      <c r="A222" s="132"/>
      <c r="B222" s="813" t="s">
        <v>1012</v>
      </c>
      <c r="C222" s="129">
        <v>10</v>
      </c>
      <c r="D222" s="130"/>
      <c r="E222" s="130">
        <v>811</v>
      </c>
      <c r="F222" s="130"/>
      <c r="G222" s="140">
        <v>-821</v>
      </c>
      <c r="H222" s="124">
        <f t="shared" si="162"/>
        <v>0</v>
      </c>
      <c r="I222" s="349"/>
      <c r="J222" s="349"/>
      <c r="K222" s="352"/>
      <c r="L222" s="127">
        <f t="shared" si="163"/>
        <v>0</v>
      </c>
      <c r="M222" s="349"/>
      <c r="N222" s="352"/>
      <c r="O222" s="350"/>
      <c r="P222" s="542">
        <f t="shared" si="164"/>
        <v>0</v>
      </c>
      <c r="R222" s="130"/>
      <c r="S222" s="130"/>
      <c r="T222" s="130"/>
      <c r="U222" s="130"/>
      <c r="V222" s="130"/>
      <c r="W222" s="130"/>
      <c r="X222" s="130"/>
      <c r="Y222" s="130"/>
      <c r="Z222" s="130"/>
      <c r="AA222" s="130"/>
      <c r="AB222" s="130">
        <f t="shared" si="136"/>
        <v>0</v>
      </c>
      <c r="AC222" s="130"/>
      <c r="AD222" s="130">
        <v>10</v>
      </c>
      <c r="AE222" s="130"/>
      <c r="AF222" s="130">
        <v>811</v>
      </c>
      <c r="AG222" s="130"/>
      <c r="AH222" s="130">
        <v>-821</v>
      </c>
      <c r="AI222" s="130"/>
      <c r="AJ222" s="130"/>
      <c r="AK222" s="130"/>
      <c r="AL222" s="130"/>
      <c r="AM222" s="130"/>
      <c r="AN222" s="130">
        <f t="shared" si="137"/>
        <v>0</v>
      </c>
      <c r="AO222" s="130"/>
      <c r="AP222" s="130">
        <f t="shared" si="138"/>
        <v>10</v>
      </c>
      <c r="AQ222" s="130">
        <f t="shared" si="139"/>
        <v>0</v>
      </c>
      <c r="AR222" s="130">
        <f t="shared" si="140"/>
        <v>811</v>
      </c>
      <c r="AS222" s="130">
        <f t="shared" si="141"/>
        <v>0</v>
      </c>
      <c r="AT222" s="130">
        <f t="shared" si="142"/>
        <v>-821</v>
      </c>
      <c r="AU222" s="130">
        <f t="shared" si="143"/>
        <v>0</v>
      </c>
      <c r="AV222" s="130">
        <f t="shared" si="144"/>
        <v>0</v>
      </c>
      <c r="AW222" s="130">
        <f t="shared" si="145"/>
        <v>0</v>
      </c>
      <c r="AX222" s="130">
        <f t="shared" si="146"/>
        <v>0</v>
      </c>
      <c r="AY222" s="130">
        <f t="shared" si="147"/>
        <v>0</v>
      </c>
      <c r="AZ222" s="130">
        <f t="shared" si="148"/>
        <v>0</v>
      </c>
      <c r="BB222" s="109">
        <f t="shared" si="152"/>
        <v>0</v>
      </c>
    </row>
    <row r="223" spans="1:54" x14ac:dyDescent="0.25">
      <c r="A223" s="132"/>
      <c r="B223" s="540"/>
      <c r="C223" s="129"/>
      <c r="D223" s="130"/>
      <c r="E223" s="130"/>
      <c r="F223" s="130"/>
      <c r="G223" s="140"/>
      <c r="H223" s="124"/>
      <c r="I223" s="349"/>
      <c r="J223" s="349"/>
      <c r="K223" s="352"/>
      <c r="L223" s="127"/>
      <c r="M223" s="349"/>
      <c r="N223" s="352"/>
      <c r="O223" s="350"/>
      <c r="P223" s="542"/>
      <c r="R223" s="130"/>
      <c r="S223" s="130"/>
      <c r="T223" s="130"/>
      <c r="U223" s="130"/>
      <c r="V223" s="130"/>
      <c r="W223" s="130"/>
      <c r="X223" s="130"/>
      <c r="Y223" s="130"/>
      <c r="Z223" s="130"/>
      <c r="AA223" s="130"/>
      <c r="AB223" s="130">
        <f t="shared" si="136"/>
        <v>0</v>
      </c>
      <c r="AC223" s="130"/>
      <c r="AD223" s="130"/>
      <c r="AE223" s="130"/>
      <c r="AF223" s="130"/>
      <c r="AG223" s="130"/>
      <c r="AH223" s="130"/>
      <c r="AI223" s="130"/>
      <c r="AJ223" s="130"/>
      <c r="AK223" s="130"/>
      <c r="AL223" s="130"/>
      <c r="AM223" s="130"/>
      <c r="AN223" s="130">
        <f t="shared" si="137"/>
        <v>0</v>
      </c>
      <c r="AO223" s="130"/>
      <c r="AP223" s="130">
        <f t="shared" si="138"/>
        <v>0</v>
      </c>
      <c r="AQ223" s="130">
        <f t="shared" si="139"/>
        <v>0</v>
      </c>
      <c r="AR223" s="130">
        <f t="shared" si="140"/>
        <v>0</v>
      </c>
      <c r="AS223" s="130">
        <f t="shared" si="141"/>
        <v>0</v>
      </c>
      <c r="AT223" s="130">
        <f t="shared" si="142"/>
        <v>0</v>
      </c>
      <c r="AU223" s="130">
        <f t="shared" si="143"/>
        <v>0</v>
      </c>
      <c r="AV223" s="130">
        <f t="shared" si="144"/>
        <v>0</v>
      </c>
      <c r="AW223" s="130">
        <f t="shared" si="145"/>
        <v>0</v>
      </c>
      <c r="AX223" s="130">
        <f t="shared" si="146"/>
        <v>0</v>
      </c>
      <c r="AY223" s="130">
        <f t="shared" si="147"/>
        <v>0</v>
      </c>
      <c r="AZ223" s="130">
        <f t="shared" si="148"/>
        <v>0</v>
      </c>
      <c r="BB223" s="109">
        <f t="shared" si="152"/>
        <v>0</v>
      </c>
    </row>
    <row r="224" spans="1:54" x14ac:dyDescent="0.25">
      <c r="A224" s="132"/>
      <c r="B224" s="354" t="s">
        <v>557</v>
      </c>
      <c r="C224" s="129"/>
      <c r="D224" s="130"/>
      <c r="E224" s="130"/>
      <c r="F224" s="130"/>
      <c r="G224" s="140"/>
      <c r="H224" s="124"/>
      <c r="I224" s="129"/>
      <c r="J224" s="129"/>
      <c r="K224" s="131"/>
      <c r="L224" s="127"/>
      <c r="M224" s="129"/>
      <c r="N224" s="131"/>
      <c r="O224" s="262"/>
      <c r="P224" s="542"/>
      <c r="R224" s="130"/>
      <c r="S224" s="130"/>
      <c r="T224" s="130"/>
      <c r="U224" s="130"/>
      <c r="V224" s="130"/>
      <c r="W224" s="130"/>
      <c r="X224" s="130"/>
      <c r="Y224" s="130"/>
      <c r="Z224" s="130"/>
      <c r="AA224" s="130"/>
      <c r="AB224" s="130">
        <f t="shared" si="136"/>
        <v>0</v>
      </c>
      <c r="AC224" s="130"/>
      <c r="AD224" s="130"/>
      <c r="AE224" s="130"/>
      <c r="AF224" s="130"/>
      <c r="AG224" s="130"/>
      <c r="AH224" s="130"/>
      <c r="AI224" s="130"/>
      <c r="AJ224" s="130"/>
      <c r="AK224" s="130"/>
      <c r="AL224" s="130"/>
      <c r="AM224" s="130"/>
      <c r="AN224" s="130">
        <f t="shared" si="137"/>
        <v>0</v>
      </c>
      <c r="AO224" s="130"/>
      <c r="AP224" s="130">
        <f t="shared" si="138"/>
        <v>0</v>
      </c>
      <c r="AQ224" s="130">
        <f t="shared" si="139"/>
        <v>0</v>
      </c>
      <c r="AR224" s="130">
        <f t="shared" si="140"/>
        <v>0</v>
      </c>
      <c r="AS224" s="130">
        <f t="shared" si="141"/>
        <v>0</v>
      </c>
      <c r="AT224" s="130">
        <f t="shared" si="142"/>
        <v>0</v>
      </c>
      <c r="AU224" s="130">
        <f t="shared" si="143"/>
        <v>0</v>
      </c>
      <c r="AV224" s="130">
        <f t="shared" si="144"/>
        <v>0</v>
      </c>
      <c r="AW224" s="130">
        <f t="shared" si="145"/>
        <v>0</v>
      </c>
      <c r="AX224" s="130">
        <f t="shared" si="146"/>
        <v>0</v>
      </c>
      <c r="AY224" s="130">
        <f t="shared" si="147"/>
        <v>0</v>
      </c>
      <c r="AZ224" s="130">
        <f t="shared" si="148"/>
        <v>0</v>
      </c>
      <c r="BB224" s="109">
        <f t="shared" si="152"/>
        <v>0</v>
      </c>
    </row>
    <row r="225" spans="1:54" ht="78.75" x14ac:dyDescent="0.25">
      <c r="A225" s="132"/>
      <c r="B225" s="137" t="s">
        <v>943</v>
      </c>
      <c r="C225" s="129"/>
      <c r="D225" s="130"/>
      <c r="E225" s="130"/>
      <c r="F225" s="130"/>
      <c r="G225" s="263">
        <v>-100</v>
      </c>
      <c r="H225" s="127">
        <f>SUM(C225:G225)</f>
        <v>-100</v>
      </c>
      <c r="I225" s="129"/>
      <c r="J225" s="129"/>
      <c r="K225" s="131"/>
      <c r="L225" s="127">
        <f>SUM(I225:K225)</f>
        <v>0</v>
      </c>
      <c r="M225" s="129"/>
      <c r="N225" s="131"/>
      <c r="O225" s="262"/>
      <c r="P225" s="544">
        <f>O225+L225+H225</f>
        <v>-100</v>
      </c>
      <c r="R225" s="130"/>
      <c r="S225" s="130"/>
      <c r="T225" s="130"/>
      <c r="U225" s="130"/>
      <c r="V225" s="130"/>
      <c r="W225" s="130"/>
      <c r="X225" s="130"/>
      <c r="Y225" s="130"/>
      <c r="Z225" s="130"/>
      <c r="AA225" s="130"/>
      <c r="AB225" s="130">
        <f t="shared" si="136"/>
        <v>0</v>
      </c>
      <c r="AC225" s="130"/>
      <c r="AD225" s="130"/>
      <c r="AE225" s="130"/>
      <c r="AF225" s="130"/>
      <c r="AG225" s="130"/>
      <c r="AH225" s="130">
        <v>-100</v>
      </c>
      <c r="AI225" s="130"/>
      <c r="AJ225" s="130"/>
      <c r="AK225" s="130"/>
      <c r="AL225" s="130"/>
      <c r="AM225" s="130"/>
      <c r="AN225" s="130">
        <f t="shared" si="137"/>
        <v>-100</v>
      </c>
      <c r="AO225" s="130"/>
      <c r="AP225" s="130">
        <f t="shared" si="138"/>
        <v>0</v>
      </c>
      <c r="AQ225" s="130">
        <f t="shared" si="139"/>
        <v>0</v>
      </c>
      <c r="AR225" s="130">
        <f t="shared" si="140"/>
        <v>0</v>
      </c>
      <c r="AS225" s="130">
        <f t="shared" si="141"/>
        <v>0</v>
      </c>
      <c r="AT225" s="130">
        <f t="shared" si="142"/>
        <v>-100</v>
      </c>
      <c r="AU225" s="130">
        <f t="shared" si="143"/>
        <v>0</v>
      </c>
      <c r="AV225" s="130">
        <f t="shared" si="144"/>
        <v>0</v>
      </c>
      <c r="AW225" s="130">
        <f t="shared" si="145"/>
        <v>0</v>
      </c>
      <c r="AX225" s="130">
        <f t="shared" si="146"/>
        <v>0</v>
      </c>
      <c r="AY225" s="130">
        <f t="shared" si="147"/>
        <v>0</v>
      </c>
      <c r="AZ225" s="130">
        <f t="shared" si="148"/>
        <v>-100</v>
      </c>
      <c r="BB225" s="109">
        <f t="shared" si="152"/>
        <v>0</v>
      </c>
    </row>
    <row r="226" spans="1:54" ht="63" x14ac:dyDescent="0.25">
      <c r="A226" s="132"/>
      <c r="B226" s="137" t="s">
        <v>944</v>
      </c>
      <c r="C226" s="129"/>
      <c r="D226" s="130"/>
      <c r="E226" s="130"/>
      <c r="F226" s="130"/>
      <c r="G226" s="263">
        <v>-3491</v>
      </c>
      <c r="H226" s="127">
        <f t="shared" ref="H226" si="165">SUM(C226:G226)</f>
        <v>-3491</v>
      </c>
      <c r="I226" s="129"/>
      <c r="J226" s="129"/>
      <c r="K226" s="131"/>
      <c r="L226" s="127">
        <f t="shared" ref="L226" si="166">SUM(I226:K226)</f>
        <v>0</v>
      </c>
      <c r="M226" s="129"/>
      <c r="N226" s="131"/>
      <c r="O226" s="262"/>
      <c r="P226" s="544">
        <f t="shared" ref="P226" si="167">O226+L226+H226</f>
        <v>-3491</v>
      </c>
      <c r="R226" s="130"/>
      <c r="S226" s="130"/>
      <c r="T226" s="130"/>
      <c r="U226" s="130"/>
      <c r="V226" s="130"/>
      <c r="W226" s="130"/>
      <c r="X226" s="130"/>
      <c r="Y226" s="130"/>
      <c r="Z226" s="130"/>
      <c r="AA226" s="130"/>
      <c r="AB226" s="130">
        <f t="shared" si="136"/>
        <v>0</v>
      </c>
      <c r="AC226" s="130"/>
      <c r="AD226" s="130"/>
      <c r="AE226" s="130"/>
      <c r="AF226" s="130"/>
      <c r="AG226" s="130"/>
      <c r="AH226" s="130">
        <v>-3491</v>
      </c>
      <c r="AI226" s="130"/>
      <c r="AJ226" s="130"/>
      <c r="AK226" s="130"/>
      <c r="AL226" s="130"/>
      <c r="AM226" s="130"/>
      <c r="AN226" s="130">
        <f t="shared" si="137"/>
        <v>-3491</v>
      </c>
      <c r="AO226" s="130"/>
      <c r="AP226" s="130">
        <f t="shared" si="138"/>
        <v>0</v>
      </c>
      <c r="AQ226" s="130">
        <f t="shared" si="139"/>
        <v>0</v>
      </c>
      <c r="AR226" s="130">
        <f t="shared" si="140"/>
        <v>0</v>
      </c>
      <c r="AS226" s="130">
        <f t="shared" si="141"/>
        <v>0</v>
      </c>
      <c r="AT226" s="130">
        <f t="shared" si="142"/>
        <v>-3491</v>
      </c>
      <c r="AU226" s="130">
        <f t="shared" si="143"/>
        <v>0</v>
      </c>
      <c r="AV226" s="130">
        <f t="shared" si="144"/>
        <v>0</v>
      </c>
      <c r="AW226" s="130">
        <f t="shared" si="145"/>
        <v>0</v>
      </c>
      <c r="AX226" s="130">
        <f t="shared" si="146"/>
        <v>0</v>
      </c>
      <c r="AY226" s="130">
        <f t="shared" si="147"/>
        <v>0</v>
      </c>
      <c r="AZ226" s="130">
        <f t="shared" si="148"/>
        <v>-3491</v>
      </c>
      <c r="BB226" s="109">
        <f t="shared" si="152"/>
        <v>0</v>
      </c>
    </row>
    <row r="227" spans="1:54" s="546" customFormat="1" x14ac:dyDescent="0.25">
      <c r="A227" s="539"/>
      <c r="B227" s="540"/>
      <c r="C227" s="541"/>
      <c r="D227" s="139"/>
      <c r="E227" s="139"/>
      <c r="F227" s="139"/>
      <c r="G227" s="263"/>
      <c r="H227" s="542"/>
      <c r="I227" s="541"/>
      <c r="J227" s="541"/>
      <c r="K227" s="543"/>
      <c r="L227" s="544"/>
      <c r="M227" s="541"/>
      <c r="N227" s="543"/>
      <c r="O227" s="545"/>
      <c r="P227" s="542"/>
      <c r="R227" s="139"/>
      <c r="S227" s="139"/>
      <c r="T227" s="139"/>
      <c r="U227" s="139"/>
      <c r="V227" s="139"/>
      <c r="W227" s="139"/>
      <c r="X227" s="139"/>
      <c r="Y227" s="139"/>
      <c r="Z227" s="139"/>
      <c r="AA227" s="139"/>
      <c r="AB227" s="130">
        <f t="shared" si="136"/>
        <v>0</v>
      </c>
      <c r="AC227" s="130"/>
      <c r="AD227" s="130"/>
      <c r="AE227" s="130"/>
      <c r="AF227" s="130"/>
      <c r="AG227" s="130"/>
      <c r="AH227" s="130"/>
      <c r="AI227" s="130"/>
      <c r="AJ227" s="130"/>
      <c r="AK227" s="130"/>
      <c r="AL227" s="130"/>
      <c r="AM227" s="130"/>
      <c r="AN227" s="130">
        <f t="shared" si="137"/>
        <v>0</v>
      </c>
      <c r="AO227" s="139"/>
      <c r="AP227" s="130">
        <f t="shared" si="138"/>
        <v>0</v>
      </c>
      <c r="AQ227" s="130">
        <f t="shared" si="139"/>
        <v>0</v>
      </c>
      <c r="AR227" s="130">
        <f t="shared" si="140"/>
        <v>0</v>
      </c>
      <c r="AS227" s="130">
        <f t="shared" si="141"/>
        <v>0</v>
      </c>
      <c r="AT227" s="130">
        <f t="shared" si="142"/>
        <v>0</v>
      </c>
      <c r="AU227" s="130">
        <f t="shared" si="143"/>
        <v>0</v>
      </c>
      <c r="AV227" s="130">
        <f t="shared" si="144"/>
        <v>0</v>
      </c>
      <c r="AW227" s="130">
        <f t="shared" si="145"/>
        <v>0</v>
      </c>
      <c r="AX227" s="130">
        <f t="shared" si="146"/>
        <v>0</v>
      </c>
      <c r="AY227" s="130">
        <f t="shared" si="147"/>
        <v>0</v>
      </c>
      <c r="AZ227" s="130">
        <f t="shared" si="148"/>
        <v>0</v>
      </c>
      <c r="BB227" s="109">
        <f t="shared" si="152"/>
        <v>0</v>
      </c>
    </row>
    <row r="228" spans="1:54" x14ac:dyDescent="0.25">
      <c r="A228" s="132" t="s">
        <v>100</v>
      </c>
      <c r="B228" s="547" t="s">
        <v>319</v>
      </c>
      <c r="C228" s="129"/>
      <c r="D228" s="130"/>
      <c r="E228" s="130"/>
      <c r="F228" s="130"/>
      <c r="G228" s="264"/>
      <c r="H228" s="124"/>
      <c r="I228" s="129"/>
      <c r="J228" s="129"/>
      <c r="K228" s="131"/>
      <c r="L228" s="127"/>
      <c r="M228" s="129"/>
      <c r="N228" s="131"/>
      <c r="O228" s="262"/>
      <c r="P228" s="542"/>
      <c r="R228" s="130"/>
      <c r="S228" s="130"/>
      <c r="T228" s="130"/>
      <c r="U228" s="130"/>
      <c r="V228" s="130"/>
      <c r="W228" s="130"/>
      <c r="X228" s="130"/>
      <c r="Y228" s="130"/>
      <c r="Z228" s="130"/>
      <c r="AA228" s="130"/>
      <c r="AB228" s="130">
        <f t="shared" si="136"/>
        <v>0</v>
      </c>
      <c r="AC228" s="130"/>
      <c r="AD228" s="130"/>
      <c r="AE228" s="130"/>
      <c r="AF228" s="130"/>
      <c r="AG228" s="130"/>
      <c r="AH228" s="130"/>
      <c r="AI228" s="130"/>
      <c r="AJ228" s="130"/>
      <c r="AK228" s="130"/>
      <c r="AL228" s="130"/>
      <c r="AM228" s="130"/>
      <c r="AN228" s="130">
        <f t="shared" si="137"/>
        <v>0</v>
      </c>
      <c r="AO228" s="130"/>
      <c r="AP228" s="130">
        <f t="shared" si="138"/>
        <v>0</v>
      </c>
      <c r="AQ228" s="130">
        <f t="shared" si="139"/>
        <v>0</v>
      </c>
      <c r="AR228" s="130">
        <f t="shared" si="140"/>
        <v>0</v>
      </c>
      <c r="AS228" s="130">
        <f t="shared" si="141"/>
        <v>0</v>
      </c>
      <c r="AT228" s="130">
        <f t="shared" si="142"/>
        <v>0</v>
      </c>
      <c r="AU228" s="130">
        <f t="shared" si="143"/>
        <v>0</v>
      </c>
      <c r="AV228" s="130">
        <f t="shared" si="144"/>
        <v>0</v>
      </c>
      <c r="AW228" s="130">
        <f t="shared" si="145"/>
        <v>0</v>
      </c>
      <c r="AX228" s="130">
        <f t="shared" si="146"/>
        <v>0</v>
      </c>
      <c r="AY228" s="130">
        <f t="shared" si="147"/>
        <v>0</v>
      </c>
      <c r="AZ228" s="130">
        <f t="shared" si="148"/>
        <v>0</v>
      </c>
      <c r="BB228" s="109">
        <f t="shared" si="152"/>
        <v>0</v>
      </c>
    </row>
    <row r="229" spans="1:54" x14ac:dyDescent="0.25">
      <c r="A229" s="132"/>
      <c r="B229" s="547" t="s">
        <v>1013</v>
      </c>
      <c r="C229" s="129"/>
      <c r="D229" s="130"/>
      <c r="E229" s="130"/>
      <c r="F229" s="130"/>
      <c r="G229" s="264"/>
      <c r="H229" s="124"/>
      <c r="I229" s="129"/>
      <c r="J229" s="129"/>
      <c r="K229" s="131"/>
      <c r="L229" s="127"/>
      <c r="M229" s="129"/>
      <c r="N229" s="131"/>
      <c r="O229" s="262"/>
      <c r="P229" s="542"/>
      <c r="R229" s="130"/>
      <c r="S229" s="130"/>
      <c r="T229" s="130"/>
      <c r="U229" s="130"/>
      <c r="V229" s="130"/>
      <c r="W229" s="130"/>
      <c r="X229" s="130"/>
      <c r="Y229" s="130"/>
      <c r="Z229" s="130"/>
      <c r="AA229" s="130"/>
      <c r="AB229" s="130">
        <f t="shared" si="136"/>
        <v>0</v>
      </c>
      <c r="AC229" s="130"/>
      <c r="AD229" s="130"/>
      <c r="AE229" s="130"/>
      <c r="AF229" s="130"/>
      <c r="AG229" s="130"/>
      <c r="AH229" s="130"/>
      <c r="AI229" s="130"/>
      <c r="AJ229" s="130"/>
      <c r="AK229" s="130"/>
      <c r="AL229" s="130"/>
      <c r="AM229" s="130"/>
      <c r="AN229" s="130">
        <f t="shared" si="137"/>
        <v>0</v>
      </c>
      <c r="AO229" s="130"/>
      <c r="AP229" s="130">
        <f t="shared" si="138"/>
        <v>0</v>
      </c>
      <c r="AQ229" s="130">
        <f t="shared" si="139"/>
        <v>0</v>
      </c>
      <c r="AR229" s="130">
        <f t="shared" si="140"/>
        <v>0</v>
      </c>
      <c r="AS229" s="130">
        <f t="shared" si="141"/>
        <v>0</v>
      </c>
      <c r="AT229" s="130">
        <f t="shared" si="142"/>
        <v>0</v>
      </c>
      <c r="AU229" s="130">
        <f t="shared" si="143"/>
        <v>0</v>
      </c>
      <c r="AV229" s="130">
        <f t="shared" si="144"/>
        <v>0</v>
      </c>
      <c r="AW229" s="130">
        <f t="shared" si="145"/>
        <v>0</v>
      </c>
      <c r="AX229" s="130">
        <f t="shared" si="146"/>
        <v>0</v>
      </c>
      <c r="AY229" s="130">
        <f t="shared" si="147"/>
        <v>0</v>
      </c>
      <c r="AZ229" s="130">
        <f t="shared" si="148"/>
        <v>0</v>
      </c>
      <c r="BB229" s="109">
        <f t="shared" si="152"/>
        <v>0</v>
      </c>
    </row>
    <row r="230" spans="1:54" ht="31.5" x14ac:dyDescent="0.25">
      <c r="A230" s="132"/>
      <c r="B230" s="351" t="s">
        <v>598</v>
      </c>
      <c r="C230" s="129"/>
      <c r="D230" s="130"/>
      <c r="E230" s="130"/>
      <c r="F230" s="130"/>
      <c r="G230" s="264">
        <v>2000</v>
      </c>
      <c r="H230" s="542">
        <f t="shared" ref="H230" si="168">SUM(C230:G230)</f>
        <v>2000</v>
      </c>
      <c r="I230" s="541"/>
      <c r="J230" s="541"/>
      <c r="K230" s="543"/>
      <c r="L230" s="544">
        <f t="shared" ref="L230" si="169">SUM(I230:K230)</f>
        <v>0</v>
      </c>
      <c r="M230" s="541"/>
      <c r="N230" s="543"/>
      <c r="O230" s="545"/>
      <c r="P230" s="542">
        <f t="shared" ref="P230" si="170">O230+L230+H230</f>
        <v>2000</v>
      </c>
      <c r="R230" s="130"/>
      <c r="S230" s="130"/>
      <c r="T230" s="130"/>
      <c r="U230" s="130"/>
      <c r="V230" s="130"/>
      <c r="W230" s="130"/>
      <c r="X230" s="130"/>
      <c r="Y230" s="130"/>
      <c r="Z230" s="130"/>
      <c r="AA230" s="130"/>
      <c r="AB230" s="130">
        <f t="shared" si="136"/>
        <v>0</v>
      </c>
      <c r="AC230" s="130"/>
      <c r="AD230" s="130"/>
      <c r="AE230" s="130"/>
      <c r="AF230" s="130"/>
      <c r="AG230" s="130"/>
      <c r="AH230" s="130">
        <v>2000</v>
      </c>
      <c r="AI230" s="130"/>
      <c r="AJ230" s="130"/>
      <c r="AK230" s="130"/>
      <c r="AL230" s="130"/>
      <c r="AM230" s="130"/>
      <c r="AN230" s="130">
        <f t="shared" si="137"/>
        <v>2000</v>
      </c>
      <c r="AO230" s="130"/>
      <c r="AP230" s="130">
        <f t="shared" si="138"/>
        <v>0</v>
      </c>
      <c r="AQ230" s="130">
        <f t="shared" si="139"/>
        <v>0</v>
      </c>
      <c r="AR230" s="130">
        <f t="shared" si="140"/>
        <v>0</v>
      </c>
      <c r="AS230" s="130">
        <f t="shared" si="141"/>
        <v>0</v>
      </c>
      <c r="AT230" s="130">
        <f t="shared" si="142"/>
        <v>2000</v>
      </c>
      <c r="AU230" s="130">
        <f t="shared" si="143"/>
        <v>0</v>
      </c>
      <c r="AV230" s="130">
        <f t="shared" si="144"/>
        <v>0</v>
      </c>
      <c r="AW230" s="130">
        <f t="shared" si="145"/>
        <v>0</v>
      </c>
      <c r="AX230" s="130">
        <f t="shared" si="146"/>
        <v>0</v>
      </c>
      <c r="AY230" s="130">
        <f t="shared" si="147"/>
        <v>0</v>
      </c>
      <c r="AZ230" s="130">
        <f t="shared" si="148"/>
        <v>2000</v>
      </c>
      <c r="BB230" s="109">
        <f t="shared" si="152"/>
        <v>0</v>
      </c>
    </row>
    <row r="231" spans="1:54" x14ac:dyDescent="0.25">
      <c r="A231" s="132"/>
      <c r="B231" s="547"/>
      <c r="C231" s="129"/>
      <c r="D231" s="130"/>
      <c r="E231" s="130"/>
      <c r="F231" s="130"/>
      <c r="G231" s="264"/>
      <c r="H231" s="124"/>
      <c r="I231" s="129"/>
      <c r="J231" s="129"/>
      <c r="K231" s="131"/>
      <c r="L231" s="127"/>
      <c r="M231" s="129"/>
      <c r="N231" s="131"/>
      <c r="O231" s="262"/>
      <c r="P231" s="542"/>
      <c r="R231" s="130"/>
      <c r="S231" s="130"/>
      <c r="T231" s="130"/>
      <c r="U231" s="130"/>
      <c r="V231" s="130"/>
      <c r="W231" s="130"/>
      <c r="X231" s="130"/>
      <c r="Y231" s="130"/>
      <c r="Z231" s="130"/>
      <c r="AA231" s="130"/>
      <c r="AB231" s="130">
        <f t="shared" si="136"/>
        <v>0</v>
      </c>
      <c r="AC231" s="130"/>
      <c r="AD231" s="130"/>
      <c r="AE231" s="130"/>
      <c r="AF231" s="130"/>
      <c r="AG231" s="130"/>
      <c r="AH231" s="130"/>
      <c r="AI231" s="130"/>
      <c r="AJ231" s="130"/>
      <c r="AK231" s="130"/>
      <c r="AL231" s="130"/>
      <c r="AM231" s="130"/>
      <c r="AN231" s="130">
        <f t="shared" si="137"/>
        <v>0</v>
      </c>
      <c r="AO231" s="130"/>
      <c r="AP231" s="130">
        <f t="shared" si="138"/>
        <v>0</v>
      </c>
      <c r="AQ231" s="130">
        <f t="shared" si="139"/>
        <v>0</v>
      </c>
      <c r="AR231" s="130">
        <f t="shared" si="140"/>
        <v>0</v>
      </c>
      <c r="AS231" s="130">
        <f t="shared" si="141"/>
        <v>0</v>
      </c>
      <c r="AT231" s="130">
        <f t="shared" si="142"/>
        <v>0</v>
      </c>
      <c r="AU231" s="130">
        <f t="shared" si="143"/>
        <v>0</v>
      </c>
      <c r="AV231" s="130">
        <f t="shared" si="144"/>
        <v>0</v>
      </c>
      <c r="AW231" s="130">
        <f t="shared" si="145"/>
        <v>0</v>
      </c>
      <c r="AX231" s="130">
        <f t="shared" si="146"/>
        <v>0</v>
      </c>
      <c r="AY231" s="130">
        <f t="shared" si="147"/>
        <v>0</v>
      </c>
      <c r="AZ231" s="130">
        <f t="shared" si="148"/>
        <v>0</v>
      </c>
      <c r="BB231" s="109">
        <f t="shared" si="152"/>
        <v>0</v>
      </c>
    </row>
    <row r="232" spans="1:54" x14ac:dyDescent="0.25">
      <c r="A232" s="132"/>
      <c r="B232" s="547" t="s">
        <v>118</v>
      </c>
      <c r="C232" s="129"/>
      <c r="D232" s="130"/>
      <c r="E232" s="130"/>
      <c r="F232" s="130"/>
      <c r="G232" s="264"/>
      <c r="H232" s="124"/>
      <c r="I232" s="129"/>
      <c r="J232" s="129"/>
      <c r="K232" s="131"/>
      <c r="L232" s="127"/>
      <c r="M232" s="129"/>
      <c r="N232" s="131"/>
      <c r="O232" s="262"/>
      <c r="P232" s="542"/>
      <c r="R232" s="130"/>
      <c r="S232" s="130"/>
      <c r="T232" s="130"/>
      <c r="U232" s="130"/>
      <c r="V232" s="130"/>
      <c r="W232" s="130"/>
      <c r="X232" s="130"/>
      <c r="Y232" s="130"/>
      <c r="Z232" s="130"/>
      <c r="AA232" s="130"/>
      <c r="AB232" s="130">
        <f t="shared" si="136"/>
        <v>0</v>
      </c>
      <c r="AC232" s="130"/>
      <c r="AD232" s="130"/>
      <c r="AE232" s="130"/>
      <c r="AF232" s="130"/>
      <c r="AG232" s="130"/>
      <c r="AH232" s="130"/>
      <c r="AI232" s="130"/>
      <c r="AJ232" s="130"/>
      <c r="AK232" s="130"/>
      <c r="AL232" s="130"/>
      <c r="AM232" s="130"/>
      <c r="AN232" s="130">
        <f t="shared" si="137"/>
        <v>0</v>
      </c>
      <c r="AO232" s="130"/>
      <c r="AP232" s="130">
        <f t="shared" si="138"/>
        <v>0</v>
      </c>
      <c r="AQ232" s="130">
        <f t="shared" si="139"/>
        <v>0</v>
      </c>
      <c r="AR232" s="130">
        <f t="shared" si="140"/>
        <v>0</v>
      </c>
      <c r="AS232" s="130">
        <f t="shared" si="141"/>
        <v>0</v>
      </c>
      <c r="AT232" s="130">
        <f t="shared" si="142"/>
        <v>0</v>
      </c>
      <c r="AU232" s="130">
        <f t="shared" si="143"/>
        <v>0</v>
      </c>
      <c r="AV232" s="130">
        <f t="shared" si="144"/>
        <v>0</v>
      </c>
      <c r="AW232" s="130">
        <f t="shared" si="145"/>
        <v>0</v>
      </c>
      <c r="AX232" s="130">
        <f t="shared" si="146"/>
        <v>0</v>
      </c>
      <c r="AY232" s="130">
        <f t="shared" si="147"/>
        <v>0</v>
      </c>
      <c r="AZ232" s="130">
        <f t="shared" si="148"/>
        <v>0</v>
      </c>
      <c r="BB232" s="109">
        <f t="shared" si="152"/>
        <v>0</v>
      </c>
    </row>
    <row r="233" spans="1:54" x14ac:dyDescent="0.25">
      <c r="A233" s="132"/>
      <c r="B233" s="351" t="s">
        <v>493</v>
      </c>
      <c r="C233" s="129"/>
      <c r="D233" s="130"/>
      <c r="E233" s="130">
        <v>10336</v>
      </c>
      <c r="F233" s="130"/>
      <c r="G233" s="140"/>
      <c r="H233" s="124">
        <f>SUM(C233:G233)</f>
        <v>10336</v>
      </c>
      <c r="I233" s="129"/>
      <c r="J233" s="129"/>
      <c r="K233" s="131"/>
      <c r="L233" s="127">
        <f>SUM(I233:K233)</f>
        <v>0</v>
      </c>
      <c r="M233" s="129"/>
      <c r="N233" s="131"/>
      <c r="O233" s="262"/>
      <c r="P233" s="542">
        <f>O233+L233+H233</f>
        <v>10336</v>
      </c>
      <c r="R233" s="130"/>
      <c r="S233" s="130"/>
      <c r="T233" s="130">
        <v>10336</v>
      </c>
      <c r="U233" s="130"/>
      <c r="V233" s="130"/>
      <c r="W233" s="130"/>
      <c r="X233" s="130"/>
      <c r="Y233" s="130"/>
      <c r="Z233" s="130"/>
      <c r="AA233" s="130"/>
      <c r="AB233" s="130">
        <f t="shared" si="136"/>
        <v>10336</v>
      </c>
      <c r="AC233" s="130"/>
      <c r="AD233" s="130"/>
      <c r="AE233" s="130"/>
      <c r="AF233" s="130"/>
      <c r="AG233" s="130"/>
      <c r="AH233" s="130"/>
      <c r="AI233" s="130"/>
      <c r="AJ233" s="130"/>
      <c r="AK233" s="130"/>
      <c r="AL233" s="130"/>
      <c r="AM233" s="130"/>
      <c r="AN233" s="130">
        <f t="shared" si="137"/>
        <v>0</v>
      </c>
      <c r="AO233" s="130"/>
      <c r="AP233" s="130">
        <f t="shared" si="138"/>
        <v>0</v>
      </c>
      <c r="AQ233" s="130">
        <f t="shared" si="139"/>
        <v>0</v>
      </c>
      <c r="AR233" s="130">
        <f t="shared" si="140"/>
        <v>10336</v>
      </c>
      <c r="AS233" s="130">
        <f t="shared" si="141"/>
        <v>0</v>
      </c>
      <c r="AT233" s="130">
        <f t="shared" si="142"/>
        <v>0</v>
      </c>
      <c r="AU233" s="130">
        <f t="shared" si="143"/>
        <v>0</v>
      </c>
      <c r="AV233" s="130">
        <f t="shared" si="144"/>
        <v>0</v>
      </c>
      <c r="AW233" s="130">
        <f t="shared" si="145"/>
        <v>0</v>
      </c>
      <c r="AX233" s="130">
        <f t="shared" si="146"/>
        <v>0</v>
      </c>
      <c r="AY233" s="130">
        <f t="shared" si="147"/>
        <v>0</v>
      </c>
      <c r="AZ233" s="130">
        <f t="shared" si="148"/>
        <v>10336</v>
      </c>
      <c r="BB233" s="109">
        <f t="shared" si="152"/>
        <v>0</v>
      </c>
    </row>
    <row r="234" spans="1:54" x14ac:dyDescent="0.25">
      <c r="A234" s="132"/>
      <c r="B234" s="547"/>
      <c r="C234" s="129"/>
      <c r="D234" s="130"/>
      <c r="E234" s="130"/>
      <c r="F234" s="130"/>
      <c r="G234" s="264"/>
      <c r="H234" s="124"/>
      <c r="I234" s="129"/>
      <c r="J234" s="129"/>
      <c r="K234" s="131"/>
      <c r="L234" s="127"/>
      <c r="M234" s="129"/>
      <c r="N234" s="131"/>
      <c r="O234" s="262"/>
      <c r="P234" s="542"/>
      <c r="R234" s="130"/>
      <c r="S234" s="130"/>
      <c r="T234" s="130"/>
      <c r="U234" s="130"/>
      <c r="V234" s="130"/>
      <c r="W234" s="130"/>
      <c r="X234" s="130"/>
      <c r="Y234" s="130"/>
      <c r="Z234" s="130"/>
      <c r="AA234" s="130"/>
      <c r="AB234" s="130">
        <f t="shared" si="136"/>
        <v>0</v>
      </c>
      <c r="AC234" s="130"/>
      <c r="AD234" s="130"/>
      <c r="AE234" s="130"/>
      <c r="AF234" s="130"/>
      <c r="AG234" s="130"/>
      <c r="AH234" s="130"/>
      <c r="AI234" s="130"/>
      <c r="AJ234" s="130"/>
      <c r="AK234" s="130"/>
      <c r="AL234" s="130"/>
      <c r="AM234" s="130"/>
      <c r="AN234" s="130">
        <f t="shared" si="137"/>
        <v>0</v>
      </c>
      <c r="AO234" s="130"/>
      <c r="AP234" s="130">
        <f t="shared" si="138"/>
        <v>0</v>
      </c>
      <c r="AQ234" s="130">
        <f t="shared" si="139"/>
        <v>0</v>
      </c>
      <c r="AR234" s="130">
        <f t="shared" si="140"/>
        <v>0</v>
      </c>
      <c r="AS234" s="130">
        <f t="shared" si="141"/>
        <v>0</v>
      </c>
      <c r="AT234" s="130">
        <f t="shared" si="142"/>
        <v>0</v>
      </c>
      <c r="AU234" s="130">
        <f t="shared" si="143"/>
        <v>0</v>
      </c>
      <c r="AV234" s="130">
        <f t="shared" si="144"/>
        <v>0</v>
      </c>
      <c r="AW234" s="130">
        <f t="shared" si="145"/>
        <v>0</v>
      </c>
      <c r="AX234" s="130">
        <f t="shared" si="146"/>
        <v>0</v>
      </c>
      <c r="AY234" s="130">
        <f t="shared" si="147"/>
        <v>0</v>
      </c>
      <c r="AZ234" s="130">
        <f t="shared" si="148"/>
        <v>0</v>
      </c>
      <c r="BB234" s="109">
        <f t="shared" si="152"/>
        <v>0</v>
      </c>
    </row>
    <row r="235" spans="1:54" x14ac:dyDescent="0.25">
      <c r="A235" s="132"/>
      <c r="B235" s="547" t="s">
        <v>102</v>
      </c>
      <c r="C235" s="129"/>
      <c r="D235" s="130"/>
      <c r="E235" s="130"/>
      <c r="F235" s="130"/>
      <c r="G235" s="264"/>
      <c r="H235" s="124"/>
      <c r="I235" s="129"/>
      <c r="J235" s="129"/>
      <c r="K235" s="131"/>
      <c r="L235" s="127"/>
      <c r="M235" s="129"/>
      <c r="N235" s="131"/>
      <c r="O235" s="262"/>
      <c r="P235" s="542"/>
      <c r="R235" s="130"/>
      <c r="S235" s="130"/>
      <c r="T235" s="130"/>
      <c r="U235" s="130"/>
      <c r="V235" s="130"/>
      <c r="W235" s="130"/>
      <c r="X235" s="130"/>
      <c r="Y235" s="130"/>
      <c r="Z235" s="130"/>
      <c r="AA235" s="130"/>
      <c r="AB235" s="130">
        <f t="shared" si="136"/>
        <v>0</v>
      </c>
      <c r="AC235" s="130"/>
      <c r="AD235" s="130"/>
      <c r="AE235" s="130"/>
      <c r="AF235" s="130"/>
      <c r="AG235" s="130"/>
      <c r="AH235" s="130"/>
      <c r="AI235" s="130"/>
      <c r="AJ235" s="130"/>
      <c r="AK235" s="130"/>
      <c r="AL235" s="130"/>
      <c r="AM235" s="130"/>
      <c r="AN235" s="130">
        <f t="shared" si="137"/>
        <v>0</v>
      </c>
      <c r="AO235" s="130"/>
      <c r="AP235" s="130">
        <f t="shared" si="138"/>
        <v>0</v>
      </c>
      <c r="AQ235" s="130">
        <f t="shared" si="139"/>
        <v>0</v>
      </c>
      <c r="AR235" s="130">
        <f t="shared" si="140"/>
        <v>0</v>
      </c>
      <c r="AS235" s="130">
        <f t="shared" si="141"/>
        <v>0</v>
      </c>
      <c r="AT235" s="130">
        <f t="shared" si="142"/>
        <v>0</v>
      </c>
      <c r="AU235" s="130">
        <f t="shared" si="143"/>
        <v>0</v>
      </c>
      <c r="AV235" s="130">
        <f t="shared" si="144"/>
        <v>0</v>
      </c>
      <c r="AW235" s="130">
        <f t="shared" si="145"/>
        <v>0</v>
      </c>
      <c r="AX235" s="130">
        <f t="shared" si="146"/>
        <v>0</v>
      </c>
      <c r="AY235" s="130">
        <f t="shared" si="147"/>
        <v>0</v>
      </c>
      <c r="AZ235" s="130">
        <f t="shared" si="148"/>
        <v>0</v>
      </c>
      <c r="BB235" s="109">
        <f t="shared" si="152"/>
        <v>0</v>
      </c>
    </row>
    <row r="236" spans="1:54" x14ac:dyDescent="0.25">
      <c r="A236" s="132"/>
      <c r="B236" s="355" t="s">
        <v>408</v>
      </c>
      <c r="C236" s="129"/>
      <c r="D236" s="130"/>
      <c r="E236" s="130"/>
      <c r="F236" s="130"/>
      <c r="G236" s="264"/>
      <c r="H236" s="124"/>
      <c r="I236" s="129"/>
      <c r="J236" s="129"/>
      <c r="K236" s="131"/>
      <c r="L236" s="127"/>
      <c r="M236" s="129"/>
      <c r="N236" s="131"/>
      <c r="O236" s="262"/>
      <c r="P236" s="542"/>
      <c r="R236" s="130"/>
      <c r="S236" s="130"/>
      <c r="T236" s="130"/>
      <c r="U236" s="130"/>
      <c r="V236" s="130"/>
      <c r="W236" s="130"/>
      <c r="X236" s="130"/>
      <c r="Y236" s="130"/>
      <c r="Z236" s="130"/>
      <c r="AA236" s="130"/>
      <c r="AB236" s="130">
        <f t="shared" si="136"/>
        <v>0</v>
      </c>
      <c r="AC236" s="130"/>
      <c r="AD236" s="130"/>
      <c r="AE236" s="130"/>
      <c r="AF236" s="130"/>
      <c r="AG236" s="130"/>
      <c r="AH236" s="130"/>
      <c r="AI236" s="130"/>
      <c r="AJ236" s="130"/>
      <c r="AK236" s="130"/>
      <c r="AL236" s="130"/>
      <c r="AM236" s="130"/>
      <c r="AN236" s="130">
        <f t="shared" si="137"/>
        <v>0</v>
      </c>
      <c r="AO236" s="130"/>
      <c r="AP236" s="130">
        <f t="shared" si="138"/>
        <v>0</v>
      </c>
      <c r="AQ236" s="130">
        <f t="shared" si="139"/>
        <v>0</v>
      </c>
      <c r="AR236" s="130">
        <f t="shared" si="140"/>
        <v>0</v>
      </c>
      <c r="AS236" s="130">
        <f t="shared" si="141"/>
        <v>0</v>
      </c>
      <c r="AT236" s="130">
        <f t="shared" si="142"/>
        <v>0</v>
      </c>
      <c r="AU236" s="130">
        <f t="shared" si="143"/>
        <v>0</v>
      </c>
      <c r="AV236" s="130">
        <f t="shared" si="144"/>
        <v>0</v>
      </c>
      <c r="AW236" s="130">
        <f t="shared" si="145"/>
        <v>0</v>
      </c>
      <c r="AX236" s="130">
        <f t="shared" si="146"/>
        <v>0</v>
      </c>
      <c r="AY236" s="130">
        <f t="shared" si="147"/>
        <v>0</v>
      </c>
      <c r="AZ236" s="130">
        <f t="shared" si="148"/>
        <v>0</v>
      </c>
      <c r="BB236" s="109">
        <f t="shared" si="152"/>
        <v>0</v>
      </c>
    </row>
    <row r="237" spans="1:54" ht="76.5" customHeight="1" x14ac:dyDescent="0.25">
      <c r="A237" s="132"/>
      <c r="B237" s="353" t="s">
        <v>941</v>
      </c>
      <c r="C237" s="129"/>
      <c r="D237" s="130"/>
      <c r="E237" s="130"/>
      <c r="F237" s="130"/>
      <c r="G237" s="264">
        <v>-66</v>
      </c>
      <c r="H237" s="124">
        <f t="shared" ref="H237" si="171">SUM(C237:G237)</f>
        <v>-66</v>
      </c>
      <c r="I237" s="129"/>
      <c r="J237" s="129"/>
      <c r="K237" s="131"/>
      <c r="L237" s="127">
        <f t="shared" ref="L237" si="172">SUM(I237:K237)</f>
        <v>0</v>
      </c>
      <c r="M237" s="129"/>
      <c r="N237" s="131"/>
      <c r="O237" s="262"/>
      <c r="P237" s="542">
        <f t="shared" ref="P237" si="173">O237+L237+H237</f>
        <v>-66</v>
      </c>
      <c r="R237" s="130"/>
      <c r="S237" s="130"/>
      <c r="T237" s="130"/>
      <c r="U237" s="130"/>
      <c r="V237" s="130"/>
      <c r="W237" s="130"/>
      <c r="X237" s="130"/>
      <c r="Y237" s="130"/>
      <c r="Z237" s="130"/>
      <c r="AA237" s="130"/>
      <c r="AB237" s="130">
        <f t="shared" si="136"/>
        <v>0</v>
      </c>
      <c r="AC237" s="130"/>
      <c r="AD237" s="130"/>
      <c r="AE237" s="130"/>
      <c r="AF237" s="130"/>
      <c r="AG237" s="130"/>
      <c r="AH237" s="130">
        <v>-66</v>
      </c>
      <c r="AI237" s="130"/>
      <c r="AJ237" s="130"/>
      <c r="AK237" s="130"/>
      <c r="AL237" s="130"/>
      <c r="AM237" s="130"/>
      <c r="AN237" s="130">
        <f t="shared" si="137"/>
        <v>-66</v>
      </c>
      <c r="AO237" s="130"/>
      <c r="AP237" s="130">
        <f t="shared" si="138"/>
        <v>0</v>
      </c>
      <c r="AQ237" s="130">
        <f t="shared" si="139"/>
        <v>0</v>
      </c>
      <c r="AR237" s="130">
        <f t="shared" si="140"/>
        <v>0</v>
      </c>
      <c r="AS237" s="130">
        <f t="shared" si="141"/>
        <v>0</v>
      </c>
      <c r="AT237" s="130">
        <f t="shared" si="142"/>
        <v>-66</v>
      </c>
      <c r="AU237" s="130">
        <f t="shared" si="143"/>
        <v>0</v>
      </c>
      <c r="AV237" s="130">
        <f t="shared" si="144"/>
        <v>0</v>
      </c>
      <c r="AW237" s="130">
        <f t="shared" si="145"/>
        <v>0</v>
      </c>
      <c r="AX237" s="130">
        <f t="shared" si="146"/>
        <v>0</v>
      </c>
      <c r="AY237" s="130">
        <f t="shared" si="147"/>
        <v>0</v>
      </c>
      <c r="AZ237" s="130">
        <f t="shared" si="148"/>
        <v>-66</v>
      </c>
      <c r="BB237" s="109">
        <f t="shared" si="152"/>
        <v>0</v>
      </c>
    </row>
    <row r="238" spans="1:54" x14ac:dyDescent="0.25">
      <c r="A238" s="132"/>
      <c r="B238" s="353"/>
      <c r="C238" s="129"/>
      <c r="D238" s="130"/>
      <c r="E238" s="130"/>
      <c r="F238" s="130"/>
      <c r="G238" s="264"/>
      <c r="H238" s="124"/>
      <c r="I238" s="129"/>
      <c r="J238" s="129"/>
      <c r="K238" s="131"/>
      <c r="L238" s="127"/>
      <c r="M238" s="129"/>
      <c r="N238" s="131"/>
      <c r="O238" s="262"/>
      <c r="P238" s="542"/>
      <c r="R238" s="130"/>
      <c r="S238" s="130"/>
      <c r="T238" s="130"/>
      <c r="U238" s="130"/>
      <c r="V238" s="130"/>
      <c r="W238" s="130"/>
      <c r="X238" s="130"/>
      <c r="Y238" s="130"/>
      <c r="Z238" s="130"/>
      <c r="AA238" s="130"/>
      <c r="AB238" s="130">
        <f t="shared" si="136"/>
        <v>0</v>
      </c>
      <c r="AC238" s="130"/>
      <c r="AD238" s="130"/>
      <c r="AE238" s="130"/>
      <c r="AF238" s="130"/>
      <c r="AG238" s="130"/>
      <c r="AH238" s="130"/>
      <c r="AI238" s="130"/>
      <c r="AJ238" s="130"/>
      <c r="AK238" s="130"/>
      <c r="AL238" s="130"/>
      <c r="AM238" s="130"/>
      <c r="AN238" s="130">
        <f t="shared" si="137"/>
        <v>0</v>
      </c>
      <c r="AO238" s="130"/>
      <c r="AP238" s="130">
        <f t="shared" si="138"/>
        <v>0</v>
      </c>
      <c r="AQ238" s="130">
        <f t="shared" si="139"/>
        <v>0</v>
      </c>
      <c r="AR238" s="130">
        <f t="shared" si="140"/>
        <v>0</v>
      </c>
      <c r="AS238" s="130">
        <f t="shared" si="141"/>
        <v>0</v>
      </c>
      <c r="AT238" s="130">
        <f t="shared" si="142"/>
        <v>0</v>
      </c>
      <c r="AU238" s="130">
        <f t="shared" si="143"/>
        <v>0</v>
      </c>
      <c r="AV238" s="130">
        <f t="shared" si="144"/>
        <v>0</v>
      </c>
      <c r="AW238" s="130">
        <f t="shared" si="145"/>
        <v>0</v>
      </c>
      <c r="AX238" s="130">
        <f t="shared" si="146"/>
        <v>0</v>
      </c>
      <c r="AY238" s="130">
        <f t="shared" si="147"/>
        <v>0</v>
      </c>
      <c r="AZ238" s="130">
        <f t="shared" si="148"/>
        <v>0</v>
      </c>
      <c r="BB238" s="109">
        <f t="shared" si="152"/>
        <v>0</v>
      </c>
    </row>
    <row r="239" spans="1:54" x14ac:dyDescent="0.25">
      <c r="A239" s="132"/>
      <c r="B239" s="351" t="s">
        <v>412</v>
      </c>
      <c r="C239" s="129">
        <v>-31</v>
      </c>
      <c r="D239" s="130"/>
      <c r="E239" s="130">
        <v>31</v>
      </c>
      <c r="F239" s="130"/>
      <c r="G239" s="140"/>
      <c r="H239" s="124">
        <f t="shared" ref="H239" si="174">SUM(C239:G239)</f>
        <v>0</v>
      </c>
      <c r="I239" s="349"/>
      <c r="J239" s="349"/>
      <c r="K239" s="352"/>
      <c r="L239" s="127">
        <f t="shared" ref="L239" si="175">SUM(I239:K239)</f>
        <v>0</v>
      </c>
      <c r="M239" s="349"/>
      <c r="N239" s="352"/>
      <c r="O239" s="350"/>
      <c r="P239" s="542">
        <f t="shared" ref="P239" si="176">O239+L239+H239</f>
        <v>0</v>
      </c>
      <c r="R239" s="130"/>
      <c r="S239" s="130"/>
      <c r="T239" s="130"/>
      <c r="U239" s="130"/>
      <c r="V239" s="130"/>
      <c r="W239" s="130"/>
      <c r="X239" s="130"/>
      <c r="Y239" s="130"/>
      <c r="Z239" s="130"/>
      <c r="AA239" s="130"/>
      <c r="AB239" s="130">
        <f t="shared" si="136"/>
        <v>0</v>
      </c>
      <c r="AC239" s="130"/>
      <c r="AD239" s="130">
        <v>-31</v>
      </c>
      <c r="AE239" s="130"/>
      <c r="AF239" s="130">
        <v>31</v>
      </c>
      <c r="AG239" s="130"/>
      <c r="AH239" s="130"/>
      <c r="AI239" s="130"/>
      <c r="AJ239" s="130"/>
      <c r="AK239" s="130"/>
      <c r="AL239" s="130"/>
      <c r="AM239" s="130"/>
      <c r="AN239" s="130">
        <f t="shared" si="137"/>
        <v>0</v>
      </c>
      <c r="AO239" s="130"/>
      <c r="AP239" s="130">
        <f t="shared" si="138"/>
        <v>-31</v>
      </c>
      <c r="AQ239" s="130">
        <f t="shared" si="139"/>
        <v>0</v>
      </c>
      <c r="AR239" s="130">
        <f t="shared" si="140"/>
        <v>31</v>
      </c>
      <c r="AS239" s="130">
        <f t="shared" si="141"/>
        <v>0</v>
      </c>
      <c r="AT239" s="130">
        <f t="shared" si="142"/>
        <v>0</v>
      </c>
      <c r="AU239" s="130">
        <f t="shared" si="143"/>
        <v>0</v>
      </c>
      <c r="AV239" s="130">
        <f t="shared" si="144"/>
        <v>0</v>
      </c>
      <c r="AW239" s="130">
        <f t="shared" si="145"/>
        <v>0</v>
      </c>
      <c r="AX239" s="130">
        <f t="shared" si="146"/>
        <v>0</v>
      </c>
      <c r="AY239" s="130">
        <f t="shared" si="147"/>
        <v>0</v>
      </c>
      <c r="AZ239" s="130">
        <f t="shared" si="148"/>
        <v>0</v>
      </c>
      <c r="BB239" s="109">
        <f t="shared" si="152"/>
        <v>0</v>
      </c>
    </row>
    <row r="240" spans="1:54" x14ac:dyDescent="0.25">
      <c r="A240" s="132"/>
      <c r="B240" s="813"/>
      <c r="C240" s="129"/>
      <c r="D240" s="130"/>
      <c r="E240" s="130"/>
      <c r="F240" s="130"/>
      <c r="G240" s="140"/>
      <c r="H240" s="124"/>
      <c r="I240" s="349"/>
      <c r="J240" s="349"/>
      <c r="K240" s="352"/>
      <c r="L240" s="127"/>
      <c r="M240" s="349"/>
      <c r="N240" s="352"/>
      <c r="O240" s="350"/>
      <c r="P240" s="542"/>
      <c r="R240" s="130"/>
      <c r="S240" s="130"/>
      <c r="T240" s="130"/>
      <c r="U240" s="130"/>
      <c r="V240" s="130"/>
      <c r="W240" s="130"/>
      <c r="X240" s="130"/>
      <c r="Y240" s="130"/>
      <c r="Z240" s="130"/>
      <c r="AA240" s="130"/>
      <c r="AB240" s="130">
        <f t="shared" si="136"/>
        <v>0</v>
      </c>
      <c r="AC240" s="130"/>
      <c r="AD240" s="130"/>
      <c r="AE240" s="130"/>
      <c r="AF240" s="130"/>
      <c r="AG240" s="130"/>
      <c r="AH240" s="130"/>
      <c r="AI240" s="130"/>
      <c r="AJ240" s="130"/>
      <c r="AK240" s="130"/>
      <c r="AL240" s="130"/>
      <c r="AM240" s="130"/>
      <c r="AN240" s="130">
        <f t="shared" si="137"/>
        <v>0</v>
      </c>
      <c r="AO240" s="130"/>
      <c r="AP240" s="130">
        <f t="shared" si="138"/>
        <v>0</v>
      </c>
      <c r="AQ240" s="130">
        <f t="shared" si="139"/>
        <v>0</v>
      </c>
      <c r="AR240" s="130">
        <f t="shared" si="140"/>
        <v>0</v>
      </c>
      <c r="AS240" s="130">
        <f t="shared" si="141"/>
        <v>0</v>
      </c>
      <c r="AT240" s="130">
        <f t="shared" si="142"/>
        <v>0</v>
      </c>
      <c r="AU240" s="130">
        <f t="shared" si="143"/>
        <v>0</v>
      </c>
      <c r="AV240" s="130">
        <f t="shared" si="144"/>
        <v>0</v>
      </c>
      <c r="AW240" s="130">
        <f t="shared" si="145"/>
        <v>0</v>
      </c>
      <c r="AX240" s="130">
        <f t="shared" si="146"/>
        <v>0</v>
      </c>
      <c r="AY240" s="130">
        <f t="shared" si="147"/>
        <v>0</v>
      </c>
      <c r="AZ240" s="130">
        <f t="shared" si="148"/>
        <v>0</v>
      </c>
      <c r="BB240" s="109">
        <f t="shared" si="152"/>
        <v>0</v>
      </c>
    </row>
    <row r="241" spans="1:54" x14ac:dyDescent="0.25">
      <c r="A241" s="132"/>
      <c r="B241" s="547" t="s">
        <v>103</v>
      </c>
      <c r="C241" s="129"/>
      <c r="D241" s="130"/>
      <c r="E241" s="130"/>
      <c r="F241" s="130"/>
      <c r="G241" s="264"/>
      <c r="H241" s="124"/>
      <c r="I241" s="129"/>
      <c r="J241" s="129"/>
      <c r="K241" s="131"/>
      <c r="L241" s="127"/>
      <c r="M241" s="129"/>
      <c r="N241" s="131"/>
      <c r="O241" s="262"/>
      <c r="P241" s="542"/>
      <c r="R241" s="130"/>
      <c r="S241" s="130"/>
      <c r="T241" s="130"/>
      <c r="U241" s="130"/>
      <c r="V241" s="130"/>
      <c r="W241" s="130"/>
      <c r="X241" s="130"/>
      <c r="Y241" s="130"/>
      <c r="Z241" s="130"/>
      <c r="AA241" s="130"/>
      <c r="AB241" s="130">
        <f t="shared" si="136"/>
        <v>0</v>
      </c>
      <c r="AC241" s="130"/>
      <c r="AD241" s="130"/>
      <c r="AE241" s="130"/>
      <c r="AF241" s="130"/>
      <c r="AG241" s="130"/>
      <c r="AH241" s="130"/>
      <c r="AI241" s="130"/>
      <c r="AJ241" s="130"/>
      <c r="AK241" s="130"/>
      <c r="AL241" s="130"/>
      <c r="AM241" s="130"/>
      <c r="AN241" s="130">
        <f t="shared" si="137"/>
        <v>0</v>
      </c>
      <c r="AO241" s="130"/>
      <c r="AP241" s="130">
        <f t="shared" si="138"/>
        <v>0</v>
      </c>
      <c r="AQ241" s="130">
        <f t="shared" si="139"/>
        <v>0</v>
      </c>
      <c r="AR241" s="130">
        <f t="shared" si="140"/>
        <v>0</v>
      </c>
      <c r="AS241" s="130">
        <f t="shared" si="141"/>
        <v>0</v>
      </c>
      <c r="AT241" s="130">
        <f t="shared" si="142"/>
        <v>0</v>
      </c>
      <c r="AU241" s="130">
        <f t="shared" si="143"/>
        <v>0</v>
      </c>
      <c r="AV241" s="130">
        <f t="shared" si="144"/>
        <v>0</v>
      </c>
      <c r="AW241" s="130">
        <f t="shared" si="145"/>
        <v>0</v>
      </c>
      <c r="AX241" s="130">
        <f t="shared" si="146"/>
        <v>0</v>
      </c>
      <c r="AY241" s="130">
        <f t="shared" si="147"/>
        <v>0</v>
      </c>
      <c r="AZ241" s="130">
        <f t="shared" si="148"/>
        <v>0</v>
      </c>
      <c r="BB241" s="109">
        <f t="shared" si="152"/>
        <v>0</v>
      </c>
    </row>
    <row r="242" spans="1:54" x14ac:dyDescent="0.25">
      <c r="A242" s="132"/>
      <c r="B242" s="355" t="s">
        <v>408</v>
      </c>
      <c r="C242" s="129"/>
      <c r="D242" s="130"/>
      <c r="E242" s="130"/>
      <c r="F242" s="130"/>
      <c r="G242" s="264"/>
      <c r="H242" s="124"/>
      <c r="I242" s="129"/>
      <c r="J242" s="129"/>
      <c r="K242" s="131"/>
      <c r="L242" s="127"/>
      <c r="M242" s="129"/>
      <c r="N242" s="131"/>
      <c r="O242" s="262"/>
      <c r="P242" s="542"/>
      <c r="R242" s="130"/>
      <c r="S242" s="130"/>
      <c r="T242" s="130"/>
      <c r="U242" s="130"/>
      <c r="V242" s="130"/>
      <c r="W242" s="130"/>
      <c r="X242" s="130"/>
      <c r="Y242" s="130"/>
      <c r="Z242" s="130"/>
      <c r="AA242" s="130"/>
      <c r="AB242" s="130">
        <f t="shared" si="136"/>
        <v>0</v>
      </c>
      <c r="AC242" s="130"/>
      <c r="AD242" s="130"/>
      <c r="AE242" s="130"/>
      <c r="AF242" s="130"/>
      <c r="AG242" s="130"/>
      <c r="AH242" s="130"/>
      <c r="AI242" s="130"/>
      <c r="AJ242" s="130"/>
      <c r="AK242" s="130"/>
      <c r="AL242" s="130"/>
      <c r="AM242" s="130"/>
      <c r="AN242" s="130">
        <f t="shared" si="137"/>
        <v>0</v>
      </c>
      <c r="AO242" s="130"/>
      <c r="AP242" s="130">
        <f t="shared" si="138"/>
        <v>0</v>
      </c>
      <c r="AQ242" s="130">
        <f t="shared" si="139"/>
        <v>0</v>
      </c>
      <c r="AR242" s="130">
        <f t="shared" si="140"/>
        <v>0</v>
      </c>
      <c r="AS242" s="130">
        <f t="shared" si="141"/>
        <v>0</v>
      </c>
      <c r="AT242" s="130">
        <f t="shared" si="142"/>
        <v>0</v>
      </c>
      <c r="AU242" s="130">
        <f t="shared" si="143"/>
        <v>0</v>
      </c>
      <c r="AV242" s="130">
        <f t="shared" si="144"/>
        <v>0</v>
      </c>
      <c r="AW242" s="130">
        <f t="shared" si="145"/>
        <v>0</v>
      </c>
      <c r="AX242" s="130">
        <f t="shared" si="146"/>
        <v>0</v>
      </c>
      <c r="AY242" s="130">
        <f t="shared" si="147"/>
        <v>0</v>
      </c>
      <c r="AZ242" s="130">
        <f t="shared" si="148"/>
        <v>0</v>
      </c>
      <c r="BB242" s="109">
        <f t="shared" si="152"/>
        <v>0</v>
      </c>
    </row>
    <row r="243" spans="1:54" ht="76.5" customHeight="1" x14ac:dyDescent="0.25">
      <c r="A243" s="132"/>
      <c r="B243" s="353" t="s">
        <v>928</v>
      </c>
      <c r="C243" s="129"/>
      <c r="D243" s="130"/>
      <c r="E243" s="130"/>
      <c r="F243" s="130"/>
      <c r="G243" s="264">
        <v>-250</v>
      </c>
      <c r="H243" s="124">
        <f t="shared" ref="H243" si="177">SUM(C243:G243)</f>
        <v>-250</v>
      </c>
      <c r="I243" s="129"/>
      <c r="J243" s="129"/>
      <c r="K243" s="131"/>
      <c r="L243" s="127">
        <f t="shared" ref="L243" si="178">SUM(I243:K243)</f>
        <v>0</v>
      </c>
      <c r="M243" s="129"/>
      <c r="N243" s="131"/>
      <c r="O243" s="262"/>
      <c r="P243" s="542">
        <f t="shared" ref="P243" si="179">O243+L243+H243</f>
        <v>-250</v>
      </c>
      <c r="R243" s="130"/>
      <c r="S243" s="130"/>
      <c r="T243" s="130"/>
      <c r="U243" s="130"/>
      <c r="V243" s="130"/>
      <c r="W243" s="130"/>
      <c r="X243" s="130"/>
      <c r="Y243" s="130"/>
      <c r="Z243" s="130"/>
      <c r="AA243" s="130"/>
      <c r="AB243" s="130">
        <f t="shared" si="136"/>
        <v>0</v>
      </c>
      <c r="AC243" s="130"/>
      <c r="AD243" s="130"/>
      <c r="AE243" s="130"/>
      <c r="AF243" s="130"/>
      <c r="AG243" s="130"/>
      <c r="AH243" s="130">
        <v>-250</v>
      </c>
      <c r="AI243" s="130"/>
      <c r="AJ243" s="130"/>
      <c r="AK243" s="130"/>
      <c r="AL243" s="130"/>
      <c r="AM243" s="130"/>
      <c r="AN243" s="130">
        <f t="shared" si="137"/>
        <v>-250</v>
      </c>
      <c r="AO243" s="130"/>
      <c r="AP243" s="130">
        <f t="shared" si="138"/>
        <v>0</v>
      </c>
      <c r="AQ243" s="130">
        <f t="shared" si="139"/>
        <v>0</v>
      </c>
      <c r="AR243" s="130">
        <f t="shared" si="140"/>
        <v>0</v>
      </c>
      <c r="AS243" s="130">
        <f t="shared" si="141"/>
        <v>0</v>
      </c>
      <c r="AT243" s="130">
        <f t="shared" si="142"/>
        <v>-250</v>
      </c>
      <c r="AU243" s="130">
        <f t="shared" si="143"/>
        <v>0</v>
      </c>
      <c r="AV243" s="130">
        <f t="shared" si="144"/>
        <v>0</v>
      </c>
      <c r="AW243" s="130">
        <f t="shared" si="145"/>
        <v>0</v>
      </c>
      <c r="AX243" s="130">
        <f t="shared" si="146"/>
        <v>0</v>
      </c>
      <c r="AY243" s="130">
        <f t="shared" si="147"/>
        <v>0</v>
      </c>
      <c r="AZ243" s="130">
        <f t="shared" si="148"/>
        <v>-250</v>
      </c>
      <c r="BB243" s="109">
        <f t="shared" si="152"/>
        <v>0</v>
      </c>
    </row>
    <row r="244" spans="1:54" ht="63" x14ac:dyDescent="0.25">
      <c r="A244" s="132"/>
      <c r="B244" s="353" t="s">
        <v>929</v>
      </c>
      <c r="C244" s="129"/>
      <c r="D244" s="130"/>
      <c r="E244" s="130"/>
      <c r="F244" s="130"/>
      <c r="G244" s="264">
        <v>-150</v>
      </c>
      <c r="H244" s="124">
        <f t="shared" ref="H244:H255" si="180">SUM(C244:G244)</f>
        <v>-150</v>
      </c>
      <c r="I244" s="129"/>
      <c r="J244" s="129"/>
      <c r="K244" s="131"/>
      <c r="L244" s="127">
        <f t="shared" ref="L244:L255" si="181">SUM(I244:K244)</f>
        <v>0</v>
      </c>
      <c r="M244" s="129"/>
      <c r="N244" s="131"/>
      <c r="O244" s="262"/>
      <c r="P244" s="542">
        <f t="shared" ref="P244:P255" si="182">O244+L244+H244</f>
        <v>-150</v>
      </c>
      <c r="R244" s="130"/>
      <c r="S244" s="130"/>
      <c r="T244" s="130"/>
      <c r="U244" s="130"/>
      <c r="V244" s="130"/>
      <c r="W244" s="130"/>
      <c r="X244" s="130"/>
      <c r="Y244" s="130"/>
      <c r="Z244" s="130"/>
      <c r="AA244" s="130"/>
      <c r="AB244" s="130">
        <f t="shared" si="136"/>
        <v>0</v>
      </c>
      <c r="AC244" s="130"/>
      <c r="AD244" s="130"/>
      <c r="AE244" s="130"/>
      <c r="AF244" s="130"/>
      <c r="AG244" s="130"/>
      <c r="AH244" s="130">
        <v>-150</v>
      </c>
      <c r="AI244" s="130"/>
      <c r="AJ244" s="130"/>
      <c r="AK244" s="130"/>
      <c r="AL244" s="130"/>
      <c r="AM244" s="130"/>
      <c r="AN244" s="130">
        <f t="shared" si="137"/>
        <v>-150</v>
      </c>
      <c r="AO244" s="130"/>
      <c r="AP244" s="130">
        <f t="shared" si="138"/>
        <v>0</v>
      </c>
      <c r="AQ244" s="130">
        <f t="shared" si="139"/>
        <v>0</v>
      </c>
      <c r="AR244" s="130">
        <f t="shared" si="140"/>
        <v>0</v>
      </c>
      <c r="AS244" s="130">
        <f t="shared" si="141"/>
        <v>0</v>
      </c>
      <c r="AT244" s="130">
        <f t="shared" si="142"/>
        <v>-150</v>
      </c>
      <c r="AU244" s="130">
        <f t="shared" si="143"/>
        <v>0</v>
      </c>
      <c r="AV244" s="130">
        <f t="shared" si="144"/>
        <v>0</v>
      </c>
      <c r="AW244" s="130">
        <f t="shared" si="145"/>
        <v>0</v>
      </c>
      <c r="AX244" s="130">
        <f t="shared" si="146"/>
        <v>0</v>
      </c>
      <c r="AY244" s="130">
        <f t="shared" si="147"/>
        <v>0</v>
      </c>
      <c r="AZ244" s="130">
        <f t="shared" si="148"/>
        <v>-150</v>
      </c>
      <c r="BB244" s="109">
        <f t="shared" si="152"/>
        <v>0</v>
      </c>
    </row>
    <row r="245" spans="1:54" ht="94.5" x14ac:dyDescent="0.25">
      <c r="A245" s="132"/>
      <c r="B245" s="353" t="s">
        <v>930</v>
      </c>
      <c r="C245" s="129"/>
      <c r="D245" s="130"/>
      <c r="E245" s="130"/>
      <c r="F245" s="130"/>
      <c r="G245" s="264">
        <v>-708</v>
      </c>
      <c r="H245" s="124">
        <f t="shared" si="180"/>
        <v>-708</v>
      </c>
      <c r="I245" s="129"/>
      <c r="J245" s="129"/>
      <c r="K245" s="131"/>
      <c r="L245" s="127">
        <f t="shared" si="181"/>
        <v>0</v>
      </c>
      <c r="M245" s="129"/>
      <c r="N245" s="131"/>
      <c r="O245" s="262"/>
      <c r="P245" s="542">
        <f t="shared" si="182"/>
        <v>-708</v>
      </c>
      <c r="R245" s="130"/>
      <c r="S245" s="130"/>
      <c r="T245" s="130"/>
      <c r="U245" s="130"/>
      <c r="V245" s="130"/>
      <c r="W245" s="130"/>
      <c r="X245" s="130"/>
      <c r="Y245" s="130"/>
      <c r="Z245" s="130"/>
      <c r="AA245" s="130"/>
      <c r="AB245" s="130">
        <f t="shared" si="136"/>
        <v>0</v>
      </c>
      <c r="AC245" s="130"/>
      <c r="AD245" s="130"/>
      <c r="AE245" s="130"/>
      <c r="AF245" s="130"/>
      <c r="AG245" s="130"/>
      <c r="AH245" s="130">
        <v>-708</v>
      </c>
      <c r="AI245" s="130"/>
      <c r="AJ245" s="130"/>
      <c r="AK245" s="130"/>
      <c r="AL245" s="130"/>
      <c r="AM245" s="130"/>
      <c r="AN245" s="130">
        <f t="shared" si="137"/>
        <v>-708</v>
      </c>
      <c r="AO245" s="130"/>
      <c r="AP245" s="130">
        <f t="shared" si="138"/>
        <v>0</v>
      </c>
      <c r="AQ245" s="130">
        <f t="shared" si="139"/>
        <v>0</v>
      </c>
      <c r="AR245" s="130">
        <f t="shared" si="140"/>
        <v>0</v>
      </c>
      <c r="AS245" s="130">
        <f t="shared" si="141"/>
        <v>0</v>
      </c>
      <c r="AT245" s="130">
        <f t="shared" si="142"/>
        <v>-708</v>
      </c>
      <c r="AU245" s="130">
        <f t="shared" si="143"/>
        <v>0</v>
      </c>
      <c r="AV245" s="130">
        <f t="shared" si="144"/>
        <v>0</v>
      </c>
      <c r="AW245" s="130">
        <f t="shared" si="145"/>
        <v>0</v>
      </c>
      <c r="AX245" s="130">
        <f t="shared" si="146"/>
        <v>0</v>
      </c>
      <c r="AY245" s="130">
        <f t="shared" si="147"/>
        <v>0</v>
      </c>
      <c r="AZ245" s="130">
        <f t="shared" si="148"/>
        <v>-708</v>
      </c>
      <c r="BB245" s="109">
        <f t="shared" si="152"/>
        <v>0</v>
      </c>
    </row>
    <row r="246" spans="1:54" ht="78.75" x14ac:dyDescent="0.25">
      <c r="A246" s="132"/>
      <c r="B246" s="353" t="s">
        <v>931</v>
      </c>
      <c r="C246" s="129"/>
      <c r="D246" s="130"/>
      <c r="E246" s="130"/>
      <c r="F246" s="130"/>
      <c r="G246" s="264">
        <v>-100</v>
      </c>
      <c r="H246" s="124">
        <f t="shared" si="180"/>
        <v>-100</v>
      </c>
      <c r="I246" s="129"/>
      <c r="J246" s="129"/>
      <c r="K246" s="131"/>
      <c r="L246" s="127">
        <f t="shared" si="181"/>
        <v>0</v>
      </c>
      <c r="M246" s="129"/>
      <c r="N246" s="131"/>
      <c r="O246" s="262"/>
      <c r="P246" s="542">
        <f t="shared" si="182"/>
        <v>-100</v>
      </c>
      <c r="R246" s="130"/>
      <c r="S246" s="130"/>
      <c r="T246" s="130"/>
      <c r="U246" s="130"/>
      <c r="V246" s="130"/>
      <c r="W246" s="130"/>
      <c r="X246" s="130"/>
      <c r="Y246" s="130"/>
      <c r="Z246" s="130"/>
      <c r="AA246" s="130"/>
      <c r="AB246" s="130">
        <f t="shared" si="136"/>
        <v>0</v>
      </c>
      <c r="AC246" s="130"/>
      <c r="AD246" s="130"/>
      <c r="AE246" s="130"/>
      <c r="AF246" s="130"/>
      <c r="AG246" s="130"/>
      <c r="AH246" s="130">
        <v>-100</v>
      </c>
      <c r="AI246" s="130"/>
      <c r="AJ246" s="130"/>
      <c r="AK246" s="130"/>
      <c r="AL246" s="130"/>
      <c r="AM246" s="130"/>
      <c r="AN246" s="130">
        <f t="shared" si="137"/>
        <v>-100</v>
      </c>
      <c r="AO246" s="130"/>
      <c r="AP246" s="130">
        <f t="shared" si="138"/>
        <v>0</v>
      </c>
      <c r="AQ246" s="130">
        <f t="shared" si="139"/>
        <v>0</v>
      </c>
      <c r="AR246" s="130">
        <f t="shared" si="140"/>
        <v>0</v>
      </c>
      <c r="AS246" s="130">
        <f t="shared" si="141"/>
        <v>0</v>
      </c>
      <c r="AT246" s="130">
        <f t="shared" si="142"/>
        <v>-100</v>
      </c>
      <c r="AU246" s="130">
        <f t="shared" si="143"/>
        <v>0</v>
      </c>
      <c r="AV246" s="130">
        <f t="shared" si="144"/>
        <v>0</v>
      </c>
      <c r="AW246" s="130">
        <f t="shared" si="145"/>
        <v>0</v>
      </c>
      <c r="AX246" s="130">
        <f t="shared" si="146"/>
        <v>0</v>
      </c>
      <c r="AY246" s="130">
        <f t="shared" si="147"/>
        <v>0</v>
      </c>
      <c r="AZ246" s="130">
        <f t="shared" si="148"/>
        <v>-100</v>
      </c>
      <c r="BB246" s="109">
        <f t="shared" si="152"/>
        <v>0</v>
      </c>
    </row>
    <row r="247" spans="1:54" ht="63" x14ac:dyDescent="0.25">
      <c r="A247" s="132"/>
      <c r="B247" s="353" t="s">
        <v>932</v>
      </c>
      <c r="C247" s="129"/>
      <c r="D247" s="130"/>
      <c r="E247" s="130"/>
      <c r="F247" s="130"/>
      <c r="G247" s="264">
        <v>-80</v>
      </c>
      <c r="H247" s="124">
        <f t="shared" si="180"/>
        <v>-80</v>
      </c>
      <c r="I247" s="129"/>
      <c r="J247" s="129"/>
      <c r="K247" s="131"/>
      <c r="L247" s="127">
        <f t="shared" si="181"/>
        <v>0</v>
      </c>
      <c r="M247" s="129"/>
      <c r="N247" s="131"/>
      <c r="O247" s="262"/>
      <c r="P247" s="542">
        <f t="shared" si="182"/>
        <v>-80</v>
      </c>
      <c r="R247" s="130"/>
      <c r="S247" s="130"/>
      <c r="T247" s="130"/>
      <c r="U247" s="130"/>
      <c r="V247" s="130"/>
      <c r="W247" s="130"/>
      <c r="X247" s="130"/>
      <c r="Y247" s="130"/>
      <c r="Z247" s="130"/>
      <c r="AA247" s="130"/>
      <c r="AB247" s="130">
        <f t="shared" si="136"/>
        <v>0</v>
      </c>
      <c r="AC247" s="130"/>
      <c r="AD247" s="130"/>
      <c r="AE247" s="130"/>
      <c r="AF247" s="130"/>
      <c r="AG247" s="130"/>
      <c r="AH247" s="130">
        <v>-80</v>
      </c>
      <c r="AI247" s="130"/>
      <c r="AJ247" s="130"/>
      <c r="AK247" s="130"/>
      <c r="AL247" s="130"/>
      <c r="AM247" s="130"/>
      <c r="AN247" s="130">
        <f t="shared" si="137"/>
        <v>-80</v>
      </c>
      <c r="AO247" s="130"/>
      <c r="AP247" s="130">
        <f t="shared" si="138"/>
        <v>0</v>
      </c>
      <c r="AQ247" s="130">
        <f t="shared" si="139"/>
        <v>0</v>
      </c>
      <c r="AR247" s="130">
        <f t="shared" si="140"/>
        <v>0</v>
      </c>
      <c r="AS247" s="130">
        <f t="shared" si="141"/>
        <v>0</v>
      </c>
      <c r="AT247" s="130">
        <f t="shared" si="142"/>
        <v>-80</v>
      </c>
      <c r="AU247" s="130">
        <f t="shared" si="143"/>
        <v>0</v>
      </c>
      <c r="AV247" s="130">
        <f t="shared" si="144"/>
        <v>0</v>
      </c>
      <c r="AW247" s="130">
        <f t="shared" si="145"/>
        <v>0</v>
      </c>
      <c r="AX247" s="130">
        <f t="shared" si="146"/>
        <v>0</v>
      </c>
      <c r="AY247" s="130">
        <f t="shared" si="147"/>
        <v>0</v>
      </c>
      <c r="AZ247" s="130">
        <f t="shared" si="148"/>
        <v>-80</v>
      </c>
      <c r="BB247" s="109">
        <f t="shared" si="152"/>
        <v>0</v>
      </c>
    </row>
    <row r="248" spans="1:54" ht="63" x14ac:dyDescent="0.25">
      <c r="A248" s="132"/>
      <c r="B248" s="353" t="s">
        <v>933</v>
      </c>
      <c r="C248" s="129"/>
      <c r="D248" s="130"/>
      <c r="E248" s="130"/>
      <c r="F248" s="130"/>
      <c r="G248" s="264">
        <v>-100</v>
      </c>
      <c r="H248" s="124">
        <f t="shared" si="180"/>
        <v>-100</v>
      </c>
      <c r="I248" s="129"/>
      <c r="J248" s="129"/>
      <c r="K248" s="131"/>
      <c r="L248" s="127">
        <f t="shared" si="181"/>
        <v>0</v>
      </c>
      <c r="M248" s="129"/>
      <c r="N248" s="131"/>
      <c r="O248" s="262"/>
      <c r="P248" s="542">
        <f t="shared" si="182"/>
        <v>-100</v>
      </c>
      <c r="R248" s="130"/>
      <c r="S248" s="130"/>
      <c r="T248" s="130"/>
      <c r="U248" s="130"/>
      <c r="V248" s="130"/>
      <c r="W248" s="130"/>
      <c r="X248" s="130"/>
      <c r="Y248" s="130"/>
      <c r="Z248" s="130"/>
      <c r="AA248" s="130"/>
      <c r="AB248" s="130">
        <f t="shared" si="136"/>
        <v>0</v>
      </c>
      <c r="AC248" s="130"/>
      <c r="AD248" s="130"/>
      <c r="AE248" s="130"/>
      <c r="AF248" s="130"/>
      <c r="AG248" s="130"/>
      <c r="AH248" s="130">
        <v>-100</v>
      </c>
      <c r="AI248" s="130"/>
      <c r="AJ248" s="130"/>
      <c r="AK248" s="130"/>
      <c r="AL248" s="130"/>
      <c r="AM248" s="130"/>
      <c r="AN248" s="130">
        <f t="shared" si="137"/>
        <v>-100</v>
      </c>
      <c r="AO248" s="130"/>
      <c r="AP248" s="130">
        <f t="shared" si="138"/>
        <v>0</v>
      </c>
      <c r="AQ248" s="130">
        <f t="shared" si="139"/>
        <v>0</v>
      </c>
      <c r="AR248" s="130">
        <f t="shared" si="140"/>
        <v>0</v>
      </c>
      <c r="AS248" s="130">
        <f t="shared" si="141"/>
        <v>0</v>
      </c>
      <c r="AT248" s="130">
        <f t="shared" si="142"/>
        <v>-100</v>
      </c>
      <c r="AU248" s="130">
        <f t="shared" si="143"/>
        <v>0</v>
      </c>
      <c r="AV248" s="130">
        <f t="shared" si="144"/>
        <v>0</v>
      </c>
      <c r="AW248" s="130">
        <f t="shared" si="145"/>
        <v>0</v>
      </c>
      <c r="AX248" s="130">
        <f t="shared" si="146"/>
        <v>0</v>
      </c>
      <c r="AY248" s="130">
        <f t="shared" si="147"/>
        <v>0</v>
      </c>
      <c r="AZ248" s="130">
        <f t="shared" si="148"/>
        <v>-100</v>
      </c>
      <c r="BB248" s="109">
        <f t="shared" si="152"/>
        <v>0</v>
      </c>
    </row>
    <row r="249" spans="1:54" ht="78.75" x14ac:dyDescent="0.25">
      <c r="A249" s="132"/>
      <c r="B249" s="624" t="s">
        <v>940</v>
      </c>
      <c r="C249" s="129"/>
      <c r="D249" s="130"/>
      <c r="E249" s="130"/>
      <c r="F249" s="130"/>
      <c r="G249" s="264">
        <v>-120</v>
      </c>
      <c r="H249" s="124">
        <f t="shared" si="180"/>
        <v>-120</v>
      </c>
      <c r="I249" s="129"/>
      <c r="J249" s="129"/>
      <c r="K249" s="131"/>
      <c r="L249" s="127">
        <f t="shared" si="181"/>
        <v>0</v>
      </c>
      <c r="M249" s="129"/>
      <c r="N249" s="131"/>
      <c r="O249" s="262"/>
      <c r="P249" s="542">
        <f t="shared" si="182"/>
        <v>-120</v>
      </c>
      <c r="R249" s="130"/>
      <c r="S249" s="130"/>
      <c r="T249" s="130"/>
      <c r="U249" s="130"/>
      <c r="V249" s="130"/>
      <c r="W249" s="130"/>
      <c r="X249" s="130"/>
      <c r="Y249" s="130"/>
      <c r="Z249" s="130"/>
      <c r="AA249" s="130"/>
      <c r="AB249" s="130">
        <f t="shared" si="136"/>
        <v>0</v>
      </c>
      <c r="AC249" s="130"/>
      <c r="AD249" s="130"/>
      <c r="AE249" s="130"/>
      <c r="AF249" s="130"/>
      <c r="AG249" s="130"/>
      <c r="AH249" s="130">
        <v>-120</v>
      </c>
      <c r="AI249" s="130"/>
      <c r="AJ249" s="130"/>
      <c r="AK249" s="130"/>
      <c r="AL249" s="130"/>
      <c r="AM249" s="130"/>
      <c r="AN249" s="130">
        <f t="shared" si="137"/>
        <v>-120</v>
      </c>
      <c r="AO249" s="130"/>
      <c r="AP249" s="130">
        <f t="shared" si="138"/>
        <v>0</v>
      </c>
      <c r="AQ249" s="130">
        <f t="shared" si="139"/>
        <v>0</v>
      </c>
      <c r="AR249" s="130">
        <f t="shared" si="140"/>
        <v>0</v>
      </c>
      <c r="AS249" s="130">
        <f t="shared" si="141"/>
        <v>0</v>
      </c>
      <c r="AT249" s="130">
        <f t="shared" si="142"/>
        <v>-120</v>
      </c>
      <c r="AU249" s="130">
        <f t="shared" si="143"/>
        <v>0</v>
      </c>
      <c r="AV249" s="130">
        <f t="shared" si="144"/>
        <v>0</v>
      </c>
      <c r="AW249" s="130">
        <f t="shared" si="145"/>
        <v>0</v>
      </c>
      <c r="AX249" s="130">
        <f t="shared" si="146"/>
        <v>0</v>
      </c>
      <c r="AY249" s="130">
        <f t="shared" si="147"/>
        <v>0</v>
      </c>
      <c r="AZ249" s="130">
        <f t="shared" si="148"/>
        <v>-120</v>
      </c>
      <c r="BB249" s="109">
        <f t="shared" si="152"/>
        <v>0</v>
      </c>
    </row>
    <row r="250" spans="1:54" ht="63" x14ac:dyDescent="0.25">
      <c r="A250" s="132"/>
      <c r="B250" s="353" t="s">
        <v>939</v>
      </c>
      <c r="C250" s="129"/>
      <c r="D250" s="130"/>
      <c r="E250" s="130"/>
      <c r="F250" s="130"/>
      <c r="G250" s="264">
        <v>-20</v>
      </c>
      <c r="H250" s="124">
        <f t="shared" si="180"/>
        <v>-20</v>
      </c>
      <c r="I250" s="129"/>
      <c r="J250" s="129"/>
      <c r="K250" s="131"/>
      <c r="L250" s="127">
        <f t="shared" si="181"/>
        <v>0</v>
      </c>
      <c r="M250" s="129"/>
      <c r="N250" s="131"/>
      <c r="O250" s="262"/>
      <c r="P250" s="542">
        <f t="shared" si="182"/>
        <v>-20</v>
      </c>
      <c r="R250" s="130"/>
      <c r="S250" s="130"/>
      <c r="T250" s="130"/>
      <c r="U250" s="130"/>
      <c r="V250" s="130"/>
      <c r="W250" s="130"/>
      <c r="X250" s="130"/>
      <c r="Y250" s="130"/>
      <c r="Z250" s="130"/>
      <c r="AA250" s="130"/>
      <c r="AB250" s="130">
        <f t="shared" si="136"/>
        <v>0</v>
      </c>
      <c r="AC250" s="130"/>
      <c r="AD250" s="130"/>
      <c r="AE250" s="130"/>
      <c r="AF250" s="130"/>
      <c r="AG250" s="130"/>
      <c r="AH250" s="130">
        <v>-20</v>
      </c>
      <c r="AI250" s="130"/>
      <c r="AJ250" s="130"/>
      <c r="AK250" s="130"/>
      <c r="AL250" s="130"/>
      <c r="AM250" s="130"/>
      <c r="AN250" s="130">
        <f t="shared" si="137"/>
        <v>-20</v>
      </c>
      <c r="AO250" s="130"/>
      <c r="AP250" s="130">
        <f t="shared" si="138"/>
        <v>0</v>
      </c>
      <c r="AQ250" s="130">
        <f t="shared" si="139"/>
        <v>0</v>
      </c>
      <c r="AR250" s="130">
        <f t="shared" si="140"/>
        <v>0</v>
      </c>
      <c r="AS250" s="130">
        <f t="shared" si="141"/>
        <v>0</v>
      </c>
      <c r="AT250" s="130">
        <f t="shared" si="142"/>
        <v>-20</v>
      </c>
      <c r="AU250" s="130">
        <f t="shared" si="143"/>
        <v>0</v>
      </c>
      <c r="AV250" s="130">
        <f t="shared" si="144"/>
        <v>0</v>
      </c>
      <c r="AW250" s="130">
        <f t="shared" si="145"/>
        <v>0</v>
      </c>
      <c r="AX250" s="130">
        <f t="shared" si="146"/>
        <v>0</v>
      </c>
      <c r="AY250" s="130">
        <f t="shared" si="147"/>
        <v>0</v>
      </c>
      <c r="AZ250" s="130">
        <f t="shared" si="148"/>
        <v>-20</v>
      </c>
      <c r="BB250" s="109">
        <f t="shared" si="152"/>
        <v>0</v>
      </c>
    </row>
    <row r="251" spans="1:54" ht="74.25" customHeight="1" x14ac:dyDescent="0.25">
      <c r="A251" s="132"/>
      <c r="B251" s="353" t="s">
        <v>938</v>
      </c>
      <c r="C251" s="129"/>
      <c r="D251" s="130"/>
      <c r="E251" s="130"/>
      <c r="F251" s="130"/>
      <c r="G251" s="264">
        <v>-100</v>
      </c>
      <c r="H251" s="124">
        <f t="shared" si="180"/>
        <v>-100</v>
      </c>
      <c r="I251" s="129"/>
      <c r="J251" s="129"/>
      <c r="K251" s="131"/>
      <c r="L251" s="127">
        <f t="shared" si="181"/>
        <v>0</v>
      </c>
      <c r="M251" s="129"/>
      <c r="N251" s="131"/>
      <c r="O251" s="262"/>
      <c r="P251" s="542">
        <f t="shared" si="182"/>
        <v>-100</v>
      </c>
      <c r="R251" s="130"/>
      <c r="S251" s="130"/>
      <c r="T251" s="130"/>
      <c r="U251" s="130"/>
      <c r="V251" s="130"/>
      <c r="W251" s="130"/>
      <c r="X251" s="130"/>
      <c r="Y251" s="130"/>
      <c r="Z251" s="130"/>
      <c r="AA251" s="130"/>
      <c r="AB251" s="130">
        <f t="shared" si="136"/>
        <v>0</v>
      </c>
      <c r="AC251" s="130"/>
      <c r="AD251" s="130"/>
      <c r="AE251" s="130"/>
      <c r="AF251" s="130"/>
      <c r="AG251" s="130"/>
      <c r="AH251" s="130">
        <v>-100</v>
      </c>
      <c r="AI251" s="130"/>
      <c r="AJ251" s="130"/>
      <c r="AK251" s="130"/>
      <c r="AL251" s="130"/>
      <c r="AM251" s="130"/>
      <c r="AN251" s="130">
        <f t="shared" si="137"/>
        <v>-100</v>
      </c>
      <c r="AO251" s="130"/>
      <c r="AP251" s="130">
        <f t="shared" si="138"/>
        <v>0</v>
      </c>
      <c r="AQ251" s="130">
        <f t="shared" si="139"/>
        <v>0</v>
      </c>
      <c r="AR251" s="130">
        <f t="shared" si="140"/>
        <v>0</v>
      </c>
      <c r="AS251" s="130">
        <f t="shared" si="141"/>
        <v>0</v>
      </c>
      <c r="AT251" s="130">
        <f t="shared" si="142"/>
        <v>-100</v>
      </c>
      <c r="AU251" s="130">
        <f t="shared" si="143"/>
        <v>0</v>
      </c>
      <c r="AV251" s="130">
        <f t="shared" si="144"/>
        <v>0</v>
      </c>
      <c r="AW251" s="130">
        <f t="shared" si="145"/>
        <v>0</v>
      </c>
      <c r="AX251" s="130">
        <f t="shared" si="146"/>
        <v>0</v>
      </c>
      <c r="AY251" s="130">
        <f t="shared" si="147"/>
        <v>0</v>
      </c>
      <c r="AZ251" s="130">
        <f t="shared" si="148"/>
        <v>-100</v>
      </c>
      <c r="BB251" s="109">
        <f t="shared" si="152"/>
        <v>0</v>
      </c>
    </row>
    <row r="252" spans="1:54" ht="63.75" customHeight="1" x14ac:dyDescent="0.25">
      <c r="A252" s="132"/>
      <c r="B252" s="353" t="s">
        <v>937</v>
      </c>
      <c r="C252" s="129"/>
      <c r="D252" s="130"/>
      <c r="E252" s="130"/>
      <c r="F252" s="130"/>
      <c r="G252" s="264">
        <v>-150</v>
      </c>
      <c r="H252" s="124">
        <f t="shared" si="180"/>
        <v>-150</v>
      </c>
      <c r="I252" s="129"/>
      <c r="J252" s="129"/>
      <c r="K252" s="131"/>
      <c r="L252" s="127">
        <f t="shared" si="181"/>
        <v>0</v>
      </c>
      <c r="M252" s="129"/>
      <c r="N252" s="131"/>
      <c r="O252" s="262"/>
      <c r="P252" s="542">
        <f t="shared" si="182"/>
        <v>-150</v>
      </c>
      <c r="R252" s="130"/>
      <c r="S252" s="130"/>
      <c r="T252" s="130"/>
      <c r="U252" s="130"/>
      <c r="V252" s="130"/>
      <c r="W252" s="130"/>
      <c r="X252" s="130"/>
      <c r="Y252" s="130"/>
      <c r="Z252" s="130"/>
      <c r="AA252" s="130"/>
      <c r="AB252" s="130">
        <f t="shared" si="136"/>
        <v>0</v>
      </c>
      <c r="AC252" s="130"/>
      <c r="AD252" s="130"/>
      <c r="AE252" s="130"/>
      <c r="AF252" s="130"/>
      <c r="AG252" s="130"/>
      <c r="AH252" s="130">
        <v>-150</v>
      </c>
      <c r="AI252" s="130"/>
      <c r="AJ252" s="130"/>
      <c r="AK252" s="130"/>
      <c r="AL252" s="130"/>
      <c r="AM252" s="130"/>
      <c r="AN252" s="130">
        <f t="shared" si="137"/>
        <v>-150</v>
      </c>
      <c r="AO252" s="130"/>
      <c r="AP252" s="130">
        <f t="shared" si="138"/>
        <v>0</v>
      </c>
      <c r="AQ252" s="130">
        <f t="shared" si="139"/>
        <v>0</v>
      </c>
      <c r="AR252" s="130">
        <f t="shared" si="140"/>
        <v>0</v>
      </c>
      <c r="AS252" s="130">
        <f t="shared" si="141"/>
        <v>0</v>
      </c>
      <c r="AT252" s="130">
        <f t="shared" si="142"/>
        <v>-150</v>
      </c>
      <c r="AU252" s="130">
        <f t="shared" si="143"/>
        <v>0</v>
      </c>
      <c r="AV252" s="130">
        <f t="shared" si="144"/>
        <v>0</v>
      </c>
      <c r="AW252" s="130">
        <f t="shared" si="145"/>
        <v>0</v>
      </c>
      <c r="AX252" s="130">
        <f t="shared" si="146"/>
        <v>0</v>
      </c>
      <c r="AY252" s="130">
        <f t="shared" si="147"/>
        <v>0</v>
      </c>
      <c r="AZ252" s="130">
        <f t="shared" si="148"/>
        <v>-150</v>
      </c>
      <c r="BB252" s="109">
        <f t="shared" si="152"/>
        <v>0</v>
      </c>
    </row>
    <row r="253" spans="1:54" ht="78.75" x14ac:dyDescent="0.25">
      <c r="A253" s="132"/>
      <c r="B253" s="353" t="s">
        <v>936</v>
      </c>
      <c r="C253" s="129"/>
      <c r="D253" s="130"/>
      <c r="E253" s="130"/>
      <c r="F253" s="130"/>
      <c r="G253" s="264">
        <v>-100</v>
      </c>
      <c r="H253" s="124">
        <f t="shared" si="180"/>
        <v>-100</v>
      </c>
      <c r="I253" s="129"/>
      <c r="J253" s="129"/>
      <c r="K253" s="131"/>
      <c r="L253" s="127">
        <f t="shared" si="181"/>
        <v>0</v>
      </c>
      <c r="M253" s="129"/>
      <c r="N253" s="131"/>
      <c r="O253" s="262"/>
      <c r="P253" s="542">
        <f t="shared" si="182"/>
        <v>-100</v>
      </c>
      <c r="R253" s="130"/>
      <c r="S253" s="130"/>
      <c r="T253" s="130"/>
      <c r="U253" s="130"/>
      <c r="V253" s="130"/>
      <c r="W253" s="130"/>
      <c r="X253" s="130"/>
      <c r="Y253" s="130"/>
      <c r="Z253" s="130"/>
      <c r="AA253" s="130"/>
      <c r="AB253" s="130">
        <f t="shared" si="136"/>
        <v>0</v>
      </c>
      <c r="AC253" s="130"/>
      <c r="AD253" s="130"/>
      <c r="AE253" s="130"/>
      <c r="AF253" s="130"/>
      <c r="AG253" s="130"/>
      <c r="AH253" s="130">
        <v>-100</v>
      </c>
      <c r="AI253" s="130"/>
      <c r="AJ253" s="130"/>
      <c r="AK253" s="130"/>
      <c r="AL253" s="130"/>
      <c r="AM253" s="130"/>
      <c r="AN253" s="130">
        <f t="shared" si="137"/>
        <v>-100</v>
      </c>
      <c r="AO253" s="130"/>
      <c r="AP253" s="130">
        <f t="shared" si="138"/>
        <v>0</v>
      </c>
      <c r="AQ253" s="130">
        <f t="shared" si="139"/>
        <v>0</v>
      </c>
      <c r="AR253" s="130">
        <f t="shared" si="140"/>
        <v>0</v>
      </c>
      <c r="AS253" s="130">
        <f t="shared" si="141"/>
        <v>0</v>
      </c>
      <c r="AT253" s="130">
        <f t="shared" si="142"/>
        <v>-100</v>
      </c>
      <c r="AU253" s="130">
        <f t="shared" si="143"/>
        <v>0</v>
      </c>
      <c r="AV253" s="130">
        <f t="shared" si="144"/>
        <v>0</v>
      </c>
      <c r="AW253" s="130">
        <f t="shared" si="145"/>
        <v>0</v>
      </c>
      <c r="AX253" s="130">
        <f t="shared" si="146"/>
        <v>0</v>
      </c>
      <c r="AY253" s="130">
        <f t="shared" si="147"/>
        <v>0</v>
      </c>
      <c r="AZ253" s="130">
        <f t="shared" si="148"/>
        <v>-100</v>
      </c>
      <c r="BB253" s="109">
        <f t="shared" si="152"/>
        <v>0</v>
      </c>
    </row>
    <row r="254" spans="1:54" ht="78.75" x14ac:dyDescent="0.25">
      <c r="A254" s="132"/>
      <c r="B254" s="353" t="s">
        <v>935</v>
      </c>
      <c r="C254" s="129"/>
      <c r="D254" s="130"/>
      <c r="E254" s="130"/>
      <c r="F254" s="130"/>
      <c r="G254" s="264">
        <v>-50</v>
      </c>
      <c r="H254" s="124">
        <f t="shared" si="180"/>
        <v>-50</v>
      </c>
      <c r="I254" s="129"/>
      <c r="J254" s="129"/>
      <c r="K254" s="131"/>
      <c r="L254" s="127">
        <f t="shared" si="181"/>
        <v>0</v>
      </c>
      <c r="M254" s="129"/>
      <c r="N254" s="131"/>
      <c r="O254" s="262"/>
      <c r="P254" s="542">
        <f t="shared" si="182"/>
        <v>-50</v>
      </c>
      <c r="R254" s="130"/>
      <c r="S254" s="130"/>
      <c r="T254" s="130"/>
      <c r="U254" s="130"/>
      <c r="V254" s="130"/>
      <c r="W254" s="130"/>
      <c r="X254" s="130"/>
      <c r="Y254" s="130"/>
      <c r="Z254" s="130"/>
      <c r="AA254" s="130"/>
      <c r="AB254" s="130">
        <f t="shared" si="136"/>
        <v>0</v>
      </c>
      <c r="AC254" s="130"/>
      <c r="AD254" s="130"/>
      <c r="AE254" s="130"/>
      <c r="AF254" s="130"/>
      <c r="AG254" s="130"/>
      <c r="AH254" s="130">
        <v>-50</v>
      </c>
      <c r="AI254" s="130"/>
      <c r="AJ254" s="130"/>
      <c r="AK254" s="130"/>
      <c r="AL254" s="130"/>
      <c r="AM254" s="130"/>
      <c r="AN254" s="130">
        <f t="shared" si="137"/>
        <v>-50</v>
      </c>
      <c r="AO254" s="130"/>
      <c r="AP254" s="130">
        <f t="shared" si="138"/>
        <v>0</v>
      </c>
      <c r="AQ254" s="130">
        <f t="shared" si="139"/>
        <v>0</v>
      </c>
      <c r="AR254" s="130">
        <f t="shared" si="140"/>
        <v>0</v>
      </c>
      <c r="AS254" s="130">
        <f t="shared" si="141"/>
        <v>0</v>
      </c>
      <c r="AT254" s="130">
        <f t="shared" si="142"/>
        <v>-50</v>
      </c>
      <c r="AU254" s="130">
        <f t="shared" si="143"/>
        <v>0</v>
      </c>
      <c r="AV254" s="130">
        <f t="shared" si="144"/>
        <v>0</v>
      </c>
      <c r="AW254" s="130">
        <f t="shared" si="145"/>
        <v>0</v>
      </c>
      <c r="AX254" s="130">
        <f t="shared" si="146"/>
        <v>0</v>
      </c>
      <c r="AY254" s="130">
        <f t="shared" si="147"/>
        <v>0</v>
      </c>
      <c r="AZ254" s="130">
        <f t="shared" si="148"/>
        <v>-50</v>
      </c>
      <c r="BB254" s="109">
        <f t="shared" si="152"/>
        <v>0</v>
      </c>
    </row>
    <row r="255" spans="1:54" ht="78.75" x14ac:dyDescent="0.25">
      <c r="A255" s="132"/>
      <c r="B255" s="353" t="s">
        <v>934</v>
      </c>
      <c r="C255" s="129"/>
      <c r="D255" s="130"/>
      <c r="E255" s="130"/>
      <c r="F255" s="130"/>
      <c r="G255" s="264">
        <v>-100</v>
      </c>
      <c r="H255" s="124">
        <f t="shared" si="180"/>
        <v>-100</v>
      </c>
      <c r="I255" s="129"/>
      <c r="J255" s="129"/>
      <c r="K255" s="131"/>
      <c r="L255" s="127">
        <f t="shared" si="181"/>
        <v>0</v>
      </c>
      <c r="M255" s="129"/>
      <c r="N255" s="131"/>
      <c r="O255" s="262"/>
      <c r="P255" s="542">
        <f t="shared" si="182"/>
        <v>-100</v>
      </c>
      <c r="R255" s="130"/>
      <c r="S255" s="130"/>
      <c r="T255" s="130"/>
      <c r="U255" s="130"/>
      <c r="V255" s="130"/>
      <c r="W255" s="130"/>
      <c r="X255" s="130"/>
      <c r="Y255" s="130"/>
      <c r="Z255" s="130"/>
      <c r="AA255" s="130"/>
      <c r="AB255" s="130">
        <f t="shared" si="136"/>
        <v>0</v>
      </c>
      <c r="AC255" s="130"/>
      <c r="AD255" s="130"/>
      <c r="AE255" s="130"/>
      <c r="AF255" s="130"/>
      <c r="AG255" s="130"/>
      <c r="AH255" s="130">
        <v>-100</v>
      </c>
      <c r="AI255" s="130"/>
      <c r="AJ255" s="130"/>
      <c r="AK255" s="130"/>
      <c r="AL255" s="130"/>
      <c r="AM255" s="130"/>
      <c r="AN255" s="130">
        <f t="shared" si="137"/>
        <v>-100</v>
      </c>
      <c r="AO255" s="130"/>
      <c r="AP255" s="130">
        <f t="shared" si="138"/>
        <v>0</v>
      </c>
      <c r="AQ255" s="130">
        <f t="shared" si="139"/>
        <v>0</v>
      </c>
      <c r="AR255" s="130">
        <f t="shared" si="140"/>
        <v>0</v>
      </c>
      <c r="AS255" s="130">
        <f t="shared" si="141"/>
        <v>0</v>
      </c>
      <c r="AT255" s="130">
        <f t="shared" si="142"/>
        <v>-100</v>
      </c>
      <c r="AU255" s="130">
        <f t="shared" si="143"/>
        <v>0</v>
      </c>
      <c r="AV255" s="130">
        <f t="shared" si="144"/>
        <v>0</v>
      </c>
      <c r="AW255" s="130">
        <f t="shared" si="145"/>
        <v>0</v>
      </c>
      <c r="AX255" s="130">
        <f t="shared" si="146"/>
        <v>0</v>
      </c>
      <c r="AY255" s="130">
        <f t="shared" si="147"/>
        <v>0</v>
      </c>
      <c r="AZ255" s="130">
        <f t="shared" si="148"/>
        <v>-100</v>
      </c>
      <c r="BB255" s="109">
        <f t="shared" si="152"/>
        <v>0</v>
      </c>
    </row>
    <row r="256" spans="1:54" x14ac:dyDescent="0.25">
      <c r="A256" s="132"/>
      <c r="B256" s="353"/>
      <c r="C256" s="129"/>
      <c r="D256" s="130"/>
      <c r="E256" s="130"/>
      <c r="F256" s="130"/>
      <c r="G256" s="264"/>
      <c r="H256" s="124"/>
      <c r="I256" s="129"/>
      <c r="J256" s="129"/>
      <c r="K256" s="131"/>
      <c r="L256" s="127"/>
      <c r="M256" s="129"/>
      <c r="N256" s="131"/>
      <c r="O256" s="262"/>
      <c r="P256" s="542"/>
      <c r="R256" s="130"/>
      <c r="S256" s="130"/>
      <c r="T256" s="130"/>
      <c r="U256" s="130"/>
      <c r="V256" s="130"/>
      <c r="W256" s="130"/>
      <c r="X256" s="130"/>
      <c r="Y256" s="130"/>
      <c r="Z256" s="130"/>
      <c r="AA256" s="130"/>
      <c r="AB256" s="130">
        <f t="shared" si="136"/>
        <v>0</v>
      </c>
      <c r="AC256" s="130"/>
      <c r="AD256" s="130"/>
      <c r="AE256" s="130"/>
      <c r="AF256" s="130"/>
      <c r="AG256" s="130"/>
      <c r="AH256" s="130"/>
      <c r="AI256" s="130"/>
      <c r="AJ256" s="130"/>
      <c r="AK256" s="130"/>
      <c r="AL256" s="130"/>
      <c r="AM256" s="130"/>
      <c r="AN256" s="130">
        <f t="shared" si="137"/>
        <v>0</v>
      </c>
      <c r="AO256" s="130"/>
      <c r="AP256" s="130">
        <f t="shared" si="138"/>
        <v>0</v>
      </c>
      <c r="AQ256" s="130">
        <f t="shared" si="139"/>
        <v>0</v>
      </c>
      <c r="AR256" s="130">
        <f t="shared" si="140"/>
        <v>0</v>
      </c>
      <c r="AS256" s="130">
        <f t="shared" si="141"/>
        <v>0</v>
      </c>
      <c r="AT256" s="130">
        <f t="shared" si="142"/>
        <v>0</v>
      </c>
      <c r="AU256" s="130">
        <f t="shared" si="143"/>
        <v>0</v>
      </c>
      <c r="AV256" s="130">
        <f t="shared" si="144"/>
        <v>0</v>
      </c>
      <c r="AW256" s="130">
        <f t="shared" si="145"/>
        <v>0</v>
      </c>
      <c r="AX256" s="130">
        <f t="shared" si="146"/>
        <v>0</v>
      </c>
      <c r="AY256" s="130">
        <f t="shared" si="147"/>
        <v>0</v>
      </c>
      <c r="AZ256" s="130">
        <f t="shared" si="148"/>
        <v>0</v>
      </c>
      <c r="BB256" s="109">
        <f t="shared" si="152"/>
        <v>0</v>
      </c>
    </row>
    <row r="257" spans="1:54" x14ac:dyDescent="0.25">
      <c r="A257" s="132"/>
      <c r="B257" s="547" t="s">
        <v>71</v>
      </c>
      <c r="C257" s="129"/>
      <c r="D257" s="130"/>
      <c r="E257" s="130"/>
      <c r="F257" s="130"/>
      <c r="G257" s="264"/>
      <c r="H257" s="124"/>
      <c r="I257" s="129"/>
      <c r="J257" s="129"/>
      <c r="K257" s="131"/>
      <c r="L257" s="127"/>
      <c r="M257" s="129"/>
      <c r="N257" s="131"/>
      <c r="O257" s="262"/>
      <c r="P257" s="542"/>
      <c r="R257" s="130"/>
      <c r="S257" s="130"/>
      <c r="T257" s="130"/>
      <c r="U257" s="130"/>
      <c r="V257" s="130"/>
      <c r="W257" s="130"/>
      <c r="X257" s="130"/>
      <c r="Y257" s="130"/>
      <c r="Z257" s="130"/>
      <c r="AA257" s="130"/>
      <c r="AB257" s="130">
        <f t="shared" si="136"/>
        <v>0</v>
      </c>
      <c r="AC257" s="130"/>
      <c r="AD257" s="130"/>
      <c r="AE257" s="130"/>
      <c r="AF257" s="130"/>
      <c r="AG257" s="130"/>
      <c r="AH257" s="130"/>
      <c r="AI257" s="130"/>
      <c r="AJ257" s="130"/>
      <c r="AK257" s="130"/>
      <c r="AL257" s="130"/>
      <c r="AM257" s="130"/>
      <c r="AN257" s="130">
        <f t="shared" si="137"/>
        <v>0</v>
      </c>
      <c r="AO257" s="130"/>
      <c r="AP257" s="130">
        <f t="shared" si="138"/>
        <v>0</v>
      </c>
      <c r="AQ257" s="130">
        <f t="shared" si="139"/>
        <v>0</v>
      </c>
      <c r="AR257" s="130">
        <f t="shared" si="140"/>
        <v>0</v>
      </c>
      <c r="AS257" s="130">
        <f t="shared" si="141"/>
        <v>0</v>
      </c>
      <c r="AT257" s="130">
        <f t="shared" si="142"/>
        <v>0</v>
      </c>
      <c r="AU257" s="130">
        <f t="shared" si="143"/>
        <v>0</v>
      </c>
      <c r="AV257" s="130">
        <f t="shared" si="144"/>
        <v>0</v>
      </c>
      <c r="AW257" s="130">
        <f t="shared" si="145"/>
        <v>0</v>
      </c>
      <c r="AX257" s="130">
        <f t="shared" si="146"/>
        <v>0</v>
      </c>
      <c r="AY257" s="130">
        <f t="shared" si="147"/>
        <v>0</v>
      </c>
      <c r="AZ257" s="130">
        <f t="shared" si="148"/>
        <v>0</v>
      </c>
      <c r="BB257" s="109">
        <f t="shared" si="152"/>
        <v>0</v>
      </c>
    </row>
    <row r="258" spans="1:54" x14ac:dyDescent="0.25">
      <c r="A258" s="132"/>
      <c r="B258" s="351" t="s">
        <v>412</v>
      </c>
      <c r="C258" s="129"/>
      <c r="D258" s="130"/>
      <c r="E258" s="130"/>
      <c r="F258" s="130"/>
      <c r="G258" s="140">
        <v>830</v>
      </c>
      <c r="H258" s="124">
        <f t="shared" ref="H258" si="183">SUM(C258:G258)</f>
        <v>830</v>
      </c>
      <c r="I258" s="349"/>
      <c r="J258" s="349"/>
      <c r="K258" s="352">
        <v>-830</v>
      </c>
      <c r="L258" s="127">
        <f t="shared" ref="L258" si="184">SUM(I258:K258)</f>
        <v>-830</v>
      </c>
      <c r="M258" s="349"/>
      <c r="N258" s="352"/>
      <c r="O258" s="350"/>
      <c r="P258" s="542">
        <f t="shared" ref="P258" si="185">O258+L258+H258</f>
        <v>0</v>
      </c>
      <c r="R258" s="130"/>
      <c r="S258" s="130"/>
      <c r="T258" s="130"/>
      <c r="U258" s="130"/>
      <c r="V258" s="130">
        <v>830</v>
      </c>
      <c r="W258" s="130"/>
      <c r="X258" s="130"/>
      <c r="Y258" s="130">
        <v>-830</v>
      </c>
      <c r="Z258" s="130"/>
      <c r="AA258" s="130"/>
      <c r="AB258" s="130">
        <f t="shared" si="136"/>
        <v>0</v>
      </c>
      <c r="AC258" s="130"/>
      <c r="AD258" s="130"/>
      <c r="AE258" s="130"/>
      <c r="AF258" s="130"/>
      <c r="AG258" s="130"/>
      <c r="AH258" s="130"/>
      <c r="AI258" s="130"/>
      <c r="AJ258" s="130"/>
      <c r="AK258" s="130"/>
      <c r="AL258" s="130"/>
      <c r="AM258" s="130"/>
      <c r="AN258" s="130">
        <f t="shared" si="137"/>
        <v>0</v>
      </c>
      <c r="AO258" s="130"/>
      <c r="AP258" s="130">
        <f t="shared" si="138"/>
        <v>0</v>
      </c>
      <c r="AQ258" s="130">
        <f t="shared" si="139"/>
        <v>0</v>
      </c>
      <c r="AR258" s="130">
        <f t="shared" si="140"/>
        <v>0</v>
      </c>
      <c r="AS258" s="130">
        <f t="shared" si="141"/>
        <v>0</v>
      </c>
      <c r="AT258" s="130">
        <f t="shared" si="142"/>
        <v>830</v>
      </c>
      <c r="AU258" s="130">
        <f t="shared" si="143"/>
        <v>0</v>
      </c>
      <c r="AV258" s="130">
        <f t="shared" si="144"/>
        <v>0</v>
      </c>
      <c r="AW258" s="130">
        <f t="shared" si="145"/>
        <v>-830</v>
      </c>
      <c r="AX258" s="130">
        <f t="shared" si="146"/>
        <v>0</v>
      </c>
      <c r="AY258" s="130">
        <f t="shared" si="147"/>
        <v>0</v>
      </c>
      <c r="AZ258" s="130">
        <f t="shared" si="148"/>
        <v>0</v>
      </c>
      <c r="BB258" s="109">
        <f t="shared" si="152"/>
        <v>0</v>
      </c>
    </row>
    <row r="259" spans="1:54" ht="16.5" thickBot="1" x14ac:dyDescent="0.3">
      <c r="A259" s="132"/>
      <c r="B259" s="353"/>
      <c r="C259" s="129"/>
      <c r="D259" s="130"/>
      <c r="E259" s="130"/>
      <c r="F259" s="130"/>
      <c r="G259" s="264"/>
      <c r="H259" s="124"/>
      <c r="I259" s="129"/>
      <c r="J259" s="129"/>
      <c r="K259" s="131"/>
      <c r="L259" s="127"/>
      <c r="M259" s="129"/>
      <c r="N259" s="131"/>
      <c r="O259" s="262"/>
      <c r="P259" s="542"/>
      <c r="R259" s="130"/>
      <c r="S259" s="130"/>
      <c r="T259" s="130"/>
      <c r="U259" s="130"/>
      <c r="V259" s="130"/>
      <c r="W259" s="130"/>
      <c r="X259" s="130"/>
      <c r="Y259" s="130"/>
      <c r="Z259" s="130"/>
      <c r="AA259" s="130"/>
      <c r="AB259" s="130">
        <f t="shared" si="136"/>
        <v>0</v>
      </c>
      <c r="AC259" s="130"/>
      <c r="AD259" s="130"/>
      <c r="AE259" s="130"/>
      <c r="AF259" s="130"/>
      <c r="AG259" s="130"/>
      <c r="AH259" s="130"/>
      <c r="AI259" s="130"/>
      <c r="AJ259" s="130"/>
      <c r="AK259" s="130"/>
      <c r="AL259" s="130"/>
      <c r="AM259" s="130"/>
      <c r="AN259" s="130">
        <f t="shared" si="137"/>
        <v>0</v>
      </c>
      <c r="AO259" s="130"/>
      <c r="AP259" s="130">
        <f t="shared" si="138"/>
        <v>0</v>
      </c>
      <c r="AQ259" s="130">
        <f t="shared" si="139"/>
        <v>0</v>
      </c>
      <c r="AR259" s="130">
        <f t="shared" si="140"/>
        <v>0</v>
      </c>
      <c r="AS259" s="130">
        <f t="shared" si="141"/>
        <v>0</v>
      </c>
      <c r="AT259" s="130">
        <f t="shared" si="142"/>
        <v>0</v>
      </c>
      <c r="AU259" s="130">
        <f t="shared" si="143"/>
        <v>0</v>
      </c>
      <c r="AV259" s="130">
        <f t="shared" si="144"/>
        <v>0</v>
      </c>
      <c r="AW259" s="130">
        <f t="shared" si="145"/>
        <v>0</v>
      </c>
      <c r="AX259" s="130">
        <f t="shared" si="146"/>
        <v>0</v>
      </c>
      <c r="AY259" s="130">
        <f t="shared" si="147"/>
        <v>0</v>
      </c>
      <c r="AZ259" s="130">
        <f t="shared" si="148"/>
        <v>0</v>
      </c>
      <c r="BB259" s="109">
        <f t="shared" si="152"/>
        <v>0</v>
      </c>
    </row>
    <row r="260" spans="1:54" ht="16.5" thickBot="1" x14ac:dyDescent="0.3">
      <c r="A260" s="141" t="s">
        <v>43</v>
      </c>
      <c r="B260" s="142" t="s">
        <v>44</v>
      </c>
      <c r="C260" s="143">
        <f t="shared" ref="C260:P260" si="186">SUM(C11:C259)</f>
        <v>412244</v>
      </c>
      <c r="D260" s="143">
        <f t="shared" si="186"/>
        <v>96470</v>
      </c>
      <c r="E260" s="143">
        <f t="shared" si="186"/>
        <v>7887614</v>
      </c>
      <c r="F260" s="143">
        <f t="shared" si="186"/>
        <v>44151</v>
      </c>
      <c r="G260" s="143">
        <f t="shared" si="186"/>
        <v>14564290</v>
      </c>
      <c r="H260" s="143">
        <f t="shared" si="186"/>
        <v>23004769</v>
      </c>
      <c r="I260" s="143">
        <f t="shared" si="186"/>
        <v>25062938</v>
      </c>
      <c r="J260" s="143">
        <f t="shared" si="186"/>
        <v>1517714</v>
      </c>
      <c r="K260" s="143">
        <f t="shared" si="186"/>
        <v>1340855</v>
      </c>
      <c r="L260" s="143">
        <f t="shared" si="186"/>
        <v>27921507</v>
      </c>
      <c r="M260" s="143">
        <f t="shared" si="186"/>
        <v>40356</v>
      </c>
      <c r="N260" s="143">
        <f t="shared" si="186"/>
        <v>2171368</v>
      </c>
      <c r="O260" s="143">
        <f t="shared" si="186"/>
        <v>2211724</v>
      </c>
      <c r="P260" s="897">
        <f t="shared" si="186"/>
        <v>53138000</v>
      </c>
      <c r="R260" s="130">
        <f t="shared" ref="R260:AA260" si="187">SUM(R17:R259)</f>
        <v>-53915</v>
      </c>
      <c r="S260" s="130">
        <f t="shared" si="187"/>
        <v>-12968</v>
      </c>
      <c r="T260" s="130">
        <f t="shared" si="187"/>
        <v>-280071</v>
      </c>
      <c r="U260" s="130">
        <f t="shared" si="187"/>
        <v>3137</v>
      </c>
      <c r="V260" s="130">
        <f t="shared" si="187"/>
        <v>39104</v>
      </c>
      <c r="W260" s="130">
        <f t="shared" si="187"/>
        <v>-574171</v>
      </c>
      <c r="X260" s="130">
        <f t="shared" si="187"/>
        <v>-724866</v>
      </c>
      <c r="Y260" s="130">
        <f t="shared" si="187"/>
        <v>-830</v>
      </c>
      <c r="Z260" s="130">
        <f t="shared" si="187"/>
        <v>0</v>
      </c>
      <c r="AA260" s="130">
        <f t="shared" si="187"/>
        <v>0</v>
      </c>
      <c r="AB260" s="130">
        <f t="shared" si="136"/>
        <v>-1604580</v>
      </c>
      <c r="AC260" s="130">
        <f t="shared" ref="AC260:AM260" si="188">SUM(AC17:AC259)</f>
        <v>0</v>
      </c>
      <c r="AD260" s="130">
        <f t="shared" si="188"/>
        <v>-16494</v>
      </c>
      <c r="AE260" s="130">
        <f t="shared" si="188"/>
        <v>-6879</v>
      </c>
      <c r="AF260" s="130">
        <f t="shared" si="188"/>
        <v>-712791</v>
      </c>
      <c r="AG260" s="130">
        <f t="shared" si="188"/>
        <v>0</v>
      </c>
      <c r="AH260" s="130">
        <f t="shared" si="188"/>
        <v>46448</v>
      </c>
      <c r="AI260" s="130">
        <f t="shared" si="188"/>
        <v>-3331854</v>
      </c>
      <c r="AJ260" s="130">
        <f t="shared" si="188"/>
        <v>-1714910</v>
      </c>
      <c r="AK260" s="130">
        <f t="shared" si="188"/>
        <v>0</v>
      </c>
      <c r="AL260" s="130">
        <f t="shared" si="188"/>
        <v>0</v>
      </c>
      <c r="AM260" s="130">
        <f t="shared" si="188"/>
        <v>0</v>
      </c>
      <c r="AN260" s="130">
        <f t="shared" si="137"/>
        <v>-5736480</v>
      </c>
      <c r="AO260" s="130"/>
      <c r="AP260" s="130">
        <f t="shared" si="138"/>
        <v>-70409</v>
      </c>
      <c r="AQ260" s="130">
        <f t="shared" si="139"/>
        <v>-19847</v>
      </c>
      <c r="AR260" s="130">
        <f t="shared" si="140"/>
        <v>-992862</v>
      </c>
      <c r="AS260" s="130">
        <f t="shared" si="141"/>
        <v>3137</v>
      </c>
      <c r="AT260" s="130">
        <f t="shared" si="142"/>
        <v>85552</v>
      </c>
      <c r="AU260" s="130">
        <f t="shared" si="143"/>
        <v>-3906025</v>
      </c>
      <c r="AV260" s="130">
        <f t="shared" si="144"/>
        <v>-2439776</v>
      </c>
      <c r="AW260" s="130">
        <f t="shared" si="145"/>
        <v>-830</v>
      </c>
      <c r="AX260" s="130">
        <f t="shared" si="146"/>
        <v>0</v>
      </c>
      <c r="AY260" s="130">
        <f t="shared" si="147"/>
        <v>0</v>
      </c>
      <c r="AZ260" s="130">
        <f t="shared" si="148"/>
        <v>-7341060</v>
      </c>
    </row>
    <row r="261" spans="1:54" x14ac:dyDescent="0.25">
      <c r="A261" s="128"/>
      <c r="B261" s="123" t="s">
        <v>45</v>
      </c>
      <c r="C261" s="129"/>
      <c r="D261" s="130"/>
      <c r="E261" s="130"/>
      <c r="F261" s="131"/>
      <c r="G261" s="131"/>
      <c r="H261" s="127"/>
      <c r="I261" s="129"/>
      <c r="J261" s="129"/>
      <c r="K261" s="131"/>
      <c r="L261" s="127"/>
      <c r="M261" s="129"/>
      <c r="N261" s="134"/>
      <c r="O261" s="127"/>
      <c r="P261" s="542"/>
      <c r="R261" s="130"/>
      <c r="S261" s="130"/>
      <c r="T261" s="130"/>
      <c r="U261" s="130"/>
      <c r="V261" s="130"/>
      <c r="W261" s="130"/>
      <c r="X261" s="130"/>
      <c r="Y261" s="130"/>
      <c r="Z261" s="130"/>
      <c r="AA261" s="130"/>
      <c r="AB261" s="130">
        <f t="shared" si="136"/>
        <v>0</v>
      </c>
      <c r="AC261" s="130"/>
      <c r="AD261" s="130"/>
      <c r="AE261" s="130"/>
      <c r="AF261" s="130"/>
      <c r="AG261" s="130"/>
      <c r="AH261" s="130"/>
      <c r="AI261" s="130"/>
      <c r="AJ261" s="130"/>
      <c r="AK261" s="130"/>
      <c r="AL261" s="130"/>
      <c r="AM261" s="130"/>
      <c r="AN261" s="130">
        <f t="shared" si="137"/>
        <v>0</v>
      </c>
      <c r="AO261" s="130"/>
      <c r="AP261" s="130">
        <f t="shared" si="138"/>
        <v>0</v>
      </c>
      <c r="AQ261" s="130">
        <f t="shared" si="139"/>
        <v>0</v>
      </c>
      <c r="AR261" s="130">
        <f t="shared" si="140"/>
        <v>0</v>
      </c>
      <c r="AS261" s="130">
        <f t="shared" si="141"/>
        <v>0</v>
      </c>
      <c r="AT261" s="130">
        <f t="shared" si="142"/>
        <v>0</v>
      </c>
      <c r="AU261" s="130">
        <f t="shared" si="143"/>
        <v>0</v>
      </c>
      <c r="AV261" s="130">
        <f t="shared" si="144"/>
        <v>0</v>
      </c>
      <c r="AW261" s="130">
        <f t="shared" si="145"/>
        <v>0</v>
      </c>
      <c r="AX261" s="130">
        <f t="shared" si="146"/>
        <v>0</v>
      </c>
      <c r="AY261" s="130">
        <f t="shared" si="147"/>
        <v>0</v>
      </c>
      <c r="AZ261" s="130">
        <f t="shared" si="148"/>
        <v>0</v>
      </c>
      <c r="BB261" s="109">
        <f t="shared" si="152"/>
        <v>0</v>
      </c>
    </row>
    <row r="262" spans="1:54" x14ac:dyDescent="0.25">
      <c r="A262" s="128"/>
      <c r="B262" s="559" t="s">
        <v>493</v>
      </c>
      <c r="C262" s="129"/>
      <c r="D262" s="130"/>
      <c r="E262" s="130"/>
      <c r="F262" s="131"/>
      <c r="G262" s="131"/>
      <c r="H262" s="127"/>
      <c r="I262" s="129"/>
      <c r="J262" s="129"/>
      <c r="K262" s="131"/>
      <c r="L262" s="127"/>
      <c r="M262" s="129"/>
      <c r="N262" s="134"/>
      <c r="O262" s="127"/>
      <c r="P262" s="542"/>
      <c r="R262" s="130"/>
      <c r="S262" s="130"/>
      <c r="T262" s="130"/>
      <c r="U262" s="130"/>
      <c r="V262" s="130"/>
      <c r="W262" s="130"/>
      <c r="X262" s="130"/>
      <c r="Y262" s="130"/>
      <c r="Z262" s="130"/>
      <c r="AA262" s="130"/>
      <c r="AB262" s="130">
        <f t="shared" si="136"/>
        <v>0</v>
      </c>
      <c r="AC262" s="130"/>
      <c r="AD262" s="130"/>
      <c r="AE262" s="130"/>
      <c r="AF262" s="130"/>
      <c r="AG262" s="130"/>
      <c r="AH262" s="130"/>
      <c r="AI262" s="130"/>
      <c r="AJ262" s="130"/>
      <c r="AK262" s="130"/>
      <c r="AL262" s="130"/>
      <c r="AM262" s="130"/>
      <c r="AN262" s="130">
        <f t="shared" si="137"/>
        <v>0</v>
      </c>
      <c r="AO262" s="130"/>
      <c r="AP262" s="130">
        <f t="shared" si="138"/>
        <v>0</v>
      </c>
      <c r="AQ262" s="130">
        <f t="shared" si="139"/>
        <v>0</v>
      </c>
      <c r="AR262" s="130">
        <f t="shared" si="140"/>
        <v>0</v>
      </c>
      <c r="AS262" s="130">
        <f t="shared" si="141"/>
        <v>0</v>
      </c>
      <c r="AT262" s="130">
        <f t="shared" si="142"/>
        <v>0</v>
      </c>
      <c r="AU262" s="130">
        <f t="shared" si="143"/>
        <v>0</v>
      </c>
      <c r="AV262" s="130">
        <f t="shared" si="144"/>
        <v>0</v>
      </c>
      <c r="AW262" s="130">
        <f t="shared" si="145"/>
        <v>0</v>
      </c>
      <c r="AX262" s="130">
        <f t="shared" si="146"/>
        <v>0</v>
      </c>
      <c r="AY262" s="130">
        <f t="shared" si="147"/>
        <v>0</v>
      </c>
      <c r="AZ262" s="130">
        <f t="shared" si="148"/>
        <v>0</v>
      </c>
      <c r="BB262" s="109">
        <f t="shared" si="152"/>
        <v>0</v>
      </c>
    </row>
    <row r="263" spans="1:54" ht="31.5" x14ac:dyDescent="0.25">
      <c r="A263" s="128"/>
      <c r="B263" s="589" t="s">
        <v>1016</v>
      </c>
      <c r="C263" s="129"/>
      <c r="D263" s="130"/>
      <c r="E263" s="130"/>
      <c r="F263" s="131"/>
      <c r="G263" s="131"/>
      <c r="H263" s="127"/>
      <c r="I263" s="129"/>
      <c r="J263" s="129"/>
      <c r="K263" s="131"/>
      <c r="L263" s="127"/>
      <c r="M263" s="129"/>
      <c r="N263" s="352">
        <v>2119585</v>
      </c>
      <c r="O263" s="262">
        <f t="shared" ref="O263" si="189">SUM(M263:N263)</f>
        <v>2119585</v>
      </c>
      <c r="P263" s="542">
        <f t="shared" ref="P263" si="190">SUM(O263)</f>
        <v>2119585</v>
      </c>
      <c r="R263" s="130"/>
      <c r="S263" s="130"/>
      <c r="T263" s="130"/>
      <c r="U263" s="130"/>
      <c r="V263" s="130"/>
      <c r="W263" s="130"/>
      <c r="X263" s="130"/>
      <c r="Y263" s="130"/>
      <c r="Z263" s="130"/>
      <c r="AA263" s="130">
        <v>2119585</v>
      </c>
      <c r="AB263" s="130">
        <f t="shared" si="136"/>
        <v>2119585</v>
      </c>
      <c r="AC263" s="130"/>
      <c r="AD263" s="130"/>
      <c r="AE263" s="130"/>
      <c r="AF263" s="130"/>
      <c r="AG263" s="130"/>
      <c r="AH263" s="130"/>
      <c r="AI263" s="130"/>
      <c r="AJ263" s="130"/>
      <c r="AK263" s="130"/>
      <c r="AL263" s="130"/>
      <c r="AM263" s="130"/>
      <c r="AN263" s="130">
        <f t="shared" si="137"/>
        <v>0</v>
      </c>
      <c r="AO263" s="130"/>
      <c r="AP263" s="130">
        <f t="shared" si="138"/>
        <v>0</v>
      </c>
      <c r="AQ263" s="130">
        <f t="shared" si="139"/>
        <v>0</v>
      </c>
      <c r="AR263" s="130">
        <f t="shared" si="140"/>
        <v>0</v>
      </c>
      <c r="AS263" s="130">
        <f t="shared" si="141"/>
        <v>0</v>
      </c>
      <c r="AT263" s="130">
        <f t="shared" si="142"/>
        <v>0</v>
      </c>
      <c r="AU263" s="130">
        <f t="shared" si="143"/>
        <v>0</v>
      </c>
      <c r="AV263" s="130">
        <f t="shared" si="144"/>
        <v>0</v>
      </c>
      <c r="AW263" s="130">
        <f t="shared" si="145"/>
        <v>0</v>
      </c>
      <c r="AX263" s="130">
        <f t="shared" si="146"/>
        <v>0</v>
      </c>
      <c r="AY263" s="130">
        <f t="shared" si="147"/>
        <v>2119585</v>
      </c>
      <c r="AZ263" s="130">
        <f t="shared" si="148"/>
        <v>2119585</v>
      </c>
      <c r="BB263" s="109">
        <f t="shared" si="152"/>
        <v>0</v>
      </c>
    </row>
    <row r="264" spans="1:54" ht="31.5" x14ac:dyDescent="0.25">
      <c r="A264" s="128"/>
      <c r="B264" s="558" t="s">
        <v>494</v>
      </c>
      <c r="C264" s="129"/>
      <c r="D264" s="130"/>
      <c r="E264" s="130"/>
      <c r="F264" s="131"/>
      <c r="G264" s="131"/>
      <c r="H264" s="127"/>
      <c r="I264" s="129"/>
      <c r="J264" s="129"/>
      <c r="K264" s="131"/>
      <c r="L264" s="127"/>
      <c r="M264" s="129"/>
      <c r="N264" s="352">
        <v>2410</v>
      </c>
      <c r="O264" s="262">
        <f t="shared" ref="O264" si="191">SUM(M264:N264)</f>
        <v>2410</v>
      </c>
      <c r="P264" s="542">
        <f t="shared" ref="P264" si="192">SUM(O264)</f>
        <v>2410</v>
      </c>
      <c r="R264" s="130"/>
      <c r="S264" s="130"/>
      <c r="T264" s="130"/>
      <c r="U264" s="130"/>
      <c r="V264" s="130"/>
      <c r="W264" s="130"/>
      <c r="X264" s="130"/>
      <c r="Y264" s="130"/>
      <c r="Z264" s="130"/>
      <c r="AA264" s="130">
        <v>2410</v>
      </c>
      <c r="AB264" s="130">
        <f t="shared" si="136"/>
        <v>2410</v>
      </c>
      <c r="AC264" s="130"/>
      <c r="AD264" s="130"/>
      <c r="AE264" s="130"/>
      <c r="AF264" s="130"/>
      <c r="AG264" s="130"/>
      <c r="AH264" s="130"/>
      <c r="AI264" s="130"/>
      <c r="AJ264" s="130"/>
      <c r="AK264" s="130"/>
      <c r="AL264" s="130"/>
      <c r="AM264" s="130"/>
      <c r="AN264" s="130">
        <f t="shared" si="137"/>
        <v>0</v>
      </c>
      <c r="AO264" s="130"/>
      <c r="AP264" s="130">
        <f t="shared" si="138"/>
        <v>0</v>
      </c>
      <c r="AQ264" s="130">
        <f t="shared" si="139"/>
        <v>0</v>
      </c>
      <c r="AR264" s="130">
        <f t="shared" si="140"/>
        <v>0</v>
      </c>
      <c r="AS264" s="130">
        <f t="shared" si="141"/>
        <v>0</v>
      </c>
      <c r="AT264" s="130">
        <f t="shared" si="142"/>
        <v>0</v>
      </c>
      <c r="AU264" s="130">
        <f t="shared" si="143"/>
        <v>0</v>
      </c>
      <c r="AV264" s="130">
        <f t="shared" si="144"/>
        <v>0</v>
      </c>
      <c r="AW264" s="130">
        <f t="shared" si="145"/>
        <v>0</v>
      </c>
      <c r="AX264" s="130">
        <f t="shared" si="146"/>
        <v>0</v>
      </c>
      <c r="AY264" s="130">
        <f t="shared" si="147"/>
        <v>2410</v>
      </c>
      <c r="AZ264" s="130">
        <f t="shared" si="148"/>
        <v>2410</v>
      </c>
      <c r="BB264" s="109">
        <f t="shared" si="152"/>
        <v>0</v>
      </c>
    </row>
    <row r="265" spans="1:54" x14ac:dyDescent="0.25">
      <c r="A265" s="128"/>
      <c r="B265" s="558" t="s">
        <v>564</v>
      </c>
      <c r="C265" s="129"/>
      <c r="D265" s="130"/>
      <c r="E265" s="130"/>
      <c r="F265" s="131"/>
      <c r="G265" s="131"/>
      <c r="H265" s="127"/>
      <c r="I265" s="129"/>
      <c r="J265" s="129"/>
      <c r="K265" s="131"/>
      <c r="L265" s="127"/>
      <c r="M265" s="129"/>
      <c r="N265" s="352">
        <v>15164</v>
      </c>
      <c r="O265" s="262">
        <f t="shared" ref="O265:O267" si="193">SUM(M265:N265)</f>
        <v>15164</v>
      </c>
      <c r="P265" s="542">
        <f t="shared" ref="P265:P267" si="194">SUM(O265)</f>
        <v>15164</v>
      </c>
      <c r="R265" s="130"/>
      <c r="S265" s="130"/>
      <c r="T265" s="130"/>
      <c r="U265" s="130"/>
      <c r="V265" s="130"/>
      <c r="W265" s="130"/>
      <c r="X265" s="130"/>
      <c r="Y265" s="130"/>
      <c r="Z265" s="130"/>
      <c r="AA265" s="130">
        <v>15164</v>
      </c>
      <c r="AB265" s="130">
        <f t="shared" si="136"/>
        <v>15164</v>
      </c>
      <c r="AC265" s="130"/>
      <c r="AD265" s="130"/>
      <c r="AE265" s="130"/>
      <c r="AF265" s="130"/>
      <c r="AG265" s="130"/>
      <c r="AH265" s="130"/>
      <c r="AI265" s="130"/>
      <c r="AJ265" s="130"/>
      <c r="AK265" s="130"/>
      <c r="AL265" s="130"/>
      <c r="AM265" s="130"/>
      <c r="AN265" s="130">
        <f t="shared" si="137"/>
        <v>0</v>
      </c>
      <c r="AO265" s="130"/>
      <c r="AP265" s="130">
        <f t="shared" si="138"/>
        <v>0</v>
      </c>
      <c r="AQ265" s="130">
        <f t="shared" si="139"/>
        <v>0</v>
      </c>
      <c r="AR265" s="130">
        <f t="shared" si="140"/>
        <v>0</v>
      </c>
      <c r="AS265" s="130">
        <f t="shared" si="141"/>
        <v>0</v>
      </c>
      <c r="AT265" s="130">
        <f t="shared" si="142"/>
        <v>0</v>
      </c>
      <c r="AU265" s="130">
        <f t="shared" si="143"/>
        <v>0</v>
      </c>
      <c r="AV265" s="130">
        <f t="shared" si="144"/>
        <v>0</v>
      </c>
      <c r="AW265" s="130">
        <f t="shared" si="145"/>
        <v>0</v>
      </c>
      <c r="AX265" s="130">
        <f t="shared" si="146"/>
        <v>0</v>
      </c>
      <c r="AY265" s="130">
        <f t="shared" si="147"/>
        <v>15164</v>
      </c>
      <c r="AZ265" s="130">
        <f t="shared" si="148"/>
        <v>15164</v>
      </c>
      <c r="BB265" s="109">
        <f t="shared" si="152"/>
        <v>0</v>
      </c>
    </row>
    <row r="266" spans="1:54" ht="47.25" x14ac:dyDescent="0.25">
      <c r="A266" s="128"/>
      <c r="B266" s="618" t="s">
        <v>768</v>
      </c>
      <c r="C266" s="129"/>
      <c r="D266" s="130"/>
      <c r="E266" s="130"/>
      <c r="F266" s="131"/>
      <c r="G266" s="131"/>
      <c r="H266" s="127"/>
      <c r="I266" s="129"/>
      <c r="J266" s="129"/>
      <c r="K266" s="131"/>
      <c r="L266" s="127"/>
      <c r="M266" s="129"/>
      <c r="N266" s="352">
        <v>623</v>
      </c>
      <c r="O266" s="262">
        <f t="shared" si="193"/>
        <v>623</v>
      </c>
      <c r="P266" s="542">
        <f t="shared" si="194"/>
        <v>623</v>
      </c>
      <c r="R266" s="130"/>
      <c r="S266" s="130"/>
      <c r="T266" s="130"/>
      <c r="U266" s="130"/>
      <c r="V266" s="130"/>
      <c r="W266" s="130"/>
      <c r="X266" s="130"/>
      <c r="Y266" s="130"/>
      <c r="Z266" s="130"/>
      <c r="AA266" s="130">
        <v>623</v>
      </c>
      <c r="AB266" s="130">
        <f t="shared" si="136"/>
        <v>623</v>
      </c>
      <c r="AC266" s="130"/>
      <c r="AD266" s="130"/>
      <c r="AE266" s="130"/>
      <c r="AF266" s="130"/>
      <c r="AG266" s="130"/>
      <c r="AH266" s="130"/>
      <c r="AI266" s="130"/>
      <c r="AJ266" s="130"/>
      <c r="AK266" s="130"/>
      <c r="AL266" s="130"/>
      <c r="AM266" s="130"/>
      <c r="AN266" s="130">
        <f t="shared" si="137"/>
        <v>0</v>
      </c>
      <c r="AO266" s="130"/>
      <c r="AP266" s="130">
        <f t="shared" si="138"/>
        <v>0</v>
      </c>
      <c r="AQ266" s="130">
        <f t="shared" si="139"/>
        <v>0</v>
      </c>
      <c r="AR266" s="130">
        <f t="shared" si="140"/>
        <v>0</v>
      </c>
      <c r="AS266" s="130">
        <f t="shared" si="141"/>
        <v>0</v>
      </c>
      <c r="AT266" s="130">
        <f t="shared" si="142"/>
        <v>0</v>
      </c>
      <c r="AU266" s="130">
        <f t="shared" si="143"/>
        <v>0</v>
      </c>
      <c r="AV266" s="130">
        <f t="shared" si="144"/>
        <v>0</v>
      </c>
      <c r="AW266" s="130">
        <f t="shared" si="145"/>
        <v>0</v>
      </c>
      <c r="AX266" s="130">
        <f t="shared" si="146"/>
        <v>0</v>
      </c>
      <c r="AY266" s="130">
        <f t="shared" si="147"/>
        <v>623</v>
      </c>
      <c r="AZ266" s="130">
        <f t="shared" si="148"/>
        <v>623</v>
      </c>
      <c r="BB266" s="109">
        <f t="shared" si="152"/>
        <v>0</v>
      </c>
    </row>
    <row r="267" spans="1:54" x14ac:dyDescent="0.25">
      <c r="A267" s="128"/>
      <c r="B267" s="558" t="s">
        <v>565</v>
      </c>
      <c r="C267" s="129"/>
      <c r="D267" s="130"/>
      <c r="E267" s="130"/>
      <c r="F267" s="131"/>
      <c r="G267" s="131"/>
      <c r="H267" s="127"/>
      <c r="I267" s="129"/>
      <c r="J267" s="129"/>
      <c r="K267" s="131"/>
      <c r="L267" s="127"/>
      <c r="M267" s="129"/>
      <c r="N267" s="352">
        <v>7826</v>
      </c>
      <c r="O267" s="262">
        <f t="shared" si="193"/>
        <v>7826</v>
      </c>
      <c r="P267" s="542">
        <f t="shared" si="194"/>
        <v>7826</v>
      </c>
      <c r="R267" s="130"/>
      <c r="S267" s="130"/>
      <c r="T267" s="130"/>
      <c r="U267" s="130"/>
      <c r="V267" s="130"/>
      <c r="W267" s="130"/>
      <c r="X267" s="130"/>
      <c r="Y267" s="130"/>
      <c r="Z267" s="130"/>
      <c r="AA267" s="130">
        <v>7826</v>
      </c>
      <c r="AB267" s="130">
        <f t="shared" si="136"/>
        <v>7826</v>
      </c>
      <c r="AC267" s="130"/>
      <c r="AD267" s="130"/>
      <c r="AE267" s="130"/>
      <c r="AF267" s="130"/>
      <c r="AG267" s="130"/>
      <c r="AH267" s="130"/>
      <c r="AI267" s="130"/>
      <c r="AJ267" s="130"/>
      <c r="AK267" s="130"/>
      <c r="AL267" s="130"/>
      <c r="AM267" s="130"/>
      <c r="AN267" s="130">
        <f t="shared" si="137"/>
        <v>0</v>
      </c>
      <c r="AO267" s="130"/>
      <c r="AP267" s="130">
        <f t="shared" si="138"/>
        <v>0</v>
      </c>
      <c r="AQ267" s="130">
        <f t="shared" si="139"/>
        <v>0</v>
      </c>
      <c r="AR267" s="130">
        <f t="shared" si="140"/>
        <v>0</v>
      </c>
      <c r="AS267" s="130">
        <f t="shared" si="141"/>
        <v>0</v>
      </c>
      <c r="AT267" s="130">
        <f t="shared" si="142"/>
        <v>0</v>
      </c>
      <c r="AU267" s="130">
        <f t="shared" si="143"/>
        <v>0</v>
      </c>
      <c r="AV267" s="130">
        <f t="shared" si="144"/>
        <v>0</v>
      </c>
      <c r="AW267" s="130">
        <f t="shared" si="145"/>
        <v>0</v>
      </c>
      <c r="AX267" s="130">
        <f t="shared" si="146"/>
        <v>0</v>
      </c>
      <c r="AY267" s="130">
        <f t="shared" si="147"/>
        <v>7826</v>
      </c>
      <c r="AZ267" s="130">
        <f t="shared" si="148"/>
        <v>7826</v>
      </c>
      <c r="BB267" s="109">
        <f t="shared" si="152"/>
        <v>0</v>
      </c>
    </row>
    <row r="268" spans="1:54" ht="63" x14ac:dyDescent="0.25">
      <c r="A268" s="144"/>
      <c r="B268" s="893" t="s">
        <v>1176</v>
      </c>
      <c r="C268" s="126"/>
      <c r="D268" s="126"/>
      <c r="E268" s="126"/>
      <c r="F268" s="348"/>
      <c r="G268" s="348"/>
      <c r="H268" s="124"/>
      <c r="I268" s="126"/>
      <c r="J268" s="126"/>
      <c r="K268" s="348"/>
      <c r="L268" s="127"/>
      <c r="M268" s="126"/>
      <c r="N268" s="817">
        <f>-535-343</f>
        <v>-878</v>
      </c>
      <c r="O268" s="262">
        <f t="shared" ref="O268" si="195">SUM(M268:N268)</f>
        <v>-878</v>
      </c>
      <c r="P268" s="542">
        <f t="shared" ref="P268" si="196">SUM(O268)</f>
        <v>-878</v>
      </c>
      <c r="R268" s="130"/>
      <c r="S268" s="130"/>
      <c r="T268" s="130"/>
      <c r="U268" s="130"/>
      <c r="V268" s="130"/>
      <c r="W268" s="130"/>
      <c r="X268" s="130"/>
      <c r="Y268" s="130"/>
      <c r="Z268" s="130"/>
      <c r="AA268" s="130">
        <v>-878</v>
      </c>
      <c r="AB268" s="130">
        <f t="shared" si="136"/>
        <v>-878</v>
      </c>
      <c r="AC268" s="130"/>
      <c r="AD268" s="130"/>
      <c r="AE268" s="130"/>
      <c r="AF268" s="130"/>
      <c r="AG268" s="130"/>
      <c r="AH268" s="130"/>
      <c r="AI268" s="130"/>
      <c r="AJ268" s="130"/>
      <c r="AK268" s="130"/>
      <c r="AL268" s="130"/>
      <c r="AM268" s="130"/>
      <c r="AN268" s="130">
        <f t="shared" si="137"/>
        <v>0</v>
      </c>
      <c r="AO268" s="130"/>
      <c r="AP268" s="130">
        <f t="shared" si="138"/>
        <v>0</v>
      </c>
      <c r="AQ268" s="130">
        <f t="shared" si="139"/>
        <v>0</v>
      </c>
      <c r="AR268" s="130">
        <f t="shared" si="140"/>
        <v>0</v>
      </c>
      <c r="AS268" s="130">
        <f t="shared" si="141"/>
        <v>0</v>
      </c>
      <c r="AT268" s="130">
        <f t="shared" si="142"/>
        <v>0</v>
      </c>
      <c r="AU268" s="130">
        <f t="shared" si="143"/>
        <v>0</v>
      </c>
      <c r="AV268" s="130">
        <f t="shared" si="144"/>
        <v>0</v>
      </c>
      <c r="AW268" s="130">
        <f t="shared" si="145"/>
        <v>0</v>
      </c>
      <c r="AX268" s="130">
        <f t="shared" si="146"/>
        <v>0</v>
      </c>
      <c r="AY268" s="130">
        <f t="shared" si="147"/>
        <v>-878</v>
      </c>
      <c r="AZ268" s="130">
        <f t="shared" si="148"/>
        <v>-878</v>
      </c>
      <c r="BB268" s="109">
        <f t="shared" si="152"/>
        <v>0</v>
      </c>
    </row>
    <row r="269" spans="1:54" ht="47.25" x14ac:dyDescent="0.25">
      <c r="A269" s="119"/>
      <c r="B269" s="355" t="s">
        <v>970</v>
      </c>
      <c r="C269" s="126"/>
      <c r="D269" s="126"/>
      <c r="E269" s="126"/>
      <c r="F269" s="126"/>
      <c r="G269" s="348"/>
      <c r="H269" s="124"/>
      <c r="I269" s="126"/>
      <c r="J269" s="126"/>
      <c r="K269" s="348"/>
      <c r="L269" s="127"/>
      <c r="M269" s="126"/>
      <c r="N269" s="348">
        <f>150323</f>
        <v>150323</v>
      </c>
      <c r="O269" s="262">
        <f t="shared" ref="O269" si="197">SUM(M269:N269)</f>
        <v>150323</v>
      </c>
      <c r="P269" s="542">
        <f t="shared" ref="P269" si="198">SUM(O269)</f>
        <v>150323</v>
      </c>
      <c r="R269" s="130"/>
      <c r="S269" s="130"/>
      <c r="T269" s="130"/>
      <c r="U269" s="130"/>
      <c r="V269" s="130"/>
      <c r="W269" s="130"/>
      <c r="X269" s="130"/>
      <c r="Y269" s="130"/>
      <c r="Z269" s="130"/>
      <c r="AA269" s="130">
        <v>150323</v>
      </c>
      <c r="AB269" s="130">
        <f t="shared" si="136"/>
        <v>150323</v>
      </c>
      <c r="AC269" s="130"/>
      <c r="AD269" s="130"/>
      <c r="AE269" s="130"/>
      <c r="AF269" s="130"/>
      <c r="AG269" s="130"/>
      <c r="AH269" s="130"/>
      <c r="AI269" s="130"/>
      <c r="AJ269" s="130"/>
      <c r="AK269" s="130"/>
      <c r="AL269" s="130"/>
      <c r="AM269" s="130"/>
      <c r="AN269" s="130">
        <f t="shared" si="137"/>
        <v>0</v>
      </c>
      <c r="AO269" s="130"/>
      <c r="AP269" s="130">
        <f t="shared" si="138"/>
        <v>0</v>
      </c>
      <c r="AQ269" s="130">
        <f t="shared" si="139"/>
        <v>0</v>
      </c>
      <c r="AR269" s="130">
        <f t="shared" si="140"/>
        <v>0</v>
      </c>
      <c r="AS269" s="130">
        <f t="shared" si="141"/>
        <v>0</v>
      </c>
      <c r="AT269" s="130">
        <f t="shared" si="142"/>
        <v>0</v>
      </c>
      <c r="AU269" s="130">
        <f t="shared" si="143"/>
        <v>0</v>
      </c>
      <c r="AV269" s="130">
        <f t="shared" si="144"/>
        <v>0</v>
      </c>
      <c r="AW269" s="130">
        <f t="shared" si="145"/>
        <v>0</v>
      </c>
      <c r="AX269" s="130">
        <f t="shared" si="146"/>
        <v>0</v>
      </c>
      <c r="AY269" s="130">
        <f t="shared" si="147"/>
        <v>150323</v>
      </c>
      <c r="AZ269" s="130">
        <f t="shared" si="148"/>
        <v>150323</v>
      </c>
      <c r="BB269" s="109">
        <f t="shared" si="152"/>
        <v>0</v>
      </c>
    </row>
    <row r="270" spans="1:54" ht="31.5" x14ac:dyDescent="0.25">
      <c r="A270" s="128"/>
      <c r="B270" s="559" t="s">
        <v>806</v>
      </c>
      <c r="C270" s="129"/>
      <c r="D270" s="130"/>
      <c r="E270" s="130"/>
      <c r="F270" s="131"/>
      <c r="G270" s="131"/>
      <c r="H270" s="127"/>
      <c r="I270" s="129"/>
      <c r="J270" s="129"/>
      <c r="K270" s="131"/>
      <c r="L270" s="127"/>
      <c r="M270" s="129"/>
      <c r="N270" s="352"/>
      <c r="O270" s="262"/>
      <c r="P270" s="542"/>
      <c r="R270" s="130"/>
      <c r="S270" s="130"/>
      <c r="T270" s="130"/>
      <c r="U270" s="130"/>
      <c r="V270" s="130"/>
      <c r="W270" s="130"/>
      <c r="X270" s="130"/>
      <c r="Y270" s="130"/>
      <c r="Z270" s="130"/>
      <c r="AA270" s="130"/>
      <c r="AB270" s="130">
        <f t="shared" si="136"/>
        <v>0</v>
      </c>
      <c r="AC270" s="130"/>
      <c r="AD270" s="130"/>
      <c r="AE270" s="130"/>
      <c r="AF270" s="130"/>
      <c r="AG270" s="130"/>
      <c r="AH270" s="130"/>
      <c r="AI270" s="130"/>
      <c r="AJ270" s="130"/>
      <c r="AK270" s="130"/>
      <c r="AL270" s="130"/>
      <c r="AM270" s="130"/>
      <c r="AN270" s="130">
        <f t="shared" si="137"/>
        <v>0</v>
      </c>
      <c r="AO270" s="130"/>
      <c r="AP270" s="130">
        <f t="shared" si="138"/>
        <v>0</v>
      </c>
      <c r="AQ270" s="130">
        <f t="shared" si="139"/>
        <v>0</v>
      </c>
      <c r="AR270" s="130">
        <f t="shared" si="140"/>
        <v>0</v>
      </c>
      <c r="AS270" s="130">
        <f t="shared" si="141"/>
        <v>0</v>
      </c>
      <c r="AT270" s="130">
        <f t="shared" si="142"/>
        <v>0</v>
      </c>
      <c r="AU270" s="130">
        <f t="shared" si="143"/>
        <v>0</v>
      </c>
      <c r="AV270" s="130">
        <f t="shared" si="144"/>
        <v>0</v>
      </c>
      <c r="AW270" s="130">
        <f t="shared" si="145"/>
        <v>0</v>
      </c>
      <c r="AX270" s="130">
        <f t="shared" si="146"/>
        <v>0</v>
      </c>
      <c r="AY270" s="130">
        <f t="shared" si="147"/>
        <v>0</v>
      </c>
      <c r="AZ270" s="130">
        <f t="shared" si="148"/>
        <v>0</v>
      </c>
      <c r="BB270" s="109">
        <f t="shared" si="152"/>
        <v>0</v>
      </c>
    </row>
    <row r="271" spans="1:54" x14ac:dyDescent="0.25">
      <c r="A271" s="128"/>
      <c r="B271" s="558" t="s">
        <v>566</v>
      </c>
      <c r="C271" s="129"/>
      <c r="D271" s="130"/>
      <c r="E271" s="130"/>
      <c r="F271" s="131"/>
      <c r="G271" s="131"/>
      <c r="H271" s="127"/>
      <c r="I271" s="129"/>
      <c r="J271" s="129"/>
      <c r="K271" s="131"/>
      <c r="L271" s="127"/>
      <c r="M271" s="129"/>
      <c r="N271" s="352">
        <v>-12010</v>
      </c>
      <c r="O271" s="262">
        <f t="shared" ref="O271:O272" si="199">SUM(M271:N271)</f>
        <v>-12010</v>
      </c>
      <c r="P271" s="542">
        <f t="shared" ref="P271:P272" si="200">SUM(O271)</f>
        <v>-12010</v>
      </c>
      <c r="R271" s="130"/>
      <c r="S271" s="130"/>
      <c r="T271" s="130"/>
      <c r="U271" s="130"/>
      <c r="V271" s="130"/>
      <c r="W271" s="130"/>
      <c r="X271" s="130"/>
      <c r="Y271" s="130"/>
      <c r="Z271" s="130"/>
      <c r="AA271" s="130">
        <v>-12010</v>
      </c>
      <c r="AB271" s="130">
        <f t="shared" si="136"/>
        <v>-12010</v>
      </c>
      <c r="AC271" s="130"/>
      <c r="AD271" s="130"/>
      <c r="AE271" s="130"/>
      <c r="AF271" s="130"/>
      <c r="AG271" s="130"/>
      <c r="AH271" s="130"/>
      <c r="AI271" s="130"/>
      <c r="AJ271" s="130"/>
      <c r="AK271" s="130"/>
      <c r="AL271" s="130"/>
      <c r="AM271" s="130"/>
      <c r="AN271" s="130">
        <f t="shared" si="137"/>
        <v>0</v>
      </c>
      <c r="AO271" s="130"/>
      <c r="AP271" s="130">
        <f t="shared" si="138"/>
        <v>0</v>
      </c>
      <c r="AQ271" s="130">
        <f t="shared" si="139"/>
        <v>0</v>
      </c>
      <c r="AR271" s="130">
        <f t="shared" si="140"/>
        <v>0</v>
      </c>
      <c r="AS271" s="130">
        <f t="shared" si="141"/>
        <v>0</v>
      </c>
      <c r="AT271" s="130">
        <f t="shared" si="142"/>
        <v>0</v>
      </c>
      <c r="AU271" s="130">
        <f t="shared" si="143"/>
        <v>0</v>
      </c>
      <c r="AV271" s="130">
        <f t="shared" si="144"/>
        <v>0</v>
      </c>
      <c r="AW271" s="130">
        <f t="shared" si="145"/>
        <v>0</v>
      </c>
      <c r="AX271" s="130">
        <f t="shared" si="146"/>
        <v>0</v>
      </c>
      <c r="AY271" s="130">
        <f t="shared" si="147"/>
        <v>-12010</v>
      </c>
      <c r="AZ271" s="130">
        <f t="shared" si="148"/>
        <v>-12010</v>
      </c>
      <c r="BB271" s="109">
        <f t="shared" si="152"/>
        <v>0</v>
      </c>
    </row>
    <row r="272" spans="1:54" ht="31.5" x14ac:dyDescent="0.25">
      <c r="A272" s="128"/>
      <c r="B272" s="558" t="s">
        <v>567</v>
      </c>
      <c r="C272" s="129"/>
      <c r="D272" s="130"/>
      <c r="E272" s="130"/>
      <c r="F272" s="131"/>
      <c r="G272" s="131"/>
      <c r="H272" s="127"/>
      <c r="I272" s="129"/>
      <c r="J272" s="129"/>
      <c r="K272" s="131"/>
      <c r="L272" s="127"/>
      <c r="M272" s="129"/>
      <c r="N272" s="352">
        <v>12010</v>
      </c>
      <c r="O272" s="262">
        <f t="shared" si="199"/>
        <v>12010</v>
      </c>
      <c r="P272" s="542">
        <f t="shared" si="200"/>
        <v>12010</v>
      </c>
      <c r="R272" s="130"/>
      <c r="S272" s="130"/>
      <c r="T272" s="130"/>
      <c r="U272" s="130"/>
      <c r="V272" s="130"/>
      <c r="W272" s="130"/>
      <c r="X272" s="130"/>
      <c r="Y272" s="130"/>
      <c r="Z272" s="130"/>
      <c r="AA272" s="130">
        <v>12010</v>
      </c>
      <c r="AB272" s="130">
        <f t="shared" ref="AB272:AB288" si="201">SUM(R272:AA272)</f>
        <v>12010</v>
      </c>
      <c r="AC272" s="130"/>
      <c r="AD272" s="130"/>
      <c r="AE272" s="130"/>
      <c r="AF272" s="130"/>
      <c r="AG272" s="130"/>
      <c r="AH272" s="130"/>
      <c r="AI272" s="130"/>
      <c r="AJ272" s="130"/>
      <c r="AK272" s="130"/>
      <c r="AL272" s="130"/>
      <c r="AM272" s="130"/>
      <c r="AN272" s="130">
        <f t="shared" ref="AN272:AN288" si="202">SUM(AD272:AM272)</f>
        <v>0</v>
      </c>
      <c r="AO272" s="130"/>
      <c r="AP272" s="130">
        <f t="shared" ref="AP272:AP288" si="203">SUM(R272,AD272)</f>
        <v>0</v>
      </c>
      <c r="AQ272" s="130">
        <f t="shared" ref="AQ272:AQ288" si="204">SUM(S272,AE272)</f>
        <v>0</v>
      </c>
      <c r="AR272" s="130">
        <f t="shared" ref="AR272:AR288" si="205">SUM(T272,AF272)</f>
        <v>0</v>
      </c>
      <c r="AS272" s="130">
        <f t="shared" ref="AS272:AS288" si="206">SUM(U272,AG272)</f>
        <v>0</v>
      </c>
      <c r="AT272" s="130">
        <f t="shared" ref="AT272:AT288" si="207">SUM(V272,AH272)</f>
        <v>0</v>
      </c>
      <c r="AU272" s="130">
        <f t="shared" ref="AU272:AU288" si="208">SUM(W272,AI272)</f>
        <v>0</v>
      </c>
      <c r="AV272" s="130">
        <f t="shared" ref="AV272:AV288" si="209">SUM(X272,AJ272)</f>
        <v>0</v>
      </c>
      <c r="AW272" s="130">
        <f t="shared" ref="AW272:AW288" si="210">SUM(Y272,AK272)</f>
        <v>0</v>
      </c>
      <c r="AX272" s="130">
        <f t="shared" ref="AX272:AX288" si="211">SUM(Z272,AL272)</f>
        <v>0</v>
      </c>
      <c r="AY272" s="130">
        <f t="shared" ref="AY272:AY288" si="212">SUM(AA272,AM272)</f>
        <v>12010</v>
      </c>
      <c r="AZ272" s="130">
        <f t="shared" ref="AZ272:AZ288" si="213">SUM(AB272,AN272)</f>
        <v>12010</v>
      </c>
      <c r="BB272" s="109">
        <f t="shared" si="152"/>
        <v>0</v>
      </c>
    </row>
    <row r="273" spans="1:54" ht="31.5" x14ac:dyDescent="0.25">
      <c r="A273" s="128"/>
      <c r="B273" s="355" t="s">
        <v>1017</v>
      </c>
      <c r="C273" s="129"/>
      <c r="D273" s="130"/>
      <c r="E273" s="130"/>
      <c r="F273" s="131"/>
      <c r="G273" s="131"/>
      <c r="H273" s="127"/>
      <c r="I273" s="129"/>
      <c r="J273" s="129"/>
      <c r="K273" s="131"/>
      <c r="L273" s="127"/>
      <c r="M273" s="129"/>
      <c r="N273" s="352">
        <v>44898</v>
      </c>
      <c r="O273" s="262">
        <f t="shared" ref="O273" si="214">SUM(M273:N273)</f>
        <v>44898</v>
      </c>
      <c r="P273" s="542">
        <f t="shared" ref="P273" si="215">SUM(O273)</f>
        <v>44898</v>
      </c>
      <c r="R273" s="130"/>
      <c r="S273" s="130"/>
      <c r="T273" s="130"/>
      <c r="U273" s="130"/>
      <c r="V273" s="130"/>
      <c r="W273" s="130"/>
      <c r="X273" s="130"/>
      <c r="Y273" s="130"/>
      <c r="Z273" s="130"/>
      <c r="AA273" s="130">
        <v>44898</v>
      </c>
      <c r="AB273" s="130">
        <f t="shared" si="201"/>
        <v>44898</v>
      </c>
      <c r="AC273" s="130"/>
      <c r="AD273" s="130"/>
      <c r="AE273" s="130"/>
      <c r="AF273" s="130"/>
      <c r="AG273" s="130"/>
      <c r="AH273" s="130"/>
      <c r="AI273" s="130"/>
      <c r="AJ273" s="130"/>
      <c r="AK273" s="130"/>
      <c r="AL273" s="130"/>
      <c r="AM273" s="130"/>
      <c r="AN273" s="130">
        <f t="shared" si="202"/>
        <v>0</v>
      </c>
      <c r="AO273" s="130"/>
      <c r="AP273" s="130">
        <f t="shared" si="203"/>
        <v>0</v>
      </c>
      <c r="AQ273" s="130">
        <f t="shared" si="204"/>
        <v>0</v>
      </c>
      <c r="AR273" s="130">
        <f t="shared" si="205"/>
        <v>0</v>
      </c>
      <c r="AS273" s="130">
        <f t="shared" si="206"/>
        <v>0</v>
      </c>
      <c r="AT273" s="130">
        <f t="shared" si="207"/>
        <v>0</v>
      </c>
      <c r="AU273" s="130">
        <f t="shared" si="208"/>
        <v>0</v>
      </c>
      <c r="AV273" s="130">
        <f t="shared" si="209"/>
        <v>0</v>
      </c>
      <c r="AW273" s="130">
        <f t="shared" si="210"/>
        <v>0</v>
      </c>
      <c r="AX273" s="130">
        <f t="shared" si="211"/>
        <v>0</v>
      </c>
      <c r="AY273" s="130">
        <f t="shared" si="212"/>
        <v>44898</v>
      </c>
      <c r="AZ273" s="130">
        <f t="shared" si="213"/>
        <v>44898</v>
      </c>
      <c r="BB273" s="109">
        <f t="shared" si="152"/>
        <v>0</v>
      </c>
    </row>
    <row r="274" spans="1:54" ht="31.5" x14ac:dyDescent="0.25">
      <c r="A274" s="128"/>
      <c r="B274" s="355" t="s">
        <v>384</v>
      </c>
      <c r="C274" s="129"/>
      <c r="D274" s="130"/>
      <c r="E274" s="130"/>
      <c r="F274" s="131"/>
      <c r="G274" s="131"/>
      <c r="H274" s="127"/>
      <c r="I274" s="129"/>
      <c r="J274" s="129"/>
      <c r="K274" s="131"/>
      <c r="L274" s="127"/>
      <c r="M274" s="129"/>
      <c r="N274" s="131"/>
      <c r="O274" s="262"/>
      <c r="P274" s="542"/>
      <c r="R274" s="130"/>
      <c r="S274" s="130"/>
      <c r="T274" s="130"/>
      <c r="U274" s="130"/>
      <c r="V274" s="130"/>
      <c r="W274" s="130"/>
      <c r="X274" s="130"/>
      <c r="Y274" s="130"/>
      <c r="Z274" s="130"/>
      <c r="AA274" s="130"/>
      <c r="AB274" s="130">
        <f t="shared" si="201"/>
        <v>0</v>
      </c>
      <c r="AC274" s="130"/>
      <c r="AD274" s="130"/>
      <c r="AE274" s="130"/>
      <c r="AF274" s="130"/>
      <c r="AG274" s="130"/>
      <c r="AH274" s="130"/>
      <c r="AI274" s="130"/>
      <c r="AJ274" s="130"/>
      <c r="AK274" s="130"/>
      <c r="AL274" s="130"/>
      <c r="AM274" s="130"/>
      <c r="AN274" s="130">
        <f t="shared" si="202"/>
        <v>0</v>
      </c>
      <c r="AO274" s="130"/>
      <c r="AP274" s="130">
        <f t="shared" si="203"/>
        <v>0</v>
      </c>
      <c r="AQ274" s="130">
        <f t="shared" si="204"/>
        <v>0</v>
      </c>
      <c r="AR274" s="130">
        <f t="shared" si="205"/>
        <v>0</v>
      </c>
      <c r="AS274" s="130">
        <f t="shared" si="206"/>
        <v>0</v>
      </c>
      <c r="AT274" s="130">
        <f t="shared" si="207"/>
        <v>0</v>
      </c>
      <c r="AU274" s="130">
        <f t="shared" si="208"/>
        <v>0</v>
      </c>
      <c r="AV274" s="130">
        <f t="shared" si="209"/>
        <v>0</v>
      </c>
      <c r="AW274" s="130">
        <f t="shared" si="210"/>
        <v>0</v>
      </c>
      <c r="AX274" s="130">
        <f t="shared" si="211"/>
        <v>0</v>
      </c>
      <c r="AY274" s="130">
        <f t="shared" si="212"/>
        <v>0</v>
      </c>
      <c r="AZ274" s="130">
        <f t="shared" si="213"/>
        <v>0</v>
      </c>
      <c r="BB274" s="109">
        <f t="shared" ref="BB274:BB287" si="216">+P274-AZ274</f>
        <v>0</v>
      </c>
    </row>
    <row r="275" spans="1:54" ht="31.5" x14ac:dyDescent="0.25">
      <c r="A275" s="128"/>
      <c r="B275" s="589" t="s">
        <v>1016</v>
      </c>
      <c r="C275" s="129"/>
      <c r="D275" s="130"/>
      <c r="E275" s="130"/>
      <c r="F275" s="131"/>
      <c r="G275" s="131"/>
      <c r="H275" s="127"/>
      <c r="I275" s="129"/>
      <c r="J275" s="129"/>
      <c r="K275" s="131"/>
      <c r="L275" s="127"/>
      <c r="M275" s="129"/>
      <c r="N275" s="352">
        <v>-33618</v>
      </c>
      <c r="O275" s="262">
        <f t="shared" ref="O275" si="217">SUM(M275:N275)</f>
        <v>-33618</v>
      </c>
      <c r="P275" s="542">
        <f t="shared" ref="P275" si="218">SUM(O275)</f>
        <v>-33618</v>
      </c>
      <c r="R275" s="130"/>
      <c r="S275" s="130"/>
      <c r="T275" s="130"/>
      <c r="U275" s="130"/>
      <c r="V275" s="130"/>
      <c r="W275" s="130"/>
      <c r="X275" s="130"/>
      <c r="Y275" s="130"/>
      <c r="Z275" s="130"/>
      <c r="AA275" s="130">
        <v>-33618</v>
      </c>
      <c r="AB275" s="130">
        <f t="shared" si="201"/>
        <v>-33618</v>
      </c>
      <c r="AC275" s="130"/>
      <c r="AD275" s="130"/>
      <c r="AE275" s="130"/>
      <c r="AF275" s="130"/>
      <c r="AG275" s="130"/>
      <c r="AH275" s="130"/>
      <c r="AI275" s="130"/>
      <c r="AJ275" s="130"/>
      <c r="AK275" s="130"/>
      <c r="AL275" s="130"/>
      <c r="AM275" s="130"/>
      <c r="AN275" s="130">
        <f t="shared" si="202"/>
        <v>0</v>
      </c>
      <c r="AO275" s="130"/>
      <c r="AP275" s="130">
        <f t="shared" si="203"/>
        <v>0</v>
      </c>
      <c r="AQ275" s="130">
        <f t="shared" si="204"/>
        <v>0</v>
      </c>
      <c r="AR275" s="130">
        <f t="shared" si="205"/>
        <v>0</v>
      </c>
      <c r="AS275" s="130">
        <f t="shared" si="206"/>
        <v>0</v>
      </c>
      <c r="AT275" s="130">
        <f t="shared" si="207"/>
        <v>0</v>
      </c>
      <c r="AU275" s="130">
        <f t="shared" si="208"/>
        <v>0</v>
      </c>
      <c r="AV275" s="130">
        <f t="shared" si="209"/>
        <v>0</v>
      </c>
      <c r="AW275" s="130">
        <f t="shared" si="210"/>
        <v>0</v>
      </c>
      <c r="AX275" s="130">
        <f t="shared" si="211"/>
        <v>0</v>
      </c>
      <c r="AY275" s="130">
        <f t="shared" si="212"/>
        <v>-33618</v>
      </c>
      <c r="AZ275" s="130">
        <f t="shared" si="213"/>
        <v>-33618</v>
      </c>
      <c r="BB275" s="109">
        <f t="shared" si="216"/>
        <v>0</v>
      </c>
    </row>
    <row r="276" spans="1:54" x14ac:dyDescent="0.25">
      <c r="A276" s="551"/>
      <c r="B276" s="553" t="s">
        <v>492</v>
      </c>
      <c r="C276" s="148"/>
      <c r="D276" s="149"/>
      <c r="E276" s="149"/>
      <c r="F276" s="150"/>
      <c r="G276" s="150"/>
      <c r="H276" s="151"/>
      <c r="I276" s="148"/>
      <c r="J276" s="148"/>
      <c r="K276" s="150"/>
      <c r="L276" s="151"/>
      <c r="M276" s="148"/>
      <c r="N276" s="150"/>
      <c r="O276" s="262"/>
      <c r="P276" s="542"/>
      <c r="R276" s="130"/>
      <c r="S276" s="130"/>
      <c r="T276" s="130"/>
      <c r="U276" s="130"/>
      <c r="V276" s="130"/>
      <c r="W276" s="130"/>
      <c r="X276" s="130"/>
      <c r="Y276" s="130"/>
      <c r="Z276" s="130"/>
      <c r="AA276" s="130"/>
      <c r="AB276" s="130">
        <f t="shared" si="201"/>
        <v>0</v>
      </c>
      <c r="AC276" s="130"/>
      <c r="AD276" s="130"/>
      <c r="AE276" s="130"/>
      <c r="AF276" s="130"/>
      <c r="AG276" s="130"/>
      <c r="AH276" s="130"/>
      <c r="AI276" s="130"/>
      <c r="AJ276" s="130"/>
      <c r="AK276" s="130"/>
      <c r="AL276" s="130"/>
      <c r="AM276" s="130"/>
      <c r="AN276" s="130">
        <f t="shared" si="202"/>
        <v>0</v>
      </c>
      <c r="AO276" s="130"/>
      <c r="AP276" s="130">
        <f t="shared" si="203"/>
        <v>0</v>
      </c>
      <c r="AQ276" s="130">
        <f t="shared" si="204"/>
        <v>0</v>
      </c>
      <c r="AR276" s="130">
        <f t="shared" si="205"/>
        <v>0</v>
      </c>
      <c r="AS276" s="130">
        <f t="shared" si="206"/>
        <v>0</v>
      </c>
      <c r="AT276" s="130">
        <f t="shared" si="207"/>
        <v>0</v>
      </c>
      <c r="AU276" s="130">
        <f t="shared" si="208"/>
        <v>0</v>
      </c>
      <c r="AV276" s="130">
        <f t="shared" si="209"/>
        <v>0</v>
      </c>
      <c r="AW276" s="130">
        <f t="shared" si="210"/>
        <v>0</v>
      </c>
      <c r="AX276" s="130">
        <f t="shared" si="211"/>
        <v>0</v>
      </c>
      <c r="AY276" s="130">
        <f t="shared" si="212"/>
        <v>0</v>
      </c>
      <c r="AZ276" s="130">
        <f t="shared" si="213"/>
        <v>0</v>
      </c>
      <c r="BB276" s="109">
        <f t="shared" si="216"/>
        <v>0</v>
      </c>
    </row>
    <row r="277" spans="1:54" x14ac:dyDescent="0.25">
      <c r="A277" s="551"/>
      <c r="B277" s="552" t="s">
        <v>566</v>
      </c>
      <c r="C277" s="148"/>
      <c r="D277" s="149"/>
      <c r="E277" s="149"/>
      <c r="F277" s="150"/>
      <c r="G277" s="150"/>
      <c r="H277" s="151"/>
      <c r="I277" s="148"/>
      <c r="J277" s="148"/>
      <c r="K277" s="150"/>
      <c r="L277" s="151"/>
      <c r="M277" s="148"/>
      <c r="N277" s="150">
        <v>-330</v>
      </c>
      <c r="O277" s="262">
        <f>SUM(M277:N277)</f>
        <v>-330</v>
      </c>
      <c r="P277" s="542">
        <f>SUM(O277)</f>
        <v>-330</v>
      </c>
      <c r="R277" s="130"/>
      <c r="S277" s="130"/>
      <c r="T277" s="130"/>
      <c r="U277" s="130"/>
      <c r="V277" s="130"/>
      <c r="W277" s="130"/>
      <c r="X277" s="130"/>
      <c r="Y277" s="130"/>
      <c r="Z277" s="130"/>
      <c r="AA277" s="130">
        <v>-330</v>
      </c>
      <c r="AB277" s="130">
        <f t="shared" si="201"/>
        <v>-330</v>
      </c>
      <c r="AC277" s="130"/>
      <c r="AD277" s="130"/>
      <c r="AE277" s="130"/>
      <c r="AF277" s="130"/>
      <c r="AG277" s="130"/>
      <c r="AH277" s="130"/>
      <c r="AI277" s="130"/>
      <c r="AJ277" s="130"/>
      <c r="AK277" s="130"/>
      <c r="AL277" s="130"/>
      <c r="AM277" s="130"/>
      <c r="AN277" s="130">
        <f t="shared" si="202"/>
        <v>0</v>
      </c>
      <c r="AO277" s="130"/>
      <c r="AP277" s="130">
        <f t="shared" si="203"/>
        <v>0</v>
      </c>
      <c r="AQ277" s="130">
        <f t="shared" si="204"/>
        <v>0</v>
      </c>
      <c r="AR277" s="130">
        <f t="shared" si="205"/>
        <v>0</v>
      </c>
      <c r="AS277" s="130">
        <f t="shared" si="206"/>
        <v>0</v>
      </c>
      <c r="AT277" s="130">
        <f t="shared" si="207"/>
        <v>0</v>
      </c>
      <c r="AU277" s="130">
        <f t="shared" si="208"/>
        <v>0</v>
      </c>
      <c r="AV277" s="130">
        <f t="shared" si="209"/>
        <v>0</v>
      </c>
      <c r="AW277" s="130">
        <f t="shared" si="210"/>
        <v>0</v>
      </c>
      <c r="AX277" s="130">
        <f t="shared" si="211"/>
        <v>0</v>
      </c>
      <c r="AY277" s="130">
        <f t="shared" si="212"/>
        <v>-330</v>
      </c>
      <c r="AZ277" s="130">
        <f t="shared" si="213"/>
        <v>-330</v>
      </c>
      <c r="BB277" s="109">
        <f t="shared" si="216"/>
        <v>0</v>
      </c>
    </row>
    <row r="278" spans="1:54" ht="31.5" x14ac:dyDescent="0.25">
      <c r="A278" s="551"/>
      <c r="B278" s="552" t="s">
        <v>567</v>
      </c>
      <c r="C278" s="148"/>
      <c r="D278" s="149"/>
      <c r="E278" s="149"/>
      <c r="F278" s="150"/>
      <c r="G278" s="150"/>
      <c r="H278" s="151"/>
      <c r="I278" s="148"/>
      <c r="J278" s="148"/>
      <c r="K278" s="150"/>
      <c r="L278" s="151"/>
      <c r="M278" s="148"/>
      <c r="N278" s="150">
        <v>-12010</v>
      </c>
      <c r="O278" s="262">
        <f>SUM(M278:N278)</f>
        <v>-12010</v>
      </c>
      <c r="P278" s="542">
        <f>SUM(O278)</f>
        <v>-12010</v>
      </c>
      <c r="R278" s="130"/>
      <c r="S278" s="130"/>
      <c r="T278" s="130"/>
      <c r="U278" s="130"/>
      <c r="V278" s="130"/>
      <c r="W278" s="130"/>
      <c r="X278" s="130"/>
      <c r="Y278" s="130"/>
      <c r="Z278" s="130"/>
      <c r="AA278" s="130">
        <v>-12010</v>
      </c>
      <c r="AB278" s="130">
        <f t="shared" si="201"/>
        <v>-12010</v>
      </c>
      <c r="AC278" s="130"/>
      <c r="AD278" s="130"/>
      <c r="AE278" s="130"/>
      <c r="AF278" s="130"/>
      <c r="AG278" s="130"/>
      <c r="AH278" s="130"/>
      <c r="AI278" s="130"/>
      <c r="AJ278" s="130"/>
      <c r="AK278" s="130"/>
      <c r="AL278" s="130"/>
      <c r="AM278" s="130"/>
      <c r="AN278" s="130">
        <f t="shared" si="202"/>
        <v>0</v>
      </c>
      <c r="AO278" s="130"/>
      <c r="AP278" s="130">
        <f t="shared" si="203"/>
        <v>0</v>
      </c>
      <c r="AQ278" s="130">
        <f t="shared" si="204"/>
        <v>0</v>
      </c>
      <c r="AR278" s="130">
        <f t="shared" si="205"/>
        <v>0</v>
      </c>
      <c r="AS278" s="130">
        <f t="shared" si="206"/>
        <v>0</v>
      </c>
      <c r="AT278" s="130">
        <f t="shared" si="207"/>
        <v>0</v>
      </c>
      <c r="AU278" s="130">
        <f t="shared" si="208"/>
        <v>0</v>
      </c>
      <c r="AV278" s="130">
        <f t="shared" si="209"/>
        <v>0</v>
      </c>
      <c r="AW278" s="130">
        <f t="shared" si="210"/>
        <v>0</v>
      </c>
      <c r="AX278" s="130">
        <f t="shared" si="211"/>
        <v>0</v>
      </c>
      <c r="AY278" s="130">
        <f t="shared" si="212"/>
        <v>-12010</v>
      </c>
      <c r="AZ278" s="130">
        <f t="shared" si="213"/>
        <v>-12010</v>
      </c>
      <c r="BB278" s="109">
        <f t="shared" si="216"/>
        <v>0</v>
      </c>
    </row>
    <row r="279" spans="1:54" x14ac:dyDescent="0.25">
      <c r="A279" s="551"/>
      <c r="B279" s="552" t="s">
        <v>568</v>
      </c>
      <c r="C279" s="148"/>
      <c r="D279" s="149"/>
      <c r="E279" s="149"/>
      <c r="F279" s="150"/>
      <c r="G279" s="150"/>
      <c r="H279" s="151"/>
      <c r="I279" s="148"/>
      <c r="J279" s="148"/>
      <c r="K279" s="150"/>
      <c r="L279" s="151"/>
      <c r="M279" s="148"/>
      <c r="N279" s="150">
        <v>-37340</v>
      </c>
      <c r="O279" s="262">
        <f t="shared" ref="O279:O286" si="219">SUM(M279:N279)</f>
        <v>-37340</v>
      </c>
      <c r="P279" s="542">
        <f t="shared" ref="P279:P286" si="220">SUM(O279)</f>
        <v>-37340</v>
      </c>
      <c r="R279" s="130"/>
      <c r="S279" s="130"/>
      <c r="T279" s="130"/>
      <c r="U279" s="130"/>
      <c r="V279" s="130"/>
      <c r="W279" s="130"/>
      <c r="X279" s="130"/>
      <c r="Y279" s="130"/>
      <c r="Z279" s="130"/>
      <c r="AA279" s="130"/>
      <c r="AB279" s="130">
        <f t="shared" si="201"/>
        <v>0</v>
      </c>
      <c r="AC279" s="130"/>
      <c r="AD279" s="130"/>
      <c r="AE279" s="130"/>
      <c r="AF279" s="130"/>
      <c r="AG279" s="130"/>
      <c r="AH279" s="130"/>
      <c r="AI279" s="130"/>
      <c r="AJ279" s="130"/>
      <c r="AK279" s="130"/>
      <c r="AL279" s="130"/>
      <c r="AM279" s="130">
        <v>-37340</v>
      </c>
      <c r="AN279" s="130">
        <f t="shared" si="202"/>
        <v>-37340</v>
      </c>
      <c r="AO279" s="130"/>
      <c r="AP279" s="130">
        <f t="shared" si="203"/>
        <v>0</v>
      </c>
      <c r="AQ279" s="130">
        <f t="shared" si="204"/>
        <v>0</v>
      </c>
      <c r="AR279" s="130">
        <f t="shared" si="205"/>
        <v>0</v>
      </c>
      <c r="AS279" s="130">
        <f t="shared" si="206"/>
        <v>0</v>
      </c>
      <c r="AT279" s="130">
        <f t="shared" si="207"/>
        <v>0</v>
      </c>
      <c r="AU279" s="130">
        <f t="shared" si="208"/>
        <v>0</v>
      </c>
      <c r="AV279" s="130">
        <f t="shared" si="209"/>
        <v>0</v>
      </c>
      <c r="AW279" s="130">
        <f t="shared" si="210"/>
        <v>0</v>
      </c>
      <c r="AX279" s="130">
        <f t="shared" si="211"/>
        <v>0</v>
      </c>
      <c r="AY279" s="130">
        <f t="shared" si="212"/>
        <v>-37340</v>
      </c>
      <c r="AZ279" s="130">
        <f t="shared" si="213"/>
        <v>-37340</v>
      </c>
      <c r="BB279" s="109">
        <f t="shared" si="216"/>
        <v>0</v>
      </c>
    </row>
    <row r="280" spans="1:54" ht="47.25" x14ac:dyDescent="0.25">
      <c r="A280" s="128"/>
      <c r="B280" s="625" t="s">
        <v>927</v>
      </c>
      <c r="C280" s="129"/>
      <c r="D280" s="130"/>
      <c r="E280" s="130"/>
      <c r="F280" s="131"/>
      <c r="G280" s="131"/>
      <c r="H280" s="127"/>
      <c r="I280" s="129"/>
      <c r="J280" s="129"/>
      <c r="K280" s="131"/>
      <c r="L280" s="127"/>
      <c r="M280" s="129"/>
      <c r="N280" s="131">
        <v>-2198</v>
      </c>
      <c r="O280" s="262">
        <f t="shared" si="219"/>
        <v>-2198</v>
      </c>
      <c r="P280" s="544">
        <f t="shared" si="220"/>
        <v>-2198</v>
      </c>
      <c r="R280" s="130"/>
      <c r="S280" s="130"/>
      <c r="T280" s="130"/>
      <c r="U280" s="130"/>
      <c r="V280" s="130"/>
      <c r="W280" s="130"/>
      <c r="X280" s="130"/>
      <c r="Y280" s="130"/>
      <c r="Z280" s="130"/>
      <c r="AA280" s="130">
        <v>-2198</v>
      </c>
      <c r="AB280" s="130">
        <f t="shared" si="201"/>
        <v>-2198</v>
      </c>
      <c r="AC280" s="130"/>
      <c r="AD280" s="130"/>
      <c r="AE280" s="130"/>
      <c r="AF280" s="130"/>
      <c r="AG280" s="130"/>
      <c r="AH280" s="130"/>
      <c r="AI280" s="130"/>
      <c r="AJ280" s="130"/>
      <c r="AK280" s="130"/>
      <c r="AL280" s="130"/>
      <c r="AM280" s="130"/>
      <c r="AN280" s="130">
        <f t="shared" si="202"/>
        <v>0</v>
      </c>
      <c r="AO280" s="130"/>
      <c r="AP280" s="130">
        <f t="shared" si="203"/>
        <v>0</v>
      </c>
      <c r="AQ280" s="130">
        <f t="shared" si="204"/>
        <v>0</v>
      </c>
      <c r="AR280" s="130">
        <f t="shared" si="205"/>
        <v>0</v>
      </c>
      <c r="AS280" s="130">
        <f t="shared" si="206"/>
        <v>0</v>
      </c>
      <c r="AT280" s="130">
        <f t="shared" si="207"/>
        <v>0</v>
      </c>
      <c r="AU280" s="130">
        <f t="shared" si="208"/>
        <v>0</v>
      </c>
      <c r="AV280" s="130">
        <f t="shared" si="209"/>
        <v>0</v>
      </c>
      <c r="AW280" s="130">
        <f t="shared" si="210"/>
        <v>0</v>
      </c>
      <c r="AX280" s="130">
        <f t="shared" si="211"/>
        <v>0</v>
      </c>
      <c r="AY280" s="130">
        <f t="shared" si="212"/>
        <v>-2198</v>
      </c>
      <c r="AZ280" s="130">
        <f t="shared" si="213"/>
        <v>-2198</v>
      </c>
      <c r="BB280" s="109">
        <f t="shared" si="216"/>
        <v>0</v>
      </c>
    </row>
    <row r="281" spans="1:54" x14ac:dyDescent="0.25">
      <c r="A281" s="551"/>
      <c r="B281" s="552" t="s">
        <v>564</v>
      </c>
      <c r="C281" s="148"/>
      <c r="D281" s="149"/>
      <c r="E281" s="149"/>
      <c r="F281" s="150"/>
      <c r="G281" s="150"/>
      <c r="H281" s="151"/>
      <c r="I281" s="148"/>
      <c r="J281" s="148"/>
      <c r="K281" s="150"/>
      <c r="L281" s="151"/>
      <c r="M281" s="148"/>
      <c r="N281" s="150">
        <v>-15164</v>
      </c>
      <c r="O281" s="262">
        <f t="shared" si="219"/>
        <v>-15164</v>
      </c>
      <c r="P281" s="542">
        <f t="shared" si="220"/>
        <v>-15164</v>
      </c>
      <c r="R281" s="130"/>
      <c r="S281" s="130"/>
      <c r="T281" s="130"/>
      <c r="U281" s="130"/>
      <c r="V281" s="130"/>
      <c r="W281" s="130"/>
      <c r="X281" s="130"/>
      <c r="Y281" s="130"/>
      <c r="Z281" s="130"/>
      <c r="AA281" s="130">
        <v>-15164</v>
      </c>
      <c r="AB281" s="130">
        <f t="shared" si="201"/>
        <v>-15164</v>
      </c>
      <c r="AC281" s="130"/>
      <c r="AD281" s="130"/>
      <c r="AE281" s="130"/>
      <c r="AF281" s="130"/>
      <c r="AG281" s="130"/>
      <c r="AH281" s="130"/>
      <c r="AI281" s="130"/>
      <c r="AJ281" s="130"/>
      <c r="AK281" s="130"/>
      <c r="AL281" s="130"/>
      <c r="AM281" s="130"/>
      <c r="AN281" s="130">
        <f t="shared" si="202"/>
        <v>0</v>
      </c>
      <c r="AO281" s="130"/>
      <c r="AP281" s="130">
        <f t="shared" si="203"/>
        <v>0</v>
      </c>
      <c r="AQ281" s="130">
        <f t="shared" si="204"/>
        <v>0</v>
      </c>
      <c r="AR281" s="130">
        <f t="shared" si="205"/>
        <v>0</v>
      </c>
      <c r="AS281" s="130">
        <f t="shared" si="206"/>
        <v>0</v>
      </c>
      <c r="AT281" s="130">
        <f t="shared" si="207"/>
        <v>0</v>
      </c>
      <c r="AU281" s="130">
        <f t="shared" si="208"/>
        <v>0</v>
      </c>
      <c r="AV281" s="130">
        <f t="shared" si="209"/>
        <v>0</v>
      </c>
      <c r="AW281" s="130">
        <f t="shared" si="210"/>
        <v>0</v>
      </c>
      <c r="AX281" s="130">
        <f t="shared" si="211"/>
        <v>0</v>
      </c>
      <c r="AY281" s="130">
        <f t="shared" si="212"/>
        <v>-15164</v>
      </c>
      <c r="AZ281" s="130">
        <f t="shared" si="213"/>
        <v>-15164</v>
      </c>
      <c r="BB281" s="109">
        <f t="shared" si="216"/>
        <v>0</v>
      </c>
    </row>
    <row r="282" spans="1:54" ht="47.25" x14ac:dyDescent="0.25">
      <c r="A282" s="551"/>
      <c r="B282" s="618" t="s">
        <v>768</v>
      </c>
      <c r="C282" s="148"/>
      <c r="D282" s="149"/>
      <c r="E282" s="149"/>
      <c r="F282" s="150"/>
      <c r="G282" s="150"/>
      <c r="H282" s="151"/>
      <c r="I282" s="148"/>
      <c r="J282" s="148"/>
      <c r="K282" s="150"/>
      <c r="L282" s="151"/>
      <c r="M282" s="148"/>
      <c r="N282" s="150">
        <v>-623</v>
      </c>
      <c r="O282" s="262">
        <f t="shared" si="219"/>
        <v>-623</v>
      </c>
      <c r="P282" s="542">
        <f t="shared" si="220"/>
        <v>-623</v>
      </c>
      <c r="R282" s="130"/>
      <c r="S282" s="130"/>
      <c r="T282" s="130"/>
      <c r="U282" s="130"/>
      <c r="V282" s="130"/>
      <c r="W282" s="130"/>
      <c r="X282" s="130"/>
      <c r="Y282" s="130"/>
      <c r="Z282" s="130"/>
      <c r="AA282" s="130">
        <v>-623</v>
      </c>
      <c r="AB282" s="130">
        <f t="shared" si="201"/>
        <v>-623</v>
      </c>
      <c r="AC282" s="130"/>
      <c r="AD282" s="130"/>
      <c r="AE282" s="130"/>
      <c r="AF282" s="130"/>
      <c r="AG282" s="130"/>
      <c r="AH282" s="130"/>
      <c r="AI282" s="130"/>
      <c r="AJ282" s="130"/>
      <c r="AK282" s="130"/>
      <c r="AL282" s="130"/>
      <c r="AM282" s="130"/>
      <c r="AN282" s="130">
        <f t="shared" si="202"/>
        <v>0</v>
      </c>
      <c r="AO282" s="130"/>
      <c r="AP282" s="130">
        <f t="shared" si="203"/>
        <v>0</v>
      </c>
      <c r="AQ282" s="130">
        <f t="shared" si="204"/>
        <v>0</v>
      </c>
      <c r="AR282" s="130">
        <f t="shared" si="205"/>
        <v>0</v>
      </c>
      <c r="AS282" s="130">
        <f t="shared" si="206"/>
        <v>0</v>
      </c>
      <c r="AT282" s="130">
        <f t="shared" si="207"/>
        <v>0</v>
      </c>
      <c r="AU282" s="130">
        <f t="shared" si="208"/>
        <v>0</v>
      </c>
      <c r="AV282" s="130">
        <f t="shared" si="209"/>
        <v>0</v>
      </c>
      <c r="AW282" s="130">
        <f t="shared" si="210"/>
        <v>0</v>
      </c>
      <c r="AX282" s="130">
        <f t="shared" si="211"/>
        <v>0</v>
      </c>
      <c r="AY282" s="130">
        <f t="shared" si="212"/>
        <v>-623</v>
      </c>
      <c r="AZ282" s="130">
        <f t="shared" si="213"/>
        <v>-623</v>
      </c>
      <c r="BB282" s="109">
        <f t="shared" si="216"/>
        <v>0</v>
      </c>
    </row>
    <row r="283" spans="1:54" x14ac:dyDescent="0.25">
      <c r="A283" s="128"/>
      <c r="B283" s="557" t="s">
        <v>565</v>
      </c>
      <c r="C283" s="129"/>
      <c r="D283" s="130"/>
      <c r="E283" s="130"/>
      <c r="F283" s="131"/>
      <c r="G283" s="131"/>
      <c r="H283" s="127"/>
      <c r="I283" s="129"/>
      <c r="J283" s="129"/>
      <c r="K283" s="131"/>
      <c r="L283" s="127"/>
      <c r="M283" s="129"/>
      <c r="N283" s="131">
        <v>-7826</v>
      </c>
      <c r="O283" s="262">
        <f t="shared" si="219"/>
        <v>-7826</v>
      </c>
      <c r="P283" s="544">
        <f t="shared" si="220"/>
        <v>-7826</v>
      </c>
      <c r="R283" s="130"/>
      <c r="S283" s="130"/>
      <c r="T283" s="130"/>
      <c r="U283" s="130"/>
      <c r="V283" s="130"/>
      <c r="W283" s="130"/>
      <c r="X283" s="130"/>
      <c r="Y283" s="130"/>
      <c r="Z283" s="130"/>
      <c r="AA283" s="130">
        <v>-7826</v>
      </c>
      <c r="AB283" s="130">
        <f t="shared" si="201"/>
        <v>-7826</v>
      </c>
      <c r="AC283" s="130"/>
      <c r="AD283" s="130"/>
      <c r="AE283" s="130"/>
      <c r="AF283" s="130"/>
      <c r="AG283" s="130"/>
      <c r="AH283" s="130"/>
      <c r="AI283" s="130"/>
      <c r="AJ283" s="130"/>
      <c r="AK283" s="130"/>
      <c r="AL283" s="130"/>
      <c r="AM283" s="130"/>
      <c r="AN283" s="130">
        <f t="shared" si="202"/>
        <v>0</v>
      </c>
      <c r="AO283" s="130"/>
      <c r="AP283" s="130">
        <f t="shared" si="203"/>
        <v>0</v>
      </c>
      <c r="AQ283" s="130">
        <f t="shared" si="204"/>
        <v>0</v>
      </c>
      <c r="AR283" s="130">
        <f t="shared" si="205"/>
        <v>0</v>
      </c>
      <c r="AS283" s="130">
        <f t="shared" si="206"/>
        <v>0</v>
      </c>
      <c r="AT283" s="130">
        <f t="shared" si="207"/>
        <v>0</v>
      </c>
      <c r="AU283" s="130">
        <f t="shared" si="208"/>
        <v>0</v>
      </c>
      <c r="AV283" s="130">
        <f t="shared" si="209"/>
        <v>0</v>
      </c>
      <c r="AW283" s="130">
        <f t="shared" si="210"/>
        <v>0</v>
      </c>
      <c r="AX283" s="130">
        <f t="shared" si="211"/>
        <v>0</v>
      </c>
      <c r="AY283" s="130">
        <f t="shared" si="212"/>
        <v>-7826</v>
      </c>
      <c r="AZ283" s="130">
        <f t="shared" si="213"/>
        <v>-7826</v>
      </c>
      <c r="BB283" s="109">
        <f t="shared" si="216"/>
        <v>0</v>
      </c>
    </row>
    <row r="284" spans="1:54" ht="31.5" x14ac:dyDescent="0.25">
      <c r="A284" s="128"/>
      <c r="B284" s="557" t="s">
        <v>494</v>
      </c>
      <c r="C284" s="129"/>
      <c r="D284" s="130"/>
      <c r="E284" s="130"/>
      <c r="F284" s="131"/>
      <c r="G284" s="131"/>
      <c r="H284" s="127"/>
      <c r="I284" s="129"/>
      <c r="J284" s="129"/>
      <c r="K284" s="131"/>
      <c r="L284" s="127"/>
      <c r="M284" s="129"/>
      <c r="N284" s="131">
        <v>-2214</v>
      </c>
      <c r="O284" s="262">
        <f t="shared" si="219"/>
        <v>-2214</v>
      </c>
      <c r="P284" s="544">
        <f t="shared" si="220"/>
        <v>-2214</v>
      </c>
      <c r="R284" s="130"/>
      <c r="S284" s="130"/>
      <c r="T284" s="130"/>
      <c r="U284" s="130"/>
      <c r="V284" s="130"/>
      <c r="W284" s="130"/>
      <c r="X284" s="130"/>
      <c r="Y284" s="130"/>
      <c r="Z284" s="130"/>
      <c r="AA284" s="130">
        <v>-2214</v>
      </c>
      <c r="AB284" s="130">
        <f t="shared" si="201"/>
        <v>-2214</v>
      </c>
      <c r="AC284" s="130"/>
      <c r="AD284" s="130"/>
      <c r="AE284" s="130"/>
      <c r="AF284" s="130"/>
      <c r="AG284" s="130"/>
      <c r="AH284" s="130"/>
      <c r="AI284" s="130"/>
      <c r="AJ284" s="130"/>
      <c r="AK284" s="130"/>
      <c r="AL284" s="130"/>
      <c r="AM284" s="130"/>
      <c r="AN284" s="130">
        <f t="shared" si="202"/>
        <v>0</v>
      </c>
      <c r="AO284" s="130"/>
      <c r="AP284" s="130">
        <f t="shared" si="203"/>
        <v>0</v>
      </c>
      <c r="AQ284" s="130">
        <f t="shared" si="204"/>
        <v>0</v>
      </c>
      <c r="AR284" s="130">
        <f t="shared" si="205"/>
        <v>0</v>
      </c>
      <c r="AS284" s="130">
        <f t="shared" si="206"/>
        <v>0</v>
      </c>
      <c r="AT284" s="130">
        <f t="shared" si="207"/>
        <v>0</v>
      </c>
      <c r="AU284" s="130">
        <f t="shared" si="208"/>
        <v>0</v>
      </c>
      <c r="AV284" s="130">
        <f t="shared" si="209"/>
        <v>0</v>
      </c>
      <c r="AW284" s="130">
        <f t="shared" si="210"/>
        <v>0</v>
      </c>
      <c r="AX284" s="130">
        <f t="shared" si="211"/>
        <v>0</v>
      </c>
      <c r="AY284" s="130">
        <f t="shared" si="212"/>
        <v>-2214</v>
      </c>
      <c r="AZ284" s="130">
        <f t="shared" si="213"/>
        <v>-2214</v>
      </c>
      <c r="BB284" s="109">
        <f t="shared" si="216"/>
        <v>0</v>
      </c>
    </row>
    <row r="285" spans="1:54" x14ac:dyDescent="0.25">
      <c r="A285" s="128"/>
      <c r="B285" s="619" t="s">
        <v>569</v>
      </c>
      <c r="C285" s="129"/>
      <c r="D285" s="130"/>
      <c r="E285" s="130"/>
      <c r="F285" s="131"/>
      <c r="G285" s="131"/>
      <c r="H285" s="127"/>
      <c r="I285" s="129"/>
      <c r="J285" s="129"/>
      <c r="K285" s="131"/>
      <c r="L285" s="127"/>
      <c r="M285" s="129"/>
      <c r="N285" s="131"/>
      <c r="O285" s="262"/>
      <c r="P285" s="544"/>
      <c r="R285" s="130"/>
      <c r="S285" s="130"/>
      <c r="T285" s="130"/>
      <c r="U285" s="130"/>
      <c r="V285" s="130"/>
      <c r="W285" s="130"/>
      <c r="X285" s="130"/>
      <c r="Y285" s="130"/>
      <c r="Z285" s="130"/>
      <c r="AA285" s="130"/>
      <c r="AB285" s="130">
        <f t="shared" si="201"/>
        <v>0</v>
      </c>
      <c r="AC285" s="130"/>
      <c r="AD285" s="130"/>
      <c r="AE285" s="130"/>
      <c r="AF285" s="130"/>
      <c r="AG285" s="130"/>
      <c r="AH285" s="130"/>
      <c r="AI285" s="130"/>
      <c r="AJ285" s="130"/>
      <c r="AK285" s="130"/>
      <c r="AL285" s="130"/>
      <c r="AM285" s="130"/>
      <c r="AN285" s="130">
        <f t="shared" si="202"/>
        <v>0</v>
      </c>
      <c r="AO285" s="130"/>
      <c r="AP285" s="130">
        <f t="shared" si="203"/>
        <v>0</v>
      </c>
      <c r="AQ285" s="130">
        <f t="shared" si="204"/>
        <v>0</v>
      </c>
      <c r="AR285" s="130">
        <f t="shared" si="205"/>
        <v>0</v>
      </c>
      <c r="AS285" s="130">
        <f t="shared" si="206"/>
        <v>0</v>
      </c>
      <c r="AT285" s="130">
        <f t="shared" si="207"/>
        <v>0</v>
      </c>
      <c r="AU285" s="130">
        <f t="shared" si="208"/>
        <v>0</v>
      </c>
      <c r="AV285" s="130">
        <f t="shared" si="209"/>
        <v>0</v>
      </c>
      <c r="AW285" s="130">
        <f t="shared" si="210"/>
        <v>0</v>
      </c>
      <c r="AX285" s="130">
        <f t="shared" si="211"/>
        <v>0</v>
      </c>
      <c r="AY285" s="130">
        <f t="shared" si="212"/>
        <v>0</v>
      </c>
      <c r="AZ285" s="130">
        <f t="shared" si="213"/>
        <v>0</v>
      </c>
      <c r="BB285" s="109">
        <f t="shared" si="216"/>
        <v>0</v>
      </c>
    </row>
    <row r="286" spans="1:54" ht="31.5" x14ac:dyDescent="0.25">
      <c r="A286" s="551"/>
      <c r="B286" s="552" t="s">
        <v>494</v>
      </c>
      <c r="C286" s="148"/>
      <c r="D286" s="149"/>
      <c r="E286" s="149"/>
      <c r="F286" s="150"/>
      <c r="G286" s="150"/>
      <c r="H286" s="151"/>
      <c r="I286" s="148"/>
      <c r="J286" s="148"/>
      <c r="K286" s="150"/>
      <c r="L286" s="151"/>
      <c r="M286" s="148"/>
      <c r="N286" s="150">
        <v>-196</v>
      </c>
      <c r="O286" s="262">
        <f t="shared" si="219"/>
        <v>-196</v>
      </c>
      <c r="P286" s="542">
        <f t="shared" si="220"/>
        <v>-196</v>
      </c>
      <c r="R286" s="130"/>
      <c r="S286" s="130"/>
      <c r="T286" s="130"/>
      <c r="U286" s="130"/>
      <c r="V286" s="130"/>
      <c r="W286" s="130"/>
      <c r="X286" s="130"/>
      <c r="Y286" s="130"/>
      <c r="Z286" s="130"/>
      <c r="AA286" s="130">
        <v>-196</v>
      </c>
      <c r="AB286" s="130">
        <f t="shared" si="201"/>
        <v>-196</v>
      </c>
      <c r="AC286" s="130"/>
      <c r="AD286" s="130"/>
      <c r="AE286" s="130"/>
      <c r="AF286" s="130"/>
      <c r="AG286" s="130"/>
      <c r="AH286" s="130"/>
      <c r="AI286" s="130"/>
      <c r="AJ286" s="130"/>
      <c r="AK286" s="130"/>
      <c r="AL286" s="130"/>
      <c r="AM286" s="130"/>
      <c r="AN286" s="130">
        <f t="shared" si="202"/>
        <v>0</v>
      </c>
      <c r="AO286" s="130"/>
      <c r="AP286" s="130">
        <f t="shared" si="203"/>
        <v>0</v>
      </c>
      <c r="AQ286" s="130">
        <f t="shared" si="204"/>
        <v>0</v>
      </c>
      <c r="AR286" s="130">
        <f t="shared" si="205"/>
        <v>0</v>
      </c>
      <c r="AS286" s="130">
        <f t="shared" si="206"/>
        <v>0</v>
      </c>
      <c r="AT286" s="130">
        <f t="shared" si="207"/>
        <v>0</v>
      </c>
      <c r="AU286" s="130">
        <f t="shared" si="208"/>
        <v>0</v>
      </c>
      <c r="AV286" s="130">
        <f t="shared" si="209"/>
        <v>0</v>
      </c>
      <c r="AW286" s="130">
        <f t="shared" si="210"/>
        <v>0</v>
      </c>
      <c r="AX286" s="130">
        <f t="shared" si="211"/>
        <v>0</v>
      </c>
      <c r="AY286" s="130">
        <f t="shared" si="212"/>
        <v>-196</v>
      </c>
      <c r="AZ286" s="130">
        <f t="shared" si="213"/>
        <v>-196</v>
      </c>
      <c r="BB286" s="109">
        <f t="shared" si="216"/>
        <v>0</v>
      </c>
    </row>
    <row r="287" spans="1:54" ht="16.5" thickBot="1" x14ac:dyDescent="0.3">
      <c r="A287" s="146" t="s">
        <v>46</v>
      </c>
      <c r="B287" s="147" t="s">
        <v>47</v>
      </c>
      <c r="C287" s="148"/>
      <c r="D287" s="149"/>
      <c r="E287" s="149"/>
      <c r="F287" s="150"/>
      <c r="G287" s="150"/>
      <c r="H287" s="151"/>
      <c r="I287" s="148"/>
      <c r="J287" s="148"/>
      <c r="K287" s="150"/>
      <c r="L287" s="151"/>
      <c r="M287" s="152">
        <f>SUM(M261:M286)</f>
        <v>0</v>
      </c>
      <c r="N287" s="152">
        <f>SUM(N261:N286)</f>
        <v>2228432</v>
      </c>
      <c r="O287" s="814">
        <f>SUM(O261:O286)</f>
        <v>2228432</v>
      </c>
      <c r="P287" s="898">
        <f>SUM(P261:P286)</f>
        <v>2228432</v>
      </c>
      <c r="R287" s="130"/>
      <c r="S287" s="130"/>
      <c r="T287" s="130"/>
      <c r="U287" s="130"/>
      <c r="V287" s="130"/>
      <c r="W287" s="130"/>
      <c r="X287" s="130"/>
      <c r="Y287" s="130"/>
      <c r="Z287" s="130"/>
      <c r="AA287" s="130"/>
      <c r="AB287" s="130">
        <f t="shared" si="201"/>
        <v>0</v>
      </c>
      <c r="AC287" s="130"/>
      <c r="AD287" s="130"/>
      <c r="AE287" s="130"/>
      <c r="AF287" s="130"/>
      <c r="AG287" s="130"/>
      <c r="AH287" s="130"/>
      <c r="AI287" s="130"/>
      <c r="AJ287" s="130"/>
      <c r="AK287" s="130"/>
      <c r="AL287" s="130"/>
      <c r="AM287" s="130"/>
      <c r="AN287" s="130">
        <f t="shared" si="202"/>
        <v>0</v>
      </c>
      <c r="AO287" s="130"/>
      <c r="AP287" s="130">
        <f t="shared" si="203"/>
        <v>0</v>
      </c>
      <c r="AQ287" s="130">
        <f t="shared" si="204"/>
        <v>0</v>
      </c>
      <c r="AR287" s="130">
        <f t="shared" si="205"/>
        <v>0</v>
      </c>
      <c r="AS287" s="130">
        <f t="shared" si="206"/>
        <v>0</v>
      </c>
      <c r="AT287" s="130">
        <f t="shared" si="207"/>
        <v>0</v>
      </c>
      <c r="AU287" s="130">
        <f t="shared" si="208"/>
        <v>0</v>
      </c>
      <c r="AV287" s="130">
        <f t="shared" si="209"/>
        <v>0</v>
      </c>
      <c r="AW287" s="130">
        <f t="shared" si="210"/>
        <v>0</v>
      </c>
      <c r="AX287" s="130">
        <f t="shared" si="211"/>
        <v>0</v>
      </c>
      <c r="AY287" s="130">
        <f t="shared" si="212"/>
        <v>0</v>
      </c>
      <c r="AZ287" s="130">
        <f t="shared" si="213"/>
        <v>0</v>
      </c>
      <c r="BB287" s="109">
        <f t="shared" si="216"/>
        <v>2228432</v>
      </c>
    </row>
    <row r="288" spans="1:54" ht="17.25" thickTop="1" thickBot="1" x14ac:dyDescent="0.3">
      <c r="A288" s="356" t="s">
        <v>48</v>
      </c>
      <c r="B288" s="357" t="s">
        <v>49</v>
      </c>
      <c r="C288" s="153">
        <f>SUM(C260:C261)</f>
        <v>412244</v>
      </c>
      <c r="D288" s="153">
        <f t="shared" ref="D288:L288" si="221">SUM(D260:D287)</f>
        <v>96470</v>
      </c>
      <c r="E288" s="153">
        <f t="shared" si="221"/>
        <v>7887614</v>
      </c>
      <c r="F288" s="153">
        <f t="shared" si="221"/>
        <v>44151</v>
      </c>
      <c r="G288" s="153">
        <f t="shared" si="221"/>
        <v>14564290</v>
      </c>
      <c r="H288" s="153">
        <f t="shared" si="221"/>
        <v>23004769</v>
      </c>
      <c r="I288" s="153">
        <f t="shared" si="221"/>
        <v>25062938</v>
      </c>
      <c r="J288" s="153">
        <f t="shared" si="221"/>
        <v>1517714</v>
      </c>
      <c r="K288" s="153">
        <f t="shared" si="221"/>
        <v>1340855</v>
      </c>
      <c r="L288" s="153">
        <f t="shared" si="221"/>
        <v>27921507</v>
      </c>
      <c r="M288" s="153">
        <f>SUM(M260+M287)</f>
        <v>40356</v>
      </c>
      <c r="N288" s="153">
        <f>SUM(N260+N287)</f>
        <v>4399800</v>
      </c>
      <c r="O288" s="153">
        <f>SUM(O260+O287)</f>
        <v>4440156</v>
      </c>
      <c r="P288" s="899">
        <f>SUM(P260+P287)</f>
        <v>55366432</v>
      </c>
      <c r="R288" s="130">
        <f t="shared" ref="R288:AA288" si="222">SUM(R260:R287)</f>
        <v>-53915</v>
      </c>
      <c r="S288" s="130">
        <f t="shared" si="222"/>
        <v>-12968</v>
      </c>
      <c r="T288" s="130">
        <f t="shared" si="222"/>
        <v>-280071</v>
      </c>
      <c r="U288" s="130">
        <f t="shared" si="222"/>
        <v>3137</v>
      </c>
      <c r="V288" s="130">
        <f t="shared" si="222"/>
        <v>39104</v>
      </c>
      <c r="W288" s="130">
        <f t="shared" si="222"/>
        <v>-574171</v>
      </c>
      <c r="X288" s="130">
        <f t="shared" si="222"/>
        <v>-724866</v>
      </c>
      <c r="Y288" s="130">
        <f t="shared" si="222"/>
        <v>-830</v>
      </c>
      <c r="Z288" s="130">
        <f t="shared" si="222"/>
        <v>0</v>
      </c>
      <c r="AA288" s="130">
        <f t="shared" si="222"/>
        <v>2265772</v>
      </c>
      <c r="AB288" s="130">
        <f t="shared" si="201"/>
        <v>661192</v>
      </c>
      <c r="AC288" s="130"/>
      <c r="AD288" s="130">
        <f t="shared" ref="AD288:AM288" si="223">SUM(AD260:AD287)</f>
        <v>-16494</v>
      </c>
      <c r="AE288" s="130">
        <f t="shared" si="223"/>
        <v>-6879</v>
      </c>
      <c r="AF288" s="130">
        <f t="shared" si="223"/>
        <v>-712791</v>
      </c>
      <c r="AG288" s="130">
        <f t="shared" si="223"/>
        <v>0</v>
      </c>
      <c r="AH288" s="130">
        <f t="shared" si="223"/>
        <v>46448</v>
      </c>
      <c r="AI288" s="130">
        <f t="shared" si="223"/>
        <v>-3331854</v>
      </c>
      <c r="AJ288" s="130">
        <f t="shared" si="223"/>
        <v>-1714910</v>
      </c>
      <c r="AK288" s="130">
        <f t="shared" si="223"/>
        <v>0</v>
      </c>
      <c r="AL288" s="130">
        <f t="shared" si="223"/>
        <v>0</v>
      </c>
      <c r="AM288" s="130">
        <f t="shared" si="223"/>
        <v>-37340</v>
      </c>
      <c r="AN288" s="130">
        <f t="shared" si="202"/>
        <v>-5773820</v>
      </c>
      <c r="AO288" s="130"/>
      <c r="AP288" s="130">
        <f t="shared" si="203"/>
        <v>-70409</v>
      </c>
      <c r="AQ288" s="130">
        <f t="shared" si="204"/>
        <v>-19847</v>
      </c>
      <c r="AR288" s="130">
        <f t="shared" si="205"/>
        <v>-992862</v>
      </c>
      <c r="AS288" s="130">
        <f t="shared" si="206"/>
        <v>3137</v>
      </c>
      <c r="AT288" s="130">
        <f t="shared" si="207"/>
        <v>85552</v>
      </c>
      <c r="AU288" s="130">
        <f t="shared" si="208"/>
        <v>-3906025</v>
      </c>
      <c r="AV288" s="130">
        <f t="shared" si="209"/>
        <v>-2439776</v>
      </c>
      <c r="AW288" s="130">
        <f t="shared" si="210"/>
        <v>-830</v>
      </c>
      <c r="AX288" s="130">
        <f t="shared" si="211"/>
        <v>0</v>
      </c>
      <c r="AY288" s="130">
        <f t="shared" si="212"/>
        <v>2228432</v>
      </c>
      <c r="AZ288" s="130">
        <f t="shared" si="213"/>
        <v>-5112628</v>
      </c>
    </row>
    <row r="289" spans="2:16" x14ac:dyDescent="0.25">
      <c r="B289" s="154"/>
    </row>
    <row r="290" spans="2:16" hidden="1" x14ac:dyDescent="0.25">
      <c r="B290" s="154"/>
      <c r="C290" s="109">
        <f t="shared" ref="C290:P290" si="224">SUM(C288-C11)</f>
        <v>-70409</v>
      </c>
      <c r="D290" s="109">
        <f t="shared" si="224"/>
        <v>-19847</v>
      </c>
      <c r="E290" s="109">
        <f t="shared" si="224"/>
        <v>-992862</v>
      </c>
      <c r="F290" s="109">
        <f t="shared" si="224"/>
        <v>3137</v>
      </c>
      <c r="G290" s="109">
        <f t="shared" si="224"/>
        <v>85552</v>
      </c>
      <c r="H290" s="109">
        <f t="shared" si="224"/>
        <v>-994429</v>
      </c>
      <c r="I290" s="109">
        <f t="shared" si="224"/>
        <v>-3906025</v>
      </c>
      <c r="J290" s="109">
        <f t="shared" si="224"/>
        <v>-2439776</v>
      </c>
      <c r="K290" s="109">
        <f t="shared" si="224"/>
        <v>-830</v>
      </c>
      <c r="L290" s="109">
        <f t="shared" si="224"/>
        <v>-6346631</v>
      </c>
      <c r="M290" s="109">
        <f t="shared" si="224"/>
        <v>0</v>
      </c>
      <c r="N290" s="109">
        <f t="shared" si="224"/>
        <v>2228432</v>
      </c>
      <c r="O290" s="109">
        <f t="shared" si="224"/>
        <v>2228432</v>
      </c>
      <c r="P290" s="546">
        <f t="shared" si="224"/>
        <v>-5112628</v>
      </c>
    </row>
    <row r="291" spans="2:16" hidden="1" x14ac:dyDescent="0.25">
      <c r="B291" s="154"/>
    </row>
    <row r="292" spans="2:16" hidden="1" x14ac:dyDescent="0.25">
      <c r="B292" s="154" t="s">
        <v>1174</v>
      </c>
      <c r="C292" s="109">
        <f>+R288</f>
        <v>-53915</v>
      </c>
      <c r="D292" s="109">
        <f t="shared" ref="D292:G292" si="225">+S288</f>
        <v>-12968</v>
      </c>
      <c r="E292" s="109">
        <f t="shared" si="225"/>
        <v>-280071</v>
      </c>
      <c r="F292" s="109">
        <f t="shared" si="225"/>
        <v>3137</v>
      </c>
      <c r="G292" s="109">
        <f t="shared" si="225"/>
        <v>39104</v>
      </c>
      <c r="I292" s="109">
        <f>+W288</f>
        <v>-574171</v>
      </c>
      <c r="J292" s="109">
        <f>+X288</f>
        <v>-724866</v>
      </c>
      <c r="K292" s="109">
        <f>+Y288</f>
        <v>-830</v>
      </c>
      <c r="M292" s="109">
        <f>+Z288</f>
        <v>0</v>
      </c>
      <c r="N292" s="109">
        <f t="shared" ref="N292" si="226">+AA288</f>
        <v>2265772</v>
      </c>
      <c r="P292" s="546">
        <f>+AB288</f>
        <v>661192</v>
      </c>
    </row>
    <row r="293" spans="2:16" hidden="1" x14ac:dyDescent="0.25">
      <c r="B293" s="154" t="s">
        <v>1175</v>
      </c>
      <c r="C293" s="109">
        <f>+AD288</f>
        <v>-16494</v>
      </c>
      <c r="D293" s="109">
        <f t="shared" ref="D293:G293" si="227">+AE288</f>
        <v>-6879</v>
      </c>
      <c r="E293" s="109">
        <f t="shared" si="227"/>
        <v>-712791</v>
      </c>
      <c r="F293" s="109">
        <f t="shared" si="227"/>
        <v>0</v>
      </c>
      <c r="G293" s="109">
        <f t="shared" si="227"/>
        <v>46448</v>
      </c>
      <c r="I293" s="109">
        <f>+AI288</f>
        <v>-3331854</v>
      </c>
      <c r="J293" s="109">
        <f t="shared" ref="J293:K293" si="228">+AJ288</f>
        <v>-1714910</v>
      </c>
      <c r="K293" s="109">
        <f t="shared" si="228"/>
        <v>0</v>
      </c>
      <c r="M293" s="109">
        <f>+AL288</f>
        <v>0</v>
      </c>
      <c r="N293" s="109">
        <f>+AM288</f>
        <v>-37340</v>
      </c>
      <c r="P293" s="546">
        <f>+AN288</f>
        <v>-5773820</v>
      </c>
    </row>
    <row r="294" spans="2:16" hidden="1" x14ac:dyDescent="0.25">
      <c r="B294" s="154"/>
      <c r="C294" s="109">
        <f>SUM(C292:C293)</f>
        <v>-70409</v>
      </c>
      <c r="D294" s="109">
        <f t="shared" ref="D294:P294" si="229">SUM(D292:D293)</f>
        <v>-19847</v>
      </c>
      <c r="E294" s="109">
        <f t="shared" si="229"/>
        <v>-992862</v>
      </c>
      <c r="F294" s="109">
        <f t="shared" si="229"/>
        <v>3137</v>
      </c>
      <c r="G294" s="109">
        <f t="shared" si="229"/>
        <v>85552</v>
      </c>
      <c r="I294" s="109">
        <f t="shared" si="229"/>
        <v>-3906025</v>
      </c>
      <c r="J294" s="109">
        <f t="shared" si="229"/>
        <v>-2439776</v>
      </c>
      <c r="K294" s="109">
        <f t="shared" si="229"/>
        <v>-830</v>
      </c>
      <c r="M294" s="109">
        <f t="shared" si="229"/>
        <v>0</v>
      </c>
      <c r="N294" s="109">
        <f t="shared" si="229"/>
        <v>2228432</v>
      </c>
      <c r="P294" s="546">
        <f t="shared" si="229"/>
        <v>-5112628</v>
      </c>
    </row>
    <row r="295" spans="2:16" hidden="1" x14ac:dyDescent="0.25">
      <c r="B295" s="154"/>
      <c r="C295" s="109">
        <f>+C290-C294</f>
        <v>0</v>
      </c>
      <c r="D295" s="109">
        <f t="shared" ref="D295:P295" si="230">+D290-D294</f>
        <v>0</v>
      </c>
      <c r="E295" s="109">
        <f t="shared" si="230"/>
        <v>0</v>
      </c>
      <c r="F295" s="109">
        <f t="shared" si="230"/>
        <v>0</v>
      </c>
      <c r="G295" s="109">
        <f t="shared" si="230"/>
        <v>0</v>
      </c>
      <c r="I295" s="109">
        <f t="shared" si="230"/>
        <v>0</v>
      </c>
      <c r="J295" s="109">
        <f t="shared" si="230"/>
        <v>0</v>
      </c>
      <c r="K295" s="109">
        <f t="shared" si="230"/>
        <v>0</v>
      </c>
      <c r="M295" s="109">
        <f t="shared" si="230"/>
        <v>0</v>
      </c>
      <c r="N295" s="109">
        <f t="shared" si="230"/>
        <v>0</v>
      </c>
      <c r="P295" s="546">
        <f t="shared" si="230"/>
        <v>0</v>
      </c>
    </row>
    <row r="296" spans="2:16" hidden="1" x14ac:dyDescent="0.25">
      <c r="B296" s="154"/>
    </row>
    <row r="297" spans="2:16" hidden="1" x14ac:dyDescent="0.25">
      <c r="B297" s="154"/>
    </row>
    <row r="298" spans="2:16" hidden="1" x14ac:dyDescent="0.25">
      <c r="B298" s="154"/>
      <c r="M298" s="821" t="s">
        <v>1031</v>
      </c>
      <c r="P298" s="546">
        <f>SUM(P20:P22,P33,P77:P82,P85,P88,P129:P140,P143:P150,P176,P178,P182,P187:P189,P197,P210,P275,P269)</f>
        <v>0</v>
      </c>
    </row>
    <row r="299" spans="2:16" hidden="1" x14ac:dyDescent="0.25">
      <c r="B299" s="154"/>
      <c r="M299" s="821" t="s">
        <v>1030</v>
      </c>
      <c r="P299" s="546">
        <f>SUM(P17,P30,P68:P74,P99:P100,P103:P126,P170,P171:P173,P207,P233,P263:P268)</f>
        <v>-5073688</v>
      </c>
    </row>
    <row r="300" spans="2:16" hidden="1" x14ac:dyDescent="0.25">
      <c r="B300" s="154"/>
      <c r="M300" s="821" t="s">
        <v>1032</v>
      </c>
      <c r="P300" s="546">
        <f>SUM(P53,P225:P226,P237,P243:P255,P277:P286,P273)</f>
        <v>-38940</v>
      </c>
    </row>
    <row r="301" spans="2:16" hidden="1" x14ac:dyDescent="0.25">
      <c r="B301" s="154"/>
    </row>
    <row r="302" spans="2:16" x14ac:dyDescent="0.25">
      <c r="B302" s="154"/>
    </row>
    <row r="303" spans="2:16" x14ac:dyDescent="0.25">
      <c r="B303" s="154"/>
    </row>
    <row r="304" spans="2:16" x14ac:dyDescent="0.25">
      <c r="B304" s="154"/>
    </row>
    <row r="305" spans="2:2" x14ac:dyDescent="0.25">
      <c r="B305" s="154"/>
    </row>
    <row r="306" spans="2:2" x14ac:dyDescent="0.25">
      <c r="B306" s="154"/>
    </row>
    <row r="307" spans="2:2" x14ac:dyDescent="0.25">
      <c r="B307" s="154"/>
    </row>
  </sheetData>
  <mergeCells count="1">
    <mergeCell ref="A1:P1"/>
  </mergeCells>
  <phoneticPr fontId="0" type="noConversion"/>
  <printOptions horizontalCentered="1"/>
  <pageMargins left="0.19685039370078741" right="0.15748031496062992" top="0.78740157480314965" bottom="0.39370078740157483" header="0.43307086614173229" footer="0.19685039370078741"/>
  <pageSetup paperSize="9" scale="65" orientation="landscape" r:id="rId1"/>
  <headerFooter alignWithMargins="0">
    <oddHeader>&amp;R&amp;"Times New Roman CE,Félkövér"&amp;11 8. melléklet a 6/2019. (II.22.) önkormányzati rendelethez&amp;12
&amp;"Times New Roman CE,Dőlt"&amp;10 10. melléklet
  a 3/2018.(II.8.) önkormányzati rendelethez</oddHeader>
  </headerFooter>
  <rowBreaks count="8" manualBreakCount="8">
    <brk id="64" max="15" man="1"/>
    <brk id="174" max="15" man="1"/>
    <brk id="204" max="15" man="1"/>
    <brk id="227" max="15" man="1"/>
    <brk id="245" max="15" man="1"/>
    <brk id="253" max="15" man="1"/>
    <brk id="272" max="15" man="1"/>
    <brk id="295" max="1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277"/>
  <sheetViews>
    <sheetView view="pageBreakPreview" zoomScaleNormal="120" zoomScaleSheetLayoutView="100" workbookViewId="0">
      <pane xSplit="2" ySplit="3" topLeftCell="C27" activePane="bottomRight" state="frozen"/>
      <selection activeCell="AD41" sqref="AD41"/>
      <selection pane="topRight" activeCell="AD41" sqref="AD41"/>
      <selection pane="bottomLeft" activeCell="AD41" sqref="AD41"/>
      <selection pane="bottomRight" activeCell="AD41" sqref="AD41"/>
    </sheetView>
  </sheetViews>
  <sheetFormatPr defaultRowHeight="15.75" x14ac:dyDescent="0.25"/>
  <cols>
    <col min="1" max="1" width="4.875" style="628" bestFit="1" customWidth="1"/>
    <col min="2" max="2" width="65.75" style="628" customWidth="1"/>
    <col min="3" max="3" width="13" style="629" customWidth="1"/>
    <col min="4" max="4" width="12.875" style="630" customWidth="1"/>
    <col min="5" max="5" width="13.875" style="628" customWidth="1"/>
    <col min="6" max="6" width="12.375" style="631" customWidth="1"/>
    <col min="7" max="7" width="12.625" style="632" customWidth="1"/>
    <col min="8" max="8" width="13.25" style="632" customWidth="1"/>
    <col min="9" max="10" width="10.625" style="633" hidden="1" customWidth="1"/>
    <col min="11" max="11" width="10.625" style="632" hidden="1" customWidth="1"/>
    <col min="12" max="14" width="9.625" style="633" customWidth="1"/>
    <col min="15" max="257" width="9" style="628"/>
    <col min="258" max="258" width="4.875" style="628" bestFit="1" customWidth="1"/>
    <col min="259" max="259" width="65.75" style="628" customWidth="1"/>
    <col min="260" max="261" width="13.25" style="628" customWidth="1"/>
    <col min="262" max="262" width="17.125" style="628" customWidth="1"/>
    <col min="263" max="265" width="0" style="628" hidden="1" customWidth="1"/>
    <col min="266" max="513" width="9" style="628"/>
    <col min="514" max="514" width="4.875" style="628" bestFit="1" customWidth="1"/>
    <col min="515" max="515" width="65.75" style="628" customWidth="1"/>
    <col min="516" max="517" width="13.25" style="628" customWidth="1"/>
    <col min="518" max="518" width="17.125" style="628" customWidth="1"/>
    <col min="519" max="521" width="0" style="628" hidden="1" customWidth="1"/>
    <col min="522" max="769" width="9" style="628"/>
    <col min="770" max="770" width="4.875" style="628" bestFit="1" customWidth="1"/>
    <col min="771" max="771" width="65.75" style="628" customWidth="1"/>
    <col min="772" max="773" width="13.25" style="628" customWidth="1"/>
    <col min="774" max="774" width="17.125" style="628" customWidth="1"/>
    <col min="775" max="777" width="0" style="628" hidden="1" customWidth="1"/>
    <col min="778" max="1025" width="9" style="628"/>
    <col min="1026" max="1026" width="4.875" style="628" bestFit="1" customWidth="1"/>
    <col min="1027" max="1027" width="65.75" style="628" customWidth="1"/>
    <col min="1028" max="1029" width="13.25" style="628" customWidth="1"/>
    <col min="1030" max="1030" width="17.125" style="628" customWidth="1"/>
    <col min="1031" max="1033" width="0" style="628" hidden="1" customWidth="1"/>
    <col min="1034" max="1281" width="9" style="628"/>
    <col min="1282" max="1282" width="4.875" style="628" bestFit="1" customWidth="1"/>
    <col min="1283" max="1283" width="65.75" style="628" customWidth="1"/>
    <col min="1284" max="1285" width="13.25" style="628" customWidth="1"/>
    <col min="1286" max="1286" width="17.125" style="628" customWidth="1"/>
    <col min="1287" max="1289" width="0" style="628" hidden="1" customWidth="1"/>
    <col min="1290" max="1537" width="9" style="628"/>
    <col min="1538" max="1538" width="4.875" style="628" bestFit="1" customWidth="1"/>
    <col min="1539" max="1539" width="65.75" style="628" customWidth="1"/>
    <col min="1540" max="1541" width="13.25" style="628" customWidth="1"/>
    <col min="1542" max="1542" width="17.125" style="628" customWidth="1"/>
    <col min="1543" max="1545" width="0" style="628" hidden="1" customWidth="1"/>
    <col min="1546" max="1793" width="9" style="628"/>
    <col min="1794" max="1794" width="4.875" style="628" bestFit="1" customWidth="1"/>
    <col min="1795" max="1795" width="65.75" style="628" customWidth="1"/>
    <col min="1796" max="1797" width="13.25" style="628" customWidth="1"/>
    <col min="1798" max="1798" width="17.125" style="628" customWidth="1"/>
    <col min="1799" max="1801" width="0" style="628" hidden="1" customWidth="1"/>
    <col min="1802" max="2049" width="9" style="628"/>
    <col min="2050" max="2050" width="4.875" style="628" bestFit="1" customWidth="1"/>
    <col min="2051" max="2051" width="65.75" style="628" customWidth="1"/>
    <col min="2052" max="2053" width="13.25" style="628" customWidth="1"/>
    <col min="2054" max="2054" width="17.125" style="628" customWidth="1"/>
    <col min="2055" max="2057" width="0" style="628" hidden="1" customWidth="1"/>
    <col min="2058" max="2305" width="9" style="628"/>
    <col min="2306" max="2306" width="4.875" style="628" bestFit="1" customWidth="1"/>
    <col min="2307" max="2307" width="65.75" style="628" customWidth="1"/>
    <col min="2308" max="2309" width="13.25" style="628" customWidth="1"/>
    <col min="2310" max="2310" width="17.125" style="628" customWidth="1"/>
    <col min="2311" max="2313" width="0" style="628" hidden="1" customWidth="1"/>
    <col min="2314" max="2561" width="9" style="628"/>
    <col min="2562" max="2562" width="4.875" style="628" bestFit="1" customWidth="1"/>
    <col min="2563" max="2563" width="65.75" style="628" customWidth="1"/>
    <col min="2564" max="2565" width="13.25" style="628" customWidth="1"/>
    <col min="2566" max="2566" width="17.125" style="628" customWidth="1"/>
    <col min="2567" max="2569" width="0" style="628" hidden="1" customWidth="1"/>
    <col min="2570" max="2817" width="9" style="628"/>
    <col min="2818" max="2818" width="4.875" style="628" bestFit="1" customWidth="1"/>
    <col min="2819" max="2819" width="65.75" style="628" customWidth="1"/>
    <col min="2820" max="2821" width="13.25" style="628" customWidth="1"/>
    <col min="2822" max="2822" width="17.125" style="628" customWidth="1"/>
    <col min="2823" max="2825" width="0" style="628" hidden="1" customWidth="1"/>
    <col min="2826" max="3073" width="9" style="628"/>
    <col min="3074" max="3074" width="4.875" style="628" bestFit="1" customWidth="1"/>
    <col min="3075" max="3075" width="65.75" style="628" customWidth="1"/>
    <col min="3076" max="3077" width="13.25" style="628" customWidth="1"/>
    <col min="3078" max="3078" width="17.125" style="628" customWidth="1"/>
    <col min="3079" max="3081" width="0" style="628" hidden="1" customWidth="1"/>
    <col min="3082" max="3329" width="9" style="628"/>
    <col min="3330" max="3330" width="4.875" style="628" bestFit="1" customWidth="1"/>
    <col min="3331" max="3331" width="65.75" style="628" customWidth="1"/>
    <col min="3332" max="3333" width="13.25" style="628" customWidth="1"/>
    <col min="3334" max="3334" width="17.125" style="628" customWidth="1"/>
    <col min="3335" max="3337" width="0" style="628" hidden="1" customWidth="1"/>
    <col min="3338" max="3585" width="9" style="628"/>
    <col min="3586" max="3586" width="4.875" style="628" bestFit="1" customWidth="1"/>
    <col min="3587" max="3587" width="65.75" style="628" customWidth="1"/>
    <col min="3588" max="3589" width="13.25" style="628" customWidth="1"/>
    <col min="3590" max="3590" width="17.125" style="628" customWidth="1"/>
    <col min="3591" max="3593" width="0" style="628" hidden="1" customWidth="1"/>
    <col min="3594" max="3841" width="9" style="628"/>
    <col min="3842" max="3842" width="4.875" style="628" bestFit="1" customWidth="1"/>
    <col min="3843" max="3843" width="65.75" style="628" customWidth="1"/>
    <col min="3844" max="3845" width="13.25" style="628" customWidth="1"/>
    <col min="3846" max="3846" width="17.125" style="628" customWidth="1"/>
    <col min="3847" max="3849" width="0" style="628" hidden="1" customWidth="1"/>
    <col min="3850" max="4097" width="9" style="628"/>
    <col min="4098" max="4098" width="4.875" style="628" bestFit="1" customWidth="1"/>
    <col min="4099" max="4099" width="65.75" style="628" customWidth="1"/>
    <col min="4100" max="4101" width="13.25" style="628" customWidth="1"/>
    <col min="4102" max="4102" width="17.125" style="628" customWidth="1"/>
    <col min="4103" max="4105" width="0" style="628" hidden="1" customWidth="1"/>
    <col min="4106" max="4353" width="9" style="628"/>
    <col min="4354" max="4354" width="4.875" style="628" bestFit="1" customWidth="1"/>
    <col min="4355" max="4355" width="65.75" style="628" customWidth="1"/>
    <col min="4356" max="4357" width="13.25" style="628" customWidth="1"/>
    <col min="4358" max="4358" width="17.125" style="628" customWidth="1"/>
    <col min="4359" max="4361" width="0" style="628" hidden="1" customWidth="1"/>
    <col min="4362" max="4609" width="9" style="628"/>
    <col min="4610" max="4610" width="4.875" style="628" bestFit="1" customWidth="1"/>
    <col min="4611" max="4611" width="65.75" style="628" customWidth="1"/>
    <col min="4612" max="4613" width="13.25" style="628" customWidth="1"/>
    <col min="4614" max="4614" width="17.125" style="628" customWidth="1"/>
    <col min="4615" max="4617" width="0" style="628" hidden="1" customWidth="1"/>
    <col min="4618" max="4865" width="9" style="628"/>
    <col min="4866" max="4866" width="4.875" style="628" bestFit="1" customWidth="1"/>
    <col min="4867" max="4867" width="65.75" style="628" customWidth="1"/>
    <col min="4868" max="4869" width="13.25" style="628" customWidth="1"/>
    <col min="4870" max="4870" width="17.125" style="628" customWidth="1"/>
    <col min="4871" max="4873" width="0" style="628" hidden="1" customWidth="1"/>
    <col min="4874" max="5121" width="9" style="628"/>
    <col min="5122" max="5122" width="4.875" style="628" bestFit="1" customWidth="1"/>
    <col min="5123" max="5123" width="65.75" style="628" customWidth="1"/>
    <col min="5124" max="5125" width="13.25" style="628" customWidth="1"/>
    <col min="5126" max="5126" width="17.125" style="628" customWidth="1"/>
    <col min="5127" max="5129" width="0" style="628" hidden="1" customWidth="1"/>
    <col min="5130" max="5377" width="9" style="628"/>
    <col min="5378" max="5378" width="4.875" style="628" bestFit="1" customWidth="1"/>
    <col min="5379" max="5379" width="65.75" style="628" customWidth="1"/>
    <col min="5380" max="5381" width="13.25" style="628" customWidth="1"/>
    <col min="5382" max="5382" width="17.125" style="628" customWidth="1"/>
    <col min="5383" max="5385" width="0" style="628" hidden="1" customWidth="1"/>
    <col min="5386" max="5633" width="9" style="628"/>
    <col min="5634" max="5634" width="4.875" style="628" bestFit="1" customWidth="1"/>
    <col min="5635" max="5635" width="65.75" style="628" customWidth="1"/>
    <col min="5636" max="5637" width="13.25" style="628" customWidth="1"/>
    <col min="5638" max="5638" width="17.125" style="628" customWidth="1"/>
    <col min="5639" max="5641" width="0" style="628" hidden="1" customWidth="1"/>
    <col min="5642" max="5889" width="9" style="628"/>
    <col min="5890" max="5890" width="4.875" style="628" bestFit="1" customWidth="1"/>
    <col min="5891" max="5891" width="65.75" style="628" customWidth="1"/>
    <col min="5892" max="5893" width="13.25" style="628" customWidth="1"/>
    <col min="5894" max="5894" width="17.125" style="628" customWidth="1"/>
    <col min="5895" max="5897" width="0" style="628" hidden="1" customWidth="1"/>
    <col min="5898" max="6145" width="9" style="628"/>
    <col min="6146" max="6146" width="4.875" style="628" bestFit="1" customWidth="1"/>
    <col min="6147" max="6147" width="65.75" style="628" customWidth="1"/>
    <col min="6148" max="6149" width="13.25" style="628" customWidth="1"/>
    <col min="6150" max="6150" width="17.125" style="628" customWidth="1"/>
    <col min="6151" max="6153" width="0" style="628" hidden="1" customWidth="1"/>
    <col min="6154" max="6401" width="9" style="628"/>
    <col min="6402" max="6402" width="4.875" style="628" bestFit="1" customWidth="1"/>
    <col min="6403" max="6403" width="65.75" style="628" customWidth="1"/>
    <col min="6404" max="6405" width="13.25" style="628" customWidth="1"/>
    <col min="6406" max="6406" width="17.125" style="628" customWidth="1"/>
    <col min="6407" max="6409" width="0" style="628" hidden="1" customWidth="1"/>
    <col min="6410" max="6657" width="9" style="628"/>
    <col min="6658" max="6658" width="4.875" style="628" bestFit="1" customWidth="1"/>
    <col min="6659" max="6659" width="65.75" style="628" customWidth="1"/>
    <col min="6660" max="6661" width="13.25" style="628" customWidth="1"/>
    <col min="6662" max="6662" width="17.125" style="628" customWidth="1"/>
    <col min="6663" max="6665" width="0" style="628" hidden="1" customWidth="1"/>
    <col min="6666" max="6913" width="9" style="628"/>
    <col min="6914" max="6914" width="4.875" style="628" bestFit="1" customWidth="1"/>
    <col min="6915" max="6915" width="65.75" style="628" customWidth="1"/>
    <col min="6916" max="6917" width="13.25" style="628" customWidth="1"/>
    <col min="6918" max="6918" width="17.125" style="628" customWidth="1"/>
    <col min="6919" max="6921" width="0" style="628" hidden="1" customWidth="1"/>
    <col min="6922" max="7169" width="9" style="628"/>
    <col min="7170" max="7170" width="4.875" style="628" bestFit="1" customWidth="1"/>
    <col min="7171" max="7171" width="65.75" style="628" customWidth="1"/>
    <col min="7172" max="7173" width="13.25" style="628" customWidth="1"/>
    <col min="7174" max="7174" width="17.125" style="628" customWidth="1"/>
    <col min="7175" max="7177" width="0" style="628" hidden="1" customWidth="1"/>
    <col min="7178" max="7425" width="9" style="628"/>
    <col min="7426" max="7426" width="4.875" style="628" bestFit="1" customWidth="1"/>
    <col min="7427" max="7427" width="65.75" style="628" customWidth="1"/>
    <col min="7428" max="7429" width="13.25" style="628" customWidth="1"/>
    <col min="7430" max="7430" width="17.125" style="628" customWidth="1"/>
    <col min="7431" max="7433" width="0" style="628" hidden="1" customWidth="1"/>
    <col min="7434" max="7681" width="9" style="628"/>
    <col min="7682" max="7682" width="4.875" style="628" bestFit="1" customWidth="1"/>
    <col min="7683" max="7683" width="65.75" style="628" customWidth="1"/>
    <col min="7684" max="7685" width="13.25" style="628" customWidth="1"/>
    <col min="7686" max="7686" width="17.125" style="628" customWidth="1"/>
    <col min="7687" max="7689" width="0" style="628" hidden="1" customWidth="1"/>
    <col min="7690" max="7937" width="9" style="628"/>
    <col min="7938" max="7938" width="4.875" style="628" bestFit="1" customWidth="1"/>
    <col min="7939" max="7939" width="65.75" style="628" customWidth="1"/>
    <col min="7940" max="7941" width="13.25" style="628" customWidth="1"/>
    <col min="7942" max="7942" width="17.125" style="628" customWidth="1"/>
    <col min="7943" max="7945" width="0" style="628" hidden="1" customWidth="1"/>
    <col min="7946" max="8193" width="9" style="628"/>
    <col min="8194" max="8194" width="4.875" style="628" bestFit="1" customWidth="1"/>
    <col min="8195" max="8195" width="65.75" style="628" customWidth="1"/>
    <col min="8196" max="8197" width="13.25" style="628" customWidth="1"/>
    <col min="8198" max="8198" width="17.125" style="628" customWidth="1"/>
    <col min="8199" max="8201" width="0" style="628" hidden="1" customWidth="1"/>
    <col min="8202" max="8449" width="9" style="628"/>
    <col min="8450" max="8450" width="4.875" style="628" bestFit="1" customWidth="1"/>
    <col min="8451" max="8451" width="65.75" style="628" customWidth="1"/>
    <col min="8452" max="8453" width="13.25" style="628" customWidth="1"/>
    <col min="8454" max="8454" width="17.125" style="628" customWidth="1"/>
    <col min="8455" max="8457" width="0" style="628" hidden="1" customWidth="1"/>
    <col min="8458" max="8705" width="9" style="628"/>
    <col min="8706" max="8706" width="4.875" style="628" bestFit="1" customWidth="1"/>
    <col min="8707" max="8707" width="65.75" style="628" customWidth="1"/>
    <col min="8708" max="8709" width="13.25" style="628" customWidth="1"/>
    <col min="8710" max="8710" width="17.125" style="628" customWidth="1"/>
    <col min="8711" max="8713" width="0" style="628" hidden="1" customWidth="1"/>
    <col min="8714" max="8961" width="9" style="628"/>
    <col min="8962" max="8962" width="4.875" style="628" bestFit="1" customWidth="1"/>
    <col min="8963" max="8963" width="65.75" style="628" customWidth="1"/>
    <col min="8964" max="8965" width="13.25" style="628" customWidth="1"/>
    <col min="8966" max="8966" width="17.125" style="628" customWidth="1"/>
    <col min="8967" max="8969" width="0" style="628" hidden="1" customWidth="1"/>
    <col min="8970" max="9217" width="9" style="628"/>
    <col min="9218" max="9218" width="4.875" style="628" bestFit="1" customWidth="1"/>
    <col min="9219" max="9219" width="65.75" style="628" customWidth="1"/>
    <col min="9220" max="9221" width="13.25" style="628" customWidth="1"/>
    <col min="9222" max="9222" width="17.125" style="628" customWidth="1"/>
    <col min="9223" max="9225" width="0" style="628" hidden="1" customWidth="1"/>
    <col min="9226" max="9473" width="9" style="628"/>
    <col min="9474" max="9474" width="4.875" style="628" bestFit="1" customWidth="1"/>
    <col min="9475" max="9475" width="65.75" style="628" customWidth="1"/>
    <col min="9476" max="9477" width="13.25" style="628" customWidth="1"/>
    <col min="9478" max="9478" width="17.125" style="628" customWidth="1"/>
    <col min="9479" max="9481" width="0" style="628" hidden="1" customWidth="1"/>
    <col min="9482" max="9729" width="9" style="628"/>
    <col min="9730" max="9730" width="4.875" style="628" bestFit="1" customWidth="1"/>
    <col min="9731" max="9731" width="65.75" style="628" customWidth="1"/>
    <col min="9732" max="9733" width="13.25" style="628" customWidth="1"/>
    <col min="9734" max="9734" width="17.125" style="628" customWidth="1"/>
    <col min="9735" max="9737" width="0" style="628" hidden="1" customWidth="1"/>
    <col min="9738" max="9985" width="9" style="628"/>
    <col min="9986" max="9986" width="4.875" style="628" bestFit="1" customWidth="1"/>
    <col min="9987" max="9987" width="65.75" style="628" customWidth="1"/>
    <col min="9988" max="9989" width="13.25" style="628" customWidth="1"/>
    <col min="9990" max="9990" width="17.125" style="628" customWidth="1"/>
    <col min="9991" max="9993" width="0" style="628" hidden="1" customWidth="1"/>
    <col min="9994" max="10241" width="9" style="628"/>
    <col min="10242" max="10242" width="4.875" style="628" bestFit="1" customWidth="1"/>
    <col min="10243" max="10243" width="65.75" style="628" customWidth="1"/>
    <col min="10244" max="10245" width="13.25" style="628" customWidth="1"/>
    <col min="10246" max="10246" width="17.125" style="628" customWidth="1"/>
    <col min="10247" max="10249" width="0" style="628" hidden="1" customWidth="1"/>
    <col min="10250" max="10497" width="9" style="628"/>
    <col min="10498" max="10498" width="4.875" style="628" bestFit="1" customWidth="1"/>
    <col min="10499" max="10499" width="65.75" style="628" customWidth="1"/>
    <col min="10500" max="10501" width="13.25" style="628" customWidth="1"/>
    <col min="10502" max="10502" width="17.125" style="628" customWidth="1"/>
    <col min="10503" max="10505" width="0" style="628" hidden="1" customWidth="1"/>
    <col min="10506" max="10753" width="9" style="628"/>
    <col min="10754" max="10754" width="4.875" style="628" bestFit="1" customWidth="1"/>
    <col min="10755" max="10755" width="65.75" style="628" customWidth="1"/>
    <col min="10756" max="10757" width="13.25" style="628" customWidth="1"/>
    <col min="10758" max="10758" width="17.125" style="628" customWidth="1"/>
    <col min="10759" max="10761" width="0" style="628" hidden="1" customWidth="1"/>
    <col min="10762" max="11009" width="9" style="628"/>
    <col min="11010" max="11010" width="4.875" style="628" bestFit="1" customWidth="1"/>
    <col min="11011" max="11011" width="65.75" style="628" customWidth="1"/>
    <col min="11012" max="11013" width="13.25" style="628" customWidth="1"/>
    <col min="11014" max="11014" width="17.125" style="628" customWidth="1"/>
    <col min="11015" max="11017" width="0" style="628" hidden="1" customWidth="1"/>
    <col min="11018" max="11265" width="9" style="628"/>
    <col min="11266" max="11266" width="4.875" style="628" bestFit="1" customWidth="1"/>
    <col min="11267" max="11267" width="65.75" style="628" customWidth="1"/>
    <col min="11268" max="11269" width="13.25" style="628" customWidth="1"/>
    <col min="11270" max="11270" width="17.125" style="628" customWidth="1"/>
    <col min="11271" max="11273" width="0" style="628" hidden="1" customWidth="1"/>
    <col min="11274" max="11521" width="9" style="628"/>
    <col min="11522" max="11522" width="4.875" style="628" bestFit="1" customWidth="1"/>
    <col min="11523" max="11523" width="65.75" style="628" customWidth="1"/>
    <col min="11524" max="11525" width="13.25" style="628" customWidth="1"/>
    <col min="11526" max="11526" width="17.125" style="628" customWidth="1"/>
    <col min="11527" max="11529" width="0" style="628" hidden="1" customWidth="1"/>
    <col min="11530" max="11777" width="9" style="628"/>
    <col min="11778" max="11778" width="4.875" style="628" bestFit="1" customWidth="1"/>
    <col min="11779" max="11779" width="65.75" style="628" customWidth="1"/>
    <col min="11780" max="11781" width="13.25" style="628" customWidth="1"/>
    <col min="11782" max="11782" width="17.125" style="628" customWidth="1"/>
    <col min="11783" max="11785" width="0" style="628" hidden="1" customWidth="1"/>
    <col min="11786" max="12033" width="9" style="628"/>
    <col min="12034" max="12034" width="4.875" style="628" bestFit="1" customWidth="1"/>
    <col min="12035" max="12035" width="65.75" style="628" customWidth="1"/>
    <col min="12036" max="12037" width="13.25" style="628" customWidth="1"/>
    <col min="12038" max="12038" width="17.125" style="628" customWidth="1"/>
    <col min="12039" max="12041" width="0" style="628" hidden="1" customWidth="1"/>
    <col min="12042" max="12289" width="9" style="628"/>
    <col min="12290" max="12290" width="4.875" style="628" bestFit="1" customWidth="1"/>
    <col min="12291" max="12291" width="65.75" style="628" customWidth="1"/>
    <col min="12292" max="12293" width="13.25" style="628" customWidth="1"/>
    <col min="12294" max="12294" width="17.125" style="628" customWidth="1"/>
    <col min="12295" max="12297" width="0" style="628" hidden="1" customWidth="1"/>
    <col min="12298" max="12545" width="9" style="628"/>
    <col min="12546" max="12546" width="4.875" style="628" bestFit="1" customWidth="1"/>
    <col min="12547" max="12547" width="65.75" style="628" customWidth="1"/>
    <col min="12548" max="12549" width="13.25" style="628" customWidth="1"/>
    <col min="12550" max="12550" width="17.125" style="628" customWidth="1"/>
    <col min="12551" max="12553" width="0" style="628" hidden="1" customWidth="1"/>
    <col min="12554" max="12801" width="9" style="628"/>
    <col min="12802" max="12802" width="4.875" style="628" bestFit="1" customWidth="1"/>
    <col min="12803" max="12803" width="65.75" style="628" customWidth="1"/>
    <col min="12804" max="12805" width="13.25" style="628" customWidth="1"/>
    <col min="12806" max="12806" width="17.125" style="628" customWidth="1"/>
    <col min="12807" max="12809" width="0" style="628" hidden="1" customWidth="1"/>
    <col min="12810" max="13057" width="9" style="628"/>
    <col min="13058" max="13058" width="4.875" style="628" bestFit="1" customWidth="1"/>
    <col min="13059" max="13059" width="65.75" style="628" customWidth="1"/>
    <col min="13060" max="13061" width="13.25" style="628" customWidth="1"/>
    <col min="13062" max="13062" width="17.125" style="628" customWidth="1"/>
    <col min="13063" max="13065" width="0" style="628" hidden="1" customWidth="1"/>
    <col min="13066" max="13313" width="9" style="628"/>
    <col min="13314" max="13314" width="4.875" style="628" bestFit="1" customWidth="1"/>
    <col min="13315" max="13315" width="65.75" style="628" customWidth="1"/>
    <col min="13316" max="13317" width="13.25" style="628" customWidth="1"/>
    <col min="13318" max="13318" width="17.125" style="628" customWidth="1"/>
    <col min="13319" max="13321" width="0" style="628" hidden="1" customWidth="1"/>
    <col min="13322" max="13569" width="9" style="628"/>
    <col min="13570" max="13570" width="4.875" style="628" bestFit="1" customWidth="1"/>
    <col min="13571" max="13571" width="65.75" style="628" customWidth="1"/>
    <col min="13572" max="13573" width="13.25" style="628" customWidth="1"/>
    <col min="13574" max="13574" width="17.125" style="628" customWidth="1"/>
    <col min="13575" max="13577" width="0" style="628" hidden="1" customWidth="1"/>
    <col min="13578" max="13825" width="9" style="628"/>
    <col min="13826" max="13826" width="4.875" style="628" bestFit="1" customWidth="1"/>
    <col min="13827" max="13827" width="65.75" style="628" customWidth="1"/>
    <col min="13828" max="13829" width="13.25" style="628" customWidth="1"/>
    <col min="13830" max="13830" width="17.125" style="628" customWidth="1"/>
    <col min="13831" max="13833" width="0" style="628" hidden="1" customWidth="1"/>
    <col min="13834" max="14081" width="9" style="628"/>
    <col min="14082" max="14082" width="4.875" style="628" bestFit="1" customWidth="1"/>
    <col min="14083" max="14083" width="65.75" style="628" customWidth="1"/>
    <col min="14084" max="14085" width="13.25" style="628" customWidth="1"/>
    <col min="14086" max="14086" width="17.125" style="628" customWidth="1"/>
    <col min="14087" max="14089" width="0" style="628" hidden="1" customWidth="1"/>
    <col min="14090" max="14337" width="9" style="628"/>
    <col min="14338" max="14338" width="4.875" style="628" bestFit="1" customWidth="1"/>
    <col min="14339" max="14339" width="65.75" style="628" customWidth="1"/>
    <col min="14340" max="14341" width="13.25" style="628" customWidth="1"/>
    <col min="14342" max="14342" width="17.125" style="628" customWidth="1"/>
    <col min="14343" max="14345" width="0" style="628" hidden="1" customWidth="1"/>
    <col min="14346" max="14593" width="9" style="628"/>
    <col min="14594" max="14594" width="4.875" style="628" bestFit="1" customWidth="1"/>
    <col min="14595" max="14595" width="65.75" style="628" customWidth="1"/>
    <col min="14596" max="14597" width="13.25" style="628" customWidth="1"/>
    <col min="14598" max="14598" width="17.125" style="628" customWidth="1"/>
    <col min="14599" max="14601" width="0" style="628" hidden="1" customWidth="1"/>
    <col min="14602" max="14849" width="9" style="628"/>
    <col min="14850" max="14850" width="4.875" style="628" bestFit="1" customWidth="1"/>
    <col min="14851" max="14851" width="65.75" style="628" customWidth="1"/>
    <col min="14852" max="14853" width="13.25" style="628" customWidth="1"/>
    <col min="14854" max="14854" width="17.125" style="628" customWidth="1"/>
    <col min="14855" max="14857" width="0" style="628" hidden="1" customWidth="1"/>
    <col min="14858" max="15105" width="9" style="628"/>
    <col min="15106" max="15106" width="4.875" style="628" bestFit="1" customWidth="1"/>
    <col min="15107" max="15107" width="65.75" style="628" customWidth="1"/>
    <col min="15108" max="15109" width="13.25" style="628" customWidth="1"/>
    <col min="15110" max="15110" width="17.125" style="628" customWidth="1"/>
    <col min="15111" max="15113" width="0" style="628" hidden="1" customWidth="1"/>
    <col min="15114" max="15361" width="9" style="628"/>
    <col min="15362" max="15362" width="4.875" style="628" bestFit="1" customWidth="1"/>
    <col min="15363" max="15363" width="65.75" style="628" customWidth="1"/>
    <col min="15364" max="15365" width="13.25" style="628" customWidth="1"/>
    <col min="15366" max="15366" width="17.125" style="628" customWidth="1"/>
    <col min="15367" max="15369" width="0" style="628" hidden="1" customWidth="1"/>
    <col min="15370" max="15617" width="9" style="628"/>
    <col min="15618" max="15618" width="4.875" style="628" bestFit="1" customWidth="1"/>
    <col min="15619" max="15619" width="65.75" style="628" customWidth="1"/>
    <col min="15620" max="15621" width="13.25" style="628" customWidth="1"/>
    <col min="15622" max="15622" width="17.125" style="628" customWidth="1"/>
    <col min="15623" max="15625" width="0" style="628" hidden="1" customWidth="1"/>
    <col min="15626" max="15873" width="9" style="628"/>
    <col min="15874" max="15874" width="4.875" style="628" bestFit="1" customWidth="1"/>
    <col min="15875" max="15875" width="65.75" style="628" customWidth="1"/>
    <col min="15876" max="15877" width="13.25" style="628" customWidth="1"/>
    <col min="15878" max="15878" width="17.125" style="628" customWidth="1"/>
    <col min="15879" max="15881" width="0" style="628" hidden="1" customWidth="1"/>
    <col min="15882" max="16129" width="9" style="628"/>
    <col min="16130" max="16130" width="4.875" style="628" bestFit="1" customWidth="1"/>
    <col min="16131" max="16131" width="65.75" style="628" customWidth="1"/>
    <col min="16132" max="16133" width="13.25" style="628" customWidth="1"/>
    <col min="16134" max="16134" width="17.125" style="628" customWidth="1"/>
    <col min="16135" max="16137" width="0" style="628" hidden="1" customWidth="1"/>
    <col min="16138" max="16384" width="9" style="628"/>
  </cols>
  <sheetData>
    <row r="1" spans="1:14" ht="39.75" customHeight="1" x14ac:dyDescent="0.3">
      <c r="A1" s="1010" t="s">
        <v>600</v>
      </c>
      <c r="B1" s="1010"/>
      <c r="C1" s="1010"/>
      <c r="D1" s="1010"/>
      <c r="E1" s="1010"/>
      <c r="F1" s="1010"/>
      <c r="G1" s="1010"/>
      <c r="H1" s="1010"/>
      <c r="I1" s="1010"/>
      <c r="J1" s="1010"/>
      <c r="K1" s="1010"/>
      <c r="L1" s="1010"/>
      <c r="M1" s="1010"/>
      <c r="N1" s="1010"/>
    </row>
    <row r="2" spans="1:14" ht="16.5" thickBot="1" x14ac:dyDescent="0.3"/>
    <row r="3" spans="1:14" ht="63.75" thickBot="1" x14ac:dyDescent="0.3">
      <c r="A3" s="634"/>
      <c r="B3" s="635" t="s">
        <v>145</v>
      </c>
      <c r="C3" s="636" t="s">
        <v>785</v>
      </c>
      <c r="D3" s="636" t="s">
        <v>746</v>
      </c>
      <c r="E3" s="637" t="s">
        <v>786</v>
      </c>
      <c r="F3" s="636" t="s">
        <v>747</v>
      </c>
      <c r="G3" s="638" t="s">
        <v>748</v>
      </c>
      <c r="H3" s="638" t="s">
        <v>570</v>
      </c>
      <c r="I3" s="638" t="s">
        <v>139</v>
      </c>
      <c r="J3" s="638" t="s">
        <v>140</v>
      </c>
      <c r="K3" s="638" t="s">
        <v>601</v>
      </c>
      <c r="L3" s="638" t="s">
        <v>139</v>
      </c>
      <c r="M3" s="638" t="s">
        <v>140</v>
      </c>
      <c r="N3" s="638" t="s">
        <v>368</v>
      </c>
    </row>
    <row r="4" spans="1:14" x14ac:dyDescent="0.25">
      <c r="A4" s="639" t="s">
        <v>79</v>
      </c>
      <c r="B4" s="640" t="s">
        <v>113</v>
      </c>
      <c r="C4" s="641">
        <f t="shared" ref="C4:E4" si="0">SUM(C5,C9,C81,C82,C84)</f>
        <v>5497257</v>
      </c>
      <c r="D4" s="641">
        <f t="shared" si="0"/>
        <v>49038</v>
      </c>
      <c r="E4" s="642">
        <f t="shared" si="0"/>
        <v>5546295</v>
      </c>
      <c r="F4" s="642">
        <f>SUM(F5,F9,F81,F82,F84)</f>
        <v>838</v>
      </c>
      <c r="G4" s="643">
        <f>SUM(G5,G9,G81,G82,G84)</f>
        <v>5554065</v>
      </c>
      <c r="H4" s="643">
        <f>SUM(H5,H9,H81,H82,H84)</f>
        <v>-8608</v>
      </c>
      <c r="I4" s="644" t="s">
        <v>141</v>
      </c>
      <c r="J4" s="644" t="s">
        <v>141</v>
      </c>
      <c r="K4" s="643"/>
      <c r="L4" s="644"/>
      <c r="M4" s="644"/>
      <c r="N4" s="644"/>
    </row>
    <row r="5" spans="1:14" x14ac:dyDescent="0.25">
      <c r="A5" s="645"/>
      <c r="B5" s="646" t="s">
        <v>80</v>
      </c>
      <c r="C5" s="648">
        <f t="shared" ref="C5:E5" si="1">SUM(C6:C8)</f>
        <v>4252774</v>
      </c>
      <c r="D5" s="648">
        <f t="shared" si="1"/>
        <v>50408</v>
      </c>
      <c r="E5" s="649">
        <f t="shared" si="1"/>
        <v>4303182</v>
      </c>
      <c r="F5" s="649">
        <f>SUM(F6:F8)</f>
        <v>791</v>
      </c>
      <c r="G5" s="649">
        <f>SUM(G6:G8)</f>
        <v>4302391</v>
      </c>
      <c r="H5" s="649">
        <f>SUM(H6:H8)</f>
        <v>0</v>
      </c>
      <c r="I5" s="650" t="s">
        <v>141</v>
      </c>
      <c r="J5" s="650" t="s">
        <v>141</v>
      </c>
      <c r="K5" s="649"/>
      <c r="L5" s="650" t="s">
        <v>602</v>
      </c>
      <c r="M5" s="650" t="s">
        <v>602</v>
      </c>
      <c r="N5" s="650"/>
    </row>
    <row r="6" spans="1:14" x14ac:dyDescent="0.25">
      <c r="A6" s="645"/>
      <c r="B6" s="651" t="s">
        <v>81</v>
      </c>
      <c r="C6" s="652">
        <v>1283834</v>
      </c>
      <c r="D6" s="653">
        <v>50408</v>
      </c>
      <c r="E6" s="652">
        <f>SUM(C6:D6)</f>
        <v>1334242</v>
      </c>
      <c r="F6" s="654">
        <f>791</f>
        <v>791</v>
      </c>
      <c r="G6" s="654">
        <f>298979+307+931604+52153+50408</f>
        <v>1333451</v>
      </c>
      <c r="H6" s="654"/>
      <c r="I6" s="655" t="s">
        <v>141</v>
      </c>
      <c r="J6" s="655" t="s">
        <v>141</v>
      </c>
      <c r="K6" s="656"/>
      <c r="L6" s="655" t="s">
        <v>602</v>
      </c>
      <c r="M6" s="655" t="s">
        <v>602</v>
      </c>
      <c r="N6" s="657"/>
    </row>
    <row r="7" spans="1:14" x14ac:dyDescent="0.25">
      <c r="A7" s="645"/>
      <c r="B7" s="658" t="s">
        <v>369</v>
      </c>
      <c r="C7" s="659">
        <v>9605</v>
      </c>
      <c r="D7" s="660"/>
      <c r="E7" s="652">
        <f t="shared" ref="E7:E8" si="2">SUM(C7:D7)</f>
        <v>9605</v>
      </c>
      <c r="F7" s="654"/>
      <c r="G7" s="654">
        <v>9605</v>
      </c>
      <c r="H7" s="654"/>
      <c r="I7" s="655"/>
      <c r="J7" s="655"/>
      <c r="K7" s="656"/>
      <c r="L7" s="655"/>
      <c r="M7" s="655" t="s">
        <v>602</v>
      </c>
      <c r="N7" s="657"/>
    </row>
    <row r="8" spans="1:14" x14ac:dyDescent="0.25">
      <c r="A8" s="645"/>
      <c r="B8" s="658" t="s">
        <v>511</v>
      </c>
      <c r="C8" s="659">
        <v>2959335</v>
      </c>
      <c r="D8" s="660"/>
      <c r="E8" s="652">
        <f t="shared" si="2"/>
        <v>2959335</v>
      </c>
      <c r="F8" s="654"/>
      <c r="G8" s="654">
        <v>2959335</v>
      </c>
      <c r="H8" s="654"/>
      <c r="I8" s="655"/>
      <c r="J8" s="655"/>
      <c r="K8" s="656"/>
      <c r="L8" s="655" t="s">
        <v>602</v>
      </c>
      <c r="M8" s="655"/>
      <c r="N8" s="657"/>
    </row>
    <row r="9" spans="1:14" x14ac:dyDescent="0.25">
      <c r="A9" s="645"/>
      <c r="B9" s="661" t="s">
        <v>82</v>
      </c>
      <c r="C9" s="663">
        <f t="shared" ref="C9:D9" si="3">SUM(C10,C76,C80)</f>
        <v>549325</v>
      </c>
      <c r="D9" s="663">
        <f t="shared" si="3"/>
        <v>-1370</v>
      </c>
      <c r="E9" s="663">
        <f>SUM(E10,E76,E80)</f>
        <v>547955</v>
      </c>
      <c r="F9" s="663">
        <f>SUM(F10,F76,F80)</f>
        <v>47</v>
      </c>
      <c r="G9" s="663">
        <f>SUM(G10,G76,G80)</f>
        <v>556516</v>
      </c>
      <c r="H9" s="663">
        <f>SUM(H10,H76,H80)</f>
        <v>-8608</v>
      </c>
      <c r="I9" s="650" t="s">
        <v>141</v>
      </c>
      <c r="J9" s="650" t="s">
        <v>141</v>
      </c>
      <c r="K9" s="663"/>
      <c r="L9" s="650" t="s">
        <v>602</v>
      </c>
      <c r="M9" s="650" t="s">
        <v>602</v>
      </c>
      <c r="N9" s="650"/>
    </row>
    <row r="10" spans="1:14" x14ac:dyDescent="0.25">
      <c r="A10" s="645"/>
      <c r="B10" s="651" t="s">
        <v>83</v>
      </c>
      <c r="C10" s="652">
        <v>523432</v>
      </c>
      <c r="D10" s="653">
        <v>-1118</v>
      </c>
      <c r="E10" s="652">
        <f>SUM(C10:D10)</f>
        <v>522314</v>
      </c>
      <c r="F10" s="654">
        <v>47</v>
      </c>
      <c r="G10" s="654">
        <f>58889+350231+25271+33733+40000+21881-1118</f>
        <v>528887</v>
      </c>
      <c r="H10" s="654">
        <v>-6620</v>
      </c>
      <c r="I10" s="664" t="s">
        <v>141</v>
      </c>
      <c r="J10" s="664" t="s">
        <v>141</v>
      </c>
      <c r="K10" s="654"/>
      <c r="L10" s="664" t="s">
        <v>602</v>
      </c>
      <c r="M10" s="664" t="s">
        <v>602</v>
      </c>
      <c r="N10" s="665"/>
    </row>
    <row r="11" spans="1:14" s="672" customFormat="1" x14ac:dyDescent="0.25">
      <c r="A11" s="666"/>
      <c r="B11" s="667" t="s">
        <v>254</v>
      </c>
      <c r="C11" s="668">
        <v>2000</v>
      </c>
      <c r="D11" s="669"/>
      <c r="E11" s="668">
        <f>SUM(C11:D11)</f>
        <v>2000</v>
      </c>
      <c r="F11" s="670"/>
      <c r="G11" s="670">
        <v>2000</v>
      </c>
      <c r="H11" s="670"/>
      <c r="I11" s="671"/>
      <c r="J11" s="671" t="s">
        <v>141</v>
      </c>
      <c r="K11" s="670"/>
      <c r="L11" s="671"/>
      <c r="M11" s="671" t="s">
        <v>602</v>
      </c>
      <c r="N11" s="671"/>
    </row>
    <row r="12" spans="1:14" s="672" customFormat="1" x14ac:dyDescent="0.25">
      <c r="A12" s="666"/>
      <c r="B12" s="667" t="s">
        <v>105</v>
      </c>
      <c r="C12" s="668">
        <v>2000</v>
      </c>
      <c r="D12" s="669"/>
      <c r="E12" s="668">
        <f t="shared" ref="E12:E74" si="4">SUM(C12:D12)</f>
        <v>2000</v>
      </c>
      <c r="F12" s="670"/>
      <c r="G12" s="670">
        <v>2000</v>
      </c>
      <c r="H12" s="670"/>
      <c r="I12" s="671"/>
      <c r="J12" s="671" t="s">
        <v>141</v>
      </c>
      <c r="K12" s="670"/>
      <c r="L12" s="671"/>
      <c r="M12" s="671" t="s">
        <v>602</v>
      </c>
      <c r="N12" s="671"/>
    </row>
    <row r="13" spans="1:14" s="672" customFormat="1" x14ac:dyDescent="0.25">
      <c r="A13" s="666"/>
      <c r="B13" s="667" t="s">
        <v>106</v>
      </c>
      <c r="C13" s="668">
        <v>4322</v>
      </c>
      <c r="D13" s="669"/>
      <c r="E13" s="668">
        <f t="shared" si="4"/>
        <v>4322</v>
      </c>
      <c r="F13" s="670"/>
      <c r="G13" s="670">
        <v>4322</v>
      </c>
      <c r="H13" s="670"/>
      <c r="I13" s="671"/>
      <c r="J13" s="671" t="s">
        <v>141</v>
      </c>
      <c r="K13" s="670"/>
      <c r="L13" s="671"/>
      <c r="M13" s="671" t="s">
        <v>602</v>
      </c>
      <c r="N13" s="671"/>
    </row>
    <row r="14" spans="1:14" s="672" customFormat="1" x14ac:dyDescent="0.25">
      <c r="A14" s="666"/>
      <c r="B14" s="667" t="s">
        <v>255</v>
      </c>
      <c r="C14" s="668">
        <v>9938</v>
      </c>
      <c r="D14" s="669"/>
      <c r="E14" s="668">
        <f t="shared" si="4"/>
        <v>9938</v>
      </c>
      <c r="F14" s="670"/>
      <c r="G14" s="670">
        <f>638+9300</f>
        <v>9938</v>
      </c>
      <c r="H14" s="670"/>
      <c r="I14" s="671"/>
      <c r="J14" s="671" t="s">
        <v>141</v>
      </c>
      <c r="K14" s="670"/>
      <c r="L14" s="671"/>
      <c r="M14" s="671" t="s">
        <v>602</v>
      </c>
      <c r="N14" s="671"/>
    </row>
    <row r="15" spans="1:14" s="672" customFormat="1" x14ac:dyDescent="0.25">
      <c r="A15" s="666"/>
      <c r="B15" s="667" t="s">
        <v>133</v>
      </c>
      <c r="C15" s="668">
        <v>400</v>
      </c>
      <c r="D15" s="669"/>
      <c r="E15" s="668">
        <f t="shared" si="4"/>
        <v>400</v>
      </c>
      <c r="F15" s="670"/>
      <c r="G15" s="670">
        <v>400</v>
      </c>
      <c r="H15" s="670"/>
      <c r="I15" s="671"/>
      <c r="J15" s="671" t="s">
        <v>141</v>
      </c>
      <c r="K15" s="670"/>
      <c r="L15" s="671"/>
      <c r="M15" s="671" t="s">
        <v>602</v>
      </c>
      <c r="N15" s="671"/>
    </row>
    <row r="16" spans="1:14" s="672" customFormat="1" x14ac:dyDescent="0.25">
      <c r="A16" s="666"/>
      <c r="B16" s="667" t="s">
        <v>256</v>
      </c>
      <c r="C16" s="668">
        <v>400</v>
      </c>
      <c r="D16" s="669"/>
      <c r="E16" s="668">
        <f t="shared" si="4"/>
        <v>400</v>
      </c>
      <c r="F16" s="670"/>
      <c r="G16" s="670">
        <v>400</v>
      </c>
      <c r="H16" s="670"/>
      <c r="I16" s="671"/>
      <c r="J16" s="671" t="s">
        <v>141</v>
      </c>
      <c r="K16" s="670"/>
      <c r="L16" s="671"/>
      <c r="M16" s="671" t="s">
        <v>602</v>
      </c>
      <c r="N16" s="671"/>
    </row>
    <row r="17" spans="1:14" s="672" customFormat="1" x14ac:dyDescent="0.25">
      <c r="A17" s="666"/>
      <c r="B17" s="667" t="s">
        <v>257</v>
      </c>
      <c r="C17" s="668">
        <v>15000</v>
      </c>
      <c r="D17" s="669"/>
      <c r="E17" s="668">
        <f t="shared" si="4"/>
        <v>15000</v>
      </c>
      <c r="F17" s="670"/>
      <c r="G17" s="670">
        <v>15000</v>
      </c>
      <c r="H17" s="670"/>
      <c r="I17" s="671"/>
      <c r="J17" s="671" t="s">
        <v>141</v>
      </c>
      <c r="K17" s="670"/>
      <c r="L17" s="671"/>
      <c r="M17" s="671" t="s">
        <v>602</v>
      </c>
      <c r="N17" s="671"/>
    </row>
    <row r="18" spans="1:14" s="672" customFormat="1" x14ac:dyDescent="0.25">
      <c r="A18" s="666"/>
      <c r="B18" s="667" t="s">
        <v>258</v>
      </c>
      <c r="C18" s="668">
        <v>3500</v>
      </c>
      <c r="D18" s="669"/>
      <c r="E18" s="668">
        <f t="shared" si="4"/>
        <v>3500</v>
      </c>
      <c r="F18" s="670"/>
      <c r="G18" s="670">
        <f>2000+1500</f>
        <v>3500</v>
      </c>
      <c r="H18" s="670"/>
      <c r="I18" s="671"/>
      <c r="J18" s="671" t="s">
        <v>141</v>
      </c>
      <c r="K18" s="670"/>
      <c r="L18" s="671"/>
      <c r="M18" s="671" t="s">
        <v>602</v>
      </c>
      <c r="N18" s="671"/>
    </row>
    <row r="19" spans="1:14" s="672" customFormat="1" x14ac:dyDescent="0.25">
      <c r="A19" s="666"/>
      <c r="B19" s="667" t="s">
        <v>259</v>
      </c>
      <c r="C19" s="668">
        <v>2000</v>
      </c>
      <c r="D19" s="669"/>
      <c r="E19" s="668">
        <f t="shared" si="4"/>
        <v>2000</v>
      </c>
      <c r="F19" s="670"/>
      <c r="G19" s="670">
        <v>2000</v>
      </c>
      <c r="H19" s="670"/>
      <c r="I19" s="671"/>
      <c r="J19" s="671" t="s">
        <v>141</v>
      </c>
      <c r="K19" s="670"/>
      <c r="L19" s="671"/>
      <c r="M19" s="671" t="s">
        <v>602</v>
      </c>
      <c r="N19" s="671"/>
    </row>
    <row r="20" spans="1:14" s="672" customFormat="1" x14ac:dyDescent="0.25">
      <c r="A20" s="666"/>
      <c r="B20" s="667" t="s">
        <v>260</v>
      </c>
      <c r="C20" s="668">
        <v>3500</v>
      </c>
      <c r="D20" s="669"/>
      <c r="E20" s="668">
        <f t="shared" si="4"/>
        <v>3500</v>
      </c>
      <c r="F20" s="670"/>
      <c r="G20" s="670">
        <f>2000+1500</f>
        <v>3500</v>
      </c>
      <c r="H20" s="670"/>
      <c r="I20" s="671"/>
      <c r="J20" s="671" t="s">
        <v>141</v>
      </c>
      <c r="K20" s="670"/>
      <c r="L20" s="671"/>
      <c r="M20" s="671" t="s">
        <v>602</v>
      </c>
      <c r="N20" s="671"/>
    </row>
    <row r="21" spans="1:14" s="672" customFormat="1" ht="31.5" x14ac:dyDescent="0.25">
      <c r="A21" s="666"/>
      <c r="B21" s="667" t="s">
        <v>261</v>
      </c>
      <c r="C21" s="668">
        <v>4000</v>
      </c>
      <c r="D21" s="669"/>
      <c r="E21" s="668">
        <f t="shared" si="4"/>
        <v>4000</v>
      </c>
      <c r="F21" s="673"/>
      <c r="G21" s="673">
        <f>3000+1000</f>
        <v>4000</v>
      </c>
      <c r="H21" s="673"/>
      <c r="I21" s="671"/>
      <c r="J21" s="671" t="s">
        <v>141</v>
      </c>
      <c r="K21" s="670"/>
      <c r="L21" s="674"/>
      <c r="M21" s="674" t="s">
        <v>602</v>
      </c>
      <c r="N21" s="674"/>
    </row>
    <row r="22" spans="1:14" s="672" customFormat="1" ht="31.5" x14ac:dyDescent="0.25">
      <c r="A22" s="666"/>
      <c r="B22" s="667" t="s">
        <v>603</v>
      </c>
      <c r="C22" s="668">
        <v>1000</v>
      </c>
      <c r="D22" s="669"/>
      <c r="E22" s="668">
        <f t="shared" si="4"/>
        <v>1000</v>
      </c>
      <c r="F22" s="673"/>
      <c r="G22" s="673">
        <v>1000</v>
      </c>
      <c r="H22" s="673"/>
      <c r="I22" s="671"/>
      <c r="J22" s="671"/>
      <c r="K22" s="670"/>
      <c r="L22" s="674"/>
      <c r="M22" s="674" t="s">
        <v>602</v>
      </c>
      <c r="N22" s="674"/>
    </row>
    <row r="23" spans="1:14" s="672" customFormat="1" x14ac:dyDescent="0.25">
      <c r="A23" s="666"/>
      <c r="B23" s="667" t="s">
        <v>262</v>
      </c>
      <c r="C23" s="668">
        <v>450</v>
      </c>
      <c r="D23" s="669"/>
      <c r="E23" s="668">
        <f t="shared" si="4"/>
        <v>450</v>
      </c>
      <c r="F23" s="673"/>
      <c r="G23" s="673">
        <v>450</v>
      </c>
      <c r="H23" s="673"/>
      <c r="I23" s="671"/>
      <c r="J23" s="671" t="s">
        <v>141</v>
      </c>
      <c r="K23" s="670"/>
      <c r="L23" s="674"/>
      <c r="M23" s="674" t="s">
        <v>602</v>
      </c>
      <c r="N23" s="674"/>
    </row>
    <row r="24" spans="1:14" s="672" customFormat="1" x14ac:dyDescent="0.25">
      <c r="A24" s="666"/>
      <c r="B24" s="667" t="s">
        <v>134</v>
      </c>
      <c r="C24" s="668">
        <v>1000</v>
      </c>
      <c r="D24" s="669"/>
      <c r="E24" s="668">
        <f t="shared" si="4"/>
        <v>1000</v>
      </c>
      <c r="F24" s="673"/>
      <c r="G24" s="673">
        <f>400+600</f>
        <v>1000</v>
      </c>
      <c r="H24" s="673"/>
      <c r="I24" s="671"/>
      <c r="J24" s="671" t="s">
        <v>141</v>
      </c>
      <c r="K24" s="670"/>
      <c r="L24" s="674"/>
      <c r="M24" s="674" t="s">
        <v>602</v>
      </c>
      <c r="N24" s="674"/>
    </row>
    <row r="25" spans="1:14" s="672" customFormat="1" x14ac:dyDescent="0.25">
      <c r="A25" s="666"/>
      <c r="B25" s="667" t="s">
        <v>263</v>
      </c>
      <c r="C25" s="668">
        <v>500</v>
      </c>
      <c r="D25" s="669"/>
      <c r="E25" s="668">
        <f t="shared" si="4"/>
        <v>500</v>
      </c>
      <c r="F25" s="673"/>
      <c r="G25" s="673">
        <v>500</v>
      </c>
      <c r="H25" s="673"/>
      <c r="I25" s="671"/>
      <c r="J25" s="671" t="s">
        <v>141</v>
      </c>
      <c r="K25" s="670"/>
      <c r="L25" s="674"/>
      <c r="M25" s="674" t="s">
        <v>602</v>
      </c>
      <c r="N25" s="674"/>
    </row>
    <row r="26" spans="1:14" s="672" customFormat="1" x14ac:dyDescent="0.25">
      <c r="A26" s="666"/>
      <c r="B26" s="667" t="s">
        <v>264</v>
      </c>
      <c r="C26" s="668">
        <v>200</v>
      </c>
      <c r="D26" s="669"/>
      <c r="E26" s="668">
        <f t="shared" si="4"/>
        <v>200</v>
      </c>
      <c r="F26" s="673"/>
      <c r="G26" s="673">
        <v>200</v>
      </c>
      <c r="H26" s="673"/>
      <c r="I26" s="671"/>
      <c r="J26" s="671" t="s">
        <v>141</v>
      </c>
      <c r="K26" s="670"/>
      <c r="L26" s="674"/>
      <c r="M26" s="674" t="s">
        <v>602</v>
      </c>
      <c r="N26" s="674"/>
    </row>
    <row r="27" spans="1:14" s="672" customFormat="1" ht="31.5" x14ac:dyDescent="0.25">
      <c r="A27" s="666"/>
      <c r="B27" s="667" t="s">
        <v>512</v>
      </c>
      <c r="C27" s="668">
        <v>2500</v>
      </c>
      <c r="D27" s="669"/>
      <c r="E27" s="668">
        <f t="shared" si="4"/>
        <v>2500</v>
      </c>
      <c r="F27" s="673"/>
      <c r="G27" s="673">
        <v>2500</v>
      </c>
      <c r="H27" s="673"/>
      <c r="I27" s="671"/>
      <c r="J27" s="671" t="s">
        <v>141</v>
      </c>
      <c r="K27" s="670"/>
      <c r="L27" s="674"/>
      <c r="M27" s="674" t="s">
        <v>602</v>
      </c>
      <c r="N27" s="674"/>
    </row>
    <row r="28" spans="1:14" s="672" customFormat="1" x14ac:dyDescent="0.25">
      <c r="A28" s="666"/>
      <c r="B28" s="667" t="s">
        <v>378</v>
      </c>
      <c r="C28" s="668">
        <v>1000</v>
      </c>
      <c r="D28" s="669"/>
      <c r="E28" s="668">
        <f t="shared" si="4"/>
        <v>1000</v>
      </c>
      <c r="F28" s="673"/>
      <c r="G28" s="673">
        <v>1000</v>
      </c>
      <c r="H28" s="673"/>
      <c r="I28" s="671"/>
      <c r="J28" s="671" t="s">
        <v>141</v>
      </c>
      <c r="K28" s="670"/>
      <c r="L28" s="674"/>
      <c r="M28" s="674" t="s">
        <v>602</v>
      </c>
      <c r="N28" s="674"/>
    </row>
    <row r="29" spans="1:14" s="672" customFormat="1" ht="31.5" x14ac:dyDescent="0.25">
      <c r="A29" s="666"/>
      <c r="B29" s="667" t="s">
        <v>379</v>
      </c>
      <c r="C29" s="668">
        <v>1000</v>
      </c>
      <c r="D29" s="669"/>
      <c r="E29" s="668">
        <f t="shared" si="4"/>
        <v>1000</v>
      </c>
      <c r="F29" s="673"/>
      <c r="G29" s="673">
        <v>1000</v>
      </c>
      <c r="H29" s="673"/>
      <c r="I29" s="671"/>
      <c r="J29" s="671" t="s">
        <v>141</v>
      </c>
      <c r="K29" s="670"/>
      <c r="L29" s="674"/>
      <c r="M29" s="674" t="s">
        <v>602</v>
      </c>
      <c r="N29" s="674"/>
    </row>
    <row r="30" spans="1:14" s="672" customFormat="1" ht="31.5" x14ac:dyDescent="0.25">
      <c r="A30" s="666"/>
      <c r="B30" s="667" t="s">
        <v>604</v>
      </c>
      <c r="C30" s="668">
        <v>4250</v>
      </c>
      <c r="D30" s="669"/>
      <c r="E30" s="668">
        <f t="shared" si="4"/>
        <v>4250</v>
      </c>
      <c r="F30" s="673"/>
      <c r="G30" s="673">
        <v>4250</v>
      </c>
      <c r="H30" s="673"/>
      <c r="I30" s="671"/>
      <c r="J30" s="671" t="s">
        <v>141</v>
      </c>
      <c r="K30" s="670"/>
      <c r="L30" s="674"/>
      <c r="M30" s="674" t="s">
        <v>602</v>
      </c>
      <c r="N30" s="674"/>
    </row>
    <row r="31" spans="1:14" s="672" customFormat="1" ht="43.5" customHeight="1" x14ac:dyDescent="0.25">
      <c r="A31" s="666"/>
      <c r="B31" s="667" t="s">
        <v>380</v>
      </c>
      <c r="C31" s="668">
        <v>5000</v>
      </c>
      <c r="D31" s="669"/>
      <c r="E31" s="668">
        <f t="shared" si="4"/>
        <v>5000</v>
      </c>
      <c r="F31" s="673"/>
      <c r="G31" s="673">
        <v>5000</v>
      </c>
      <c r="H31" s="673"/>
      <c r="I31" s="671"/>
      <c r="J31" s="671" t="s">
        <v>141</v>
      </c>
      <c r="K31" s="670"/>
      <c r="L31" s="674"/>
      <c r="M31" s="674" t="s">
        <v>602</v>
      </c>
      <c r="N31" s="674"/>
    </row>
    <row r="32" spans="1:14" s="672" customFormat="1" x14ac:dyDescent="0.25">
      <c r="A32" s="666"/>
      <c r="B32" s="667" t="s">
        <v>513</v>
      </c>
      <c r="C32" s="668">
        <v>6350</v>
      </c>
      <c r="D32" s="669"/>
      <c r="E32" s="668">
        <f t="shared" si="4"/>
        <v>6350</v>
      </c>
      <c r="F32" s="673"/>
      <c r="G32" s="673">
        <f>350+6000</f>
        <v>6350</v>
      </c>
      <c r="H32" s="673"/>
      <c r="I32" s="671"/>
      <c r="J32" s="671"/>
      <c r="K32" s="670"/>
      <c r="L32" s="674"/>
      <c r="M32" s="674" t="s">
        <v>602</v>
      </c>
      <c r="N32" s="674"/>
    </row>
    <row r="33" spans="1:14" s="672" customFormat="1" ht="31.5" x14ac:dyDescent="0.25">
      <c r="A33" s="666"/>
      <c r="B33" s="667" t="s">
        <v>605</v>
      </c>
      <c r="C33" s="668">
        <v>45636</v>
      </c>
      <c r="D33" s="669">
        <v>-1118</v>
      </c>
      <c r="E33" s="668">
        <f t="shared" si="4"/>
        <v>44518</v>
      </c>
      <c r="F33" s="673"/>
      <c r="G33" s="673">
        <f>13645+31991-1118</f>
        <v>44518</v>
      </c>
      <c r="H33" s="673"/>
      <c r="I33" s="671"/>
      <c r="J33" s="671"/>
      <c r="K33" s="670"/>
      <c r="L33" s="674"/>
      <c r="M33" s="674" t="s">
        <v>602</v>
      </c>
      <c r="N33" s="674"/>
    </row>
    <row r="34" spans="1:14" s="672" customFormat="1" ht="31.5" x14ac:dyDescent="0.25">
      <c r="A34" s="666"/>
      <c r="B34" s="667" t="s">
        <v>514</v>
      </c>
      <c r="C34" s="668">
        <v>1200</v>
      </c>
      <c r="D34" s="669"/>
      <c r="E34" s="668">
        <f t="shared" si="4"/>
        <v>1200</v>
      </c>
      <c r="F34" s="673"/>
      <c r="G34" s="673">
        <v>1200</v>
      </c>
      <c r="H34" s="673"/>
      <c r="I34" s="671"/>
      <c r="J34" s="671"/>
      <c r="K34" s="670"/>
      <c r="L34" s="674"/>
      <c r="M34" s="674" t="s">
        <v>602</v>
      </c>
      <c r="N34" s="674"/>
    </row>
    <row r="35" spans="1:14" s="672" customFormat="1" x14ac:dyDescent="0.25">
      <c r="A35" s="666"/>
      <c r="B35" s="667" t="s">
        <v>515</v>
      </c>
      <c r="C35" s="668">
        <v>2200</v>
      </c>
      <c r="D35" s="669"/>
      <c r="E35" s="668">
        <f t="shared" si="4"/>
        <v>2200</v>
      </c>
      <c r="F35" s="673"/>
      <c r="G35" s="673">
        <v>2200</v>
      </c>
      <c r="H35" s="673"/>
      <c r="I35" s="671"/>
      <c r="J35" s="671"/>
      <c r="K35" s="670"/>
      <c r="L35" s="674"/>
      <c r="M35" s="674" t="s">
        <v>602</v>
      </c>
      <c r="N35" s="674"/>
    </row>
    <row r="36" spans="1:14" s="672" customFormat="1" x14ac:dyDescent="0.25">
      <c r="A36" s="666"/>
      <c r="B36" s="667" t="s">
        <v>516</v>
      </c>
      <c r="C36" s="668">
        <v>30686</v>
      </c>
      <c r="D36" s="669"/>
      <c r="E36" s="668">
        <f t="shared" si="4"/>
        <v>30686</v>
      </c>
      <c r="F36" s="673"/>
      <c r="G36" s="673">
        <f>30000+686</f>
        <v>30686</v>
      </c>
      <c r="H36" s="673"/>
      <c r="I36" s="671"/>
      <c r="J36" s="671"/>
      <c r="K36" s="670"/>
      <c r="L36" s="674"/>
      <c r="M36" s="674" t="s">
        <v>602</v>
      </c>
      <c r="N36" s="674"/>
    </row>
    <row r="37" spans="1:14" s="672" customFormat="1" x14ac:dyDescent="0.25">
      <c r="A37" s="666"/>
      <c r="B37" s="667" t="s">
        <v>517</v>
      </c>
      <c r="C37" s="668">
        <v>5000</v>
      </c>
      <c r="D37" s="669"/>
      <c r="E37" s="668">
        <f t="shared" si="4"/>
        <v>5000</v>
      </c>
      <c r="F37" s="673"/>
      <c r="G37" s="673">
        <v>5000</v>
      </c>
      <c r="H37" s="673"/>
      <c r="I37" s="671"/>
      <c r="J37" s="671"/>
      <c r="K37" s="670"/>
      <c r="L37" s="674"/>
      <c r="M37" s="674" t="s">
        <v>602</v>
      </c>
      <c r="N37" s="674"/>
    </row>
    <row r="38" spans="1:14" s="672" customFormat="1" x14ac:dyDescent="0.25">
      <c r="A38" s="666"/>
      <c r="B38" s="667" t="s">
        <v>518</v>
      </c>
      <c r="C38" s="668">
        <v>2953</v>
      </c>
      <c r="D38" s="669"/>
      <c r="E38" s="668">
        <f t="shared" si="4"/>
        <v>2953</v>
      </c>
      <c r="F38" s="673"/>
      <c r="G38" s="673">
        <f>953+2000</f>
        <v>2953</v>
      </c>
      <c r="H38" s="673"/>
      <c r="I38" s="671"/>
      <c r="J38" s="671"/>
      <c r="K38" s="670"/>
      <c r="L38" s="674"/>
      <c r="M38" s="674" t="s">
        <v>602</v>
      </c>
      <c r="N38" s="674"/>
    </row>
    <row r="39" spans="1:14" s="672" customFormat="1" x14ac:dyDescent="0.25">
      <c r="A39" s="666"/>
      <c r="B39" s="667" t="s">
        <v>519</v>
      </c>
      <c r="C39" s="668">
        <v>1524</v>
      </c>
      <c r="D39" s="669"/>
      <c r="E39" s="668">
        <f t="shared" si="4"/>
        <v>1524</v>
      </c>
      <c r="F39" s="673"/>
      <c r="G39" s="673">
        <v>1524</v>
      </c>
      <c r="H39" s="673"/>
      <c r="I39" s="671"/>
      <c r="J39" s="671" t="s">
        <v>141</v>
      </c>
      <c r="K39" s="670"/>
      <c r="L39" s="674"/>
      <c r="M39" s="674" t="s">
        <v>602</v>
      </c>
      <c r="N39" s="674"/>
    </row>
    <row r="40" spans="1:14" s="672" customFormat="1" x14ac:dyDescent="0.25">
      <c r="A40" s="666"/>
      <c r="B40" s="667" t="s">
        <v>606</v>
      </c>
      <c r="C40" s="668">
        <v>1500</v>
      </c>
      <c r="D40" s="669"/>
      <c r="E40" s="668">
        <f t="shared" si="4"/>
        <v>1500</v>
      </c>
      <c r="F40" s="673"/>
      <c r="G40" s="673">
        <v>1500</v>
      </c>
      <c r="H40" s="673"/>
      <c r="I40" s="671"/>
      <c r="J40" s="671"/>
      <c r="K40" s="670"/>
      <c r="L40" s="674"/>
      <c r="M40" s="674" t="s">
        <v>602</v>
      </c>
      <c r="N40" s="674"/>
    </row>
    <row r="41" spans="1:14" s="672" customFormat="1" ht="31.5" x14ac:dyDescent="0.25">
      <c r="A41" s="666"/>
      <c r="B41" s="667" t="s">
        <v>607</v>
      </c>
      <c r="C41" s="668">
        <v>1880</v>
      </c>
      <c r="D41" s="669"/>
      <c r="E41" s="668">
        <f t="shared" si="4"/>
        <v>1880</v>
      </c>
      <c r="F41" s="673"/>
      <c r="G41" s="673">
        <v>1880</v>
      </c>
      <c r="H41" s="673"/>
      <c r="I41" s="671"/>
      <c r="J41" s="671"/>
      <c r="K41" s="670"/>
      <c r="L41" s="674"/>
      <c r="M41" s="674" t="s">
        <v>602</v>
      </c>
      <c r="N41" s="674"/>
    </row>
    <row r="42" spans="1:14" s="672" customFormat="1" x14ac:dyDescent="0.25">
      <c r="A42" s="666"/>
      <c r="B42" s="667" t="s">
        <v>608</v>
      </c>
      <c r="C42" s="668">
        <v>23000</v>
      </c>
      <c r="D42" s="669"/>
      <c r="E42" s="668">
        <f t="shared" si="4"/>
        <v>23000</v>
      </c>
      <c r="F42" s="673"/>
      <c r="G42" s="673">
        <v>23000</v>
      </c>
      <c r="H42" s="673"/>
      <c r="I42" s="671"/>
      <c r="J42" s="671"/>
      <c r="K42" s="670"/>
      <c r="L42" s="674"/>
      <c r="M42" s="674" t="s">
        <v>602</v>
      </c>
      <c r="N42" s="674"/>
    </row>
    <row r="43" spans="1:14" s="672" customFormat="1" ht="31.5" x14ac:dyDescent="0.25">
      <c r="A43" s="666"/>
      <c r="B43" s="667" t="s">
        <v>609</v>
      </c>
      <c r="C43" s="668">
        <v>1500</v>
      </c>
      <c r="D43" s="669"/>
      <c r="E43" s="668">
        <f t="shared" si="4"/>
        <v>1500</v>
      </c>
      <c r="F43" s="673"/>
      <c r="G43" s="673">
        <v>1500</v>
      </c>
      <c r="H43" s="673"/>
      <c r="I43" s="671"/>
      <c r="J43" s="671"/>
      <c r="K43" s="670"/>
      <c r="L43" s="674"/>
      <c r="M43" s="674" t="s">
        <v>602</v>
      </c>
      <c r="N43" s="674"/>
    </row>
    <row r="44" spans="1:14" s="672" customFormat="1" x14ac:dyDescent="0.25">
      <c r="A44" s="666"/>
      <c r="B44" s="667" t="s">
        <v>610</v>
      </c>
      <c r="C44" s="668">
        <v>250</v>
      </c>
      <c r="D44" s="669"/>
      <c r="E44" s="668">
        <f t="shared" si="4"/>
        <v>250</v>
      </c>
      <c r="F44" s="673"/>
      <c r="G44" s="673">
        <v>250</v>
      </c>
      <c r="H44" s="673"/>
      <c r="I44" s="671"/>
      <c r="J44" s="671"/>
      <c r="K44" s="670"/>
      <c r="L44" s="674"/>
      <c r="M44" s="674" t="s">
        <v>602</v>
      </c>
      <c r="N44" s="674"/>
    </row>
    <row r="45" spans="1:14" s="672" customFormat="1" x14ac:dyDescent="0.25">
      <c r="A45" s="666"/>
      <c r="B45" s="667" t="s">
        <v>611</v>
      </c>
      <c r="C45" s="668">
        <v>3000</v>
      </c>
      <c r="D45" s="669"/>
      <c r="E45" s="668">
        <f t="shared" si="4"/>
        <v>3000</v>
      </c>
      <c r="F45" s="673"/>
      <c r="G45" s="673">
        <v>3000</v>
      </c>
      <c r="H45" s="673"/>
      <c r="I45" s="671"/>
      <c r="J45" s="671"/>
      <c r="K45" s="670"/>
      <c r="L45" s="674"/>
      <c r="M45" s="674" t="s">
        <v>602</v>
      </c>
      <c r="N45" s="674"/>
    </row>
    <row r="46" spans="1:14" s="672" customFormat="1" ht="31.5" x14ac:dyDescent="0.25">
      <c r="A46" s="666"/>
      <c r="B46" s="667" t="s">
        <v>612</v>
      </c>
      <c r="C46" s="668">
        <v>3000</v>
      </c>
      <c r="D46" s="669"/>
      <c r="E46" s="668">
        <f t="shared" si="4"/>
        <v>3000</v>
      </c>
      <c r="F46" s="673"/>
      <c r="G46" s="673">
        <v>3000</v>
      </c>
      <c r="H46" s="673"/>
      <c r="I46" s="671"/>
      <c r="J46" s="671"/>
      <c r="K46" s="670"/>
      <c r="L46" s="674"/>
      <c r="M46" s="674" t="s">
        <v>602</v>
      </c>
      <c r="N46" s="674"/>
    </row>
    <row r="47" spans="1:14" s="672" customFormat="1" x14ac:dyDescent="0.25">
      <c r="A47" s="666"/>
      <c r="B47" s="667" t="s">
        <v>613</v>
      </c>
      <c r="C47" s="668">
        <v>24790</v>
      </c>
      <c r="D47" s="669"/>
      <c r="E47" s="668">
        <f t="shared" si="4"/>
        <v>24790</v>
      </c>
      <c r="F47" s="673"/>
      <c r="G47" s="673">
        <v>24790</v>
      </c>
      <c r="H47" s="673"/>
      <c r="I47" s="671"/>
      <c r="J47" s="671"/>
      <c r="K47" s="670"/>
      <c r="L47" s="674"/>
      <c r="M47" s="674" t="s">
        <v>602</v>
      </c>
      <c r="N47" s="674"/>
    </row>
    <row r="48" spans="1:14" s="672" customFormat="1" ht="31.5" x14ac:dyDescent="0.25">
      <c r="A48" s="666"/>
      <c r="B48" s="667" t="s">
        <v>614</v>
      </c>
      <c r="C48" s="668">
        <v>4239</v>
      </c>
      <c r="D48" s="669"/>
      <c r="E48" s="668">
        <f t="shared" si="4"/>
        <v>4239</v>
      </c>
      <c r="F48" s="673"/>
      <c r="G48" s="673">
        <f>4129+6730</f>
        <v>10859</v>
      </c>
      <c r="H48" s="673">
        <v>-6620</v>
      </c>
      <c r="I48" s="671"/>
      <c r="J48" s="671"/>
      <c r="K48" s="670"/>
      <c r="L48" s="674"/>
      <c r="M48" s="674" t="s">
        <v>602</v>
      </c>
      <c r="N48" s="674"/>
    </row>
    <row r="49" spans="1:14" s="672" customFormat="1" x14ac:dyDescent="0.25">
      <c r="A49" s="666"/>
      <c r="B49" s="667" t="s">
        <v>615</v>
      </c>
      <c r="C49" s="668">
        <v>5000</v>
      </c>
      <c r="D49" s="669"/>
      <c r="E49" s="668">
        <f t="shared" si="4"/>
        <v>5000</v>
      </c>
      <c r="F49" s="673"/>
      <c r="G49" s="673">
        <v>5000</v>
      </c>
      <c r="H49" s="673"/>
      <c r="I49" s="671"/>
      <c r="J49" s="671"/>
      <c r="K49" s="670"/>
      <c r="L49" s="674"/>
      <c r="M49" s="674" t="s">
        <v>602</v>
      </c>
      <c r="N49" s="674"/>
    </row>
    <row r="50" spans="1:14" s="672" customFormat="1" x14ac:dyDescent="0.25">
      <c r="A50" s="666"/>
      <c r="B50" s="667" t="s">
        <v>616</v>
      </c>
      <c r="C50" s="668">
        <v>2300</v>
      </c>
      <c r="D50" s="669"/>
      <c r="E50" s="668">
        <f t="shared" si="4"/>
        <v>2300</v>
      </c>
      <c r="F50" s="673"/>
      <c r="G50" s="673">
        <v>2300</v>
      </c>
      <c r="H50" s="673"/>
      <c r="I50" s="671"/>
      <c r="J50" s="671"/>
      <c r="K50" s="670"/>
      <c r="L50" s="674"/>
      <c r="M50" s="674" t="s">
        <v>602</v>
      </c>
      <c r="N50" s="674"/>
    </row>
    <row r="51" spans="1:14" s="672" customFormat="1" ht="31.5" x14ac:dyDescent="0.25">
      <c r="A51" s="666"/>
      <c r="B51" s="667" t="s">
        <v>617</v>
      </c>
      <c r="C51" s="668">
        <v>720</v>
      </c>
      <c r="D51" s="669"/>
      <c r="E51" s="668">
        <f t="shared" si="4"/>
        <v>720</v>
      </c>
      <c r="F51" s="673"/>
      <c r="G51" s="673">
        <v>720</v>
      </c>
      <c r="H51" s="673"/>
      <c r="I51" s="671"/>
      <c r="J51" s="671"/>
      <c r="K51" s="670"/>
      <c r="L51" s="674"/>
      <c r="M51" s="674" t="s">
        <v>602</v>
      </c>
      <c r="N51" s="674"/>
    </row>
    <row r="52" spans="1:14" s="672" customFormat="1" x14ac:dyDescent="0.25">
      <c r="A52" s="666"/>
      <c r="B52" s="667" t="s">
        <v>618</v>
      </c>
      <c r="C52" s="668">
        <v>550</v>
      </c>
      <c r="D52" s="669"/>
      <c r="E52" s="668">
        <f t="shared" si="4"/>
        <v>550</v>
      </c>
      <c r="F52" s="673"/>
      <c r="G52" s="673">
        <v>550</v>
      </c>
      <c r="H52" s="673"/>
      <c r="I52" s="671"/>
      <c r="J52" s="671"/>
      <c r="K52" s="670"/>
      <c r="L52" s="674"/>
      <c r="M52" s="674" t="s">
        <v>602</v>
      </c>
      <c r="N52" s="674"/>
    </row>
    <row r="53" spans="1:14" s="672" customFormat="1" x14ac:dyDescent="0.25">
      <c r="A53" s="666"/>
      <c r="B53" s="667" t="s">
        <v>619</v>
      </c>
      <c r="C53" s="668">
        <v>50000</v>
      </c>
      <c r="D53" s="669"/>
      <c r="E53" s="668">
        <f t="shared" si="4"/>
        <v>50000</v>
      </c>
      <c r="F53" s="673"/>
      <c r="G53" s="673">
        <v>50000</v>
      </c>
      <c r="H53" s="673"/>
      <c r="I53" s="671"/>
      <c r="J53" s="671"/>
      <c r="K53" s="670"/>
      <c r="L53" s="674"/>
      <c r="M53" s="674" t="s">
        <v>602</v>
      </c>
      <c r="N53" s="674"/>
    </row>
    <row r="54" spans="1:14" s="672" customFormat="1" x14ac:dyDescent="0.25">
      <c r="A54" s="666"/>
      <c r="B54" s="667" t="s">
        <v>788</v>
      </c>
      <c r="C54" s="668">
        <v>5000</v>
      </c>
      <c r="D54" s="669"/>
      <c r="E54" s="668">
        <f t="shared" si="4"/>
        <v>5000</v>
      </c>
      <c r="F54" s="673"/>
      <c r="G54" s="673">
        <v>5000</v>
      </c>
      <c r="H54" s="673"/>
      <c r="I54" s="671"/>
      <c r="J54" s="671"/>
      <c r="K54" s="670"/>
      <c r="L54" s="674"/>
      <c r="M54" s="674" t="s">
        <v>602</v>
      </c>
      <c r="N54" s="674"/>
    </row>
    <row r="55" spans="1:14" s="672" customFormat="1" x14ac:dyDescent="0.25">
      <c r="A55" s="666"/>
      <c r="B55" s="667" t="s">
        <v>620</v>
      </c>
      <c r="C55" s="668">
        <v>2000</v>
      </c>
      <c r="D55" s="669"/>
      <c r="E55" s="668">
        <f t="shared" si="4"/>
        <v>2000</v>
      </c>
      <c r="F55" s="673"/>
      <c r="G55" s="673">
        <v>2000</v>
      </c>
      <c r="H55" s="673"/>
      <c r="I55" s="671"/>
      <c r="J55" s="671"/>
      <c r="K55" s="670"/>
      <c r="L55" s="674"/>
      <c r="M55" s="674" t="s">
        <v>602</v>
      </c>
      <c r="N55" s="674"/>
    </row>
    <row r="56" spans="1:14" s="672" customFormat="1" x14ac:dyDescent="0.25">
      <c r="A56" s="666"/>
      <c r="B56" s="667" t="s">
        <v>621</v>
      </c>
      <c r="C56" s="668">
        <v>500</v>
      </c>
      <c r="D56" s="669"/>
      <c r="E56" s="668">
        <f t="shared" si="4"/>
        <v>500</v>
      </c>
      <c r="F56" s="673"/>
      <c r="G56" s="673">
        <v>500</v>
      </c>
      <c r="H56" s="673"/>
      <c r="I56" s="671"/>
      <c r="J56" s="671"/>
      <c r="K56" s="670"/>
      <c r="L56" s="674"/>
      <c r="M56" s="674" t="s">
        <v>602</v>
      </c>
      <c r="N56" s="674"/>
    </row>
    <row r="57" spans="1:14" s="672" customFormat="1" x14ac:dyDescent="0.25">
      <c r="A57" s="666"/>
      <c r="B57" s="667" t="s">
        <v>622</v>
      </c>
      <c r="C57" s="668">
        <v>30000</v>
      </c>
      <c r="D57" s="669"/>
      <c r="E57" s="668">
        <f t="shared" si="4"/>
        <v>30000</v>
      </c>
      <c r="F57" s="673"/>
      <c r="G57" s="673">
        <v>30000</v>
      </c>
      <c r="H57" s="673"/>
      <c r="I57" s="671"/>
      <c r="J57" s="671"/>
      <c r="K57" s="670"/>
      <c r="L57" s="674"/>
      <c r="M57" s="674" t="s">
        <v>602</v>
      </c>
      <c r="N57" s="674"/>
    </row>
    <row r="58" spans="1:14" s="672" customFormat="1" ht="31.5" x14ac:dyDescent="0.25">
      <c r="A58" s="666"/>
      <c r="B58" s="667" t="s">
        <v>623</v>
      </c>
      <c r="C58" s="668">
        <v>300</v>
      </c>
      <c r="D58" s="669"/>
      <c r="E58" s="668">
        <f t="shared" si="4"/>
        <v>300</v>
      </c>
      <c r="F58" s="673"/>
      <c r="G58" s="673">
        <v>300</v>
      </c>
      <c r="H58" s="673"/>
      <c r="I58" s="671"/>
      <c r="J58" s="671"/>
      <c r="K58" s="670"/>
      <c r="L58" s="674"/>
      <c r="M58" s="674" t="s">
        <v>602</v>
      </c>
      <c r="N58" s="674"/>
    </row>
    <row r="59" spans="1:14" s="672" customFormat="1" x14ac:dyDescent="0.25">
      <c r="A59" s="666"/>
      <c r="B59" s="667" t="s">
        <v>749</v>
      </c>
      <c r="C59" s="668">
        <v>500</v>
      </c>
      <c r="D59" s="669"/>
      <c r="E59" s="668">
        <f t="shared" si="4"/>
        <v>500</v>
      </c>
      <c r="F59" s="673"/>
      <c r="G59" s="673">
        <v>500</v>
      </c>
      <c r="H59" s="673"/>
      <c r="I59" s="671"/>
      <c r="J59" s="671"/>
      <c r="K59" s="670"/>
      <c r="L59" s="674"/>
      <c r="M59" s="674" t="s">
        <v>602</v>
      </c>
      <c r="N59" s="674"/>
    </row>
    <row r="60" spans="1:14" s="672" customFormat="1" x14ac:dyDescent="0.25">
      <c r="A60" s="666"/>
      <c r="B60" s="667" t="s">
        <v>750</v>
      </c>
      <c r="C60" s="668">
        <v>400</v>
      </c>
      <c r="D60" s="669"/>
      <c r="E60" s="668">
        <f t="shared" si="4"/>
        <v>400</v>
      </c>
      <c r="F60" s="673"/>
      <c r="G60" s="673">
        <v>400</v>
      </c>
      <c r="H60" s="673"/>
      <c r="I60" s="671"/>
      <c r="J60" s="671"/>
      <c r="K60" s="670"/>
      <c r="L60" s="674"/>
      <c r="M60" s="674" t="s">
        <v>602</v>
      </c>
      <c r="N60" s="674"/>
    </row>
    <row r="61" spans="1:14" s="672" customFormat="1" ht="31.5" x14ac:dyDescent="0.25">
      <c r="A61" s="666"/>
      <c r="B61" s="667" t="s">
        <v>751</v>
      </c>
      <c r="C61" s="668">
        <v>3500</v>
      </c>
      <c r="D61" s="669"/>
      <c r="E61" s="668">
        <f t="shared" si="4"/>
        <v>3500</v>
      </c>
      <c r="F61" s="673"/>
      <c r="G61" s="673">
        <v>3500</v>
      </c>
      <c r="H61" s="673"/>
      <c r="I61" s="671"/>
      <c r="J61" s="671"/>
      <c r="K61" s="670"/>
      <c r="L61" s="674"/>
      <c r="M61" s="674" t="s">
        <v>602</v>
      </c>
      <c r="N61" s="674"/>
    </row>
    <row r="62" spans="1:14" s="672" customFormat="1" x14ac:dyDescent="0.25">
      <c r="A62" s="666"/>
      <c r="B62" s="667" t="s">
        <v>752</v>
      </c>
      <c r="C62" s="668">
        <v>400</v>
      </c>
      <c r="D62" s="669"/>
      <c r="E62" s="668">
        <f t="shared" si="4"/>
        <v>400</v>
      </c>
      <c r="F62" s="673"/>
      <c r="G62" s="673">
        <v>400</v>
      </c>
      <c r="H62" s="673"/>
      <c r="I62" s="671"/>
      <c r="J62" s="671"/>
      <c r="K62" s="670"/>
      <c r="L62" s="674"/>
      <c r="M62" s="674" t="s">
        <v>602</v>
      </c>
      <c r="N62" s="674"/>
    </row>
    <row r="63" spans="1:14" s="672" customFormat="1" x14ac:dyDescent="0.25">
      <c r="A63" s="666"/>
      <c r="B63" s="667" t="s">
        <v>753</v>
      </c>
      <c r="C63" s="668">
        <v>360</v>
      </c>
      <c r="D63" s="669"/>
      <c r="E63" s="668">
        <f t="shared" si="4"/>
        <v>360</v>
      </c>
      <c r="F63" s="673"/>
      <c r="G63" s="673">
        <v>360</v>
      </c>
      <c r="H63" s="673"/>
      <c r="I63" s="671"/>
      <c r="J63" s="671"/>
      <c r="K63" s="670"/>
      <c r="L63" s="674"/>
      <c r="M63" s="674" t="s">
        <v>602</v>
      </c>
      <c r="N63" s="674"/>
    </row>
    <row r="64" spans="1:14" s="672" customFormat="1" x14ac:dyDescent="0.25">
      <c r="A64" s="666"/>
      <c r="B64" s="667" t="s">
        <v>754</v>
      </c>
      <c r="C64" s="668">
        <v>1000</v>
      </c>
      <c r="D64" s="669"/>
      <c r="E64" s="668">
        <f t="shared" si="4"/>
        <v>1000</v>
      </c>
      <c r="F64" s="673"/>
      <c r="G64" s="673">
        <v>1000</v>
      </c>
      <c r="H64" s="673"/>
      <c r="I64" s="671"/>
      <c r="J64" s="671"/>
      <c r="K64" s="670"/>
      <c r="L64" s="674"/>
      <c r="M64" s="674" t="s">
        <v>602</v>
      </c>
      <c r="N64" s="674"/>
    </row>
    <row r="65" spans="1:14" s="672" customFormat="1" x14ac:dyDescent="0.25">
      <c r="A65" s="666"/>
      <c r="B65" s="667" t="s">
        <v>771</v>
      </c>
      <c r="C65" s="668">
        <v>3300</v>
      </c>
      <c r="D65" s="669"/>
      <c r="E65" s="668">
        <f t="shared" si="4"/>
        <v>3300</v>
      </c>
      <c r="F65" s="673"/>
      <c r="G65" s="673">
        <v>3300</v>
      </c>
      <c r="H65" s="673"/>
      <c r="I65" s="671"/>
      <c r="J65" s="671"/>
      <c r="K65" s="670"/>
      <c r="L65" s="674"/>
      <c r="M65" s="674" t="s">
        <v>602</v>
      </c>
      <c r="N65" s="674"/>
    </row>
    <row r="66" spans="1:14" s="672" customFormat="1" x14ac:dyDescent="0.25">
      <c r="A66" s="666"/>
      <c r="B66" s="667" t="s">
        <v>821</v>
      </c>
      <c r="C66" s="668">
        <v>250</v>
      </c>
      <c r="D66" s="669"/>
      <c r="E66" s="668">
        <f t="shared" si="4"/>
        <v>250</v>
      </c>
      <c r="F66" s="673"/>
      <c r="G66" s="673">
        <v>250</v>
      </c>
      <c r="H66" s="673"/>
      <c r="I66" s="671"/>
      <c r="J66" s="671"/>
      <c r="K66" s="670"/>
      <c r="L66" s="674"/>
      <c r="M66" s="674" t="s">
        <v>602</v>
      </c>
      <c r="N66" s="674"/>
    </row>
    <row r="67" spans="1:14" s="672" customFormat="1" x14ac:dyDescent="0.25">
      <c r="A67" s="666"/>
      <c r="B67" s="667" t="s">
        <v>822</v>
      </c>
      <c r="C67" s="668">
        <v>500</v>
      </c>
      <c r="D67" s="669"/>
      <c r="E67" s="668">
        <f t="shared" si="4"/>
        <v>500</v>
      </c>
      <c r="F67" s="673"/>
      <c r="G67" s="673">
        <v>500</v>
      </c>
      <c r="H67" s="673"/>
      <c r="I67" s="671"/>
      <c r="J67" s="671"/>
      <c r="K67" s="670"/>
      <c r="L67" s="674"/>
      <c r="M67" s="674" t="s">
        <v>602</v>
      </c>
      <c r="N67" s="674"/>
    </row>
    <row r="68" spans="1:14" s="672" customFormat="1" ht="31.5" x14ac:dyDescent="0.25">
      <c r="A68" s="666"/>
      <c r="B68" s="667" t="s">
        <v>823</v>
      </c>
      <c r="C68" s="668">
        <v>2483</v>
      </c>
      <c r="D68" s="669"/>
      <c r="E68" s="668">
        <f t="shared" si="4"/>
        <v>2483</v>
      </c>
      <c r="F68" s="673"/>
      <c r="G68" s="673">
        <v>2483</v>
      </c>
      <c r="H68" s="673"/>
      <c r="I68" s="671"/>
      <c r="J68" s="671"/>
      <c r="K68" s="670"/>
      <c r="L68" s="674"/>
      <c r="M68" s="674" t="s">
        <v>602</v>
      </c>
      <c r="N68" s="674"/>
    </row>
    <row r="69" spans="1:14" s="672" customFormat="1" ht="31.5" x14ac:dyDescent="0.25">
      <c r="A69" s="666"/>
      <c r="B69" s="667" t="s">
        <v>824</v>
      </c>
      <c r="C69" s="668">
        <v>38881</v>
      </c>
      <c r="D69" s="669"/>
      <c r="E69" s="668">
        <f t="shared" si="4"/>
        <v>38881</v>
      </c>
      <c r="F69" s="673"/>
      <c r="G69" s="673">
        <v>30500</v>
      </c>
      <c r="H69" s="673"/>
      <c r="I69" s="671"/>
      <c r="J69" s="671"/>
      <c r="K69" s="670"/>
      <c r="L69" s="674"/>
      <c r="M69" s="674" t="s">
        <v>602</v>
      </c>
      <c r="N69" s="674"/>
    </row>
    <row r="70" spans="1:14" s="672" customFormat="1" ht="31.5" x14ac:dyDescent="0.25">
      <c r="A70" s="666"/>
      <c r="B70" s="667" t="s">
        <v>843</v>
      </c>
      <c r="C70" s="669">
        <v>1000</v>
      </c>
      <c r="D70" s="669"/>
      <c r="E70" s="668">
        <f t="shared" si="4"/>
        <v>1000</v>
      </c>
      <c r="F70" s="673"/>
      <c r="G70" s="673">
        <v>1000</v>
      </c>
      <c r="H70" s="673"/>
      <c r="I70" s="671"/>
      <c r="J70" s="671"/>
      <c r="K70" s="670"/>
      <c r="L70" s="674"/>
      <c r="M70" s="674" t="s">
        <v>602</v>
      </c>
      <c r="N70" s="674"/>
    </row>
    <row r="71" spans="1:14" s="672" customFormat="1" x14ac:dyDescent="0.25">
      <c r="A71" s="666"/>
      <c r="B71" s="667" t="s">
        <v>844</v>
      </c>
      <c r="C71" s="669">
        <v>1000</v>
      </c>
      <c r="D71" s="669"/>
      <c r="E71" s="668">
        <f t="shared" si="4"/>
        <v>1000</v>
      </c>
      <c r="F71" s="673"/>
      <c r="G71" s="673">
        <v>1000</v>
      </c>
      <c r="H71" s="673"/>
      <c r="I71" s="671"/>
      <c r="J71" s="671"/>
      <c r="K71" s="670"/>
      <c r="L71" s="674"/>
      <c r="M71" s="674" t="s">
        <v>602</v>
      </c>
      <c r="N71" s="674"/>
    </row>
    <row r="72" spans="1:14" s="672" customFormat="1" ht="31.5" x14ac:dyDescent="0.25">
      <c r="A72" s="666"/>
      <c r="B72" s="667" t="s">
        <v>845</v>
      </c>
      <c r="C72" s="669">
        <v>1000</v>
      </c>
      <c r="D72" s="669"/>
      <c r="E72" s="668">
        <f t="shared" si="4"/>
        <v>1000</v>
      </c>
      <c r="F72" s="673"/>
      <c r="G72" s="673">
        <v>1000</v>
      </c>
      <c r="H72" s="673"/>
      <c r="I72" s="671"/>
      <c r="J72" s="671"/>
      <c r="K72" s="670"/>
      <c r="L72" s="674"/>
      <c r="M72" s="674" t="s">
        <v>602</v>
      </c>
      <c r="N72" s="674"/>
    </row>
    <row r="73" spans="1:14" s="672" customFormat="1" x14ac:dyDescent="0.25">
      <c r="A73" s="666"/>
      <c r="B73" s="667" t="s">
        <v>846</v>
      </c>
      <c r="C73" s="669">
        <v>1000</v>
      </c>
      <c r="D73" s="669"/>
      <c r="E73" s="668">
        <f t="shared" si="4"/>
        <v>1000</v>
      </c>
      <c r="F73" s="673"/>
      <c r="G73" s="673">
        <v>1000</v>
      </c>
      <c r="H73" s="673"/>
      <c r="I73" s="671"/>
      <c r="J73" s="671"/>
      <c r="K73" s="670"/>
      <c r="L73" s="674"/>
      <c r="M73" s="674" t="s">
        <v>602</v>
      </c>
      <c r="N73" s="674"/>
    </row>
    <row r="74" spans="1:14" s="672" customFormat="1" ht="31.5" x14ac:dyDescent="0.25">
      <c r="A74" s="666"/>
      <c r="B74" s="667" t="s">
        <v>847</v>
      </c>
      <c r="C74" s="669">
        <v>5000</v>
      </c>
      <c r="D74" s="669"/>
      <c r="E74" s="668">
        <f t="shared" si="4"/>
        <v>5000</v>
      </c>
      <c r="F74" s="673"/>
      <c r="G74" s="673">
        <v>5000</v>
      </c>
      <c r="H74" s="673"/>
      <c r="I74" s="671"/>
      <c r="J74" s="671"/>
      <c r="K74" s="670"/>
      <c r="L74" s="674"/>
      <c r="M74" s="674" t="s">
        <v>602</v>
      </c>
      <c r="N74" s="674"/>
    </row>
    <row r="75" spans="1:14" s="681" customFormat="1" x14ac:dyDescent="0.25">
      <c r="A75" s="675"/>
      <c r="B75" s="676" t="s">
        <v>848</v>
      </c>
      <c r="C75" s="677">
        <v>40000</v>
      </c>
      <c r="D75" s="678"/>
      <c r="E75" s="679">
        <f>SUM(C75:D75)</f>
        <v>40000</v>
      </c>
      <c r="F75" s="673"/>
      <c r="G75" s="673">
        <v>40000</v>
      </c>
      <c r="H75" s="673"/>
      <c r="I75" s="671"/>
      <c r="J75" s="671"/>
      <c r="K75" s="670"/>
      <c r="L75" s="674"/>
      <c r="M75" s="674" t="s">
        <v>602</v>
      </c>
      <c r="N75" s="680"/>
    </row>
    <row r="76" spans="1:14" x14ac:dyDescent="0.25">
      <c r="A76" s="645"/>
      <c r="B76" s="682" t="s">
        <v>107</v>
      </c>
      <c r="C76" s="654">
        <f>SUM(C77:C79)</f>
        <v>18701</v>
      </c>
      <c r="D76" s="684">
        <f>SUM(D77:D79)</f>
        <v>-252</v>
      </c>
      <c r="E76" s="654">
        <f>SUM(E77:E79)</f>
        <v>18449</v>
      </c>
      <c r="F76" s="654">
        <f>SUM(F77:F79)</f>
        <v>0</v>
      </c>
      <c r="G76" s="654">
        <f t="shared" ref="G76:H76" si="5">SUM(G77:G79)</f>
        <v>20437</v>
      </c>
      <c r="H76" s="654">
        <f t="shared" si="5"/>
        <v>-1988</v>
      </c>
      <c r="I76" s="665"/>
      <c r="J76" s="664" t="s">
        <v>141</v>
      </c>
      <c r="K76" s="654"/>
      <c r="L76" s="665"/>
      <c r="M76" s="664" t="s">
        <v>602</v>
      </c>
      <c r="N76" s="665"/>
    </row>
    <row r="77" spans="1:14" x14ac:dyDescent="0.25">
      <c r="A77" s="645"/>
      <c r="B77" s="685" t="s">
        <v>119</v>
      </c>
      <c r="C77" s="686">
        <v>15011</v>
      </c>
      <c r="D77" s="687">
        <v>-252</v>
      </c>
      <c r="E77" s="686">
        <f>SUM(C77:D77)</f>
        <v>14759</v>
      </c>
      <c r="F77" s="673"/>
      <c r="G77" s="688">
        <f>247+15000+1000-252</f>
        <v>15995</v>
      </c>
      <c r="H77" s="688">
        <f>-1098-138</f>
        <v>-1236</v>
      </c>
      <c r="I77" s="671"/>
      <c r="J77" s="671" t="s">
        <v>141</v>
      </c>
      <c r="K77" s="670"/>
      <c r="L77" s="689"/>
      <c r="M77" s="689" t="s">
        <v>602</v>
      </c>
      <c r="N77" s="689"/>
    </row>
    <row r="78" spans="1:14" x14ac:dyDescent="0.25">
      <c r="A78" s="645"/>
      <c r="B78" s="685" t="s">
        <v>120</v>
      </c>
      <c r="C78" s="686">
        <v>1190</v>
      </c>
      <c r="D78" s="687"/>
      <c r="E78" s="686">
        <f t="shared" ref="E78:E89" si="6">SUM(C78:D78)</f>
        <v>1190</v>
      </c>
      <c r="F78" s="673"/>
      <c r="G78" s="688">
        <f>190+1000</f>
        <v>1190</v>
      </c>
      <c r="H78" s="688"/>
      <c r="I78" s="671"/>
      <c r="J78" s="671" t="s">
        <v>141</v>
      </c>
      <c r="K78" s="670"/>
      <c r="L78" s="689"/>
      <c r="M78" s="689" t="s">
        <v>602</v>
      </c>
      <c r="N78" s="689"/>
    </row>
    <row r="79" spans="1:14" x14ac:dyDescent="0.25">
      <c r="A79" s="645"/>
      <c r="B79" s="685" t="s">
        <v>121</v>
      </c>
      <c r="C79" s="686">
        <v>2500</v>
      </c>
      <c r="D79" s="687">
        <f>252-252</f>
        <v>0</v>
      </c>
      <c r="E79" s="686">
        <f t="shared" si="6"/>
        <v>2500</v>
      </c>
      <c r="F79" s="673"/>
      <c r="G79" s="688">
        <f>500+2500+252</f>
        <v>3252</v>
      </c>
      <c r="H79" s="688">
        <f>-500-252</f>
        <v>-752</v>
      </c>
      <c r="I79" s="671"/>
      <c r="J79" s="671" t="s">
        <v>141</v>
      </c>
      <c r="K79" s="670"/>
      <c r="L79" s="689"/>
      <c r="M79" s="689" t="s">
        <v>602</v>
      </c>
      <c r="N79" s="689"/>
    </row>
    <row r="80" spans="1:14" x14ac:dyDescent="0.25">
      <c r="A80" s="645"/>
      <c r="B80" s="682" t="s">
        <v>132</v>
      </c>
      <c r="C80" s="683">
        <v>7192</v>
      </c>
      <c r="D80" s="690"/>
      <c r="E80" s="683">
        <f t="shared" si="6"/>
        <v>7192</v>
      </c>
      <c r="F80" s="654">
        <v>0</v>
      </c>
      <c r="G80" s="654">
        <f>7167+25</f>
        <v>7192</v>
      </c>
      <c r="H80" s="654"/>
      <c r="I80" s="664" t="s">
        <v>141</v>
      </c>
      <c r="J80" s="664" t="s">
        <v>141</v>
      </c>
      <c r="K80" s="654"/>
      <c r="L80" s="664" t="s">
        <v>602</v>
      </c>
      <c r="M80" s="664" t="s">
        <v>602</v>
      </c>
      <c r="N80" s="665"/>
    </row>
    <row r="81" spans="1:14" x14ac:dyDescent="0.25">
      <c r="A81" s="645"/>
      <c r="B81" s="661" t="s">
        <v>84</v>
      </c>
      <c r="C81" s="647">
        <v>334546</v>
      </c>
      <c r="D81" s="691"/>
      <c r="E81" s="647">
        <f t="shared" si="6"/>
        <v>334546</v>
      </c>
      <c r="F81" s="649"/>
      <c r="G81" s="649">
        <f>310344+19432+4770</f>
        <v>334546</v>
      </c>
      <c r="H81" s="649"/>
      <c r="I81" s="650" t="s">
        <v>141</v>
      </c>
      <c r="J81" s="650" t="s">
        <v>141</v>
      </c>
      <c r="K81" s="649"/>
      <c r="L81" s="650" t="s">
        <v>602</v>
      </c>
      <c r="M81" s="650" t="s">
        <v>602</v>
      </c>
      <c r="N81" s="650"/>
    </row>
    <row r="82" spans="1:14" x14ac:dyDescent="0.25">
      <c r="A82" s="645"/>
      <c r="B82" s="661" t="s">
        <v>85</v>
      </c>
      <c r="C82" s="647">
        <v>290594</v>
      </c>
      <c r="D82" s="691"/>
      <c r="E82" s="647">
        <f t="shared" si="6"/>
        <v>290594</v>
      </c>
      <c r="F82" s="649">
        <v>0</v>
      </c>
      <c r="G82" s="649">
        <f>225594+65000</f>
        <v>290594</v>
      </c>
      <c r="H82" s="649"/>
      <c r="I82" s="650" t="s">
        <v>141</v>
      </c>
      <c r="J82" s="650"/>
      <c r="K82" s="649"/>
      <c r="L82" s="650" t="s">
        <v>602</v>
      </c>
      <c r="M82" s="650"/>
      <c r="N82" s="650"/>
    </row>
    <row r="83" spans="1:14" x14ac:dyDescent="0.25">
      <c r="A83" s="645"/>
      <c r="B83" s="692" t="s">
        <v>108</v>
      </c>
      <c r="C83" s="679">
        <v>225340</v>
      </c>
      <c r="D83" s="693"/>
      <c r="E83" s="679">
        <f t="shared" si="6"/>
        <v>225340</v>
      </c>
      <c r="F83" s="673"/>
      <c r="G83" s="688">
        <f>225340</f>
        <v>225340</v>
      </c>
      <c r="H83" s="688"/>
      <c r="I83" s="671" t="s">
        <v>141</v>
      </c>
      <c r="J83" s="671"/>
      <c r="K83" s="670"/>
      <c r="L83" s="689" t="s">
        <v>602</v>
      </c>
      <c r="M83" s="689"/>
      <c r="N83" s="689"/>
    </row>
    <row r="84" spans="1:14" x14ac:dyDescent="0.25">
      <c r="A84" s="645"/>
      <c r="B84" s="661" t="s">
        <v>109</v>
      </c>
      <c r="C84" s="647">
        <v>70018</v>
      </c>
      <c r="D84" s="691">
        <f>SUM(D85:D89)</f>
        <v>0</v>
      </c>
      <c r="E84" s="647">
        <f t="shared" si="6"/>
        <v>70018</v>
      </c>
      <c r="F84" s="649"/>
      <c r="G84" s="649">
        <f>62550+7468</f>
        <v>70018</v>
      </c>
      <c r="H84" s="649"/>
      <c r="I84" s="650"/>
      <c r="J84" s="650" t="s">
        <v>141</v>
      </c>
      <c r="K84" s="649"/>
      <c r="L84" s="650"/>
      <c r="M84" s="650" t="s">
        <v>602</v>
      </c>
      <c r="N84" s="650"/>
    </row>
    <row r="85" spans="1:14" x14ac:dyDescent="0.25">
      <c r="A85" s="645"/>
      <c r="B85" s="685" t="s">
        <v>520</v>
      </c>
      <c r="C85" s="686">
        <v>10000</v>
      </c>
      <c r="D85" s="687"/>
      <c r="E85" s="686">
        <f t="shared" si="6"/>
        <v>10000</v>
      </c>
      <c r="F85" s="673"/>
      <c r="G85" s="673">
        <v>10000</v>
      </c>
      <c r="H85" s="673"/>
      <c r="I85" s="671"/>
      <c r="J85" s="671" t="s">
        <v>141</v>
      </c>
      <c r="K85" s="670"/>
      <c r="L85" s="674"/>
      <c r="M85" s="674" t="s">
        <v>602</v>
      </c>
      <c r="N85" s="674"/>
    </row>
    <row r="86" spans="1:14" ht="31.5" x14ac:dyDescent="0.25">
      <c r="A86" s="645"/>
      <c r="B86" s="685" t="s">
        <v>624</v>
      </c>
      <c r="C86" s="686">
        <v>28000</v>
      </c>
      <c r="D86" s="687"/>
      <c r="E86" s="686">
        <f t="shared" si="6"/>
        <v>28000</v>
      </c>
      <c r="F86" s="673"/>
      <c r="G86" s="673">
        <v>28000</v>
      </c>
      <c r="H86" s="673"/>
      <c r="I86" s="671"/>
      <c r="J86" s="671" t="s">
        <v>141</v>
      </c>
      <c r="K86" s="670"/>
      <c r="L86" s="674"/>
      <c r="M86" s="674" t="s">
        <v>602</v>
      </c>
      <c r="N86" s="674"/>
    </row>
    <row r="87" spans="1:14" ht="31.5" x14ac:dyDescent="0.25">
      <c r="A87" s="645"/>
      <c r="B87" s="667" t="s">
        <v>625</v>
      </c>
      <c r="C87" s="668">
        <v>2500</v>
      </c>
      <c r="D87" s="669"/>
      <c r="E87" s="686">
        <f t="shared" si="6"/>
        <v>2500</v>
      </c>
      <c r="F87" s="673"/>
      <c r="G87" s="673">
        <v>2500</v>
      </c>
      <c r="H87" s="673"/>
      <c r="I87" s="671"/>
      <c r="J87" s="671" t="s">
        <v>141</v>
      </c>
      <c r="K87" s="670"/>
      <c r="L87" s="674"/>
      <c r="M87" s="674" t="s">
        <v>602</v>
      </c>
      <c r="N87" s="674"/>
    </row>
    <row r="88" spans="1:14" ht="31.5" x14ac:dyDescent="0.25">
      <c r="A88" s="645"/>
      <c r="B88" s="667" t="s">
        <v>521</v>
      </c>
      <c r="C88" s="668">
        <v>26518</v>
      </c>
      <c r="D88" s="669"/>
      <c r="E88" s="686">
        <f t="shared" si="6"/>
        <v>26518</v>
      </c>
      <c r="F88" s="673"/>
      <c r="G88" s="673">
        <f>19050+7468</f>
        <v>26518</v>
      </c>
      <c r="H88" s="673"/>
      <c r="I88" s="671"/>
      <c r="J88" s="671" t="s">
        <v>141</v>
      </c>
      <c r="K88" s="670"/>
      <c r="L88" s="674"/>
      <c r="M88" s="674" t="s">
        <v>602</v>
      </c>
      <c r="N88" s="674"/>
    </row>
    <row r="89" spans="1:14" x14ac:dyDescent="0.25">
      <c r="A89" s="645"/>
      <c r="B89" s="667" t="s">
        <v>245</v>
      </c>
      <c r="C89" s="668">
        <v>3000</v>
      </c>
      <c r="D89" s="669"/>
      <c r="E89" s="686">
        <f t="shared" si="6"/>
        <v>3000</v>
      </c>
      <c r="F89" s="673"/>
      <c r="G89" s="673">
        <v>3000</v>
      </c>
      <c r="H89" s="673"/>
      <c r="I89" s="671"/>
      <c r="J89" s="671" t="s">
        <v>141</v>
      </c>
      <c r="K89" s="670"/>
      <c r="L89" s="674"/>
      <c r="M89" s="674" t="s">
        <v>602</v>
      </c>
      <c r="N89" s="674"/>
    </row>
    <row r="90" spans="1:14" x14ac:dyDescent="0.25">
      <c r="A90" s="645" t="s">
        <v>110</v>
      </c>
      <c r="B90" s="646" t="s">
        <v>111</v>
      </c>
      <c r="C90" s="647">
        <v>40701</v>
      </c>
      <c r="D90" s="694">
        <f t="shared" ref="D90:E90" si="7">SUM(D91:D92)</f>
        <v>0</v>
      </c>
      <c r="E90" s="695">
        <f t="shared" si="7"/>
        <v>40701</v>
      </c>
      <c r="F90" s="695">
        <f>SUM(F91:F92)</f>
        <v>0</v>
      </c>
      <c r="G90" s="696">
        <f t="shared" ref="G90:H90" si="8">SUM(G91:G92)</f>
        <v>40701</v>
      </c>
      <c r="H90" s="696">
        <f t="shared" si="8"/>
        <v>0</v>
      </c>
      <c r="I90" s="697" t="s">
        <v>141</v>
      </c>
      <c r="J90" s="697" t="s">
        <v>141</v>
      </c>
      <c r="K90" s="696"/>
      <c r="L90" s="697" t="s">
        <v>602</v>
      </c>
      <c r="M90" s="697"/>
      <c r="N90" s="697"/>
    </row>
    <row r="91" spans="1:14" x14ac:dyDescent="0.25">
      <c r="A91" s="645"/>
      <c r="B91" s="682" t="s">
        <v>246</v>
      </c>
      <c r="C91" s="683">
        <v>15689</v>
      </c>
      <c r="D91" s="690"/>
      <c r="E91" s="683">
        <f>SUM(C91:D91)</f>
        <v>15689</v>
      </c>
      <c r="F91" s="654"/>
      <c r="G91" s="656">
        <f>15000+689</f>
        <v>15689</v>
      </c>
      <c r="H91" s="656"/>
      <c r="I91" s="655" t="s">
        <v>141</v>
      </c>
      <c r="J91" s="657"/>
      <c r="K91" s="656"/>
      <c r="L91" s="655" t="s">
        <v>602</v>
      </c>
      <c r="M91" s="657"/>
      <c r="N91" s="657"/>
    </row>
    <row r="92" spans="1:14" x14ac:dyDescent="0.25">
      <c r="A92" s="645"/>
      <c r="B92" s="682" t="s">
        <v>86</v>
      </c>
      <c r="C92" s="683">
        <v>25012</v>
      </c>
      <c r="D92" s="690"/>
      <c r="E92" s="683">
        <f>SUM(C92:D92)</f>
        <v>25012</v>
      </c>
      <c r="F92" s="654"/>
      <c r="G92" s="654">
        <f>25000+12</f>
        <v>25012</v>
      </c>
      <c r="H92" s="654"/>
      <c r="I92" s="664" t="s">
        <v>141</v>
      </c>
      <c r="J92" s="664" t="s">
        <v>141</v>
      </c>
      <c r="K92" s="654"/>
      <c r="L92" s="664" t="s">
        <v>602</v>
      </c>
      <c r="M92" s="665"/>
      <c r="N92" s="665"/>
    </row>
    <row r="93" spans="1:14" x14ac:dyDescent="0.25">
      <c r="A93" s="645" t="s">
        <v>112</v>
      </c>
      <c r="B93" s="661" t="s">
        <v>334</v>
      </c>
      <c r="C93" s="694">
        <f t="shared" ref="C93:E93" si="9">SUM(C94:C97)</f>
        <v>39610625</v>
      </c>
      <c r="D93" s="694">
        <f t="shared" si="9"/>
        <v>-7395266</v>
      </c>
      <c r="E93" s="695">
        <f t="shared" si="9"/>
        <v>32215359</v>
      </c>
      <c r="F93" s="695">
        <f>SUM(F94:F97)</f>
        <v>44407</v>
      </c>
      <c r="G93" s="696">
        <f t="shared" ref="G93:H93" si="10">SUM(G94:G97)</f>
        <v>32182952</v>
      </c>
      <c r="H93" s="696">
        <f t="shared" si="10"/>
        <v>-12000</v>
      </c>
      <c r="I93" s="697" t="s">
        <v>141</v>
      </c>
      <c r="J93" s="697"/>
      <c r="K93" s="696"/>
      <c r="L93" s="697" t="s">
        <v>602</v>
      </c>
      <c r="M93" s="697" t="s">
        <v>602</v>
      </c>
      <c r="N93" s="697"/>
    </row>
    <row r="94" spans="1:14" x14ac:dyDescent="0.25">
      <c r="A94" s="645"/>
      <c r="B94" s="658" t="s">
        <v>599</v>
      </c>
      <c r="C94" s="659">
        <v>2634640</v>
      </c>
      <c r="D94" s="660">
        <v>-704932</v>
      </c>
      <c r="E94" s="659">
        <f>SUM(C94:D94)</f>
        <v>1929708</v>
      </c>
      <c r="F94" s="654"/>
      <c r="G94" s="654">
        <f>585714+1983949+41880+23097-704932</f>
        <v>1929708</v>
      </c>
      <c r="H94" s="654"/>
      <c r="I94" s="664" t="s">
        <v>141</v>
      </c>
      <c r="J94" s="665"/>
      <c r="K94" s="654"/>
      <c r="L94" s="664" t="s">
        <v>602</v>
      </c>
      <c r="M94" s="665"/>
      <c r="N94" s="665"/>
    </row>
    <row r="95" spans="1:14" x14ac:dyDescent="0.25">
      <c r="A95" s="645"/>
      <c r="B95" s="651" t="s">
        <v>87</v>
      </c>
      <c r="C95" s="652">
        <v>35811371</v>
      </c>
      <c r="D95" s="653">
        <v>-6813040</v>
      </c>
      <c r="E95" s="659">
        <f t="shared" ref="E95:E97" si="11">SUM(C95:D95)</f>
        <v>28998331</v>
      </c>
      <c r="F95" s="654">
        <v>44407</v>
      </c>
      <c r="G95" s="654">
        <f>14725155+20175466+220637+629321+28385-6813040</f>
        <v>28965924</v>
      </c>
      <c r="H95" s="654">
        <v>-12000</v>
      </c>
      <c r="I95" s="655" t="s">
        <v>141</v>
      </c>
      <c r="J95" s="655" t="s">
        <v>141</v>
      </c>
      <c r="K95" s="656"/>
      <c r="L95" s="655" t="s">
        <v>602</v>
      </c>
      <c r="M95" s="655" t="s">
        <v>602</v>
      </c>
      <c r="N95" s="657"/>
    </row>
    <row r="96" spans="1:14" x14ac:dyDescent="0.25">
      <c r="A96" s="645"/>
      <c r="B96" s="698" t="s">
        <v>522</v>
      </c>
      <c r="C96" s="699">
        <v>1134399</v>
      </c>
      <c r="D96" s="700">
        <v>122688</v>
      </c>
      <c r="E96" s="659">
        <f t="shared" si="11"/>
        <v>1257087</v>
      </c>
      <c r="F96" s="654"/>
      <c r="G96" s="654">
        <f>647811+482600+3988+122688</f>
        <v>1257087</v>
      </c>
      <c r="H96" s="654"/>
      <c r="I96" s="664" t="s">
        <v>141</v>
      </c>
      <c r="J96" s="665"/>
      <c r="K96" s="654"/>
      <c r="L96" s="664" t="s">
        <v>602</v>
      </c>
      <c r="M96" s="665"/>
      <c r="N96" s="665"/>
    </row>
    <row r="97" spans="1:14" x14ac:dyDescent="0.25">
      <c r="A97" s="645"/>
      <c r="B97" s="701" t="s">
        <v>114</v>
      </c>
      <c r="C97" s="702">
        <v>30215</v>
      </c>
      <c r="D97" s="703">
        <v>18</v>
      </c>
      <c r="E97" s="659">
        <f t="shared" si="11"/>
        <v>30233</v>
      </c>
      <c r="F97" s="654"/>
      <c r="G97" s="654">
        <f>2643+16829+10743+18</f>
        <v>30233</v>
      </c>
      <c r="H97" s="654"/>
      <c r="I97" s="655" t="s">
        <v>141</v>
      </c>
      <c r="J97" s="657"/>
      <c r="K97" s="656"/>
      <c r="L97" s="655" t="s">
        <v>602</v>
      </c>
      <c r="M97" s="657"/>
      <c r="N97" s="657"/>
    </row>
    <row r="98" spans="1:14" x14ac:dyDescent="0.25">
      <c r="A98" s="645" t="s">
        <v>88</v>
      </c>
      <c r="B98" s="661" t="s">
        <v>63</v>
      </c>
      <c r="C98" s="648">
        <f t="shared" ref="C98:E98" si="12">SUM(C101,C99)</f>
        <v>1396814</v>
      </c>
      <c r="D98" s="648">
        <f t="shared" si="12"/>
        <v>56</v>
      </c>
      <c r="E98" s="649">
        <f t="shared" si="12"/>
        <v>1396870</v>
      </c>
      <c r="F98" s="649">
        <f>SUM(F101,F99)</f>
        <v>0</v>
      </c>
      <c r="G98" s="649">
        <f>SUM(G101,G99)</f>
        <v>1396870</v>
      </c>
      <c r="H98" s="649">
        <f>SUM(H101,H99)</f>
        <v>0</v>
      </c>
      <c r="I98" s="704" t="s">
        <v>141</v>
      </c>
      <c r="J98" s="704" t="s">
        <v>141</v>
      </c>
      <c r="K98" s="705"/>
      <c r="L98" s="704" t="s">
        <v>602</v>
      </c>
      <c r="M98" s="704" t="s">
        <v>602</v>
      </c>
      <c r="N98" s="704"/>
    </row>
    <row r="99" spans="1:14" x14ac:dyDescent="0.25">
      <c r="A99" s="645"/>
      <c r="B99" s="701" t="s">
        <v>89</v>
      </c>
      <c r="C99" s="702">
        <v>1385482</v>
      </c>
      <c r="D99" s="703">
        <v>56</v>
      </c>
      <c r="E99" s="706">
        <f>SUM(C99:D99)</f>
        <v>1385538</v>
      </c>
      <c r="F99" s="654"/>
      <c r="G99" s="654">
        <f>14104+886048+358330+127000+56</f>
        <v>1385538</v>
      </c>
      <c r="H99" s="654"/>
      <c r="I99" s="655" t="s">
        <v>141</v>
      </c>
      <c r="J99" s="655" t="s">
        <v>141</v>
      </c>
      <c r="K99" s="656"/>
      <c r="L99" s="655" t="s">
        <v>602</v>
      </c>
      <c r="M99" s="655" t="s">
        <v>602</v>
      </c>
      <c r="N99" s="657"/>
    </row>
    <row r="100" spans="1:14" x14ac:dyDescent="0.25">
      <c r="A100" s="645"/>
      <c r="B100" s="692" t="s">
        <v>626</v>
      </c>
      <c r="C100" s="679">
        <v>20000</v>
      </c>
      <c r="D100" s="693"/>
      <c r="E100" s="679">
        <f>SUM(C100:D100)</f>
        <v>20000</v>
      </c>
      <c r="F100" s="673"/>
      <c r="G100" s="688">
        <v>20000</v>
      </c>
      <c r="H100" s="688"/>
      <c r="I100" s="707"/>
      <c r="J100" s="707" t="s">
        <v>141</v>
      </c>
      <c r="K100" s="708"/>
      <c r="L100" s="689"/>
      <c r="M100" s="689" t="s">
        <v>602</v>
      </c>
      <c r="N100" s="689"/>
    </row>
    <row r="101" spans="1:14" x14ac:dyDescent="0.25">
      <c r="A101" s="645"/>
      <c r="B101" s="701" t="s">
        <v>265</v>
      </c>
      <c r="C101" s="702">
        <v>11332</v>
      </c>
      <c r="D101" s="709"/>
      <c r="E101" s="702">
        <f>SUM(C101:D101)</f>
        <v>11332</v>
      </c>
      <c r="F101" s="654"/>
      <c r="G101" s="656">
        <f>332+11000</f>
        <v>11332</v>
      </c>
      <c r="H101" s="656"/>
      <c r="I101" s="657"/>
      <c r="J101" s="655" t="s">
        <v>141</v>
      </c>
      <c r="K101" s="656"/>
      <c r="L101" s="657"/>
      <c r="M101" s="655" t="s">
        <v>602</v>
      </c>
      <c r="N101" s="657"/>
    </row>
    <row r="102" spans="1:14" x14ac:dyDescent="0.25">
      <c r="A102" s="645" t="s">
        <v>90</v>
      </c>
      <c r="B102" s="661" t="s">
        <v>64</v>
      </c>
      <c r="C102" s="694">
        <f t="shared" ref="C102:E102" si="13">SUM(C110,C108,C105,C103:C104)</f>
        <v>8732046</v>
      </c>
      <c r="D102" s="694">
        <f t="shared" si="13"/>
        <v>1363</v>
      </c>
      <c r="E102" s="695">
        <f t="shared" si="13"/>
        <v>8733409</v>
      </c>
      <c r="F102" s="695">
        <f>SUM(F110,F108,F105,F103:F104)</f>
        <v>0</v>
      </c>
      <c r="G102" s="695">
        <f>SUM(G110,G108,G105,G103:G104)</f>
        <v>8733409</v>
      </c>
      <c r="H102" s="695">
        <f>SUM(H110,H108,H105,H103:H104)</f>
        <v>0</v>
      </c>
      <c r="I102" s="710"/>
      <c r="J102" s="710"/>
      <c r="K102" s="695"/>
      <c r="L102" s="710" t="s">
        <v>602</v>
      </c>
      <c r="M102" s="710" t="s">
        <v>602</v>
      </c>
      <c r="N102" s="710"/>
    </row>
    <row r="103" spans="1:14" x14ac:dyDescent="0.25">
      <c r="A103" s="645"/>
      <c r="B103" s="682" t="s">
        <v>91</v>
      </c>
      <c r="C103" s="683">
        <v>7358096</v>
      </c>
      <c r="D103" s="690"/>
      <c r="E103" s="683">
        <f>SUM(C103:D103)</f>
        <v>7358096</v>
      </c>
      <c r="F103" s="654">
        <v>0</v>
      </c>
      <c r="G103" s="654">
        <f>6793699+247344+317053</f>
        <v>7358096</v>
      </c>
      <c r="H103" s="654"/>
      <c r="I103" s="664" t="s">
        <v>141</v>
      </c>
      <c r="J103" s="665"/>
      <c r="K103" s="654"/>
      <c r="L103" s="664" t="s">
        <v>602</v>
      </c>
      <c r="M103" s="665"/>
      <c r="N103" s="665"/>
    </row>
    <row r="104" spans="1:14" x14ac:dyDescent="0.25">
      <c r="A104" s="645"/>
      <c r="B104" s="682" t="s">
        <v>92</v>
      </c>
      <c r="C104" s="683">
        <v>499868</v>
      </c>
      <c r="D104" s="690"/>
      <c r="E104" s="683">
        <f t="shared" ref="E104:E105" si="14">SUM(C104:D104)</f>
        <v>499868</v>
      </c>
      <c r="F104" s="654"/>
      <c r="G104" s="656">
        <f>452255+47613</f>
        <v>499868</v>
      </c>
      <c r="H104" s="656"/>
      <c r="I104" s="655" t="s">
        <v>141</v>
      </c>
      <c r="J104" s="655" t="s">
        <v>141</v>
      </c>
      <c r="K104" s="656"/>
      <c r="L104" s="655" t="s">
        <v>602</v>
      </c>
      <c r="M104" s="655" t="s">
        <v>602</v>
      </c>
      <c r="N104" s="657"/>
    </row>
    <row r="105" spans="1:14" x14ac:dyDescent="0.25">
      <c r="A105" s="645"/>
      <c r="B105" s="701" t="s">
        <v>289</v>
      </c>
      <c r="C105" s="702">
        <v>818671</v>
      </c>
      <c r="D105" s="709"/>
      <c r="E105" s="683">
        <f t="shared" si="14"/>
        <v>818671</v>
      </c>
      <c r="F105" s="654">
        <v>0</v>
      </c>
      <c r="G105" s="656">
        <f>763000+55671</f>
        <v>818671</v>
      </c>
      <c r="H105" s="656"/>
      <c r="I105" s="655"/>
      <c r="J105" s="655" t="s">
        <v>141</v>
      </c>
      <c r="K105" s="656"/>
      <c r="L105" s="657"/>
      <c r="M105" s="655" t="s">
        <v>602</v>
      </c>
      <c r="N105" s="657"/>
    </row>
    <row r="106" spans="1:14" x14ac:dyDescent="0.25">
      <c r="A106" s="645"/>
      <c r="B106" s="692" t="s">
        <v>523</v>
      </c>
      <c r="C106" s="679">
        <v>755671</v>
      </c>
      <c r="D106" s="678"/>
      <c r="E106" s="679">
        <f>SUM(C106:D106)</f>
        <v>755671</v>
      </c>
      <c r="F106" s="673"/>
      <c r="G106" s="688">
        <f>700000+55671</f>
        <v>755671</v>
      </c>
      <c r="H106" s="688"/>
      <c r="I106" s="707"/>
      <c r="J106" s="707" t="s">
        <v>141</v>
      </c>
      <c r="K106" s="708"/>
      <c r="L106" s="689"/>
      <c r="M106" s="689" t="s">
        <v>602</v>
      </c>
      <c r="N106" s="689"/>
    </row>
    <row r="107" spans="1:14" ht="31.5" x14ac:dyDescent="0.25">
      <c r="A107" s="645"/>
      <c r="B107" s="692" t="s">
        <v>247</v>
      </c>
      <c r="C107" s="679">
        <v>63000</v>
      </c>
      <c r="D107" s="693"/>
      <c r="E107" s="679">
        <f>SUM(C107:D107)</f>
        <v>63000</v>
      </c>
      <c r="F107" s="673"/>
      <c r="G107" s="688">
        <v>63000</v>
      </c>
      <c r="H107" s="688"/>
      <c r="I107" s="707"/>
      <c r="J107" s="707" t="s">
        <v>141</v>
      </c>
      <c r="K107" s="708"/>
      <c r="L107" s="689"/>
      <c r="M107" s="689" t="s">
        <v>602</v>
      </c>
      <c r="N107" s="689"/>
    </row>
    <row r="108" spans="1:14" x14ac:dyDescent="0.25">
      <c r="A108" s="645"/>
      <c r="B108" s="701" t="s">
        <v>627</v>
      </c>
      <c r="C108" s="702">
        <v>40488</v>
      </c>
      <c r="D108" s="709">
        <v>1363</v>
      </c>
      <c r="E108" s="702">
        <f>SUM(C108:D108)</f>
        <v>41851</v>
      </c>
      <c r="F108" s="654"/>
      <c r="G108" s="656">
        <f>37488+2000+1000+1363</f>
        <v>41851</v>
      </c>
      <c r="H108" s="656"/>
      <c r="I108" s="655" t="s">
        <v>141</v>
      </c>
      <c r="J108" s="655" t="s">
        <v>141</v>
      </c>
      <c r="K108" s="656"/>
      <c r="L108" s="655" t="s">
        <v>602</v>
      </c>
      <c r="M108" s="655" t="s">
        <v>602</v>
      </c>
      <c r="N108" s="657"/>
    </row>
    <row r="109" spans="1:14" x14ac:dyDescent="0.25">
      <c r="A109" s="645"/>
      <c r="B109" s="692" t="s">
        <v>290</v>
      </c>
      <c r="C109" s="679">
        <v>9000</v>
      </c>
      <c r="D109" s="693"/>
      <c r="E109" s="679">
        <f>SUM(C109:D109)</f>
        <v>9000</v>
      </c>
      <c r="F109" s="673"/>
      <c r="G109" s="688">
        <f>6000+2000+1000</f>
        <v>9000</v>
      </c>
      <c r="H109" s="688"/>
      <c r="I109" s="707"/>
      <c r="J109" s="707" t="s">
        <v>141</v>
      </c>
      <c r="K109" s="708"/>
      <c r="L109" s="689"/>
      <c r="M109" s="689" t="s">
        <v>602</v>
      </c>
      <c r="N109" s="689"/>
    </row>
    <row r="110" spans="1:14" x14ac:dyDescent="0.25">
      <c r="A110" s="645"/>
      <c r="B110" s="682" t="s">
        <v>93</v>
      </c>
      <c r="C110" s="683">
        <v>14923</v>
      </c>
      <c r="D110" s="690"/>
      <c r="E110" s="683">
        <f>SUM(C110:D110)</f>
        <v>14923</v>
      </c>
      <c r="F110" s="654"/>
      <c r="G110" s="656">
        <f>11710+3213</f>
        <v>14923</v>
      </c>
      <c r="H110" s="656"/>
      <c r="I110" s="655" t="s">
        <v>141</v>
      </c>
      <c r="J110" s="657"/>
      <c r="K110" s="711" t="s">
        <v>141</v>
      </c>
      <c r="L110" s="657"/>
      <c r="M110" s="655" t="s">
        <v>602</v>
      </c>
      <c r="N110" s="657"/>
    </row>
    <row r="111" spans="1:14" x14ac:dyDescent="0.25">
      <c r="A111" s="645" t="s">
        <v>94</v>
      </c>
      <c r="B111" s="661" t="s">
        <v>65</v>
      </c>
      <c r="C111" s="694">
        <f t="shared" ref="C111:H111" si="15">SUM(C219,C215,C206,C203,C143,C127,C112)</f>
        <v>2763620</v>
      </c>
      <c r="D111" s="694">
        <f t="shared" si="15"/>
        <v>-6493</v>
      </c>
      <c r="E111" s="695">
        <f t="shared" si="15"/>
        <v>2757127</v>
      </c>
      <c r="F111" s="695">
        <f t="shared" si="15"/>
        <v>0</v>
      </c>
      <c r="G111" s="695">
        <f t="shared" si="15"/>
        <v>2823638</v>
      </c>
      <c r="H111" s="695">
        <f t="shared" si="15"/>
        <v>-66511</v>
      </c>
      <c r="I111" s="710"/>
      <c r="J111" s="710"/>
      <c r="K111" s="695"/>
      <c r="L111" s="710" t="s">
        <v>602</v>
      </c>
      <c r="M111" s="710" t="s">
        <v>602</v>
      </c>
      <c r="N111" s="710"/>
    </row>
    <row r="112" spans="1:14" x14ac:dyDescent="0.25">
      <c r="A112" s="645"/>
      <c r="B112" s="682" t="s">
        <v>95</v>
      </c>
      <c r="C112" s="683">
        <v>285548</v>
      </c>
      <c r="D112" s="653"/>
      <c r="E112" s="652">
        <f>SUM(C112:D112)</f>
        <v>285548</v>
      </c>
      <c r="F112" s="654"/>
      <c r="G112" s="654">
        <f>203531+69701+2466+10000</f>
        <v>285698</v>
      </c>
      <c r="H112" s="656">
        <v>-150</v>
      </c>
      <c r="I112" s="655" t="s">
        <v>141</v>
      </c>
      <c r="J112" s="655" t="s">
        <v>141</v>
      </c>
      <c r="K112" s="656"/>
      <c r="L112" s="655" t="s">
        <v>602</v>
      </c>
      <c r="M112" s="655" t="s">
        <v>602</v>
      </c>
      <c r="N112" s="657"/>
    </row>
    <row r="113" spans="1:14" s="681" customFormat="1" ht="31.5" x14ac:dyDescent="0.25">
      <c r="A113" s="675"/>
      <c r="B113" s="676" t="s">
        <v>628</v>
      </c>
      <c r="C113" s="677">
        <v>7022</v>
      </c>
      <c r="D113" s="678"/>
      <c r="E113" s="677">
        <f>SUM(C113:D113)</f>
        <v>7022</v>
      </c>
      <c r="F113" s="673"/>
      <c r="G113" s="673">
        <v>7022</v>
      </c>
      <c r="H113" s="673"/>
      <c r="I113" s="671" t="s">
        <v>141</v>
      </c>
      <c r="J113" s="671"/>
      <c r="K113" s="670"/>
      <c r="L113" s="674" t="s">
        <v>602</v>
      </c>
      <c r="M113" s="674"/>
      <c r="N113" s="674"/>
    </row>
    <row r="114" spans="1:14" s="681" customFormat="1" ht="31.5" x14ac:dyDescent="0.25">
      <c r="A114" s="675"/>
      <c r="B114" s="676" t="s">
        <v>131</v>
      </c>
      <c r="C114" s="677">
        <v>2174</v>
      </c>
      <c r="D114" s="678"/>
      <c r="E114" s="677">
        <f t="shared" ref="E114:E125" si="16">SUM(C114:D114)</f>
        <v>2174</v>
      </c>
      <c r="F114" s="673"/>
      <c r="G114" s="673">
        <v>2174</v>
      </c>
      <c r="H114" s="673"/>
      <c r="I114" s="671" t="s">
        <v>141</v>
      </c>
      <c r="J114" s="671"/>
      <c r="K114" s="670"/>
      <c r="L114" s="674" t="s">
        <v>602</v>
      </c>
      <c r="M114" s="674"/>
      <c r="N114" s="674"/>
    </row>
    <row r="115" spans="1:14" s="681" customFormat="1" ht="31.5" x14ac:dyDescent="0.25">
      <c r="A115" s="675"/>
      <c r="B115" s="676" t="s">
        <v>629</v>
      </c>
      <c r="C115" s="677">
        <v>6000</v>
      </c>
      <c r="D115" s="678"/>
      <c r="E115" s="677">
        <f t="shared" si="16"/>
        <v>6000</v>
      </c>
      <c r="F115" s="673"/>
      <c r="G115" s="673">
        <v>6000</v>
      </c>
      <c r="H115" s="673"/>
      <c r="I115" s="671"/>
      <c r="J115" s="671" t="s">
        <v>141</v>
      </c>
      <c r="K115" s="670"/>
      <c r="L115" s="674"/>
      <c r="M115" s="674" t="s">
        <v>602</v>
      </c>
      <c r="N115" s="674"/>
    </row>
    <row r="116" spans="1:14" s="681" customFormat="1" x14ac:dyDescent="0.25">
      <c r="A116" s="675"/>
      <c r="B116" s="676" t="s">
        <v>630</v>
      </c>
      <c r="C116" s="677">
        <v>13500</v>
      </c>
      <c r="D116" s="678"/>
      <c r="E116" s="677">
        <f t="shared" si="16"/>
        <v>13500</v>
      </c>
      <c r="F116" s="673"/>
      <c r="G116" s="673">
        <v>13500</v>
      </c>
      <c r="H116" s="673"/>
      <c r="I116" s="671"/>
      <c r="J116" s="671" t="s">
        <v>141</v>
      </c>
      <c r="K116" s="670"/>
      <c r="L116" s="674"/>
      <c r="M116" s="674" t="s">
        <v>602</v>
      </c>
      <c r="N116" s="674"/>
    </row>
    <row r="117" spans="1:14" s="681" customFormat="1" ht="31.5" x14ac:dyDescent="0.25">
      <c r="A117" s="675"/>
      <c r="B117" s="676" t="s">
        <v>631</v>
      </c>
      <c r="C117" s="677">
        <v>500</v>
      </c>
      <c r="D117" s="678"/>
      <c r="E117" s="677">
        <f t="shared" si="16"/>
        <v>500</v>
      </c>
      <c r="F117" s="673"/>
      <c r="G117" s="673">
        <v>500</v>
      </c>
      <c r="H117" s="673"/>
      <c r="I117" s="671"/>
      <c r="J117" s="671" t="s">
        <v>141</v>
      </c>
      <c r="K117" s="670"/>
      <c r="L117" s="674"/>
      <c r="M117" s="674" t="s">
        <v>602</v>
      </c>
      <c r="N117" s="674"/>
    </row>
    <row r="118" spans="1:14" s="681" customFormat="1" x14ac:dyDescent="0.25">
      <c r="A118" s="675"/>
      <c r="B118" s="676" t="s">
        <v>632</v>
      </c>
      <c r="C118" s="677">
        <v>216880</v>
      </c>
      <c r="D118" s="678"/>
      <c r="E118" s="677">
        <f t="shared" si="16"/>
        <v>216880</v>
      </c>
      <c r="F118" s="673"/>
      <c r="G118" s="673">
        <f>150000+66880</f>
        <v>216880</v>
      </c>
      <c r="H118" s="673"/>
      <c r="I118" s="671"/>
      <c r="J118" s="671" t="s">
        <v>141</v>
      </c>
      <c r="K118" s="670"/>
      <c r="L118" s="674"/>
      <c r="M118" s="674" t="s">
        <v>602</v>
      </c>
      <c r="N118" s="674"/>
    </row>
    <row r="119" spans="1:14" s="681" customFormat="1" x14ac:dyDescent="0.25">
      <c r="A119" s="675"/>
      <c r="B119" s="676" t="s">
        <v>633</v>
      </c>
      <c r="C119" s="677">
        <v>14321</v>
      </c>
      <c r="D119" s="678"/>
      <c r="E119" s="677">
        <f t="shared" si="16"/>
        <v>14321</v>
      </c>
      <c r="F119" s="673"/>
      <c r="G119" s="673">
        <f>12500+1821</f>
        <v>14321</v>
      </c>
      <c r="H119" s="673"/>
      <c r="I119" s="671"/>
      <c r="J119" s="671" t="s">
        <v>141</v>
      </c>
      <c r="K119" s="670"/>
      <c r="L119" s="674"/>
      <c r="M119" s="674" t="s">
        <v>602</v>
      </c>
      <c r="N119" s="674"/>
    </row>
    <row r="120" spans="1:14" s="681" customFormat="1" x14ac:dyDescent="0.25">
      <c r="A120" s="675"/>
      <c r="B120" s="676" t="s">
        <v>524</v>
      </c>
      <c r="C120" s="677">
        <v>100</v>
      </c>
      <c r="D120" s="678"/>
      <c r="E120" s="677">
        <f t="shared" si="16"/>
        <v>100</v>
      </c>
      <c r="F120" s="673"/>
      <c r="G120" s="673">
        <v>100</v>
      </c>
      <c r="H120" s="673"/>
      <c r="I120" s="671"/>
      <c r="J120" s="671" t="s">
        <v>141</v>
      </c>
      <c r="K120" s="670"/>
      <c r="L120" s="674"/>
      <c r="M120" s="674" t="s">
        <v>602</v>
      </c>
      <c r="N120" s="674"/>
    </row>
    <row r="121" spans="1:14" s="681" customFormat="1" x14ac:dyDescent="0.25">
      <c r="A121" s="675"/>
      <c r="B121" s="676" t="s">
        <v>634</v>
      </c>
      <c r="C121" s="677">
        <v>1000</v>
      </c>
      <c r="D121" s="678"/>
      <c r="E121" s="677">
        <f t="shared" si="16"/>
        <v>1000</v>
      </c>
      <c r="F121" s="673"/>
      <c r="G121" s="673">
        <v>1000</v>
      </c>
      <c r="H121" s="673"/>
      <c r="I121" s="671"/>
      <c r="J121" s="671"/>
      <c r="K121" s="670"/>
      <c r="L121" s="674"/>
      <c r="M121" s="674" t="s">
        <v>602</v>
      </c>
      <c r="N121" s="674"/>
    </row>
    <row r="122" spans="1:14" s="681" customFormat="1" ht="31.5" x14ac:dyDescent="0.25">
      <c r="A122" s="675"/>
      <c r="B122" s="676" t="s">
        <v>525</v>
      </c>
      <c r="C122" s="677">
        <v>5466</v>
      </c>
      <c r="D122" s="678"/>
      <c r="E122" s="677">
        <f t="shared" si="16"/>
        <v>5466</v>
      </c>
      <c r="F122" s="673"/>
      <c r="G122" s="673">
        <f>3500+1966</f>
        <v>5466</v>
      </c>
      <c r="H122" s="673"/>
      <c r="I122" s="671"/>
      <c r="J122" s="671"/>
      <c r="K122" s="670"/>
      <c r="L122" s="674"/>
      <c r="M122" s="674" t="s">
        <v>602</v>
      </c>
      <c r="N122" s="674"/>
    </row>
    <row r="123" spans="1:14" s="681" customFormat="1" ht="31.5" x14ac:dyDescent="0.25">
      <c r="A123" s="675"/>
      <c r="B123" s="676" t="s">
        <v>526</v>
      </c>
      <c r="C123" s="677">
        <v>3000</v>
      </c>
      <c r="D123" s="678"/>
      <c r="E123" s="677">
        <f t="shared" si="16"/>
        <v>3000</v>
      </c>
      <c r="F123" s="673"/>
      <c r="G123" s="673">
        <v>3000</v>
      </c>
      <c r="H123" s="673"/>
      <c r="I123" s="671"/>
      <c r="J123" s="671"/>
      <c r="K123" s="670"/>
      <c r="L123" s="674"/>
      <c r="M123" s="674" t="s">
        <v>602</v>
      </c>
      <c r="N123" s="674"/>
    </row>
    <row r="124" spans="1:14" s="681" customFormat="1" x14ac:dyDescent="0.25">
      <c r="A124" s="675"/>
      <c r="B124" s="676" t="s">
        <v>635</v>
      </c>
      <c r="C124" s="677">
        <v>5085</v>
      </c>
      <c r="D124" s="678"/>
      <c r="E124" s="677">
        <f t="shared" si="16"/>
        <v>5085</v>
      </c>
      <c r="F124" s="673"/>
      <c r="G124" s="673">
        <v>5085</v>
      </c>
      <c r="H124" s="673"/>
      <c r="I124" s="671"/>
      <c r="J124" s="671"/>
      <c r="K124" s="670"/>
      <c r="L124" s="674"/>
      <c r="M124" s="674" t="s">
        <v>602</v>
      </c>
      <c r="N124" s="674"/>
    </row>
    <row r="125" spans="1:14" s="681" customFormat="1" x14ac:dyDescent="0.25">
      <c r="A125" s="675"/>
      <c r="B125" s="676" t="s">
        <v>755</v>
      </c>
      <c r="C125" s="677">
        <v>500</v>
      </c>
      <c r="D125" s="678"/>
      <c r="E125" s="677">
        <f t="shared" si="16"/>
        <v>500</v>
      </c>
      <c r="F125" s="673"/>
      <c r="G125" s="673">
        <v>500</v>
      </c>
      <c r="H125" s="673"/>
      <c r="I125" s="671"/>
      <c r="J125" s="671"/>
      <c r="K125" s="670"/>
      <c r="L125" s="674"/>
      <c r="M125" s="674" t="s">
        <v>602</v>
      </c>
      <c r="N125" s="674"/>
    </row>
    <row r="126" spans="1:14" s="681" customFormat="1" ht="47.25" x14ac:dyDescent="0.25">
      <c r="A126" s="675"/>
      <c r="B126" s="676" t="s">
        <v>825</v>
      </c>
      <c r="C126" s="677">
        <v>10000</v>
      </c>
      <c r="D126" s="678"/>
      <c r="E126" s="677">
        <f t="shared" ref="E126" si="17">SUM(C126:D126)</f>
        <v>10000</v>
      </c>
      <c r="F126" s="673"/>
      <c r="G126" s="673">
        <v>10000</v>
      </c>
      <c r="H126" s="673"/>
      <c r="I126" s="671"/>
      <c r="J126" s="671"/>
      <c r="K126" s="670"/>
      <c r="L126" s="674"/>
      <c r="M126" s="674" t="s">
        <v>602</v>
      </c>
      <c r="N126" s="674"/>
    </row>
    <row r="127" spans="1:14" x14ac:dyDescent="0.25">
      <c r="A127" s="645"/>
      <c r="B127" s="682" t="s">
        <v>96</v>
      </c>
      <c r="C127" s="683">
        <v>385191</v>
      </c>
      <c r="D127" s="653">
        <v>-902</v>
      </c>
      <c r="E127" s="652">
        <f>SUM(C127:D127)</f>
        <v>384289</v>
      </c>
      <c r="F127" s="654"/>
      <c r="G127" s="654">
        <f>289675+91798+3950+368-902</f>
        <v>384889</v>
      </c>
      <c r="H127" s="654">
        <v>-600</v>
      </c>
      <c r="I127" s="664" t="s">
        <v>141</v>
      </c>
      <c r="J127" s="664" t="s">
        <v>141</v>
      </c>
      <c r="K127" s="654"/>
      <c r="L127" s="664" t="s">
        <v>602</v>
      </c>
      <c r="M127" s="664" t="s">
        <v>602</v>
      </c>
      <c r="N127" s="665"/>
    </row>
    <row r="128" spans="1:14" s="681" customFormat="1" ht="31.5" x14ac:dyDescent="0.25">
      <c r="A128" s="675"/>
      <c r="B128" s="676" t="s">
        <v>345</v>
      </c>
      <c r="C128" s="677">
        <v>65000</v>
      </c>
      <c r="D128" s="678"/>
      <c r="E128" s="677">
        <f>SUM(C128:D128)</f>
        <v>65000</v>
      </c>
      <c r="F128" s="673"/>
      <c r="G128" s="673">
        <v>65000</v>
      </c>
      <c r="H128" s="673"/>
      <c r="I128" s="671"/>
      <c r="J128" s="671" t="s">
        <v>141</v>
      </c>
      <c r="K128" s="670"/>
      <c r="L128" s="674"/>
      <c r="M128" s="674" t="s">
        <v>602</v>
      </c>
      <c r="N128" s="674"/>
    </row>
    <row r="129" spans="1:15" s="681" customFormat="1" x14ac:dyDescent="0.25">
      <c r="A129" s="675"/>
      <c r="B129" s="676" t="s">
        <v>122</v>
      </c>
      <c r="C129" s="677">
        <v>29400</v>
      </c>
      <c r="D129" s="678"/>
      <c r="E129" s="677">
        <f t="shared" ref="E129:E142" si="18">SUM(C129:D129)</f>
        <v>29400</v>
      </c>
      <c r="F129" s="673"/>
      <c r="G129" s="673">
        <v>29400</v>
      </c>
      <c r="H129" s="673"/>
      <c r="I129" s="671" t="s">
        <v>141</v>
      </c>
      <c r="J129" s="671"/>
      <c r="K129" s="670"/>
      <c r="L129" s="674" t="s">
        <v>602</v>
      </c>
      <c r="M129" s="674"/>
      <c r="N129" s="674"/>
    </row>
    <row r="130" spans="1:15" s="681" customFormat="1" ht="31.5" x14ac:dyDescent="0.25">
      <c r="A130" s="675"/>
      <c r="B130" s="676" t="s">
        <v>527</v>
      </c>
      <c r="C130" s="677">
        <v>10833</v>
      </c>
      <c r="D130" s="678"/>
      <c r="E130" s="677">
        <f t="shared" si="18"/>
        <v>10833</v>
      </c>
      <c r="F130" s="673"/>
      <c r="G130" s="673">
        <v>10833</v>
      </c>
      <c r="H130" s="673"/>
      <c r="I130" s="671"/>
      <c r="J130" s="671" t="s">
        <v>141</v>
      </c>
      <c r="K130" s="670"/>
      <c r="L130" s="674"/>
      <c r="M130" s="674" t="s">
        <v>602</v>
      </c>
      <c r="N130" s="674"/>
    </row>
    <row r="131" spans="1:15" s="681" customFormat="1" ht="31.5" x14ac:dyDescent="0.25">
      <c r="A131" s="675"/>
      <c r="B131" s="676" t="s">
        <v>636</v>
      </c>
      <c r="C131" s="677">
        <v>15405</v>
      </c>
      <c r="D131" s="678"/>
      <c r="E131" s="677">
        <f t="shared" si="18"/>
        <v>15405</v>
      </c>
      <c r="F131" s="673"/>
      <c r="G131" s="673">
        <v>15405</v>
      </c>
      <c r="H131" s="673"/>
      <c r="I131" s="671"/>
      <c r="J131" s="671"/>
      <c r="K131" s="670"/>
      <c r="L131" s="674"/>
      <c r="M131" s="674" t="s">
        <v>602</v>
      </c>
      <c r="N131" s="674"/>
    </row>
    <row r="132" spans="1:15" s="681" customFormat="1" x14ac:dyDescent="0.25">
      <c r="A132" s="675"/>
      <c r="B132" s="676" t="s">
        <v>528</v>
      </c>
      <c r="C132" s="677">
        <v>13000</v>
      </c>
      <c r="D132" s="678"/>
      <c r="E132" s="677">
        <f t="shared" si="18"/>
        <v>13000</v>
      </c>
      <c r="F132" s="673"/>
      <c r="G132" s="673">
        <v>13000</v>
      </c>
      <c r="H132" s="673"/>
      <c r="I132" s="671"/>
      <c r="J132" s="671" t="s">
        <v>141</v>
      </c>
      <c r="K132" s="670"/>
      <c r="L132" s="674"/>
      <c r="M132" s="674" t="s">
        <v>602</v>
      </c>
      <c r="N132" s="674"/>
    </row>
    <row r="133" spans="1:15" s="681" customFormat="1" x14ac:dyDescent="0.25">
      <c r="A133" s="675"/>
      <c r="B133" s="676" t="s">
        <v>529</v>
      </c>
      <c r="C133" s="677">
        <v>66169</v>
      </c>
      <c r="D133" s="678"/>
      <c r="E133" s="677">
        <f t="shared" si="18"/>
        <v>66169</v>
      </c>
      <c r="F133" s="673"/>
      <c r="G133" s="673">
        <f>6000+60169</f>
        <v>66169</v>
      </c>
      <c r="H133" s="673"/>
      <c r="I133" s="671"/>
      <c r="J133" s="671" t="s">
        <v>141</v>
      </c>
      <c r="K133" s="670"/>
      <c r="L133" s="674"/>
      <c r="M133" s="674" t="s">
        <v>602</v>
      </c>
      <c r="N133" s="674"/>
    </row>
    <row r="134" spans="1:15" s="681" customFormat="1" x14ac:dyDescent="0.25">
      <c r="A134" s="675"/>
      <c r="B134" s="676" t="s">
        <v>637</v>
      </c>
      <c r="C134" s="677">
        <v>180</v>
      </c>
      <c r="D134" s="678"/>
      <c r="E134" s="677">
        <f t="shared" si="18"/>
        <v>180</v>
      </c>
      <c r="F134" s="673"/>
      <c r="G134" s="673">
        <v>180</v>
      </c>
      <c r="H134" s="673"/>
      <c r="I134" s="671"/>
      <c r="J134" s="671" t="s">
        <v>141</v>
      </c>
      <c r="K134" s="670"/>
      <c r="L134" s="674"/>
      <c r="M134" s="674" t="s">
        <v>602</v>
      </c>
      <c r="N134" s="680"/>
    </row>
    <row r="135" spans="1:15" s="681" customFormat="1" ht="31.5" x14ac:dyDescent="0.25">
      <c r="A135" s="675"/>
      <c r="B135" s="676" t="s">
        <v>530</v>
      </c>
      <c r="C135" s="677">
        <v>100000</v>
      </c>
      <c r="D135" s="678"/>
      <c r="E135" s="677">
        <f t="shared" si="18"/>
        <v>100000</v>
      </c>
      <c r="F135" s="673"/>
      <c r="G135" s="673">
        <v>100000</v>
      </c>
      <c r="H135" s="673"/>
      <c r="I135" s="671"/>
      <c r="J135" s="671" t="s">
        <v>141</v>
      </c>
      <c r="K135" s="670"/>
      <c r="L135" s="674"/>
      <c r="M135" s="674" t="s">
        <v>602</v>
      </c>
      <c r="N135" s="680"/>
    </row>
    <row r="136" spans="1:15" s="681" customFormat="1" x14ac:dyDescent="0.25">
      <c r="A136" s="675"/>
      <c r="B136" s="676" t="s">
        <v>531</v>
      </c>
      <c r="C136" s="677">
        <v>13800</v>
      </c>
      <c r="D136" s="678"/>
      <c r="E136" s="677">
        <f t="shared" si="18"/>
        <v>13800</v>
      </c>
      <c r="F136" s="673"/>
      <c r="G136" s="673">
        <v>14400</v>
      </c>
      <c r="H136" s="673">
        <v>-600</v>
      </c>
      <c r="I136" s="671"/>
      <c r="J136" s="671" t="s">
        <v>141</v>
      </c>
      <c r="K136" s="670"/>
      <c r="L136" s="674"/>
      <c r="M136" s="674" t="s">
        <v>602</v>
      </c>
      <c r="N136" s="680"/>
    </row>
    <row r="137" spans="1:15" s="681" customFormat="1" ht="47.25" x14ac:dyDescent="0.25">
      <c r="A137" s="675"/>
      <c r="B137" s="676" t="s">
        <v>638</v>
      </c>
      <c r="C137" s="677">
        <v>42320</v>
      </c>
      <c r="D137" s="678"/>
      <c r="E137" s="677">
        <f t="shared" si="18"/>
        <v>42320</v>
      </c>
      <c r="F137" s="673"/>
      <c r="G137" s="673">
        <v>42320</v>
      </c>
      <c r="H137" s="673"/>
      <c r="I137" s="671"/>
      <c r="J137" s="671" t="s">
        <v>141</v>
      </c>
      <c r="K137" s="670"/>
      <c r="L137" s="674"/>
      <c r="M137" s="674" t="s">
        <v>602</v>
      </c>
      <c r="N137" s="680"/>
    </row>
    <row r="138" spans="1:15" s="681" customFormat="1" ht="31.5" x14ac:dyDescent="0.25">
      <c r="A138" s="675"/>
      <c r="B138" s="676" t="s">
        <v>532</v>
      </c>
      <c r="C138" s="677">
        <v>14650</v>
      </c>
      <c r="D138" s="678"/>
      <c r="E138" s="677">
        <f t="shared" si="18"/>
        <v>14650</v>
      </c>
      <c r="F138" s="673"/>
      <c r="G138" s="673">
        <v>14650</v>
      </c>
      <c r="H138" s="673"/>
      <c r="I138" s="671"/>
      <c r="J138" s="671"/>
      <c r="K138" s="670"/>
      <c r="L138" s="674"/>
      <c r="M138" s="674" t="s">
        <v>602</v>
      </c>
      <c r="N138" s="680"/>
    </row>
    <row r="139" spans="1:15" s="681" customFormat="1" ht="31.5" x14ac:dyDescent="0.25">
      <c r="A139" s="675"/>
      <c r="B139" s="676" t="s">
        <v>772</v>
      </c>
      <c r="C139" s="677">
        <v>3950</v>
      </c>
      <c r="D139" s="678"/>
      <c r="E139" s="677">
        <f t="shared" si="18"/>
        <v>3950</v>
      </c>
      <c r="F139" s="673"/>
      <c r="G139" s="673">
        <v>3950</v>
      </c>
      <c r="H139" s="673"/>
      <c r="I139" s="671"/>
      <c r="J139" s="671"/>
      <c r="K139" s="670"/>
      <c r="L139" s="674"/>
      <c r="M139" s="674" t="s">
        <v>602</v>
      </c>
      <c r="N139" s="680"/>
    </row>
    <row r="140" spans="1:15" s="681" customFormat="1" x14ac:dyDescent="0.25">
      <c r="A140" s="675"/>
      <c r="B140" s="676" t="s">
        <v>639</v>
      </c>
      <c r="C140" s="677">
        <v>500</v>
      </c>
      <c r="D140" s="678"/>
      <c r="E140" s="677">
        <f t="shared" si="18"/>
        <v>500</v>
      </c>
      <c r="F140" s="673"/>
      <c r="G140" s="673">
        <v>500</v>
      </c>
      <c r="H140" s="673"/>
      <c r="I140" s="671"/>
      <c r="J140" s="671"/>
      <c r="K140" s="670"/>
      <c r="L140" s="674"/>
      <c r="M140" s="674" t="s">
        <v>602</v>
      </c>
      <c r="N140" s="680"/>
    </row>
    <row r="141" spans="1:15" s="681" customFormat="1" x14ac:dyDescent="0.25">
      <c r="A141" s="675"/>
      <c r="B141" s="676" t="s">
        <v>640</v>
      </c>
      <c r="C141" s="677">
        <v>1000</v>
      </c>
      <c r="D141" s="678"/>
      <c r="E141" s="677">
        <f t="shared" si="18"/>
        <v>1000</v>
      </c>
      <c r="F141" s="673"/>
      <c r="G141" s="673">
        <v>1000</v>
      </c>
      <c r="H141" s="673"/>
      <c r="I141" s="671"/>
      <c r="J141" s="671"/>
      <c r="K141" s="670"/>
      <c r="L141" s="674"/>
      <c r="M141" s="674" t="s">
        <v>602</v>
      </c>
      <c r="N141" s="680"/>
    </row>
    <row r="142" spans="1:15" s="681" customFormat="1" x14ac:dyDescent="0.25">
      <c r="A142" s="675"/>
      <c r="B142" s="676" t="s">
        <v>641</v>
      </c>
      <c r="C142" s="677">
        <v>4376</v>
      </c>
      <c r="D142" s="678">
        <v>-902</v>
      </c>
      <c r="E142" s="677">
        <f t="shared" si="18"/>
        <v>3474</v>
      </c>
      <c r="F142" s="673"/>
      <c r="G142" s="673">
        <f>4376-902</f>
        <v>3474</v>
      </c>
      <c r="H142" s="673"/>
      <c r="I142" s="671"/>
      <c r="J142" s="671"/>
      <c r="K142" s="670"/>
      <c r="L142" s="674"/>
      <c r="M142" s="674" t="s">
        <v>602</v>
      </c>
      <c r="N142" s="680"/>
    </row>
    <row r="143" spans="1:15" x14ac:dyDescent="0.25">
      <c r="A143" s="645"/>
      <c r="B143" s="651" t="s">
        <v>97</v>
      </c>
      <c r="C143" s="652">
        <v>954878</v>
      </c>
      <c r="D143" s="653">
        <v>-5591</v>
      </c>
      <c r="E143" s="652">
        <f>SUM(C143:D143)</f>
        <v>949287</v>
      </c>
      <c r="F143" s="654"/>
      <c r="G143" s="654">
        <f>829706+62676+57500+35340-500-2000</f>
        <v>982722</v>
      </c>
      <c r="H143" s="654">
        <f>-23319-4125-2400-3591</f>
        <v>-33435</v>
      </c>
      <c r="I143" s="655" t="s">
        <v>141</v>
      </c>
      <c r="J143" s="655" t="s">
        <v>141</v>
      </c>
      <c r="K143" s="656"/>
      <c r="L143" s="655" t="s">
        <v>602</v>
      </c>
      <c r="M143" s="655" t="s">
        <v>602</v>
      </c>
      <c r="N143" s="712"/>
      <c r="O143" s="681"/>
    </row>
    <row r="144" spans="1:15" s="681" customFormat="1" x14ac:dyDescent="0.25">
      <c r="A144" s="675"/>
      <c r="B144" s="713" t="s">
        <v>124</v>
      </c>
      <c r="C144" s="714"/>
      <c r="D144" s="662"/>
      <c r="E144" s="715"/>
      <c r="F144" s="673"/>
      <c r="G144" s="673"/>
      <c r="H144" s="673"/>
      <c r="I144" s="671"/>
      <c r="J144" s="671"/>
      <c r="K144" s="670"/>
      <c r="L144" s="674"/>
      <c r="M144" s="674"/>
      <c r="N144" s="680"/>
    </row>
    <row r="145" spans="1:14" s="681" customFormat="1" x14ac:dyDescent="0.25">
      <c r="A145" s="675"/>
      <c r="B145" s="676" t="s">
        <v>642</v>
      </c>
      <c r="C145" s="677">
        <v>7154</v>
      </c>
      <c r="D145" s="678"/>
      <c r="E145" s="677">
        <f>SUM(C145:D145)</f>
        <v>7154</v>
      </c>
      <c r="F145" s="673"/>
      <c r="G145" s="673">
        <f>6800+354</f>
        <v>7154</v>
      </c>
      <c r="H145" s="673"/>
      <c r="I145" s="671" t="s">
        <v>141</v>
      </c>
      <c r="J145" s="671"/>
      <c r="K145" s="670"/>
      <c r="L145" s="674" t="s">
        <v>602</v>
      </c>
      <c r="M145" s="674"/>
      <c r="N145" s="680"/>
    </row>
    <row r="146" spans="1:14" s="681" customFormat="1" x14ac:dyDescent="0.25">
      <c r="A146" s="675"/>
      <c r="B146" s="713" t="s">
        <v>125</v>
      </c>
      <c r="C146" s="714"/>
      <c r="D146" s="662"/>
      <c r="E146" s="715"/>
      <c r="F146" s="673"/>
      <c r="G146" s="673"/>
      <c r="H146" s="673"/>
      <c r="I146" s="671"/>
      <c r="J146" s="671"/>
      <c r="K146" s="670"/>
      <c r="L146" s="674"/>
      <c r="M146" s="674"/>
      <c r="N146" s="680"/>
    </row>
    <row r="147" spans="1:14" s="681" customFormat="1" x14ac:dyDescent="0.25">
      <c r="A147" s="675"/>
      <c r="B147" s="667" t="s">
        <v>248</v>
      </c>
      <c r="C147" s="668">
        <v>1000</v>
      </c>
      <c r="D147" s="669"/>
      <c r="E147" s="668">
        <f>SUM(C147:D147)</f>
        <v>1000</v>
      </c>
      <c r="F147" s="673"/>
      <c r="G147" s="673">
        <v>1000</v>
      </c>
      <c r="H147" s="673"/>
      <c r="I147" s="671"/>
      <c r="J147" s="671" t="s">
        <v>141</v>
      </c>
      <c r="K147" s="670"/>
      <c r="L147" s="674"/>
      <c r="M147" s="674" t="s">
        <v>602</v>
      </c>
      <c r="N147" s="680"/>
    </row>
    <row r="148" spans="1:14" s="681" customFormat="1" x14ac:dyDescent="0.25">
      <c r="A148" s="675"/>
      <c r="B148" s="667" t="s">
        <v>123</v>
      </c>
      <c r="C148" s="668">
        <v>3000</v>
      </c>
      <c r="D148" s="669"/>
      <c r="E148" s="668">
        <f t="shared" ref="E148:E181" si="19">SUM(C148:D148)</f>
        <v>3000</v>
      </c>
      <c r="F148" s="673"/>
      <c r="G148" s="673">
        <v>3000</v>
      </c>
      <c r="H148" s="673"/>
      <c r="I148" s="671"/>
      <c r="J148" s="671" t="s">
        <v>141</v>
      </c>
      <c r="K148" s="670"/>
      <c r="L148" s="674"/>
      <c r="M148" s="674" t="s">
        <v>602</v>
      </c>
      <c r="N148" s="680"/>
    </row>
    <row r="149" spans="1:14" s="681" customFormat="1" x14ac:dyDescent="0.25">
      <c r="A149" s="675"/>
      <c r="B149" s="667" t="s">
        <v>335</v>
      </c>
      <c r="C149" s="668">
        <v>18000</v>
      </c>
      <c r="D149" s="669"/>
      <c r="E149" s="668">
        <f t="shared" si="19"/>
        <v>18000</v>
      </c>
      <c r="F149" s="673"/>
      <c r="G149" s="673">
        <v>18000</v>
      </c>
      <c r="H149" s="673"/>
      <c r="I149" s="671"/>
      <c r="J149" s="671" t="s">
        <v>141</v>
      </c>
      <c r="K149" s="670"/>
      <c r="L149" s="674"/>
      <c r="M149" s="674" t="s">
        <v>602</v>
      </c>
      <c r="N149" s="680"/>
    </row>
    <row r="150" spans="1:14" s="681" customFormat="1" x14ac:dyDescent="0.25">
      <c r="A150" s="675"/>
      <c r="B150" s="667" t="s">
        <v>336</v>
      </c>
      <c r="C150" s="668">
        <v>5000</v>
      </c>
      <c r="D150" s="669"/>
      <c r="E150" s="668">
        <f t="shared" si="19"/>
        <v>5000</v>
      </c>
      <c r="F150" s="673"/>
      <c r="G150" s="673">
        <v>5000</v>
      </c>
      <c r="H150" s="673"/>
      <c r="I150" s="671"/>
      <c r="J150" s="671" t="s">
        <v>141</v>
      </c>
      <c r="K150" s="670"/>
      <c r="L150" s="674"/>
      <c r="M150" s="674" t="s">
        <v>602</v>
      </c>
      <c r="N150" s="680"/>
    </row>
    <row r="151" spans="1:14" s="681" customFormat="1" x14ac:dyDescent="0.25">
      <c r="A151" s="675"/>
      <c r="B151" s="667" t="s">
        <v>135</v>
      </c>
      <c r="C151" s="668">
        <v>1600</v>
      </c>
      <c r="D151" s="669"/>
      <c r="E151" s="668">
        <f t="shared" si="19"/>
        <v>1600</v>
      </c>
      <c r="F151" s="673"/>
      <c r="G151" s="673">
        <v>1600</v>
      </c>
      <c r="H151" s="673"/>
      <c r="I151" s="671"/>
      <c r="J151" s="671" t="s">
        <v>141</v>
      </c>
      <c r="K151" s="670"/>
      <c r="L151" s="674"/>
      <c r="M151" s="674" t="s">
        <v>602</v>
      </c>
      <c r="N151" s="680"/>
    </row>
    <row r="152" spans="1:14" s="681" customFormat="1" x14ac:dyDescent="0.25">
      <c r="A152" s="675"/>
      <c r="B152" s="667" t="s">
        <v>136</v>
      </c>
      <c r="C152" s="668">
        <v>1000</v>
      </c>
      <c r="D152" s="669"/>
      <c r="E152" s="668">
        <f t="shared" si="19"/>
        <v>1000</v>
      </c>
      <c r="F152" s="673"/>
      <c r="G152" s="673">
        <v>1000</v>
      </c>
      <c r="H152" s="673"/>
      <c r="I152" s="671"/>
      <c r="J152" s="671" t="s">
        <v>141</v>
      </c>
      <c r="K152" s="670"/>
      <c r="L152" s="674"/>
      <c r="M152" s="674" t="s">
        <v>602</v>
      </c>
      <c r="N152" s="680"/>
    </row>
    <row r="153" spans="1:14" s="681" customFormat="1" x14ac:dyDescent="0.25">
      <c r="A153" s="675"/>
      <c r="B153" s="667" t="s">
        <v>74</v>
      </c>
      <c r="C153" s="668">
        <v>2650</v>
      </c>
      <c r="D153" s="669"/>
      <c r="E153" s="668">
        <f t="shared" si="19"/>
        <v>2650</v>
      </c>
      <c r="F153" s="673"/>
      <c r="G153" s="673">
        <v>2650</v>
      </c>
      <c r="H153" s="673"/>
      <c r="I153" s="671"/>
      <c r="J153" s="671" t="s">
        <v>141</v>
      </c>
      <c r="K153" s="670"/>
      <c r="L153" s="674"/>
      <c r="M153" s="674" t="s">
        <v>602</v>
      </c>
      <c r="N153" s="680"/>
    </row>
    <row r="154" spans="1:14" s="681" customFormat="1" x14ac:dyDescent="0.25">
      <c r="A154" s="675"/>
      <c r="B154" s="716" t="s">
        <v>757</v>
      </c>
      <c r="C154" s="678">
        <v>1000</v>
      </c>
      <c r="D154" s="678"/>
      <c r="E154" s="668">
        <f>SUM(C154:D154)</f>
        <v>1000</v>
      </c>
      <c r="F154" s="673"/>
      <c r="G154" s="673">
        <v>1000</v>
      </c>
      <c r="H154" s="673"/>
      <c r="I154" s="671"/>
      <c r="J154" s="671"/>
      <c r="K154" s="670"/>
      <c r="L154" s="674"/>
      <c r="M154" s="674" t="s">
        <v>602</v>
      </c>
      <c r="N154" s="680"/>
    </row>
    <row r="155" spans="1:14" s="681" customFormat="1" x14ac:dyDescent="0.25">
      <c r="A155" s="675"/>
      <c r="B155" s="667" t="s">
        <v>76</v>
      </c>
      <c r="C155" s="668">
        <v>1200</v>
      </c>
      <c r="D155" s="669"/>
      <c r="E155" s="668">
        <f t="shared" si="19"/>
        <v>1200</v>
      </c>
      <c r="F155" s="673"/>
      <c r="G155" s="673">
        <v>1200</v>
      </c>
      <c r="H155" s="673"/>
      <c r="I155" s="671"/>
      <c r="J155" s="671" t="s">
        <v>141</v>
      </c>
      <c r="K155" s="670"/>
      <c r="L155" s="674"/>
      <c r="M155" s="674" t="s">
        <v>602</v>
      </c>
      <c r="N155" s="680"/>
    </row>
    <row r="156" spans="1:14" s="681" customFormat="1" x14ac:dyDescent="0.25">
      <c r="A156" s="675"/>
      <c r="B156" s="667" t="s">
        <v>137</v>
      </c>
      <c r="C156" s="668">
        <v>5000</v>
      </c>
      <c r="D156" s="669"/>
      <c r="E156" s="668">
        <f t="shared" si="19"/>
        <v>5000</v>
      </c>
      <c r="F156" s="673"/>
      <c r="G156" s="673">
        <v>5000</v>
      </c>
      <c r="H156" s="673"/>
      <c r="I156" s="671"/>
      <c r="J156" s="671" t="s">
        <v>141</v>
      </c>
      <c r="K156" s="670"/>
      <c r="L156" s="674"/>
      <c r="M156" s="674" t="s">
        <v>602</v>
      </c>
      <c r="N156" s="680"/>
    </row>
    <row r="157" spans="1:14" s="681" customFormat="1" x14ac:dyDescent="0.25">
      <c r="A157" s="675"/>
      <c r="B157" s="667" t="s">
        <v>75</v>
      </c>
      <c r="C157" s="668">
        <v>2000</v>
      </c>
      <c r="D157" s="669"/>
      <c r="E157" s="668">
        <f t="shared" si="19"/>
        <v>2000</v>
      </c>
      <c r="F157" s="673"/>
      <c r="G157" s="673">
        <v>2000</v>
      </c>
      <c r="H157" s="673"/>
      <c r="I157" s="671"/>
      <c r="J157" s="671" t="s">
        <v>141</v>
      </c>
      <c r="K157" s="670"/>
      <c r="L157" s="674"/>
      <c r="M157" s="674" t="s">
        <v>602</v>
      </c>
      <c r="N157" s="680"/>
    </row>
    <row r="158" spans="1:14" s="681" customFormat="1" x14ac:dyDescent="0.25">
      <c r="A158" s="675"/>
      <c r="B158" s="667" t="s">
        <v>117</v>
      </c>
      <c r="C158" s="668">
        <v>8000</v>
      </c>
      <c r="D158" s="669"/>
      <c r="E158" s="668">
        <f t="shared" si="19"/>
        <v>8000</v>
      </c>
      <c r="F158" s="673"/>
      <c r="G158" s="673">
        <v>8000</v>
      </c>
      <c r="H158" s="673"/>
      <c r="I158" s="671"/>
      <c r="J158" s="671" t="s">
        <v>141</v>
      </c>
      <c r="K158" s="670"/>
      <c r="L158" s="674"/>
      <c r="M158" s="674" t="s">
        <v>602</v>
      </c>
      <c r="N158" s="680"/>
    </row>
    <row r="159" spans="1:14" s="681" customFormat="1" ht="31.5" x14ac:dyDescent="0.25">
      <c r="A159" s="675"/>
      <c r="B159" s="667" t="s">
        <v>130</v>
      </c>
      <c r="C159" s="668">
        <v>2000</v>
      </c>
      <c r="D159" s="669"/>
      <c r="E159" s="668">
        <f t="shared" si="19"/>
        <v>2000</v>
      </c>
      <c r="F159" s="673"/>
      <c r="G159" s="673">
        <v>2000</v>
      </c>
      <c r="H159" s="673"/>
      <c r="I159" s="671"/>
      <c r="J159" s="671" t="s">
        <v>141</v>
      </c>
      <c r="K159" s="670"/>
      <c r="L159" s="674"/>
      <c r="M159" s="674" t="s">
        <v>602</v>
      </c>
      <c r="N159" s="680"/>
    </row>
    <row r="160" spans="1:14" s="681" customFormat="1" x14ac:dyDescent="0.25">
      <c r="A160" s="675"/>
      <c r="B160" s="667" t="s">
        <v>126</v>
      </c>
      <c r="C160" s="668">
        <v>8600</v>
      </c>
      <c r="D160" s="669"/>
      <c r="E160" s="668">
        <f t="shared" si="19"/>
        <v>8600</v>
      </c>
      <c r="F160" s="673"/>
      <c r="G160" s="673">
        <v>8600</v>
      </c>
      <c r="H160" s="673"/>
      <c r="I160" s="671"/>
      <c r="J160" s="671" t="s">
        <v>141</v>
      </c>
      <c r="K160" s="670"/>
      <c r="L160" s="674"/>
      <c r="M160" s="674" t="s">
        <v>602</v>
      </c>
      <c r="N160" s="680"/>
    </row>
    <row r="161" spans="1:14" s="681" customFormat="1" x14ac:dyDescent="0.25">
      <c r="A161" s="675"/>
      <c r="B161" s="667" t="s">
        <v>138</v>
      </c>
      <c r="C161" s="668">
        <v>5700</v>
      </c>
      <c r="D161" s="669"/>
      <c r="E161" s="668">
        <f t="shared" si="19"/>
        <v>5700</v>
      </c>
      <c r="F161" s="673"/>
      <c r="G161" s="673">
        <v>5700</v>
      </c>
      <c r="H161" s="673"/>
      <c r="I161" s="671"/>
      <c r="J161" s="671" t="s">
        <v>141</v>
      </c>
      <c r="K161" s="670"/>
      <c r="L161" s="674"/>
      <c r="M161" s="674" t="s">
        <v>602</v>
      </c>
      <c r="N161" s="680"/>
    </row>
    <row r="162" spans="1:14" s="681" customFormat="1" x14ac:dyDescent="0.25">
      <c r="A162" s="675"/>
      <c r="B162" s="667" t="s">
        <v>840</v>
      </c>
      <c r="C162" s="668">
        <v>800</v>
      </c>
      <c r="D162" s="669"/>
      <c r="E162" s="668">
        <f t="shared" si="19"/>
        <v>800</v>
      </c>
      <c r="F162" s="673"/>
      <c r="G162" s="673">
        <v>800</v>
      </c>
      <c r="H162" s="673"/>
      <c r="I162" s="671"/>
      <c r="J162" s="671" t="s">
        <v>141</v>
      </c>
      <c r="K162" s="670"/>
      <c r="L162" s="674"/>
      <c r="M162" s="674" t="s">
        <v>602</v>
      </c>
      <c r="N162" s="680"/>
    </row>
    <row r="163" spans="1:14" s="681" customFormat="1" x14ac:dyDescent="0.25">
      <c r="A163" s="675"/>
      <c r="B163" s="667" t="s">
        <v>337</v>
      </c>
      <c r="C163" s="668">
        <v>21000</v>
      </c>
      <c r="D163" s="669"/>
      <c r="E163" s="668">
        <f t="shared" si="19"/>
        <v>21000</v>
      </c>
      <c r="F163" s="673"/>
      <c r="G163" s="673">
        <v>21000</v>
      </c>
      <c r="H163" s="673"/>
      <c r="I163" s="671"/>
      <c r="J163" s="671" t="s">
        <v>141</v>
      </c>
      <c r="K163" s="670"/>
      <c r="L163" s="674"/>
      <c r="M163" s="674" t="s">
        <v>602</v>
      </c>
      <c r="N163" s="680"/>
    </row>
    <row r="164" spans="1:14" s="681" customFormat="1" ht="31.5" x14ac:dyDescent="0.25">
      <c r="A164" s="675"/>
      <c r="B164" s="716" t="s">
        <v>756</v>
      </c>
      <c r="C164" s="678">
        <v>2400</v>
      </c>
      <c r="D164" s="678"/>
      <c r="E164" s="668">
        <f>SUM(C164:D164)</f>
        <v>2400</v>
      </c>
      <c r="F164" s="673"/>
      <c r="G164" s="673">
        <v>2400</v>
      </c>
      <c r="H164" s="673"/>
      <c r="I164" s="671"/>
      <c r="J164" s="671"/>
      <c r="K164" s="670"/>
      <c r="L164" s="674"/>
      <c r="M164" s="674" t="s">
        <v>602</v>
      </c>
      <c r="N164" s="680"/>
    </row>
    <row r="165" spans="1:14" s="681" customFormat="1" ht="31.5" x14ac:dyDescent="0.25">
      <c r="A165" s="675"/>
      <c r="B165" s="667" t="s">
        <v>267</v>
      </c>
      <c r="C165" s="668">
        <v>100</v>
      </c>
      <c r="D165" s="669"/>
      <c r="E165" s="668">
        <f t="shared" si="19"/>
        <v>100</v>
      </c>
      <c r="F165" s="673"/>
      <c r="G165" s="673">
        <v>100</v>
      </c>
      <c r="H165" s="673"/>
      <c r="I165" s="671"/>
      <c r="J165" s="671" t="s">
        <v>141</v>
      </c>
      <c r="K165" s="670"/>
      <c r="L165" s="674"/>
      <c r="M165" s="674" t="s">
        <v>602</v>
      </c>
      <c r="N165" s="680"/>
    </row>
    <row r="166" spans="1:14" s="681" customFormat="1" x14ac:dyDescent="0.25">
      <c r="A166" s="675"/>
      <c r="B166" s="667" t="s">
        <v>249</v>
      </c>
      <c r="C166" s="668">
        <v>85552</v>
      </c>
      <c r="D166" s="669"/>
      <c r="E166" s="668">
        <f t="shared" si="19"/>
        <v>85552</v>
      </c>
      <c r="F166" s="673"/>
      <c r="G166" s="673">
        <v>85552</v>
      </c>
      <c r="H166" s="673"/>
      <c r="I166" s="671"/>
      <c r="J166" s="671" t="s">
        <v>141</v>
      </c>
      <c r="K166" s="670"/>
      <c r="L166" s="674"/>
      <c r="M166" s="674" t="s">
        <v>602</v>
      </c>
      <c r="N166" s="680"/>
    </row>
    <row r="167" spans="1:14" s="681" customFormat="1" x14ac:dyDescent="0.25">
      <c r="A167" s="675"/>
      <c r="B167" s="667" t="s">
        <v>344</v>
      </c>
      <c r="C167" s="668">
        <v>515995</v>
      </c>
      <c r="D167" s="669"/>
      <c r="E167" s="668">
        <f t="shared" si="19"/>
        <v>515995</v>
      </c>
      <c r="F167" s="673"/>
      <c r="G167" s="673">
        <f>468316+45139+2540</f>
        <v>515995</v>
      </c>
      <c r="H167" s="673"/>
      <c r="I167" s="671"/>
      <c r="J167" s="671" t="s">
        <v>141</v>
      </c>
      <c r="K167" s="670"/>
      <c r="L167" s="674"/>
      <c r="M167" s="674" t="s">
        <v>602</v>
      </c>
      <c r="N167" s="680"/>
    </row>
    <row r="168" spans="1:14" s="681" customFormat="1" x14ac:dyDescent="0.25">
      <c r="A168" s="675"/>
      <c r="B168" s="667" t="s">
        <v>533</v>
      </c>
      <c r="C168" s="668">
        <v>10000</v>
      </c>
      <c r="D168" s="669"/>
      <c r="E168" s="668">
        <f t="shared" si="19"/>
        <v>10000</v>
      </c>
      <c r="F168" s="673"/>
      <c r="G168" s="673">
        <v>10000</v>
      </c>
      <c r="H168" s="673"/>
      <c r="I168" s="671"/>
      <c r="J168" s="671" t="s">
        <v>141</v>
      </c>
      <c r="K168" s="670"/>
      <c r="L168" s="674"/>
      <c r="M168" s="674" t="s">
        <v>602</v>
      </c>
      <c r="N168" s="680"/>
    </row>
    <row r="169" spans="1:14" s="681" customFormat="1" x14ac:dyDescent="0.25">
      <c r="A169" s="675"/>
      <c r="B169" s="667" t="s">
        <v>278</v>
      </c>
      <c r="C169" s="668">
        <v>1000</v>
      </c>
      <c r="D169" s="669"/>
      <c r="E169" s="668">
        <f t="shared" si="19"/>
        <v>1000</v>
      </c>
      <c r="F169" s="673"/>
      <c r="G169" s="673">
        <v>1000</v>
      </c>
      <c r="H169" s="673"/>
      <c r="I169" s="671"/>
      <c r="J169" s="671" t="s">
        <v>141</v>
      </c>
      <c r="K169" s="670"/>
      <c r="L169" s="674"/>
      <c r="M169" s="674" t="s">
        <v>602</v>
      </c>
      <c r="N169" s="680"/>
    </row>
    <row r="170" spans="1:14" s="681" customFormat="1" x14ac:dyDescent="0.25">
      <c r="A170" s="675"/>
      <c r="B170" s="667" t="s">
        <v>266</v>
      </c>
      <c r="C170" s="668">
        <v>1200</v>
      </c>
      <c r="D170" s="669"/>
      <c r="E170" s="668">
        <f t="shared" si="19"/>
        <v>1200</v>
      </c>
      <c r="F170" s="673"/>
      <c r="G170" s="673">
        <v>1200</v>
      </c>
      <c r="H170" s="673"/>
      <c r="I170" s="671"/>
      <c r="J170" s="671" t="s">
        <v>141</v>
      </c>
      <c r="K170" s="670"/>
      <c r="L170" s="674"/>
      <c r="M170" s="674" t="s">
        <v>602</v>
      </c>
      <c r="N170" s="680"/>
    </row>
    <row r="171" spans="1:14" s="681" customFormat="1" x14ac:dyDescent="0.25">
      <c r="A171" s="675"/>
      <c r="B171" s="667" t="s">
        <v>268</v>
      </c>
      <c r="C171" s="668">
        <v>800</v>
      </c>
      <c r="D171" s="669"/>
      <c r="E171" s="668">
        <f t="shared" si="19"/>
        <v>800</v>
      </c>
      <c r="F171" s="673"/>
      <c r="G171" s="673">
        <v>800</v>
      </c>
      <c r="H171" s="673"/>
      <c r="I171" s="671"/>
      <c r="J171" s="671" t="s">
        <v>141</v>
      </c>
      <c r="K171" s="670"/>
      <c r="L171" s="674"/>
      <c r="M171" s="674" t="s">
        <v>602</v>
      </c>
      <c r="N171" s="680"/>
    </row>
    <row r="172" spans="1:14" s="681" customFormat="1" x14ac:dyDescent="0.25">
      <c r="A172" s="675"/>
      <c r="B172" s="716" t="s">
        <v>534</v>
      </c>
      <c r="C172" s="678">
        <v>1500</v>
      </c>
      <c r="D172" s="678"/>
      <c r="E172" s="668">
        <f t="shared" si="19"/>
        <v>1500</v>
      </c>
      <c r="F172" s="673"/>
      <c r="G172" s="673">
        <v>1500</v>
      </c>
      <c r="H172" s="673"/>
      <c r="I172" s="671"/>
      <c r="J172" s="671" t="s">
        <v>141</v>
      </c>
      <c r="K172" s="670"/>
      <c r="L172" s="674"/>
      <c r="M172" s="674" t="s">
        <v>602</v>
      </c>
      <c r="N172" s="680"/>
    </row>
    <row r="173" spans="1:14" s="681" customFormat="1" x14ac:dyDescent="0.25">
      <c r="A173" s="675"/>
      <c r="B173" s="716" t="s">
        <v>643</v>
      </c>
      <c r="C173" s="678">
        <v>1330</v>
      </c>
      <c r="D173" s="678"/>
      <c r="E173" s="668">
        <f t="shared" si="19"/>
        <v>1330</v>
      </c>
      <c r="F173" s="673"/>
      <c r="G173" s="673">
        <v>1330</v>
      </c>
      <c r="H173" s="673"/>
      <c r="I173" s="671"/>
      <c r="J173" s="671"/>
      <c r="K173" s="670"/>
      <c r="L173" s="674"/>
      <c r="M173" s="674" t="s">
        <v>602</v>
      </c>
      <c r="N173" s="680"/>
    </row>
    <row r="174" spans="1:14" s="681" customFormat="1" ht="31.5" x14ac:dyDescent="0.25">
      <c r="A174" s="675"/>
      <c r="B174" s="716" t="s">
        <v>826</v>
      </c>
      <c r="C174" s="678">
        <v>2000</v>
      </c>
      <c r="D174" s="678"/>
      <c r="E174" s="668">
        <f t="shared" ref="E174" si="20">SUM(C174:D174)</f>
        <v>2000</v>
      </c>
      <c r="F174" s="673"/>
      <c r="G174" s="673">
        <v>2000</v>
      </c>
      <c r="H174" s="673"/>
      <c r="I174" s="671"/>
      <c r="J174" s="671"/>
      <c r="K174" s="670"/>
      <c r="L174" s="674"/>
      <c r="M174" s="674" t="s">
        <v>602</v>
      </c>
      <c r="N174" s="680"/>
    </row>
    <row r="175" spans="1:14" s="681" customFormat="1" x14ac:dyDescent="0.25">
      <c r="A175" s="675"/>
      <c r="B175" s="716" t="s">
        <v>644</v>
      </c>
      <c r="C175" s="678">
        <v>500</v>
      </c>
      <c r="D175" s="678"/>
      <c r="E175" s="668">
        <f t="shared" si="19"/>
        <v>500</v>
      </c>
      <c r="F175" s="673"/>
      <c r="G175" s="673">
        <v>500</v>
      </c>
      <c r="H175" s="673"/>
      <c r="I175" s="671"/>
      <c r="J175" s="671"/>
      <c r="K175" s="670"/>
      <c r="L175" s="674"/>
      <c r="M175" s="674" t="s">
        <v>602</v>
      </c>
      <c r="N175" s="680"/>
    </row>
    <row r="176" spans="1:14" s="681" customFormat="1" x14ac:dyDescent="0.25">
      <c r="A176" s="675"/>
      <c r="B176" s="676" t="s">
        <v>645</v>
      </c>
      <c r="C176" s="678">
        <v>10000</v>
      </c>
      <c r="D176" s="678"/>
      <c r="E176" s="668">
        <f t="shared" si="19"/>
        <v>10000</v>
      </c>
      <c r="F176" s="673"/>
      <c r="G176" s="673">
        <f>10000</f>
        <v>10000</v>
      </c>
      <c r="H176" s="673"/>
      <c r="I176" s="671"/>
      <c r="J176" s="671"/>
      <c r="K176" s="670"/>
      <c r="L176" s="674"/>
      <c r="M176" s="674" t="s">
        <v>602</v>
      </c>
      <c r="N176" s="680"/>
    </row>
    <row r="177" spans="1:14" s="681" customFormat="1" ht="31.5" x14ac:dyDescent="0.25">
      <c r="A177" s="675"/>
      <c r="B177" s="676" t="s">
        <v>835</v>
      </c>
      <c r="C177" s="678">
        <v>30000</v>
      </c>
      <c r="D177" s="678"/>
      <c r="E177" s="668">
        <f>SUM(C177:D177)</f>
        <v>30000</v>
      </c>
      <c r="F177" s="673"/>
      <c r="G177" s="673">
        <v>30000</v>
      </c>
      <c r="H177" s="673"/>
      <c r="I177" s="671"/>
      <c r="J177" s="671"/>
      <c r="K177" s="670"/>
      <c r="L177" s="674"/>
      <c r="M177" s="674" t="s">
        <v>602</v>
      </c>
      <c r="N177" s="680"/>
    </row>
    <row r="178" spans="1:14" s="681" customFormat="1" ht="31.5" x14ac:dyDescent="0.25">
      <c r="A178" s="675"/>
      <c r="B178" s="676" t="s">
        <v>646</v>
      </c>
      <c r="C178" s="678">
        <v>50000</v>
      </c>
      <c r="D178" s="678"/>
      <c r="E178" s="668">
        <f t="shared" si="19"/>
        <v>50000</v>
      </c>
      <c r="F178" s="673"/>
      <c r="G178" s="673">
        <f>30000+20000</f>
        <v>50000</v>
      </c>
      <c r="H178" s="673"/>
      <c r="I178" s="671"/>
      <c r="J178" s="671"/>
      <c r="K178" s="670"/>
      <c r="L178" s="674"/>
      <c r="M178" s="674" t="s">
        <v>602</v>
      </c>
      <c r="N178" s="680"/>
    </row>
    <row r="179" spans="1:14" s="681" customFormat="1" x14ac:dyDescent="0.25">
      <c r="A179" s="675"/>
      <c r="B179" s="716" t="s">
        <v>647</v>
      </c>
      <c r="C179" s="678">
        <v>1600</v>
      </c>
      <c r="D179" s="678"/>
      <c r="E179" s="668">
        <f t="shared" si="19"/>
        <v>1600</v>
      </c>
      <c r="F179" s="673"/>
      <c r="G179" s="673">
        <f>800+800</f>
        <v>1600</v>
      </c>
      <c r="H179" s="673"/>
      <c r="I179" s="671"/>
      <c r="J179" s="671"/>
      <c r="K179" s="670"/>
      <c r="L179" s="674"/>
      <c r="M179" s="674" t="s">
        <v>602</v>
      </c>
      <c r="N179" s="680"/>
    </row>
    <row r="180" spans="1:14" s="681" customFormat="1" x14ac:dyDescent="0.25">
      <c r="A180" s="675"/>
      <c r="B180" s="716" t="s">
        <v>773</v>
      </c>
      <c r="C180" s="678">
        <v>1500</v>
      </c>
      <c r="D180" s="678"/>
      <c r="E180" s="668">
        <f t="shared" si="19"/>
        <v>1500</v>
      </c>
      <c r="F180" s="673"/>
      <c r="G180" s="673">
        <v>1500</v>
      </c>
      <c r="H180" s="673"/>
      <c r="I180" s="671"/>
      <c r="J180" s="671"/>
      <c r="K180" s="670"/>
      <c r="L180" s="674"/>
      <c r="M180" s="674" t="s">
        <v>602</v>
      </c>
      <c r="N180" s="680"/>
    </row>
    <row r="181" spans="1:14" s="681" customFormat="1" x14ac:dyDescent="0.25">
      <c r="A181" s="675"/>
      <c r="B181" s="716" t="s">
        <v>774</v>
      </c>
      <c r="C181" s="678">
        <v>1000</v>
      </c>
      <c r="D181" s="678"/>
      <c r="E181" s="668">
        <f t="shared" si="19"/>
        <v>1000</v>
      </c>
      <c r="F181" s="673"/>
      <c r="G181" s="673">
        <v>1000</v>
      </c>
      <c r="H181" s="673"/>
      <c r="I181" s="671"/>
      <c r="J181" s="671"/>
      <c r="K181" s="670"/>
      <c r="L181" s="674"/>
      <c r="M181" s="674" t="s">
        <v>602</v>
      </c>
      <c r="N181" s="680"/>
    </row>
    <row r="182" spans="1:14" s="681" customFormat="1" x14ac:dyDescent="0.25">
      <c r="A182" s="675"/>
      <c r="B182" s="713" t="s">
        <v>250</v>
      </c>
      <c r="C182" s="714"/>
      <c r="D182" s="662"/>
      <c r="E182" s="715"/>
      <c r="F182" s="673"/>
      <c r="G182" s="673"/>
      <c r="H182" s="673"/>
      <c r="I182" s="671"/>
      <c r="J182" s="671"/>
      <c r="K182" s="670"/>
      <c r="L182" s="674"/>
      <c r="M182" s="674"/>
      <c r="N182" s="680"/>
    </row>
    <row r="183" spans="1:14" s="681" customFormat="1" x14ac:dyDescent="0.25">
      <c r="A183" s="675"/>
      <c r="B183" s="716" t="s">
        <v>648</v>
      </c>
      <c r="C183" s="678">
        <v>1500</v>
      </c>
      <c r="D183" s="678"/>
      <c r="E183" s="678">
        <f>SUM(C183:D183)</f>
        <v>1500</v>
      </c>
      <c r="F183" s="673"/>
      <c r="G183" s="673">
        <v>1500</v>
      </c>
      <c r="H183" s="673"/>
      <c r="I183" s="671"/>
      <c r="J183" s="671" t="s">
        <v>141</v>
      </c>
      <c r="K183" s="670"/>
      <c r="L183" s="674"/>
      <c r="M183" s="674" t="s">
        <v>602</v>
      </c>
      <c r="N183" s="680"/>
    </row>
    <row r="184" spans="1:14" s="681" customFormat="1" x14ac:dyDescent="0.25">
      <c r="A184" s="675"/>
      <c r="B184" s="716" t="s">
        <v>649</v>
      </c>
      <c r="C184" s="678">
        <v>28354</v>
      </c>
      <c r="D184" s="678">
        <v>-3491</v>
      </c>
      <c r="E184" s="678">
        <f t="shared" ref="E184:E202" si="21">SUM(C184:D184)</f>
        <v>24863</v>
      </c>
      <c r="F184" s="673"/>
      <c r="G184" s="673">
        <f>22000+10587+2000</f>
        <v>34587</v>
      </c>
      <c r="H184" s="673">
        <f>-4985-1248-3491</f>
        <v>-9724</v>
      </c>
      <c r="I184" s="671"/>
      <c r="J184" s="671" t="s">
        <v>141</v>
      </c>
      <c r="K184" s="670"/>
      <c r="L184" s="674"/>
      <c r="M184" s="674" t="s">
        <v>602</v>
      </c>
      <c r="N184" s="680"/>
    </row>
    <row r="185" spans="1:14" s="681" customFormat="1" x14ac:dyDescent="0.25">
      <c r="A185" s="675"/>
      <c r="B185" s="716" t="s">
        <v>650</v>
      </c>
      <c r="C185" s="678">
        <v>10000</v>
      </c>
      <c r="D185" s="678"/>
      <c r="E185" s="678">
        <f t="shared" si="21"/>
        <v>10000</v>
      </c>
      <c r="F185" s="673"/>
      <c r="G185" s="673">
        <v>10000</v>
      </c>
      <c r="H185" s="673"/>
      <c r="I185" s="671"/>
      <c r="J185" s="671" t="s">
        <v>141</v>
      </c>
      <c r="K185" s="670"/>
      <c r="L185" s="674"/>
      <c r="M185" s="674" t="s">
        <v>602</v>
      </c>
      <c r="N185" s="680"/>
    </row>
    <row r="186" spans="1:14" s="681" customFormat="1" x14ac:dyDescent="0.25">
      <c r="A186" s="675"/>
      <c r="B186" s="716" t="s">
        <v>651</v>
      </c>
      <c r="C186" s="678">
        <v>44320</v>
      </c>
      <c r="D186" s="678">
        <f>-2000-100</f>
        <v>-2100</v>
      </c>
      <c r="E186" s="678">
        <f t="shared" si="21"/>
        <v>42220</v>
      </c>
      <c r="F186" s="673"/>
      <c r="G186" s="673">
        <f>43000+230+22000-2000</f>
        <v>63230</v>
      </c>
      <c r="H186" s="673">
        <f>-18033-400-2477-100</f>
        <v>-21010</v>
      </c>
      <c r="I186" s="671"/>
      <c r="J186" s="671" t="s">
        <v>141</v>
      </c>
      <c r="K186" s="670"/>
      <c r="L186" s="674"/>
      <c r="M186" s="674" t="s">
        <v>602</v>
      </c>
      <c r="N186" s="680"/>
    </row>
    <row r="187" spans="1:14" s="681" customFormat="1" x14ac:dyDescent="0.25">
      <c r="A187" s="675"/>
      <c r="B187" s="716" t="s">
        <v>652</v>
      </c>
      <c r="C187" s="678">
        <v>1000</v>
      </c>
      <c r="D187" s="678"/>
      <c r="E187" s="678">
        <f t="shared" si="21"/>
        <v>1000</v>
      </c>
      <c r="F187" s="673"/>
      <c r="G187" s="673">
        <v>1000</v>
      </c>
      <c r="H187" s="673"/>
      <c r="I187" s="671"/>
      <c r="J187" s="671" t="s">
        <v>141</v>
      </c>
      <c r="K187" s="670"/>
      <c r="L187" s="674"/>
      <c r="M187" s="674" t="s">
        <v>602</v>
      </c>
      <c r="N187" s="680"/>
    </row>
    <row r="188" spans="1:14" s="681" customFormat="1" x14ac:dyDescent="0.25">
      <c r="A188" s="675"/>
      <c r="B188" s="716" t="s">
        <v>653</v>
      </c>
      <c r="C188" s="678">
        <v>500</v>
      </c>
      <c r="D188" s="678"/>
      <c r="E188" s="678">
        <f t="shared" si="21"/>
        <v>500</v>
      </c>
      <c r="F188" s="673"/>
      <c r="G188" s="673">
        <f>5000-4500</f>
        <v>500</v>
      </c>
      <c r="H188" s="673"/>
      <c r="I188" s="671"/>
      <c r="J188" s="671" t="s">
        <v>141</v>
      </c>
      <c r="K188" s="670"/>
      <c r="L188" s="674"/>
      <c r="M188" s="674" t="s">
        <v>602</v>
      </c>
      <c r="N188" s="680"/>
    </row>
    <row r="189" spans="1:14" s="681" customFormat="1" x14ac:dyDescent="0.25">
      <c r="A189" s="675"/>
      <c r="B189" s="716" t="s">
        <v>654</v>
      </c>
      <c r="C189" s="678">
        <v>12000</v>
      </c>
      <c r="D189" s="678"/>
      <c r="E189" s="678">
        <f t="shared" si="21"/>
        <v>12000</v>
      </c>
      <c r="F189" s="673"/>
      <c r="G189" s="673">
        <v>12000</v>
      </c>
      <c r="H189" s="673"/>
      <c r="I189" s="671"/>
      <c r="J189" s="671"/>
      <c r="K189" s="670"/>
      <c r="L189" s="674"/>
      <c r="M189" s="674" t="s">
        <v>602</v>
      </c>
      <c r="N189" s="680"/>
    </row>
    <row r="190" spans="1:14" s="681" customFormat="1" x14ac:dyDescent="0.25">
      <c r="A190" s="675"/>
      <c r="B190" s="716" t="s">
        <v>655</v>
      </c>
      <c r="C190" s="678">
        <v>1500</v>
      </c>
      <c r="D190" s="678"/>
      <c r="E190" s="678">
        <f t="shared" si="21"/>
        <v>1500</v>
      </c>
      <c r="F190" s="673"/>
      <c r="G190" s="673">
        <v>1500</v>
      </c>
      <c r="H190" s="673"/>
      <c r="I190" s="671"/>
      <c r="J190" s="671" t="s">
        <v>141</v>
      </c>
      <c r="K190" s="670"/>
      <c r="L190" s="674"/>
      <c r="M190" s="674" t="s">
        <v>602</v>
      </c>
      <c r="N190" s="680"/>
    </row>
    <row r="191" spans="1:14" s="681" customFormat="1" x14ac:dyDescent="0.25">
      <c r="A191" s="675"/>
      <c r="B191" s="716" t="s">
        <v>656</v>
      </c>
      <c r="C191" s="678">
        <v>300</v>
      </c>
      <c r="D191" s="678"/>
      <c r="E191" s="678">
        <f t="shared" si="21"/>
        <v>300</v>
      </c>
      <c r="F191" s="673"/>
      <c r="G191" s="673">
        <v>300</v>
      </c>
      <c r="H191" s="673"/>
      <c r="I191" s="671"/>
      <c r="J191" s="671"/>
      <c r="K191" s="670"/>
      <c r="L191" s="674"/>
      <c r="M191" s="674" t="s">
        <v>602</v>
      </c>
      <c r="N191" s="680"/>
    </row>
    <row r="192" spans="1:14" s="681" customFormat="1" x14ac:dyDescent="0.25">
      <c r="A192" s="675"/>
      <c r="B192" s="716" t="s">
        <v>657</v>
      </c>
      <c r="C192" s="678">
        <v>500</v>
      </c>
      <c r="D192" s="678"/>
      <c r="E192" s="678">
        <f t="shared" si="21"/>
        <v>500</v>
      </c>
      <c r="F192" s="673"/>
      <c r="G192" s="673">
        <v>500</v>
      </c>
      <c r="H192" s="673"/>
      <c r="I192" s="671"/>
      <c r="J192" s="671"/>
      <c r="K192" s="670"/>
      <c r="L192" s="674"/>
      <c r="M192" s="674" t="s">
        <v>602</v>
      </c>
      <c r="N192" s="680"/>
    </row>
    <row r="193" spans="1:14" s="681" customFormat="1" x14ac:dyDescent="0.25">
      <c r="A193" s="675"/>
      <c r="B193" s="716" t="s">
        <v>658</v>
      </c>
      <c r="C193" s="678">
        <v>500</v>
      </c>
      <c r="D193" s="678"/>
      <c r="E193" s="678">
        <f t="shared" si="21"/>
        <v>500</v>
      </c>
      <c r="F193" s="673"/>
      <c r="G193" s="673">
        <v>500</v>
      </c>
      <c r="H193" s="673"/>
      <c r="I193" s="671"/>
      <c r="J193" s="671"/>
      <c r="K193" s="670"/>
      <c r="L193" s="674"/>
      <c r="M193" s="674" t="s">
        <v>602</v>
      </c>
      <c r="N193" s="680"/>
    </row>
    <row r="194" spans="1:14" s="681" customFormat="1" ht="31.5" x14ac:dyDescent="0.25">
      <c r="A194" s="675"/>
      <c r="B194" s="716" t="s">
        <v>659</v>
      </c>
      <c r="C194" s="678">
        <v>5000</v>
      </c>
      <c r="D194" s="678"/>
      <c r="E194" s="678">
        <f t="shared" si="21"/>
        <v>5000</v>
      </c>
      <c r="F194" s="673"/>
      <c r="G194" s="673">
        <v>5000</v>
      </c>
      <c r="H194" s="673"/>
      <c r="I194" s="671"/>
      <c r="J194" s="671"/>
      <c r="K194" s="670"/>
      <c r="L194" s="674"/>
      <c r="M194" s="674" t="s">
        <v>602</v>
      </c>
      <c r="N194" s="680"/>
    </row>
    <row r="195" spans="1:14" s="681" customFormat="1" x14ac:dyDescent="0.25">
      <c r="A195" s="675"/>
      <c r="B195" s="716" t="s">
        <v>660</v>
      </c>
      <c r="C195" s="678">
        <v>3499</v>
      </c>
      <c r="D195" s="678"/>
      <c r="E195" s="678">
        <f t="shared" si="21"/>
        <v>3499</v>
      </c>
      <c r="F195" s="673"/>
      <c r="G195" s="673">
        <f>6000+200</f>
        <v>6200</v>
      </c>
      <c r="H195" s="673">
        <f>-301-2400</f>
        <v>-2701</v>
      </c>
      <c r="I195" s="671"/>
      <c r="J195" s="671"/>
      <c r="K195" s="670"/>
      <c r="L195" s="674"/>
      <c r="M195" s="674" t="s">
        <v>602</v>
      </c>
      <c r="N195" s="680"/>
    </row>
    <row r="196" spans="1:14" s="681" customFormat="1" x14ac:dyDescent="0.25">
      <c r="A196" s="675"/>
      <c r="B196" s="716" t="s">
        <v>661</v>
      </c>
      <c r="C196" s="678">
        <v>5000</v>
      </c>
      <c r="D196" s="678"/>
      <c r="E196" s="678">
        <f t="shared" si="21"/>
        <v>5000</v>
      </c>
      <c r="F196" s="673"/>
      <c r="G196" s="673">
        <v>5000</v>
      </c>
      <c r="H196" s="673"/>
      <c r="I196" s="671"/>
      <c r="J196" s="671"/>
      <c r="K196" s="670"/>
      <c r="L196" s="674"/>
      <c r="M196" s="674" t="s">
        <v>602</v>
      </c>
      <c r="N196" s="680"/>
    </row>
    <row r="197" spans="1:14" s="681" customFormat="1" x14ac:dyDescent="0.25">
      <c r="A197" s="675"/>
      <c r="B197" s="716" t="s">
        <v>662</v>
      </c>
      <c r="C197" s="678">
        <v>1976</v>
      </c>
      <c r="D197" s="678"/>
      <c r="E197" s="678">
        <f t="shared" si="21"/>
        <v>1976</v>
      </c>
      <c r="F197" s="673"/>
      <c r="G197" s="673">
        <v>1976</v>
      </c>
      <c r="H197" s="673"/>
      <c r="I197" s="671"/>
      <c r="J197" s="671"/>
      <c r="K197" s="670"/>
      <c r="L197" s="674"/>
      <c r="M197" s="674" t="s">
        <v>602</v>
      </c>
      <c r="N197" s="680"/>
    </row>
    <row r="198" spans="1:14" s="681" customFormat="1" x14ac:dyDescent="0.25">
      <c r="A198" s="675"/>
      <c r="B198" s="676" t="s">
        <v>663</v>
      </c>
      <c r="C198" s="677">
        <v>3850</v>
      </c>
      <c r="D198" s="678"/>
      <c r="E198" s="678">
        <f t="shared" si="21"/>
        <v>3850</v>
      </c>
      <c r="F198" s="673"/>
      <c r="G198" s="673">
        <v>3850</v>
      </c>
      <c r="H198" s="673"/>
      <c r="I198" s="671"/>
      <c r="J198" s="671"/>
      <c r="K198" s="670"/>
      <c r="L198" s="674"/>
      <c r="M198" s="674" t="s">
        <v>602</v>
      </c>
      <c r="N198" s="680"/>
    </row>
    <row r="199" spans="1:14" s="681" customFormat="1" x14ac:dyDescent="0.25">
      <c r="A199" s="675"/>
      <c r="B199" s="676" t="s">
        <v>664</v>
      </c>
      <c r="C199" s="677">
        <v>1200</v>
      </c>
      <c r="D199" s="678"/>
      <c r="E199" s="678">
        <f t="shared" si="21"/>
        <v>1200</v>
      </c>
      <c r="F199" s="673"/>
      <c r="G199" s="673">
        <v>1200</v>
      </c>
      <c r="H199" s="673"/>
      <c r="I199" s="671"/>
      <c r="J199" s="671"/>
      <c r="K199" s="670"/>
      <c r="L199" s="674"/>
      <c r="M199" s="674" t="s">
        <v>602</v>
      </c>
      <c r="N199" s="680"/>
    </row>
    <row r="200" spans="1:14" s="681" customFormat="1" x14ac:dyDescent="0.25">
      <c r="A200" s="675"/>
      <c r="B200" s="676" t="s">
        <v>758</v>
      </c>
      <c r="C200" s="677">
        <v>800</v>
      </c>
      <c r="D200" s="678"/>
      <c r="E200" s="678">
        <f t="shared" si="21"/>
        <v>800</v>
      </c>
      <c r="F200" s="673"/>
      <c r="G200" s="673">
        <v>800</v>
      </c>
      <c r="H200" s="673"/>
      <c r="I200" s="671"/>
      <c r="J200" s="671"/>
      <c r="K200" s="670"/>
      <c r="L200" s="674"/>
      <c r="M200" s="674" t="s">
        <v>602</v>
      </c>
      <c r="N200" s="680"/>
    </row>
    <row r="201" spans="1:14" s="681" customFormat="1" ht="31.5" x14ac:dyDescent="0.25">
      <c r="A201" s="675"/>
      <c r="B201" s="676" t="s">
        <v>849</v>
      </c>
      <c r="C201" s="677">
        <v>4000</v>
      </c>
      <c r="D201" s="678"/>
      <c r="E201" s="678">
        <f t="shared" si="21"/>
        <v>4000</v>
      </c>
      <c r="F201" s="673"/>
      <c r="G201" s="673">
        <v>4000</v>
      </c>
      <c r="H201" s="673"/>
      <c r="I201" s="671"/>
      <c r="J201" s="671"/>
      <c r="K201" s="670"/>
      <c r="L201" s="674"/>
      <c r="M201" s="674" t="s">
        <v>602</v>
      </c>
      <c r="N201" s="680"/>
    </row>
    <row r="202" spans="1:14" s="681" customFormat="1" x14ac:dyDescent="0.25">
      <c r="A202" s="675"/>
      <c r="B202" s="676" t="s">
        <v>759</v>
      </c>
      <c r="C202" s="677">
        <v>6000</v>
      </c>
      <c r="D202" s="678"/>
      <c r="E202" s="678">
        <f t="shared" si="21"/>
        <v>6000</v>
      </c>
      <c r="F202" s="673"/>
      <c r="G202" s="673">
        <v>6000</v>
      </c>
      <c r="H202" s="673"/>
      <c r="I202" s="671"/>
      <c r="J202" s="671"/>
      <c r="K202" s="670"/>
      <c r="L202" s="674"/>
      <c r="M202" s="674" t="s">
        <v>602</v>
      </c>
      <c r="N202" s="680"/>
    </row>
    <row r="203" spans="1:14" x14ac:dyDescent="0.25">
      <c r="A203" s="645"/>
      <c r="B203" s="682" t="s">
        <v>98</v>
      </c>
      <c r="C203" s="683">
        <v>15998</v>
      </c>
      <c r="D203" s="690">
        <f>SUM(D204:D205)</f>
        <v>0</v>
      </c>
      <c r="E203" s="683">
        <f>SUM(C203:D203)</f>
        <v>15998</v>
      </c>
      <c r="F203" s="654"/>
      <c r="G203" s="656">
        <f>48296+28</f>
        <v>48324</v>
      </c>
      <c r="H203" s="654">
        <f>SUM(H204:H205)</f>
        <v>-32326</v>
      </c>
      <c r="I203" s="657"/>
      <c r="J203" s="657"/>
      <c r="K203" s="656"/>
      <c r="L203" s="655" t="s">
        <v>602</v>
      </c>
      <c r="M203" s="655"/>
      <c r="N203" s="717"/>
    </row>
    <row r="204" spans="1:14" x14ac:dyDescent="0.25">
      <c r="A204" s="645"/>
      <c r="B204" s="667" t="s">
        <v>127</v>
      </c>
      <c r="C204" s="668">
        <v>2719</v>
      </c>
      <c r="D204" s="669"/>
      <c r="E204" s="668">
        <f>SUM(C204:D204)</f>
        <v>2719</v>
      </c>
      <c r="F204" s="718"/>
      <c r="G204" s="718">
        <v>8596</v>
      </c>
      <c r="H204" s="718">
        <f>-3526-2351</f>
        <v>-5877</v>
      </c>
      <c r="I204" s="664" t="s">
        <v>141</v>
      </c>
      <c r="J204" s="665"/>
      <c r="K204" s="654"/>
      <c r="L204" s="719" t="s">
        <v>602</v>
      </c>
      <c r="M204" s="719"/>
      <c r="N204" s="720"/>
    </row>
    <row r="205" spans="1:14" x14ac:dyDescent="0.25">
      <c r="A205" s="645"/>
      <c r="B205" s="667" t="s">
        <v>128</v>
      </c>
      <c r="C205" s="668">
        <v>13279</v>
      </c>
      <c r="D205" s="669"/>
      <c r="E205" s="668">
        <f>SUM(C205:D205)</f>
        <v>13279</v>
      </c>
      <c r="F205" s="718"/>
      <c r="G205" s="718">
        <f>39700+28</f>
        <v>39728</v>
      </c>
      <c r="H205" s="718">
        <f>-17633-8816</f>
        <v>-26449</v>
      </c>
      <c r="I205" s="664" t="s">
        <v>141</v>
      </c>
      <c r="J205" s="665"/>
      <c r="K205" s="654"/>
      <c r="L205" s="719" t="s">
        <v>602</v>
      </c>
      <c r="M205" s="721"/>
      <c r="N205" s="720"/>
    </row>
    <row r="206" spans="1:14" x14ac:dyDescent="0.25">
      <c r="A206" s="645"/>
      <c r="B206" s="682" t="s">
        <v>251</v>
      </c>
      <c r="C206" s="684">
        <f t="shared" ref="C206:E206" si="22">SUM(C207:C214)</f>
        <v>692286</v>
      </c>
      <c r="D206" s="684">
        <f t="shared" si="22"/>
        <v>0</v>
      </c>
      <c r="E206" s="654">
        <f t="shared" si="22"/>
        <v>692286</v>
      </c>
      <c r="F206" s="654">
        <f>SUM(F207:F214)</f>
        <v>0</v>
      </c>
      <c r="G206" s="654">
        <f>SUM(G207:G214)</f>
        <v>692286</v>
      </c>
      <c r="H206" s="654">
        <f>SUM(H207:H214)</f>
        <v>0</v>
      </c>
      <c r="I206" s="665"/>
      <c r="J206" s="664" t="s">
        <v>141</v>
      </c>
      <c r="K206" s="654"/>
      <c r="L206" s="665"/>
      <c r="M206" s="664" t="s">
        <v>602</v>
      </c>
      <c r="N206" s="720"/>
    </row>
    <row r="207" spans="1:14" x14ac:dyDescent="0.25">
      <c r="A207" s="645"/>
      <c r="B207" s="692" t="s">
        <v>535</v>
      </c>
      <c r="C207" s="679">
        <v>122286</v>
      </c>
      <c r="D207" s="693"/>
      <c r="E207" s="679">
        <f>SUM(C207:D207)</f>
        <v>122286</v>
      </c>
      <c r="F207" s="673"/>
      <c r="G207" s="688">
        <f>60000+2286+60000</f>
        <v>122286</v>
      </c>
      <c r="H207" s="688"/>
      <c r="I207" s="707"/>
      <c r="J207" s="707" t="s">
        <v>141</v>
      </c>
      <c r="K207" s="708"/>
      <c r="L207" s="689"/>
      <c r="M207" s="689" t="s">
        <v>602</v>
      </c>
      <c r="N207" s="722"/>
    </row>
    <row r="208" spans="1:14" x14ac:dyDescent="0.25">
      <c r="A208" s="645"/>
      <c r="B208" s="692" t="s">
        <v>665</v>
      </c>
      <c r="C208" s="679">
        <v>240000</v>
      </c>
      <c r="D208" s="693"/>
      <c r="E208" s="679">
        <f t="shared" ref="E208:E214" si="23">SUM(C208:D208)</f>
        <v>240000</v>
      </c>
      <c r="F208" s="673"/>
      <c r="G208" s="688">
        <f>165000+75000</f>
        <v>240000</v>
      </c>
      <c r="H208" s="688"/>
      <c r="I208" s="707"/>
      <c r="J208" s="707" t="s">
        <v>141</v>
      </c>
      <c r="K208" s="708"/>
      <c r="L208" s="689"/>
      <c r="M208" s="689" t="s">
        <v>602</v>
      </c>
      <c r="N208" s="722"/>
    </row>
    <row r="209" spans="1:14" x14ac:dyDescent="0.25">
      <c r="A209" s="645"/>
      <c r="B209" s="692" t="s">
        <v>115</v>
      </c>
      <c r="C209" s="679">
        <v>60000</v>
      </c>
      <c r="D209" s="693"/>
      <c r="E209" s="679">
        <f t="shared" si="23"/>
        <v>60000</v>
      </c>
      <c r="F209" s="673"/>
      <c r="G209" s="688">
        <v>60000</v>
      </c>
      <c r="H209" s="688"/>
      <c r="I209" s="707"/>
      <c r="J209" s="707" t="s">
        <v>141</v>
      </c>
      <c r="K209" s="708"/>
      <c r="L209" s="689"/>
      <c r="M209" s="689" t="s">
        <v>602</v>
      </c>
      <c r="N209" s="722"/>
    </row>
    <row r="210" spans="1:14" x14ac:dyDescent="0.25">
      <c r="A210" s="645"/>
      <c r="B210" s="692" t="s">
        <v>763</v>
      </c>
      <c r="C210" s="679">
        <v>70000</v>
      </c>
      <c r="D210" s="693"/>
      <c r="E210" s="679">
        <f t="shared" si="23"/>
        <v>70000</v>
      </c>
      <c r="F210" s="673"/>
      <c r="G210" s="688">
        <v>70000</v>
      </c>
      <c r="H210" s="688"/>
      <c r="I210" s="707"/>
      <c r="J210" s="707"/>
      <c r="K210" s="708"/>
      <c r="L210" s="689"/>
      <c r="M210" s="689" t="s">
        <v>602</v>
      </c>
      <c r="N210" s="722"/>
    </row>
    <row r="211" spans="1:14" x14ac:dyDescent="0.25">
      <c r="A211" s="645"/>
      <c r="B211" s="692" t="s">
        <v>536</v>
      </c>
      <c r="C211" s="679">
        <v>32000</v>
      </c>
      <c r="D211" s="693"/>
      <c r="E211" s="679">
        <f t="shared" si="23"/>
        <v>32000</v>
      </c>
      <c r="F211" s="673"/>
      <c r="G211" s="688">
        <v>32000</v>
      </c>
      <c r="H211" s="688"/>
      <c r="I211" s="707"/>
      <c r="J211" s="707" t="s">
        <v>141</v>
      </c>
      <c r="K211" s="708"/>
      <c r="L211" s="689"/>
      <c r="M211" s="689" t="s">
        <v>602</v>
      </c>
      <c r="N211" s="722"/>
    </row>
    <row r="212" spans="1:14" x14ac:dyDescent="0.25">
      <c r="A212" s="645"/>
      <c r="B212" s="692" t="s">
        <v>66</v>
      </c>
      <c r="C212" s="679">
        <v>35000</v>
      </c>
      <c r="D212" s="693"/>
      <c r="E212" s="679">
        <f t="shared" si="23"/>
        <v>35000</v>
      </c>
      <c r="F212" s="673"/>
      <c r="G212" s="688">
        <v>35000</v>
      </c>
      <c r="H212" s="688"/>
      <c r="I212" s="707"/>
      <c r="J212" s="707" t="s">
        <v>141</v>
      </c>
      <c r="K212" s="708"/>
      <c r="L212" s="689"/>
      <c r="M212" s="689" t="s">
        <v>602</v>
      </c>
      <c r="N212" s="722"/>
    </row>
    <row r="213" spans="1:14" x14ac:dyDescent="0.25">
      <c r="A213" s="645"/>
      <c r="B213" s="692" t="s">
        <v>338</v>
      </c>
      <c r="C213" s="679">
        <v>126000</v>
      </c>
      <c r="D213" s="693"/>
      <c r="E213" s="679">
        <f t="shared" si="23"/>
        <v>126000</v>
      </c>
      <c r="F213" s="673"/>
      <c r="G213" s="688">
        <v>126000</v>
      </c>
      <c r="H213" s="688"/>
      <c r="I213" s="707"/>
      <c r="J213" s="707" t="s">
        <v>141</v>
      </c>
      <c r="K213" s="708"/>
      <c r="L213" s="689"/>
      <c r="M213" s="689" t="s">
        <v>602</v>
      </c>
      <c r="N213" s="722"/>
    </row>
    <row r="214" spans="1:14" x14ac:dyDescent="0.25">
      <c r="A214" s="645"/>
      <c r="B214" s="692" t="s">
        <v>104</v>
      </c>
      <c r="C214" s="679">
        <v>7000</v>
      </c>
      <c r="D214" s="693"/>
      <c r="E214" s="679">
        <f t="shared" si="23"/>
        <v>7000</v>
      </c>
      <c r="F214" s="673"/>
      <c r="G214" s="688">
        <f>5000+2000</f>
        <v>7000</v>
      </c>
      <c r="H214" s="688"/>
      <c r="I214" s="707"/>
      <c r="J214" s="707" t="s">
        <v>141</v>
      </c>
      <c r="K214" s="708"/>
      <c r="L214" s="689"/>
      <c r="M214" s="689" t="s">
        <v>602</v>
      </c>
      <c r="N214" s="722"/>
    </row>
    <row r="215" spans="1:14" x14ac:dyDescent="0.25">
      <c r="A215" s="645"/>
      <c r="B215" s="682" t="s">
        <v>143</v>
      </c>
      <c r="C215" s="683">
        <v>205000</v>
      </c>
      <c r="D215" s="684">
        <f t="shared" ref="D215:E215" si="24">SUM(D216:D218)</f>
        <v>0</v>
      </c>
      <c r="E215" s="654">
        <f t="shared" si="24"/>
        <v>205000</v>
      </c>
      <c r="F215" s="654">
        <f>SUM(F216:F218)</f>
        <v>0</v>
      </c>
      <c r="G215" s="656">
        <f>SUM(G216:G218)</f>
        <v>205000</v>
      </c>
      <c r="H215" s="656">
        <f>SUM(H216:H218)</f>
        <v>0</v>
      </c>
      <c r="I215" s="655" t="s">
        <v>141</v>
      </c>
      <c r="J215" s="657"/>
      <c r="K215" s="656"/>
      <c r="L215" s="655" t="s">
        <v>602</v>
      </c>
      <c r="M215" s="657"/>
      <c r="N215" s="717"/>
    </row>
    <row r="216" spans="1:14" ht="31.5" x14ac:dyDescent="0.25">
      <c r="A216" s="645"/>
      <c r="B216" s="692" t="s">
        <v>666</v>
      </c>
      <c r="C216" s="679">
        <v>130000</v>
      </c>
      <c r="D216" s="693"/>
      <c r="E216" s="679">
        <f>SUM(C216:D216)</f>
        <v>130000</v>
      </c>
      <c r="F216" s="673"/>
      <c r="G216" s="688">
        <v>130000</v>
      </c>
      <c r="H216" s="688"/>
      <c r="I216" s="707" t="s">
        <v>141</v>
      </c>
      <c r="J216" s="707"/>
      <c r="K216" s="708"/>
      <c r="L216" s="689" t="s">
        <v>602</v>
      </c>
      <c r="M216" s="689"/>
      <c r="N216" s="722"/>
    </row>
    <row r="217" spans="1:14" ht="30" customHeight="1" x14ac:dyDescent="0.25">
      <c r="A217" s="645"/>
      <c r="B217" s="692" t="s">
        <v>144</v>
      </c>
      <c r="C217" s="679">
        <v>40000</v>
      </c>
      <c r="D217" s="693"/>
      <c r="E217" s="679">
        <f t="shared" ref="E217:E241" si="25">SUM(C217:D217)</f>
        <v>40000</v>
      </c>
      <c r="F217" s="673"/>
      <c r="G217" s="688">
        <v>40000</v>
      </c>
      <c r="H217" s="688"/>
      <c r="I217" s="707" t="s">
        <v>141</v>
      </c>
      <c r="J217" s="707"/>
      <c r="K217" s="708"/>
      <c r="L217" s="689" t="s">
        <v>602</v>
      </c>
      <c r="M217" s="689"/>
      <c r="N217" s="722"/>
    </row>
    <row r="218" spans="1:14" ht="31.5" x14ac:dyDescent="0.25">
      <c r="A218" s="645"/>
      <c r="B218" s="692" t="s">
        <v>50</v>
      </c>
      <c r="C218" s="679">
        <v>35000</v>
      </c>
      <c r="D218" s="693"/>
      <c r="E218" s="679">
        <f t="shared" si="25"/>
        <v>35000</v>
      </c>
      <c r="F218" s="673"/>
      <c r="G218" s="688">
        <v>35000</v>
      </c>
      <c r="H218" s="688"/>
      <c r="I218" s="707" t="s">
        <v>141</v>
      </c>
      <c r="J218" s="707"/>
      <c r="K218" s="708"/>
      <c r="L218" s="689" t="s">
        <v>602</v>
      </c>
      <c r="M218" s="689"/>
      <c r="N218" s="722"/>
    </row>
    <row r="219" spans="1:14" x14ac:dyDescent="0.25">
      <c r="A219" s="645"/>
      <c r="B219" s="682" t="s">
        <v>252</v>
      </c>
      <c r="C219" s="683">
        <v>224719</v>
      </c>
      <c r="D219" s="653"/>
      <c r="E219" s="706">
        <f t="shared" si="25"/>
        <v>224719</v>
      </c>
      <c r="F219" s="654">
        <v>0</v>
      </c>
      <c r="G219" s="654">
        <f>149400+61913+10000+3406</f>
        <v>224719</v>
      </c>
      <c r="H219" s="656"/>
      <c r="I219" s="657"/>
      <c r="J219" s="655" t="s">
        <v>141</v>
      </c>
      <c r="K219" s="656"/>
      <c r="L219" s="657"/>
      <c r="M219" s="655" t="s">
        <v>602</v>
      </c>
      <c r="N219" s="717"/>
    </row>
    <row r="220" spans="1:14" s="681" customFormat="1" ht="31.5" x14ac:dyDescent="0.25">
      <c r="A220" s="675"/>
      <c r="B220" s="676" t="s">
        <v>667</v>
      </c>
      <c r="C220" s="677">
        <v>2000</v>
      </c>
      <c r="D220" s="678"/>
      <c r="E220" s="679">
        <f t="shared" si="25"/>
        <v>2000</v>
      </c>
      <c r="F220" s="673"/>
      <c r="G220" s="673">
        <v>2000</v>
      </c>
      <c r="H220" s="673"/>
      <c r="I220" s="671"/>
      <c r="J220" s="671" t="s">
        <v>141</v>
      </c>
      <c r="K220" s="670"/>
      <c r="L220" s="674"/>
      <c r="M220" s="674" t="s">
        <v>602</v>
      </c>
      <c r="N220" s="680"/>
    </row>
    <row r="221" spans="1:14" s="681" customFormat="1" x14ac:dyDescent="0.25">
      <c r="A221" s="675"/>
      <c r="B221" s="676" t="s">
        <v>339</v>
      </c>
      <c r="C221" s="677">
        <v>500</v>
      </c>
      <c r="D221" s="678"/>
      <c r="E221" s="679">
        <f t="shared" si="25"/>
        <v>500</v>
      </c>
      <c r="F221" s="673"/>
      <c r="G221" s="673">
        <v>500</v>
      </c>
      <c r="H221" s="673"/>
      <c r="I221" s="671"/>
      <c r="J221" s="671" t="s">
        <v>141</v>
      </c>
      <c r="K221" s="670"/>
      <c r="L221" s="674"/>
      <c r="M221" s="674" t="s">
        <v>602</v>
      </c>
      <c r="N221" s="680"/>
    </row>
    <row r="222" spans="1:14" s="681" customFormat="1" x14ac:dyDescent="0.25">
      <c r="A222" s="675"/>
      <c r="B222" s="676" t="s">
        <v>340</v>
      </c>
      <c r="C222" s="677">
        <v>12000</v>
      </c>
      <c r="D222" s="678"/>
      <c r="E222" s="679">
        <f t="shared" si="25"/>
        <v>12000</v>
      </c>
      <c r="F222" s="673"/>
      <c r="G222" s="673">
        <v>12000</v>
      </c>
      <c r="H222" s="673"/>
      <c r="I222" s="671"/>
      <c r="J222" s="671" t="s">
        <v>141</v>
      </c>
      <c r="K222" s="670"/>
      <c r="L222" s="674"/>
      <c r="M222" s="674" t="s">
        <v>602</v>
      </c>
      <c r="N222" s="680"/>
    </row>
    <row r="223" spans="1:14" s="681" customFormat="1" ht="31.5" x14ac:dyDescent="0.25">
      <c r="A223" s="675"/>
      <c r="B223" s="676" t="s">
        <v>668</v>
      </c>
      <c r="C223" s="677">
        <v>41000</v>
      </c>
      <c r="D223" s="678"/>
      <c r="E223" s="679">
        <f t="shared" si="25"/>
        <v>41000</v>
      </c>
      <c r="F223" s="673"/>
      <c r="G223" s="673">
        <v>41000</v>
      </c>
      <c r="H223" s="673"/>
      <c r="I223" s="671"/>
      <c r="J223" s="671" t="s">
        <v>141</v>
      </c>
      <c r="K223" s="670"/>
      <c r="L223" s="674"/>
      <c r="M223" s="674" t="s">
        <v>602</v>
      </c>
      <c r="N223" s="680"/>
    </row>
    <row r="224" spans="1:14" s="681" customFormat="1" ht="31.5" x14ac:dyDescent="0.25">
      <c r="A224" s="675"/>
      <c r="B224" s="676" t="s">
        <v>669</v>
      </c>
      <c r="C224" s="677">
        <v>4000</v>
      </c>
      <c r="D224" s="678"/>
      <c r="E224" s="679">
        <f t="shared" si="25"/>
        <v>4000</v>
      </c>
      <c r="F224" s="673"/>
      <c r="G224" s="673">
        <v>4000</v>
      </c>
      <c r="H224" s="673"/>
      <c r="I224" s="671"/>
      <c r="J224" s="671" t="s">
        <v>141</v>
      </c>
      <c r="K224" s="670"/>
      <c r="L224" s="674"/>
      <c r="M224" s="674" t="s">
        <v>602</v>
      </c>
      <c r="N224" s="680"/>
    </row>
    <row r="225" spans="1:14" s="681" customFormat="1" ht="31.5" x14ac:dyDescent="0.25">
      <c r="A225" s="675"/>
      <c r="B225" s="676" t="s">
        <v>341</v>
      </c>
      <c r="C225" s="677">
        <v>1000</v>
      </c>
      <c r="D225" s="678"/>
      <c r="E225" s="679">
        <f t="shared" si="25"/>
        <v>1000</v>
      </c>
      <c r="F225" s="673"/>
      <c r="G225" s="673">
        <v>1000</v>
      </c>
      <c r="H225" s="673"/>
      <c r="I225" s="671"/>
      <c r="J225" s="671" t="s">
        <v>141</v>
      </c>
      <c r="K225" s="670"/>
      <c r="L225" s="674"/>
      <c r="M225" s="674" t="s">
        <v>602</v>
      </c>
      <c r="N225" s="680"/>
    </row>
    <row r="226" spans="1:14" s="681" customFormat="1" x14ac:dyDescent="0.25">
      <c r="A226" s="675"/>
      <c r="B226" s="676" t="s">
        <v>670</v>
      </c>
      <c r="C226" s="677">
        <v>1500</v>
      </c>
      <c r="D226" s="678"/>
      <c r="E226" s="679">
        <f t="shared" si="25"/>
        <v>1500</v>
      </c>
      <c r="F226" s="673"/>
      <c r="G226" s="673">
        <v>1500</v>
      </c>
      <c r="H226" s="673"/>
      <c r="I226" s="671"/>
      <c r="J226" s="671" t="s">
        <v>141</v>
      </c>
      <c r="K226" s="670"/>
      <c r="L226" s="674"/>
      <c r="M226" s="674" t="s">
        <v>602</v>
      </c>
      <c r="N226" s="680"/>
    </row>
    <row r="227" spans="1:14" s="681" customFormat="1" x14ac:dyDescent="0.25">
      <c r="A227" s="675"/>
      <c r="B227" s="676" t="s">
        <v>671</v>
      </c>
      <c r="C227" s="677">
        <v>13406</v>
      </c>
      <c r="D227" s="678"/>
      <c r="E227" s="679">
        <f t="shared" si="25"/>
        <v>13406</v>
      </c>
      <c r="F227" s="673"/>
      <c r="G227" s="673">
        <f>10000+3406</f>
        <v>13406</v>
      </c>
      <c r="H227" s="673"/>
      <c r="I227" s="671"/>
      <c r="J227" s="671"/>
      <c r="K227" s="670"/>
      <c r="L227" s="674"/>
      <c r="M227" s="674" t="s">
        <v>602</v>
      </c>
      <c r="N227" s="680"/>
    </row>
    <row r="228" spans="1:14" s="681" customFormat="1" x14ac:dyDescent="0.25">
      <c r="A228" s="675"/>
      <c r="B228" s="676" t="s">
        <v>537</v>
      </c>
      <c r="C228" s="677">
        <v>25000</v>
      </c>
      <c r="D228" s="678"/>
      <c r="E228" s="679">
        <f t="shared" si="25"/>
        <v>25000</v>
      </c>
      <c r="F228" s="673"/>
      <c r="G228" s="673">
        <f>15000+10000</f>
        <v>25000</v>
      </c>
      <c r="H228" s="673"/>
      <c r="I228" s="671"/>
      <c r="J228" s="671"/>
      <c r="K228" s="670"/>
      <c r="L228" s="674"/>
      <c r="M228" s="674" t="s">
        <v>602</v>
      </c>
      <c r="N228" s="680"/>
    </row>
    <row r="229" spans="1:14" s="681" customFormat="1" x14ac:dyDescent="0.25">
      <c r="A229" s="675"/>
      <c r="B229" s="676" t="s">
        <v>538</v>
      </c>
      <c r="C229" s="677">
        <v>1000</v>
      </c>
      <c r="D229" s="678"/>
      <c r="E229" s="679">
        <f t="shared" si="25"/>
        <v>1000</v>
      </c>
      <c r="F229" s="673"/>
      <c r="G229" s="673">
        <v>1000</v>
      </c>
      <c r="H229" s="673"/>
      <c r="I229" s="671"/>
      <c r="J229" s="671"/>
      <c r="K229" s="670"/>
      <c r="L229" s="674"/>
      <c r="M229" s="674" t="s">
        <v>602</v>
      </c>
      <c r="N229" s="680"/>
    </row>
    <row r="230" spans="1:14" s="681" customFormat="1" x14ac:dyDescent="0.25">
      <c r="A230" s="675"/>
      <c r="B230" s="676" t="s">
        <v>672</v>
      </c>
      <c r="C230" s="677">
        <v>1000</v>
      </c>
      <c r="D230" s="678"/>
      <c r="E230" s="679">
        <f t="shared" si="25"/>
        <v>1000</v>
      </c>
      <c r="F230" s="673"/>
      <c r="G230" s="673">
        <v>1000</v>
      </c>
      <c r="H230" s="673"/>
      <c r="I230" s="671"/>
      <c r="J230" s="671"/>
      <c r="K230" s="670"/>
      <c r="L230" s="674"/>
      <c r="M230" s="674" t="s">
        <v>602</v>
      </c>
      <c r="N230" s="680"/>
    </row>
    <row r="231" spans="1:14" s="681" customFormat="1" x14ac:dyDescent="0.25">
      <c r="A231" s="675"/>
      <c r="B231" s="676" t="s">
        <v>673</v>
      </c>
      <c r="C231" s="677">
        <v>10000</v>
      </c>
      <c r="D231" s="678"/>
      <c r="E231" s="679">
        <f t="shared" si="25"/>
        <v>10000</v>
      </c>
      <c r="F231" s="673"/>
      <c r="G231" s="673">
        <v>10000</v>
      </c>
      <c r="H231" s="673"/>
      <c r="I231" s="671"/>
      <c r="J231" s="671" t="s">
        <v>141</v>
      </c>
      <c r="K231" s="670"/>
      <c r="L231" s="674"/>
      <c r="M231" s="674" t="s">
        <v>602</v>
      </c>
      <c r="N231" s="680"/>
    </row>
    <row r="232" spans="1:14" s="681" customFormat="1" x14ac:dyDescent="0.25">
      <c r="A232" s="675"/>
      <c r="B232" s="676" t="s">
        <v>674</v>
      </c>
      <c r="C232" s="677">
        <v>7000</v>
      </c>
      <c r="D232" s="678"/>
      <c r="E232" s="679">
        <f t="shared" si="25"/>
        <v>7000</v>
      </c>
      <c r="F232" s="673"/>
      <c r="G232" s="673">
        <v>7000</v>
      </c>
      <c r="H232" s="673"/>
      <c r="I232" s="671"/>
      <c r="J232" s="671" t="s">
        <v>141</v>
      </c>
      <c r="K232" s="670"/>
      <c r="L232" s="674"/>
      <c r="M232" s="674" t="s">
        <v>602</v>
      </c>
      <c r="N232" s="680"/>
    </row>
    <row r="233" spans="1:14" s="681" customFormat="1" x14ac:dyDescent="0.25">
      <c r="A233" s="675"/>
      <c r="B233" s="676" t="s">
        <v>675</v>
      </c>
      <c r="C233" s="677">
        <v>7500</v>
      </c>
      <c r="D233" s="678"/>
      <c r="E233" s="679">
        <f t="shared" si="25"/>
        <v>7500</v>
      </c>
      <c r="F233" s="673"/>
      <c r="G233" s="673">
        <v>7500</v>
      </c>
      <c r="H233" s="673"/>
      <c r="I233" s="671"/>
      <c r="J233" s="671" t="s">
        <v>141</v>
      </c>
      <c r="K233" s="670"/>
      <c r="L233" s="674"/>
      <c r="M233" s="674" t="s">
        <v>602</v>
      </c>
      <c r="N233" s="680"/>
    </row>
    <row r="234" spans="1:14" s="681" customFormat="1" x14ac:dyDescent="0.25">
      <c r="A234" s="675"/>
      <c r="B234" s="676" t="s">
        <v>676</v>
      </c>
      <c r="C234" s="677">
        <v>3900</v>
      </c>
      <c r="D234" s="678"/>
      <c r="E234" s="679">
        <f t="shared" si="25"/>
        <v>3900</v>
      </c>
      <c r="F234" s="673"/>
      <c r="G234" s="673">
        <v>3900</v>
      </c>
      <c r="H234" s="673"/>
      <c r="I234" s="671"/>
      <c r="J234" s="671"/>
      <c r="K234" s="670"/>
      <c r="L234" s="674"/>
      <c r="M234" s="674" t="s">
        <v>602</v>
      </c>
      <c r="N234" s="680"/>
    </row>
    <row r="235" spans="1:14" s="681" customFormat="1" x14ac:dyDescent="0.25">
      <c r="A235" s="675"/>
      <c r="B235" s="676" t="s">
        <v>677</v>
      </c>
      <c r="C235" s="677">
        <v>25000</v>
      </c>
      <c r="D235" s="678"/>
      <c r="E235" s="679">
        <f t="shared" si="25"/>
        <v>25000</v>
      </c>
      <c r="F235" s="673"/>
      <c r="G235" s="673">
        <v>25000</v>
      </c>
      <c r="H235" s="673"/>
      <c r="I235" s="671"/>
      <c r="J235" s="671"/>
      <c r="K235" s="670"/>
      <c r="L235" s="674"/>
      <c r="M235" s="674" t="s">
        <v>602</v>
      </c>
      <c r="N235" s="680"/>
    </row>
    <row r="236" spans="1:14" s="681" customFormat="1" x14ac:dyDescent="0.25">
      <c r="A236" s="675"/>
      <c r="B236" s="676" t="s">
        <v>678</v>
      </c>
      <c r="C236" s="677">
        <v>7000</v>
      </c>
      <c r="D236" s="678"/>
      <c r="E236" s="679">
        <f t="shared" si="25"/>
        <v>7000</v>
      </c>
      <c r="F236" s="673"/>
      <c r="G236" s="673">
        <v>7000</v>
      </c>
      <c r="H236" s="673"/>
      <c r="I236" s="671"/>
      <c r="J236" s="671"/>
      <c r="K236" s="670"/>
      <c r="L236" s="674"/>
      <c r="M236" s="674" t="s">
        <v>602</v>
      </c>
      <c r="N236" s="680"/>
    </row>
    <row r="237" spans="1:14" s="681" customFormat="1" x14ac:dyDescent="0.25">
      <c r="A237" s="675"/>
      <c r="B237" s="676" t="s">
        <v>760</v>
      </c>
      <c r="C237" s="677">
        <v>7000</v>
      </c>
      <c r="D237" s="678"/>
      <c r="E237" s="679">
        <f t="shared" si="25"/>
        <v>7000</v>
      </c>
      <c r="F237" s="673"/>
      <c r="G237" s="673">
        <v>7000</v>
      </c>
      <c r="H237" s="673"/>
      <c r="I237" s="671"/>
      <c r="J237" s="671"/>
      <c r="K237" s="670"/>
      <c r="L237" s="674"/>
      <c r="M237" s="674" t="s">
        <v>602</v>
      </c>
      <c r="N237" s="680"/>
    </row>
    <row r="238" spans="1:14" s="681" customFormat="1" x14ac:dyDescent="0.25">
      <c r="A238" s="675"/>
      <c r="B238" s="676" t="s">
        <v>761</v>
      </c>
      <c r="C238" s="677">
        <v>500</v>
      </c>
      <c r="D238" s="678"/>
      <c r="E238" s="679">
        <f t="shared" si="25"/>
        <v>500</v>
      </c>
      <c r="F238" s="673"/>
      <c r="G238" s="673">
        <v>500</v>
      </c>
      <c r="H238" s="673"/>
      <c r="I238" s="671"/>
      <c r="J238" s="671"/>
      <c r="K238" s="670"/>
      <c r="L238" s="674"/>
      <c r="M238" s="674" t="s">
        <v>602</v>
      </c>
      <c r="N238" s="680"/>
    </row>
    <row r="239" spans="1:14" s="681" customFormat="1" x14ac:dyDescent="0.25">
      <c r="A239" s="675"/>
      <c r="B239" s="676" t="s">
        <v>762</v>
      </c>
      <c r="C239" s="677">
        <v>6457</v>
      </c>
      <c r="D239" s="678"/>
      <c r="E239" s="679">
        <f t="shared" si="25"/>
        <v>6457</v>
      </c>
      <c r="F239" s="673"/>
      <c r="G239" s="673">
        <v>6457</v>
      </c>
      <c r="H239" s="673"/>
      <c r="I239" s="671"/>
      <c r="J239" s="671"/>
      <c r="K239" s="670"/>
      <c r="L239" s="674"/>
      <c r="M239" s="674" t="s">
        <v>602</v>
      </c>
      <c r="N239" s="680"/>
    </row>
    <row r="240" spans="1:14" s="681" customFormat="1" ht="31.5" x14ac:dyDescent="0.25">
      <c r="A240" s="675"/>
      <c r="B240" s="676" t="s">
        <v>775</v>
      </c>
      <c r="C240" s="677">
        <v>45000</v>
      </c>
      <c r="D240" s="678"/>
      <c r="E240" s="679">
        <f t="shared" si="25"/>
        <v>45000</v>
      </c>
      <c r="F240" s="673"/>
      <c r="G240" s="673">
        <v>45000</v>
      </c>
      <c r="H240" s="673"/>
      <c r="I240" s="671"/>
      <c r="J240" s="671"/>
      <c r="K240" s="670"/>
      <c r="L240" s="674"/>
      <c r="M240" s="674" t="s">
        <v>602</v>
      </c>
      <c r="N240" s="680"/>
    </row>
    <row r="241" spans="1:14" s="681" customFormat="1" ht="31.5" x14ac:dyDescent="0.25">
      <c r="A241" s="675"/>
      <c r="B241" s="676" t="s">
        <v>776</v>
      </c>
      <c r="C241" s="677">
        <v>2956</v>
      </c>
      <c r="D241" s="678"/>
      <c r="E241" s="679">
        <f t="shared" si="25"/>
        <v>2956</v>
      </c>
      <c r="F241" s="673"/>
      <c r="G241" s="673">
        <v>2956</v>
      </c>
      <c r="H241" s="673"/>
      <c r="I241" s="671"/>
      <c r="J241" s="671"/>
      <c r="K241" s="670"/>
      <c r="L241" s="674"/>
      <c r="M241" s="674" t="s">
        <v>602</v>
      </c>
      <c r="N241" s="680"/>
    </row>
    <row r="242" spans="1:14" x14ac:dyDescent="0.25">
      <c r="A242" s="645" t="s">
        <v>99</v>
      </c>
      <c r="B242" s="661" t="s">
        <v>67</v>
      </c>
      <c r="C242" s="647">
        <v>6000</v>
      </c>
      <c r="D242" s="691"/>
      <c r="E242" s="647">
        <f>SUM(C242:D242)</f>
        <v>6000</v>
      </c>
      <c r="F242" s="649"/>
      <c r="G242" s="705">
        <v>6000</v>
      </c>
      <c r="H242" s="705"/>
      <c r="I242" s="704" t="s">
        <v>141</v>
      </c>
      <c r="J242" s="704"/>
      <c r="K242" s="705"/>
      <c r="L242" s="704" t="s">
        <v>602</v>
      </c>
      <c r="M242" s="704"/>
      <c r="N242" s="723"/>
    </row>
    <row r="243" spans="1:14" x14ac:dyDescent="0.25">
      <c r="A243" s="645" t="s">
        <v>100</v>
      </c>
      <c r="B243" s="661" t="s">
        <v>539</v>
      </c>
      <c r="C243" s="648">
        <f t="shared" ref="C243:E243" si="26">SUM(C244,C250,C251,C252,C253)</f>
        <v>220273</v>
      </c>
      <c r="D243" s="648">
        <f t="shared" si="26"/>
        <v>10242</v>
      </c>
      <c r="E243" s="663">
        <f t="shared" si="26"/>
        <v>230515</v>
      </c>
      <c r="F243" s="663">
        <f>SUM(F244,F250,F251,F252,F253)</f>
        <v>0</v>
      </c>
      <c r="G243" s="663">
        <f>SUM(G244,G250,G251,G252,G253)</f>
        <v>237039</v>
      </c>
      <c r="H243" s="663">
        <f>SUM(H244,H250,H251,H252,H253)</f>
        <v>-6524</v>
      </c>
      <c r="I243" s="650" t="s">
        <v>141</v>
      </c>
      <c r="J243" s="650" t="s">
        <v>141</v>
      </c>
      <c r="K243" s="663"/>
      <c r="L243" s="650" t="s">
        <v>602</v>
      </c>
      <c r="M243" s="650" t="s">
        <v>602</v>
      </c>
      <c r="N243" s="724"/>
    </row>
    <row r="244" spans="1:14" x14ac:dyDescent="0.25">
      <c r="A244" s="645"/>
      <c r="B244" s="661" t="s">
        <v>101</v>
      </c>
      <c r="C244" s="647">
        <v>75499</v>
      </c>
      <c r="D244" s="648">
        <f t="shared" ref="D244:E244" si="27">SUM(D245:D249)</f>
        <v>2000</v>
      </c>
      <c r="E244" s="663">
        <f t="shared" si="27"/>
        <v>77499</v>
      </c>
      <c r="F244" s="663">
        <f>SUM(F245:F249)</f>
        <v>0</v>
      </c>
      <c r="G244" s="663">
        <f t="shared" ref="G244:H244" si="28">SUM(G245:G249)</f>
        <v>77499</v>
      </c>
      <c r="H244" s="663">
        <f t="shared" si="28"/>
        <v>0</v>
      </c>
      <c r="I244" s="650"/>
      <c r="J244" s="650" t="s">
        <v>141</v>
      </c>
      <c r="K244" s="663"/>
      <c r="L244" s="650" t="s">
        <v>602</v>
      </c>
      <c r="M244" s="650" t="s">
        <v>602</v>
      </c>
      <c r="N244" s="724"/>
    </row>
    <row r="245" spans="1:14" x14ac:dyDescent="0.25">
      <c r="A245" s="645"/>
      <c r="B245" s="667" t="s">
        <v>68</v>
      </c>
      <c r="C245" s="668">
        <v>5400</v>
      </c>
      <c r="D245" s="669"/>
      <c r="E245" s="668">
        <f>SUM(C245:D245)</f>
        <v>5400</v>
      </c>
      <c r="F245" s="670"/>
      <c r="G245" s="708">
        <f>5000+400</f>
        <v>5400</v>
      </c>
      <c r="H245" s="708"/>
      <c r="I245" s="707"/>
      <c r="J245" s="707" t="s">
        <v>141</v>
      </c>
      <c r="K245" s="708"/>
      <c r="L245" s="707"/>
      <c r="M245" s="707" t="s">
        <v>602</v>
      </c>
      <c r="N245" s="722"/>
    </row>
    <row r="246" spans="1:14" x14ac:dyDescent="0.25">
      <c r="A246" s="645"/>
      <c r="B246" s="685" t="s">
        <v>69</v>
      </c>
      <c r="C246" s="686">
        <v>8000</v>
      </c>
      <c r="D246" s="687">
        <v>2000</v>
      </c>
      <c r="E246" s="668">
        <f t="shared" ref="E246:E249" si="29">SUM(C246:D246)</f>
        <v>10000</v>
      </c>
      <c r="F246" s="670"/>
      <c r="G246" s="708">
        <f>8000+2000</f>
        <v>10000</v>
      </c>
      <c r="H246" s="708"/>
      <c r="I246" s="707"/>
      <c r="J246" s="707" t="s">
        <v>141</v>
      </c>
      <c r="K246" s="708"/>
      <c r="L246" s="707"/>
      <c r="M246" s="707" t="s">
        <v>602</v>
      </c>
      <c r="N246" s="722"/>
    </row>
    <row r="247" spans="1:14" x14ac:dyDescent="0.25">
      <c r="A247" s="645"/>
      <c r="B247" s="685" t="s">
        <v>70</v>
      </c>
      <c r="C247" s="686">
        <v>56599</v>
      </c>
      <c r="D247" s="687"/>
      <c r="E247" s="668">
        <f t="shared" si="29"/>
        <v>56599</v>
      </c>
      <c r="F247" s="670"/>
      <c r="G247" s="708">
        <f>56500+99</f>
        <v>56599</v>
      </c>
      <c r="H247" s="708"/>
      <c r="I247" s="707" t="s">
        <v>141</v>
      </c>
      <c r="J247" s="707" t="s">
        <v>141</v>
      </c>
      <c r="K247" s="708"/>
      <c r="L247" s="707" t="s">
        <v>602</v>
      </c>
      <c r="M247" s="707" t="s">
        <v>602</v>
      </c>
      <c r="N247" s="722"/>
    </row>
    <row r="248" spans="1:14" x14ac:dyDescent="0.25">
      <c r="A248" s="645"/>
      <c r="B248" s="685" t="s">
        <v>370</v>
      </c>
      <c r="C248" s="686">
        <v>1000</v>
      </c>
      <c r="D248" s="687"/>
      <c r="E248" s="668">
        <f t="shared" si="29"/>
        <v>1000</v>
      </c>
      <c r="F248" s="670"/>
      <c r="G248" s="708">
        <v>1000</v>
      </c>
      <c r="H248" s="708"/>
      <c r="I248" s="707"/>
      <c r="J248" s="707" t="s">
        <v>141</v>
      </c>
      <c r="K248" s="708"/>
      <c r="L248" s="707"/>
      <c r="M248" s="707" t="s">
        <v>602</v>
      </c>
      <c r="N248" s="722"/>
    </row>
    <row r="249" spans="1:14" x14ac:dyDescent="0.25">
      <c r="A249" s="645"/>
      <c r="B249" s="685" t="s">
        <v>342</v>
      </c>
      <c r="C249" s="686">
        <v>4500</v>
      </c>
      <c r="D249" s="687"/>
      <c r="E249" s="668">
        <f t="shared" si="29"/>
        <v>4500</v>
      </c>
      <c r="F249" s="670"/>
      <c r="G249" s="708">
        <v>4500</v>
      </c>
      <c r="H249" s="708"/>
      <c r="I249" s="707"/>
      <c r="J249" s="707" t="s">
        <v>141</v>
      </c>
      <c r="K249" s="708"/>
      <c r="L249" s="707"/>
      <c r="M249" s="707" t="s">
        <v>602</v>
      </c>
      <c r="N249" s="722"/>
    </row>
    <row r="250" spans="1:14" x14ac:dyDescent="0.25">
      <c r="A250" s="645"/>
      <c r="B250" s="661" t="s">
        <v>118</v>
      </c>
      <c r="C250" s="647">
        <v>52029</v>
      </c>
      <c r="D250" s="662">
        <v>10336</v>
      </c>
      <c r="E250" s="714">
        <f>SUM(C250:D250)</f>
        <v>62365</v>
      </c>
      <c r="F250" s="649"/>
      <c r="G250" s="649">
        <f>52029+10336</f>
        <v>62365</v>
      </c>
      <c r="H250" s="649"/>
      <c r="I250" s="704" t="s">
        <v>141</v>
      </c>
      <c r="J250" s="704"/>
      <c r="K250" s="705"/>
      <c r="L250" s="704" t="s">
        <v>602</v>
      </c>
      <c r="M250" s="704"/>
      <c r="N250" s="723"/>
    </row>
    <row r="251" spans="1:14" x14ac:dyDescent="0.25">
      <c r="A251" s="645"/>
      <c r="B251" s="661" t="s">
        <v>102</v>
      </c>
      <c r="C251" s="647">
        <v>29940</v>
      </c>
      <c r="D251" s="662">
        <v>-66</v>
      </c>
      <c r="E251" s="714">
        <f t="shared" ref="E251:E253" si="30">SUM(C251:D251)</f>
        <v>29874</v>
      </c>
      <c r="F251" s="649"/>
      <c r="G251" s="649">
        <f>30000+245</f>
        <v>30245</v>
      </c>
      <c r="H251" s="649">
        <f>-260-45-66</f>
        <v>-371</v>
      </c>
      <c r="I251" s="704"/>
      <c r="J251" s="704" t="s">
        <v>141</v>
      </c>
      <c r="K251" s="705"/>
      <c r="L251" s="704"/>
      <c r="M251" s="704" t="s">
        <v>602</v>
      </c>
      <c r="N251" s="723"/>
    </row>
    <row r="252" spans="1:14" x14ac:dyDescent="0.25">
      <c r="A252" s="645"/>
      <c r="B252" s="661" t="s">
        <v>103</v>
      </c>
      <c r="C252" s="647">
        <v>37805</v>
      </c>
      <c r="D252" s="662">
        <v>-2028</v>
      </c>
      <c r="E252" s="714">
        <f t="shared" si="30"/>
        <v>35777</v>
      </c>
      <c r="F252" s="649"/>
      <c r="G252" s="649">
        <f>42000-70</f>
        <v>41930</v>
      </c>
      <c r="H252" s="649">
        <f>-2000-1160-965-2028</f>
        <v>-6153</v>
      </c>
      <c r="I252" s="704"/>
      <c r="J252" s="704" t="s">
        <v>141</v>
      </c>
      <c r="K252" s="705"/>
      <c r="L252" s="704"/>
      <c r="M252" s="704" t="s">
        <v>602</v>
      </c>
      <c r="N252" s="723"/>
    </row>
    <row r="253" spans="1:14" ht="16.5" thickBot="1" x14ac:dyDescent="0.3">
      <c r="A253" s="645"/>
      <c r="B253" s="661" t="s">
        <v>71</v>
      </c>
      <c r="C253" s="647">
        <v>25000</v>
      </c>
      <c r="D253" s="662"/>
      <c r="E253" s="714">
        <f t="shared" si="30"/>
        <v>25000</v>
      </c>
      <c r="F253" s="649"/>
      <c r="G253" s="649">
        <v>25000</v>
      </c>
      <c r="H253" s="649"/>
      <c r="I253" s="650" t="s">
        <v>141</v>
      </c>
      <c r="J253" s="650"/>
      <c r="K253" s="649"/>
      <c r="L253" s="650" t="s">
        <v>602</v>
      </c>
      <c r="M253" s="650"/>
      <c r="N253" s="724"/>
    </row>
    <row r="254" spans="1:14" ht="16.5" thickBot="1" x14ac:dyDescent="0.3">
      <c r="A254" s="725"/>
      <c r="B254" s="726" t="s">
        <v>78</v>
      </c>
      <c r="C254" s="727">
        <f t="shared" ref="C254:H254" si="31">SUM(C4,C90,C93,C98,C102,C111,C242,C243)</f>
        <v>58267336</v>
      </c>
      <c r="D254" s="727">
        <f t="shared" si="31"/>
        <v>-7341060</v>
      </c>
      <c r="E254" s="728">
        <f t="shared" si="31"/>
        <v>50926276</v>
      </c>
      <c r="F254" s="728">
        <f t="shared" si="31"/>
        <v>45245</v>
      </c>
      <c r="G254" s="728">
        <f t="shared" si="31"/>
        <v>50974674</v>
      </c>
      <c r="H254" s="728">
        <f t="shared" si="31"/>
        <v>-93643</v>
      </c>
      <c r="I254" s="729" t="s">
        <v>142</v>
      </c>
      <c r="J254" s="729" t="s">
        <v>142</v>
      </c>
      <c r="K254" s="729" t="s">
        <v>142</v>
      </c>
      <c r="L254" s="729" t="s">
        <v>142</v>
      </c>
      <c r="M254" s="729" t="s">
        <v>142</v>
      </c>
      <c r="N254" s="730" t="s">
        <v>142</v>
      </c>
    </row>
    <row r="255" spans="1:14" x14ac:dyDescent="0.25">
      <c r="A255" s="725"/>
      <c r="B255" s="731" t="s">
        <v>77</v>
      </c>
      <c r="C255" s="732">
        <v>40356</v>
      </c>
      <c r="D255" s="733">
        <v>0</v>
      </c>
      <c r="E255" s="734">
        <f>SUM(C255:D255)</f>
        <v>40356</v>
      </c>
      <c r="F255" s="735">
        <v>0</v>
      </c>
      <c r="G255" s="735">
        <f>250000-138300-36597-32932</f>
        <v>42171</v>
      </c>
      <c r="H255" s="735">
        <v>-1815</v>
      </c>
      <c r="I255" s="736"/>
      <c r="J255" s="737" t="s">
        <v>141</v>
      </c>
      <c r="K255" s="738"/>
      <c r="L255" s="736"/>
      <c r="M255" s="737" t="s">
        <v>602</v>
      </c>
      <c r="N255" s="739"/>
    </row>
    <row r="256" spans="1:14" x14ac:dyDescent="0.25">
      <c r="A256" s="725"/>
      <c r="B256" s="740" t="s">
        <v>72</v>
      </c>
      <c r="C256" s="741">
        <f t="shared" ref="C256:E256" si="32">SUM(C257:C269)</f>
        <v>2171368</v>
      </c>
      <c r="D256" s="741">
        <f t="shared" si="32"/>
        <v>2228432</v>
      </c>
      <c r="E256" s="742">
        <f t="shared" si="32"/>
        <v>4399800</v>
      </c>
      <c r="F256" s="742">
        <f>SUM(F257:F269)</f>
        <v>0</v>
      </c>
      <c r="G256" s="743">
        <f>SUM(G257:G269)</f>
        <v>5331379</v>
      </c>
      <c r="H256" s="743">
        <f>SUM(H257:H269)</f>
        <v>-931579</v>
      </c>
      <c r="I256" s="664" t="s">
        <v>141</v>
      </c>
      <c r="J256" s="664" t="s">
        <v>141</v>
      </c>
      <c r="K256" s="743"/>
      <c r="L256" s="664" t="s">
        <v>602</v>
      </c>
      <c r="M256" s="664" t="s">
        <v>602</v>
      </c>
      <c r="N256" s="720"/>
    </row>
    <row r="257" spans="1:14" x14ac:dyDescent="0.25">
      <c r="A257" s="744"/>
      <c r="B257" s="692" t="s">
        <v>129</v>
      </c>
      <c r="C257" s="745">
        <v>28301</v>
      </c>
      <c r="D257" s="746">
        <f>-12010-330</f>
        <v>-12340</v>
      </c>
      <c r="E257" s="747">
        <f>SUM(C257:D257)</f>
        <v>15961</v>
      </c>
      <c r="F257" s="748"/>
      <c r="G257" s="748">
        <f>50000-21091-12010</f>
        <v>16899</v>
      </c>
      <c r="H257" s="748">
        <f>-377-231-330</f>
        <v>-938</v>
      </c>
      <c r="I257" s="749" t="s">
        <v>141</v>
      </c>
      <c r="J257" s="749"/>
      <c r="K257" s="750"/>
      <c r="L257" s="751" t="s">
        <v>602</v>
      </c>
      <c r="M257" s="751"/>
      <c r="N257" s="752"/>
    </row>
    <row r="258" spans="1:14" ht="31.5" x14ac:dyDescent="0.25">
      <c r="A258" s="744"/>
      <c r="B258" s="692" t="s">
        <v>116</v>
      </c>
      <c r="C258" s="753">
        <v>0</v>
      </c>
      <c r="D258" s="746">
        <f>12010-12010</f>
        <v>0</v>
      </c>
      <c r="E258" s="747">
        <f t="shared" ref="E258:E269" si="33">SUM(C258:D258)</f>
        <v>0</v>
      </c>
      <c r="F258" s="748"/>
      <c r="G258" s="748">
        <f>21091+80000+12010</f>
        <v>113101</v>
      </c>
      <c r="H258" s="748">
        <f>-26274-45165-29652-12010</f>
        <v>-113101</v>
      </c>
      <c r="I258" s="749" t="s">
        <v>141</v>
      </c>
      <c r="J258" s="749"/>
      <c r="K258" s="750"/>
      <c r="L258" s="754" t="s">
        <v>602</v>
      </c>
      <c r="M258" s="754"/>
      <c r="N258" s="755"/>
    </row>
    <row r="259" spans="1:14" x14ac:dyDescent="0.25">
      <c r="A259" s="744"/>
      <c r="B259" s="692" t="s">
        <v>253</v>
      </c>
      <c r="C259" s="753">
        <v>51477</v>
      </c>
      <c r="D259" s="746">
        <v>-37340</v>
      </c>
      <c r="E259" s="747">
        <f t="shared" si="33"/>
        <v>14137</v>
      </c>
      <c r="F259" s="748"/>
      <c r="G259" s="748">
        <v>232000</v>
      </c>
      <c r="H259" s="748">
        <f>-49103-76128-55292-37340</f>
        <v>-217863</v>
      </c>
      <c r="I259" s="749"/>
      <c r="J259" s="749" t="s">
        <v>141</v>
      </c>
      <c r="K259" s="750"/>
      <c r="L259" s="754"/>
      <c r="M259" s="754" t="s">
        <v>602</v>
      </c>
      <c r="N259" s="755"/>
    </row>
    <row r="260" spans="1:14" ht="47.25" x14ac:dyDescent="0.25">
      <c r="A260" s="744"/>
      <c r="B260" s="676" t="s">
        <v>679</v>
      </c>
      <c r="C260" s="747">
        <v>167563</v>
      </c>
      <c r="D260" s="746"/>
      <c r="E260" s="747">
        <f t="shared" si="33"/>
        <v>167563</v>
      </c>
      <c r="F260" s="748"/>
      <c r="G260" s="748">
        <f>320000+6393+50956</f>
        <v>377349</v>
      </c>
      <c r="H260" s="748">
        <f>-79131+54312-170671-13801-250-245</f>
        <v>-209786</v>
      </c>
      <c r="I260" s="749" t="s">
        <v>141</v>
      </c>
      <c r="J260" s="749"/>
      <c r="K260" s="750"/>
      <c r="L260" s="754" t="s">
        <v>602</v>
      </c>
      <c r="M260" s="754"/>
      <c r="N260" s="755"/>
    </row>
    <row r="261" spans="1:14" x14ac:dyDescent="0.25">
      <c r="A261" s="744"/>
      <c r="B261" s="676" t="s">
        <v>680</v>
      </c>
      <c r="C261" s="747">
        <v>56</v>
      </c>
      <c r="D261" s="746"/>
      <c r="E261" s="747">
        <f t="shared" si="33"/>
        <v>56</v>
      </c>
      <c r="F261" s="748"/>
      <c r="G261" s="748">
        <v>4000</v>
      </c>
      <c r="H261" s="748">
        <v>-3944</v>
      </c>
      <c r="I261" s="749"/>
      <c r="J261" s="749"/>
      <c r="K261" s="750"/>
      <c r="L261" s="754" t="s">
        <v>602</v>
      </c>
      <c r="M261" s="754"/>
      <c r="N261" s="755"/>
    </row>
    <row r="262" spans="1:14" ht="31.5" x14ac:dyDescent="0.25">
      <c r="A262" s="744"/>
      <c r="B262" s="692" t="s">
        <v>343</v>
      </c>
      <c r="C262" s="753">
        <v>0</v>
      </c>
      <c r="D262" s="746"/>
      <c r="E262" s="747">
        <f t="shared" si="33"/>
        <v>0</v>
      </c>
      <c r="F262" s="748"/>
      <c r="G262" s="748">
        <v>65976</v>
      </c>
      <c r="H262" s="748">
        <f>-10485-42601-12890</f>
        <v>-65976</v>
      </c>
      <c r="I262" s="749" t="s">
        <v>141</v>
      </c>
      <c r="J262" s="749"/>
      <c r="K262" s="750"/>
      <c r="L262" s="754" t="s">
        <v>602</v>
      </c>
      <c r="M262" s="754"/>
      <c r="N262" s="755"/>
    </row>
    <row r="263" spans="1:14" ht="31.5" x14ac:dyDescent="0.25">
      <c r="A263" s="744"/>
      <c r="B263" s="692" t="s">
        <v>777</v>
      </c>
      <c r="C263" s="753">
        <v>586</v>
      </c>
      <c r="D263" s="746"/>
      <c r="E263" s="753">
        <f t="shared" si="33"/>
        <v>586</v>
      </c>
      <c r="F263" s="748"/>
      <c r="G263" s="756">
        <v>586</v>
      </c>
      <c r="H263" s="756"/>
      <c r="I263" s="749" t="s">
        <v>141</v>
      </c>
      <c r="J263" s="749"/>
      <c r="K263" s="750"/>
      <c r="L263" s="754" t="s">
        <v>602</v>
      </c>
      <c r="M263" s="754"/>
      <c r="N263" s="755"/>
    </row>
    <row r="264" spans="1:14" x14ac:dyDescent="0.25">
      <c r="A264" s="744"/>
      <c r="B264" s="676" t="s">
        <v>778</v>
      </c>
      <c r="C264" s="747">
        <v>0</v>
      </c>
      <c r="D264" s="746">
        <f>2410-2214-196</f>
        <v>0</v>
      </c>
      <c r="E264" s="747">
        <f t="shared" si="33"/>
        <v>0</v>
      </c>
      <c r="F264" s="748"/>
      <c r="G264" s="748">
        <f>12361+4849+2214+196</f>
        <v>19620</v>
      </c>
      <c r="H264" s="748">
        <f>-11242-1119-4443-406-2214-196</f>
        <v>-19620</v>
      </c>
      <c r="I264" s="749"/>
      <c r="J264" s="749"/>
      <c r="K264" s="750"/>
      <c r="L264" s="754" t="s">
        <v>602</v>
      </c>
      <c r="M264" s="754"/>
      <c r="N264" s="755"/>
    </row>
    <row r="265" spans="1:14" x14ac:dyDescent="0.25">
      <c r="A265" s="744"/>
      <c r="B265" s="676" t="s">
        <v>779</v>
      </c>
      <c r="C265" s="747">
        <v>0</v>
      </c>
      <c r="D265" s="746">
        <f>15164-15164</f>
        <v>0</v>
      </c>
      <c r="E265" s="747">
        <f t="shared" si="33"/>
        <v>0</v>
      </c>
      <c r="F265" s="748"/>
      <c r="G265" s="748">
        <f>58928+45461+15164</f>
        <v>119553</v>
      </c>
      <c r="H265" s="748">
        <f>-58928-45461-15164</f>
        <v>-119553</v>
      </c>
      <c r="I265" s="749"/>
      <c r="J265" s="749"/>
      <c r="K265" s="750"/>
      <c r="L265" s="754" t="s">
        <v>602</v>
      </c>
      <c r="M265" s="754"/>
      <c r="N265" s="755"/>
    </row>
    <row r="266" spans="1:14" ht="31.5" x14ac:dyDescent="0.25">
      <c r="A266" s="744"/>
      <c r="B266" s="676" t="s">
        <v>780</v>
      </c>
      <c r="C266" s="747">
        <v>0</v>
      </c>
      <c r="D266" s="746">
        <f>623-623</f>
        <v>0</v>
      </c>
      <c r="E266" s="747">
        <f t="shared" si="33"/>
        <v>0</v>
      </c>
      <c r="F266" s="748"/>
      <c r="G266" s="748">
        <f>1810+1930+623</f>
        <v>4363</v>
      </c>
      <c r="H266" s="748">
        <f>-1810-1930-623</f>
        <v>-4363</v>
      </c>
      <c r="I266" s="749" t="s">
        <v>141</v>
      </c>
      <c r="J266" s="749"/>
      <c r="K266" s="750"/>
      <c r="L266" s="754" t="s">
        <v>602</v>
      </c>
      <c r="M266" s="754"/>
      <c r="N266" s="755"/>
    </row>
    <row r="267" spans="1:14" x14ac:dyDescent="0.25">
      <c r="A267" s="744"/>
      <c r="B267" s="676" t="s">
        <v>781</v>
      </c>
      <c r="C267" s="747">
        <v>0</v>
      </c>
      <c r="D267" s="746">
        <f>7826-7826</f>
        <v>0</v>
      </c>
      <c r="E267" s="747">
        <f t="shared" si="33"/>
        <v>0</v>
      </c>
      <c r="F267" s="748"/>
      <c r="G267" s="748">
        <f>29375+23307+7826</f>
        <v>60508</v>
      </c>
      <c r="H267" s="748">
        <f>-29375-23307-7826</f>
        <v>-60508</v>
      </c>
      <c r="I267" s="749" t="s">
        <v>141</v>
      </c>
      <c r="J267" s="749"/>
      <c r="K267" s="750"/>
      <c r="L267" s="754" t="s">
        <v>602</v>
      </c>
      <c r="M267" s="754"/>
      <c r="N267" s="755"/>
    </row>
    <row r="268" spans="1:14" x14ac:dyDescent="0.25">
      <c r="A268" s="744"/>
      <c r="B268" s="676" t="s">
        <v>782</v>
      </c>
      <c r="C268" s="747">
        <v>150000</v>
      </c>
      <c r="D268" s="746"/>
      <c r="E268" s="747">
        <f t="shared" si="33"/>
        <v>150000</v>
      </c>
      <c r="F268" s="748"/>
      <c r="G268" s="748">
        <v>150000</v>
      </c>
      <c r="H268" s="748"/>
      <c r="I268" s="749" t="s">
        <v>141</v>
      </c>
      <c r="J268" s="749"/>
      <c r="K268" s="750"/>
      <c r="L268" s="754" t="s">
        <v>602</v>
      </c>
      <c r="M268" s="754"/>
      <c r="N268" s="755"/>
    </row>
    <row r="269" spans="1:14" ht="16.5" thickBot="1" x14ac:dyDescent="0.3">
      <c r="A269" s="744"/>
      <c r="B269" s="676" t="s">
        <v>783</v>
      </c>
      <c r="C269" s="747">
        <v>1773385</v>
      </c>
      <c r="D269" s="746">
        <f>2119585-878+150323+44898-33618-2198</f>
        <v>2278112</v>
      </c>
      <c r="E269" s="747">
        <f t="shared" si="33"/>
        <v>4051497</v>
      </c>
      <c r="F269" s="748"/>
      <c r="G269" s="748">
        <f>2013702-536321+1526715-668197-10000-8453-8381-317053-60000+2119585-878+150323-33618</f>
        <v>4167424</v>
      </c>
      <c r="H269" s="748">
        <f>-118138-10893-28504-1092-2198+44898</f>
        <v>-115927</v>
      </c>
      <c r="I269" s="757" t="s">
        <v>141</v>
      </c>
      <c r="J269" s="757"/>
      <c r="K269" s="758"/>
      <c r="L269" s="754" t="s">
        <v>602</v>
      </c>
      <c r="M269" s="754"/>
      <c r="N269" s="755"/>
    </row>
    <row r="270" spans="1:14" ht="16.5" thickBot="1" x14ac:dyDescent="0.3">
      <c r="A270" s="759"/>
      <c r="B270" s="726" t="s">
        <v>73</v>
      </c>
      <c r="C270" s="760">
        <f t="shared" ref="C270:E270" si="34">SUM(C254:C256)</f>
        <v>60479060</v>
      </c>
      <c r="D270" s="760">
        <f t="shared" si="34"/>
        <v>-5112628</v>
      </c>
      <c r="E270" s="761">
        <f t="shared" si="34"/>
        <v>55366432</v>
      </c>
      <c r="F270" s="761">
        <f>SUM(F254:F256)</f>
        <v>45245</v>
      </c>
      <c r="G270" s="761">
        <f>SUM(G254:G256)</f>
        <v>56348224</v>
      </c>
      <c r="H270" s="761">
        <f>SUM(H254:H256)</f>
        <v>-1027037</v>
      </c>
      <c r="I270" s="730" t="s">
        <v>142</v>
      </c>
      <c r="J270" s="730" t="s">
        <v>142</v>
      </c>
      <c r="K270" s="730" t="s">
        <v>142</v>
      </c>
      <c r="L270" s="730" t="s">
        <v>142</v>
      </c>
      <c r="M270" s="730" t="s">
        <v>142</v>
      </c>
      <c r="N270" s="730" t="s">
        <v>142</v>
      </c>
    </row>
    <row r="273" spans="3:14" x14ac:dyDescent="0.25">
      <c r="C273" s="628"/>
      <c r="D273" s="628"/>
      <c r="F273" s="628"/>
      <c r="H273" s="762"/>
      <c r="L273" s="763"/>
      <c r="M273" s="763"/>
      <c r="N273" s="763"/>
    </row>
    <row r="277" spans="3:14" x14ac:dyDescent="0.25">
      <c r="C277" s="628"/>
      <c r="D277" s="628"/>
      <c r="F277" s="628"/>
      <c r="G277" s="762"/>
      <c r="H277" s="762"/>
      <c r="I277" s="763"/>
      <c r="J277" s="763"/>
      <c r="K277" s="762"/>
      <c r="L277" s="763"/>
      <c r="M277" s="763"/>
      <c r="N277" s="763"/>
    </row>
  </sheetData>
  <mergeCells count="1">
    <mergeCell ref="A1:N1"/>
  </mergeCells>
  <printOptions horizontalCentered="1"/>
  <pageMargins left="0.19685039370078741" right="0.27559055118110237" top="0.9055118110236221" bottom="0.62992125984251968" header="0.35433070866141736" footer="0.15748031496062992"/>
  <pageSetup paperSize="9" scale="48" orientation="portrait" r:id="rId1"/>
  <headerFooter alignWithMargins="0">
    <oddHeader xml:space="preserve">&amp;R&amp;"Times New Roman CE,Félkövér"9. melléklet a 6/2019. (II.22.) önkormányzati rendelethez&amp;"Times New Roman CE,Dőlt"&amp;11
 11. melléklet
a 3/2018.(II.8.) önkormányzati rendelethez
</oddHeader>
  </headerFooter>
  <rowBreaks count="2" manualBreakCount="2">
    <brk id="75" max="13" man="1"/>
    <brk id="148"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17</vt:i4>
      </vt:variant>
      <vt:variant>
        <vt:lpstr>Névvel ellátott tartományok</vt:lpstr>
      </vt:variant>
      <vt:variant>
        <vt:i4>17</vt:i4>
      </vt:variant>
    </vt:vector>
  </HeadingPairs>
  <TitlesOfParts>
    <vt:vector size="34" baseType="lpstr">
      <vt:lpstr>1 bevétel (kötelező,önként)</vt:lpstr>
      <vt:lpstr>2 kiadás (kötelező, önként)</vt:lpstr>
      <vt:lpstr>3 bevétel(szűkített)</vt:lpstr>
      <vt:lpstr>4 kiadás(szűkített)</vt:lpstr>
      <vt:lpstr>5 egyenleg</vt:lpstr>
      <vt:lpstr>7int.bevétel</vt:lpstr>
      <vt:lpstr>8int.kiadás </vt:lpstr>
      <vt:lpstr>10 ök kiadás</vt:lpstr>
      <vt:lpstr>11melléklet</vt:lpstr>
      <vt:lpstr>12 Fejlesztés </vt:lpstr>
      <vt:lpstr>13 Lakáselidegenítés</vt:lpstr>
      <vt:lpstr> 14 Int.felúj</vt:lpstr>
      <vt:lpstr>16működési és felhalm </vt:lpstr>
      <vt:lpstr>18többéves</vt:lpstr>
      <vt:lpstr>19projektek</vt:lpstr>
      <vt:lpstr>kiemelt</vt:lpstr>
      <vt:lpstr>23Környezetvédelmi alap</vt:lpstr>
      <vt:lpstr>' 14 Int.felúj'!Nyomtatási_cím</vt:lpstr>
      <vt:lpstr>'1 bevétel (kötelező,önként)'!Nyomtatási_cím</vt:lpstr>
      <vt:lpstr>'10 ök kiadás'!Nyomtatási_cím</vt:lpstr>
      <vt:lpstr>'11melléklet'!Nyomtatási_cím</vt:lpstr>
      <vt:lpstr>'12 Fejlesztés '!Nyomtatási_cím</vt:lpstr>
      <vt:lpstr>'19projektek'!Nyomtatási_cím</vt:lpstr>
      <vt:lpstr>'2 kiadás (kötelező, önként)'!Nyomtatási_cím</vt:lpstr>
      <vt:lpstr>'3 bevétel(szűkített)'!Nyomtatási_cím</vt:lpstr>
      <vt:lpstr>'7int.bevétel'!Nyomtatási_cím</vt:lpstr>
      <vt:lpstr>'8int.kiadás '!Nyomtatási_cím</vt:lpstr>
      <vt:lpstr>'1 bevétel (kötelező,önként)'!Nyomtatási_terület</vt:lpstr>
      <vt:lpstr>'10 ök kiadás'!Nyomtatási_terület</vt:lpstr>
      <vt:lpstr>'11melléklet'!Nyomtatási_terület</vt:lpstr>
      <vt:lpstr>'12 Fejlesztés '!Nyomtatási_terület</vt:lpstr>
      <vt:lpstr>'4 kiadás(szűkített)'!Nyomtatási_terület</vt:lpstr>
      <vt:lpstr>'7int.bevétel'!Nyomtatási_terület</vt:lpstr>
      <vt:lpstr>'8int.kiadás '!Nyomtatási_terület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Polgármesteri Hivatal</dc:creator>
  <cp:lastModifiedBy>Móricz Károly</cp:lastModifiedBy>
  <cp:lastPrinted>2019-02-21T07:48:57Z</cp:lastPrinted>
  <dcterms:created xsi:type="dcterms:W3CDTF">2003-05-23T09:53:33Z</dcterms:created>
  <dcterms:modified xsi:type="dcterms:W3CDTF">2019-02-21T08:05:02Z</dcterms:modified>
</cp:coreProperties>
</file>